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chartsheets/sheet7.xml" ContentType="application/vnd.openxmlformats-officedocument.spreadsheetml.chart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6.xml" ContentType="application/vnd.openxmlformats-officedocument.spreadsheetml.table+xml"/>
  <Override PartName="/xl/comments2.xml" ContentType="application/vnd.openxmlformats-officedocument.spreadsheetml.comments+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comments3.xml" ContentType="application/vnd.openxmlformats-officedocument.spreadsheetml.comments+xml"/>
  <Override PartName="/xl/comments4.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0.xml" ContentType="application/vnd.openxmlformats-officedocument.drawingml.chartshapes+xml"/>
  <Override PartName="/xl/drawings/drawing11.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2.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mc:AlternateContent xmlns:mc="http://schemas.openxmlformats.org/markup-compatibility/2006">
    <mc:Choice Requires="x15">
      <x15ac:absPath xmlns:x15ac="http://schemas.microsoft.com/office/spreadsheetml/2010/11/ac" url="https://wdcnz-my.sharepoint.com/personal/amanda_kent_toitutewaiora_nz/Documents/Desktop/"/>
    </mc:Choice>
  </mc:AlternateContent>
  <xr:revisionPtr revIDLastSave="0" documentId="8_{78276738-F76A-446A-BC7E-137D1FD9B927}" xr6:coauthVersionLast="47" xr6:coauthVersionMax="47" xr10:uidLastSave="{00000000-0000-0000-0000-000000000000}"/>
  <bookViews>
    <workbookView xWindow="-103" yWindow="-103" windowWidth="16663" windowHeight="8743" tabRatio="616" xr2:uid="{88B74366-34CD-45BC-8A5B-F8A73219B3FE}"/>
  </bookViews>
  <sheets>
    <sheet name="Sources and Contents" sheetId="7" r:id="rId1"/>
    <sheet name="Assumptions" sheetId="8" r:id="rId2"/>
    <sheet name="Limitations" sheetId="30" r:id="rId3"/>
    <sheet name="Definitions" sheetId="29" r:id="rId4"/>
    <sheet name="Methodology" sheetId="32" r:id="rId5"/>
    <sheet name="Opportunities" sheetId="44" r:id="rId6"/>
    <sheet name="T1" sheetId="31" r:id="rId7"/>
    <sheet name="T2" sheetId="5" r:id="rId8"/>
    <sheet name="T5" sheetId="9" r:id="rId9"/>
    <sheet name="T6" sheetId="10" r:id="rId10"/>
    <sheet name="T7" sheetId="11" r:id="rId11"/>
    <sheet name="T8" sheetId="12" r:id="rId12"/>
    <sheet name="T15" sheetId="19" r:id="rId13"/>
    <sheet name="T16" sheetId="21" r:id="rId14"/>
    <sheet name="T17" sheetId="41" r:id="rId15"/>
    <sheet name="T18" sheetId="43" r:id="rId16"/>
    <sheet name="T19" sheetId="24" r:id="rId17"/>
    <sheet name="T19.1" sheetId="54" r:id="rId18"/>
    <sheet name="T20" sheetId="33" r:id="rId19"/>
    <sheet name="T21" sheetId="34" r:id="rId20"/>
    <sheet name="T22" sheetId="42" r:id="rId21"/>
    <sheet name="T23" sheetId="45" r:id="rId22"/>
    <sheet name="C1" sheetId="6" r:id="rId23"/>
    <sheet name="C3" sheetId="20" r:id="rId24"/>
    <sheet name="C4" sheetId="26" r:id="rId25"/>
    <sheet name="C4.1" sheetId="55" r:id="rId26"/>
    <sheet name="C5" sheetId="35" r:id="rId27"/>
    <sheet name="C6" sheetId="46" r:id="rId28"/>
    <sheet name="C7" sheetId="47" r:id="rId29"/>
    <sheet name="ECE Services Directory" sheetId="52" state="hidden" r:id="rId30"/>
    <sheet name="Source-participation_x_type" sheetId="51" state="hidden" r:id="rId31"/>
    <sheet name="Source-fte_qualstus_x_servtype" sheetId="49" state="hidden" r:id="rId32"/>
    <sheet name="Source-age_x_service" sheetId="48" state="hidden" r:id="rId3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 i="12" l="1"/>
  <c r="L2" i="12"/>
  <c r="I2" i="12"/>
  <c r="F2" i="12"/>
  <c r="C2" i="12"/>
  <c r="O2" i="11"/>
  <c r="L2" i="11"/>
  <c r="I2" i="11"/>
  <c r="F2" i="11"/>
  <c r="C2" i="11"/>
  <c r="O2" i="10"/>
  <c r="L2" i="10"/>
  <c r="I2" i="10"/>
  <c r="F2" i="10"/>
  <c r="C2" i="10"/>
  <c r="B2" i="19"/>
  <c r="C2" i="19"/>
  <c r="D2" i="19"/>
  <c r="E2" i="19"/>
  <c r="F2" i="19"/>
  <c r="G2" i="19"/>
  <c r="H2" i="19"/>
  <c r="I2" i="19"/>
  <c r="J2" i="19"/>
  <c r="K2" i="19"/>
  <c r="L2" i="19"/>
  <c r="M2" i="19"/>
  <c r="N2" i="19"/>
  <c r="O2" i="19"/>
  <c r="P2" i="19"/>
  <c r="B30" i="9"/>
  <c r="C30" i="9"/>
  <c r="D30" i="9"/>
  <c r="E30" i="9"/>
  <c r="F30" i="9"/>
  <c r="B31" i="9"/>
  <c r="C31" i="9"/>
  <c r="C49" i="9" s="1"/>
  <c r="D31" i="9"/>
  <c r="E31" i="9"/>
  <c r="F31" i="9"/>
  <c r="B32" i="9"/>
  <c r="C32" i="9"/>
  <c r="D32" i="9"/>
  <c r="E32" i="9"/>
  <c r="F32" i="9"/>
  <c r="F47" i="9" s="1"/>
  <c r="B33" i="9"/>
  <c r="C33" i="9"/>
  <c r="D33" i="9"/>
  <c r="E33" i="9"/>
  <c r="F33" i="9"/>
  <c r="B34" i="9"/>
  <c r="C34" i="9"/>
  <c r="D34" i="9"/>
  <c r="E34" i="9"/>
  <c r="F34" i="9"/>
  <c r="B35" i="9"/>
  <c r="C35" i="9"/>
  <c r="D35" i="9"/>
  <c r="E35" i="9"/>
  <c r="F35" i="9"/>
  <c r="B36" i="9"/>
  <c r="C36" i="9"/>
  <c r="D36" i="9"/>
  <c r="E36" i="9"/>
  <c r="F36" i="9"/>
  <c r="B37" i="9"/>
  <c r="C37" i="9"/>
  <c r="D37" i="9"/>
  <c r="E37" i="9"/>
  <c r="E47" i="9" s="1"/>
  <c r="F37" i="9"/>
  <c r="B38" i="9"/>
  <c r="C38" i="9"/>
  <c r="D38" i="9"/>
  <c r="E38" i="9"/>
  <c r="F38" i="9"/>
  <c r="B29" i="9"/>
  <c r="C29" i="9"/>
  <c r="D29" i="9"/>
  <c r="E29" i="9"/>
  <c r="F29" i="9"/>
  <c r="G49" i="9"/>
  <c r="G50" i="9" s="1"/>
  <c r="E49" i="9"/>
  <c r="D49" i="9"/>
  <c r="B49" i="9"/>
  <c r="G48" i="9"/>
  <c r="D48" i="9"/>
  <c r="C48" i="9"/>
  <c r="B48" i="9"/>
  <c r="G47" i="9"/>
  <c r="D47" i="9"/>
  <c r="B47" i="9"/>
  <c r="B50" i="9" s="1"/>
  <c r="F49" i="9" l="1"/>
  <c r="F50" i="9" s="1"/>
  <c r="E48" i="9"/>
  <c r="F48" i="9"/>
  <c r="C47" i="9"/>
  <c r="C50" i="9" s="1"/>
  <c r="E50" i="9"/>
  <c r="D50" i="9"/>
  <c r="G40" i="9" l="1"/>
  <c r="G41" i="9"/>
  <c r="G42" i="9"/>
  <c r="G43" i="9"/>
  <c r="G44" i="9" s="1"/>
  <c r="G30" i="9"/>
  <c r="G31" i="9"/>
  <c r="G32" i="9"/>
  <c r="G33" i="9"/>
  <c r="G34" i="9"/>
  <c r="G35" i="9"/>
  <c r="G36" i="9"/>
  <c r="G37" i="9"/>
  <c r="G38" i="9"/>
  <c r="G29" i="9"/>
  <c r="B27" i="42"/>
  <c r="C5" i="24" s="1"/>
  <c r="B28" i="42"/>
  <c r="B29" i="42"/>
  <c r="B30" i="42"/>
  <c r="B31" i="42"/>
  <c r="B32" i="42"/>
  <c r="B33" i="42"/>
  <c r="B34" i="42"/>
  <c r="B35" i="42"/>
  <c r="C13" i="24" s="1"/>
  <c r="B36" i="42"/>
  <c r="C27" i="42"/>
  <c r="D27" i="42"/>
  <c r="E27" i="42"/>
  <c r="F27" i="42"/>
  <c r="G27" i="42"/>
  <c r="H27" i="42"/>
  <c r="I27" i="42"/>
  <c r="J27" i="42"/>
  <c r="K27" i="42"/>
  <c r="C28" i="42"/>
  <c r="D28" i="42"/>
  <c r="E28" i="42"/>
  <c r="F28" i="42"/>
  <c r="G28" i="42"/>
  <c r="H28" i="42"/>
  <c r="C6" i="24" s="1"/>
  <c r="I28" i="42"/>
  <c r="J28" i="42"/>
  <c r="K28" i="42"/>
  <c r="C29" i="42"/>
  <c r="D29" i="42"/>
  <c r="E29" i="42"/>
  <c r="F29" i="42"/>
  <c r="G29" i="42"/>
  <c r="C7" i="24" s="1"/>
  <c r="H29" i="42"/>
  <c r="I29" i="42"/>
  <c r="J29" i="42"/>
  <c r="K29" i="42"/>
  <c r="C30" i="42"/>
  <c r="D30" i="42"/>
  <c r="E30" i="42"/>
  <c r="F30" i="42"/>
  <c r="G30" i="42"/>
  <c r="H30" i="42"/>
  <c r="I30" i="42"/>
  <c r="J30" i="42"/>
  <c r="K30" i="42"/>
  <c r="C31" i="42"/>
  <c r="D31" i="42"/>
  <c r="E31" i="42"/>
  <c r="F31" i="42"/>
  <c r="G31" i="42"/>
  <c r="H31" i="42"/>
  <c r="I31" i="42"/>
  <c r="J31" i="42"/>
  <c r="K31" i="42"/>
  <c r="C32" i="42"/>
  <c r="D32" i="42"/>
  <c r="E32" i="42"/>
  <c r="F32" i="42"/>
  <c r="G32" i="42"/>
  <c r="H32" i="42"/>
  <c r="I32" i="42"/>
  <c r="J32" i="42"/>
  <c r="K32" i="42"/>
  <c r="C33" i="42"/>
  <c r="D33" i="42"/>
  <c r="E33" i="42"/>
  <c r="F33" i="42"/>
  <c r="G33" i="42"/>
  <c r="H33" i="42"/>
  <c r="I33" i="42"/>
  <c r="J33" i="42"/>
  <c r="K33" i="42"/>
  <c r="C34" i="42"/>
  <c r="D34" i="42"/>
  <c r="E34" i="42"/>
  <c r="F34" i="42"/>
  <c r="G34" i="42"/>
  <c r="H34" i="42"/>
  <c r="I34" i="42"/>
  <c r="J34" i="42"/>
  <c r="K34" i="42"/>
  <c r="C35" i="42"/>
  <c r="D35" i="42"/>
  <c r="E35" i="42"/>
  <c r="F35" i="42"/>
  <c r="G35" i="42"/>
  <c r="H35" i="42"/>
  <c r="I35" i="42"/>
  <c r="J35" i="42"/>
  <c r="K35" i="42"/>
  <c r="C36" i="42"/>
  <c r="D36" i="42"/>
  <c r="E36" i="42"/>
  <c r="F36" i="42"/>
  <c r="G36" i="42"/>
  <c r="H36" i="42"/>
  <c r="I36" i="42"/>
  <c r="J36" i="42"/>
  <c r="K36" i="42"/>
  <c r="R127" i="41"/>
  <c r="R128" i="41"/>
  <c r="R129" i="41"/>
  <c r="R130" i="41"/>
  <c r="R131" i="41"/>
  <c r="R132" i="41"/>
  <c r="R133" i="41"/>
  <c r="R134" i="41"/>
  <c r="R135" i="41"/>
  <c r="R136" i="41"/>
  <c r="R126" i="41"/>
  <c r="Q127" i="41"/>
  <c r="Q128" i="41"/>
  <c r="Q129" i="41"/>
  <c r="Q130" i="41"/>
  <c r="Q131" i="41"/>
  <c r="Q132" i="41"/>
  <c r="Q133" i="41"/>
  <c r="Q134" i="41"/>
  <c r="Q135" i="41"/>
  <c r="Q136" i="41"/>
  <c r="Q126" i="41"/>
  <c r="P127" i="41"/>
  <c r="P128" i="41"/>
  <c r="P129" i="41"/>
  <c r="P130" i="41"/>
  <c r="P131" i="41"/>
  <c r="P132" i="41"/>
  <c r="P133" i="41"/>
  <c r="P134" i="41"/>
  <c r="P135" i="41"/>
  <c r="P136" i="41"/>
  <c r="P126" i="41"/>
  <c r="L126" i="41"/>
  <c r="L127" i="41"/>
  <c r="L128" i="41"/>
  <c r="M128" i="41" s="1"/>
  <c r="L129" i="41"/>
  <c r="L130" i="41"/>
  <c r="L131" i="41"/>
  <c r="L132" i="41"/>
  <c r="L133" i="41"/>
  <c r="L134" i="41"/>
  <c r="L135" i="41"/>
  <c r="L136" i="41"/>
  <c r="K126" i="41"/>
  <c r="K127" i="41"/>
  <c r="K128" i="41"/>
  <c r="K129" i="41"/>
  <c r="K130" i="41"/>
  <c r="K131" i="41"/>
  <c r="K132" i="41"/>
  <c r="K133" i="41"/>
  <c r="K134" i="41"/>
  <c r="K135" i="41"/>
  <c r="K136" i="41"/>
  <c r="J126" i="41"/>
  <c r="J127" i="41"/>
  <c r="J128" i="41"/>
  <c r="J129" i="41"/>
  <c r="J130" i="41"/>
  <c r="M130" i="41" s="1"/>
  <c r="J131" i="41"/>
  <c r="M131" i="41" s="1"/>
  <c r="J132" i="41"/>
  <c r="J133" i="41"/>
  <c r="J134" i="41"/>
  <c r="J135" i="41"/>
  <c r="J136" i="41"/>
  <c r="I126" i="41"/>
  <c r="I127" i="41"/>
  <c r="I128" i="41"/>
  <c r="I129" i="41"/>
  <c r="I130" i="41"/>
  <c r="I131" i="41"/>
  <c r="I132" i="41"/>
  <c r="I133" i="41"/>
  <c r="I134" i="41"/>
  <c r="I135" i="41"/>
  <c r="M135" i="41" s="1"/>
  <c r="I136" i="41"/>
  <c r="H126" i="41"/>
  <c r="H127" i="41"/>
  <c r="H128" i="41"/>
  <c r="H129" i="41"/>
  <c r="H130" i="41"/>
  <c r="H131" i="41"/>
  <c r="H132" i="41"/>
  <c r="H133" i="41"/>
  <c r="H134" i="41"/>
  <c r="H135" i="41"/>
  <c r="H136" i="41"/>
  <c r="G126" i="41"/>
  <c r="G127" i="41"/>
  <c r="G128" i="41"/>
  <c r="G129" i="41"/>
  <c r="G130" i="41"/>
  <c r="G131" i="41"/>
  <c r="G132" i="41"/>
  <c r="G133" i="41"/>
  <c r="G134" i="41"/>
  <c r="G135" i="41"/>
  <c r="G136" i="41"/>
  <c r="M134" i="41"/>
  <c r="M129" i="41"/>
  <c r="M127" i="41"/>
  <c r="M126" i="41"/>
  <c r="C10" i="24"/>
  <c r="K3" i="9"/>
  <c r="L3" i="9"/>
  <c r="M3" i="9"/>
  <c r="N3" i="9"/>
  <c r="K4" i="9"/>
  <c r="L4" i="9"/>
  <c r="M4" i="9"/>
  <c r="N4" i="9"/>
  <c r="K5" i="9"/>
  <c r="L5" i="9"/>
  <c r="M5" i="9"/>
  <c r="N5" i="9"/>
  <c r="K6" i="9"/>
  <c r="L6" i="9"/>
  <c r="M6" i="9"/>
  <c r="N6" i="9"/>
  <c r="K7" i="9"/>
  <c r="L7" i="9"/>
  <c r="M7" i="9"/>
  <c r="N7" i="9"/>
  <c r="K8" i="9"/>
  <c r="L8" i="9"/>
  <c r="M8" i="9"/>
  <c r="N8" i="9"/>
  <c r="K9" i="9"/>
  <c r="L9" i="9"/>
  <c r="M9" i="9"/>
  <c r="N9" i="9"/>
  <c r="K10" i="9"/>
  <c r="L10" i="9"/>
  <c r="M10" i="9"/>
  <c r="N10" i="9"/>
  <c r="K11" i="9"/>
  <c r="L11" i="9"/>
  <c r="M11" i="9"/>
  <c r="N11" i="9"/>
  <c r="K12" i="9"/>
  <c r="L12" i="9"/>
  <c r="M12" i="9"/>
  <c r="N12" i="9"/>
  <c r="J4" i="9"/>
  <c r="J5" i="9"/>
  <c r="J6" i="9"/>
  <c r="J7" i="9"/>
  <c r="J8" i="9"/>
  <c r="J9" i="9"/>
  <c r="J10" i="9"/>
  <c r="J11" i="9"/>
  <c r="J12" i="9"/>
  <c r="J3" i="9"/>
  <c r="H4" i="9"/>
  <c r="H5" i="9"/>
  <c r="H6" i="9"/>
  <c r="H7" i="9"/>
  <c r="H8" i="9"/>
  <c r="H9" i="9"/>
  <c r="H10" i="9"/>
  <c r="H11" i="9"/>
  <c r="H12" i="9"/>
  <c r="H3" i="9"/>
  <c r="U126" i="43"/>
  <c r="U127" i="43"/>
  <c r="U128" i="43"/>
  <c r="U129" i="43"/>
  <c r="U130" i="43"/>
  <c r="U131" i="43"/>
  <c r="U132" i="43"/>
  <c r="U133" i="43"/>
  <c r="U134" i="43"/>
  <c r="U135" i="43"/>
  <c r="U136" i="43"/>
  <c r="T126" i="43"/>
  <c r="T127" i="43"/>
  <c r="T128" i="43"/>
  <c r="T129" i="43"/>
  <c r="T130" i="43"/>
  <c r="T131" i="43"/>
  <c r="T132" i="43"/>
  <c r="T133" i="43"/>
  <c r="T134" i="43"/>
  <c r="T135" i="43"/>
  <c r="T136" i="43"/>
  <c r="S126" i="43"/>
  <c r="S127" i="43"/>
  <c r="S128" i="43"/>
  <c r="V128" i="43" s="1"/>
  <c r="S129" i="43"/>
  <c r="S130" i="43"/>
  <c r="S131" i="43"/>
  <c r="S132" i="43"/>
  <c r="S133" i="43"/>
  <c r="S134" i="43"/>
  <c r="S135" i="43"/>
  <c r="S136" i="43"/>
  <c r="R126" i="43"/>
  <c r="R127" i="43"/>
  <c r="R128" i="43"/>
  <c r="R129" i="43"/>
  <c r="R130" i="43"/>
  <c r="R131" i="43"/>
  <c r="R132" i="43"/>
  <c r="R133" i="43"/>
  <c r="R134" i="43"/>
  <c r="R135" i="43"/>
  <c r="R136" i="43"/>
  <c r="Q126" i="43"/>
  <c r="Q127" i="43"/>
  <c r="Q128" i="43"/>
  <c r="Q129" i="43"/>
  <c r="Q130" i="43"/>
  <c r="Q131" i="43"/>
  <c r="Q132" i="43"/>
  <c r="Q133" i="43"/>
  <c r="Q134" i="43"/>
  <c r="Q135" i="43"/>
  <c r="Q136" i="43"/>
  <c r="P126" i="43"/>
  <c r="P127" i="43"/>
  <c r="P128" i="43"/>
  <c r="P129" i="43"/>
  <c r="V129" i="43" s="1"/>
  <c r="P130" i="43"/>
  <c r="P131" i="43"/>
  <c r="P132" i="43"/>
  <c r="P133" i="43"/>
  <c r="P134" i="43"/>
  <c r="P135" i="43"/>
  <c r="P136" i="43"/>
  <c r="O126" i="43"/>
  <c r="L126" i="43"/>
  <c r="L127" i="43"/>
  <c r="L128" i="43"/>
  <c r="L129" i="43"/>
  <c r="L130" i="43"/>
  <c r="L131" i="43"/>
  <c r="L132" i="43"/>
  <c r="L133" i="43"/>
  <c r="L134" i="43"/>
  <c r="L135" i="43"/>
  <c r="L136" i="43"/>
  <c r="M126" i="43"/>
  <c r="M127" i="43"/>
  <c r="M128" i="43"/>
  <c r="M129" i="43"/>
  <c r="M130" i="43"/>
  <c r="M131" i="43"/>
  <c r="M132" i="43"/>
  <c r="M133" i="43"/>
  <c r="M134" i="43"/>
  <c r="M135" i="43"/>
  <c r="M136" i="43"/>
  <c r="N126" i="43"/>
  <c r="N127" i="43"/>
  <c r="N128" i="43"/>
  <c r="N129" i="43"/>
  <c r="N130" i="43"/>
  <c r="N131" i="43"/>
  <c r="N132" i="43"/>
  <c r="N133" i="43"/>
  <c r="N134" i="43"/>
  <c r="N135" i="43"/>
  <c r="N136" i="43"/>
  <c r="O127" i="43"/>
  <c r="O128" i="43"/>
  <c r="O129" i="43"/>
  <c r="O130" i="43"/>
  <c r="O131" i="43"/>
  <c r="O132" i="43"/>
  <c r="O133" i="43"/>
  <c r="O134" i="43"/>
  <c r="O135" i="43"/>
  <c r="O136" i="43"/>
  <c r="V127" i="43"/>
  <c r="V135" i="43"/>
  <c r="C12" i="24" l="1"/>
  <c r="C11" i="24"/>
  <c r="C9" i="24"/>
  <c r="C8" i="24"/>
  <c r="M136" i="41"/>
  <c r="M133" i="41"/>
  <c r="M132" i="41"/>
  <c r="V136" i="43"/>
  <c r="V130" i="43"/>
  <c r="V133" i="43"/>
  <c r="V132" i="43"/>
  <c r="V131" i="43"/>
  <c r="V134" i="43"/>
  <c r="V126" i="43"/>
  <c r="N15" i="19"/>
  <c r="N16" i="19"/>
  <c r="N17" i="19"/>
  <c r="N18" i="19"/>
  <c r="N19" i="19"/>
  <c r="N20" i="19"/>
  <c r="N21" i="19"/>
  <c r="N22" i="19"/>
  <c r="N23" i="19"/>
  <c r="N24" i="19"/>
  <c r="N25" i="19"/>
  <c r="N26" i="19"/>
  <c r="N27" i="19"/>
  <c r="N28" i="19"/>
  <c r="K15" i="19"/>
  <c r="K16" i="19"/>
  <c r="K17" i="19"/>
  <c r="K18" i="19"/>
  <c r="K19" i="19"/>
  <c r="K20" i="19"/>
  <c r="K21" i="19"/>
  <c r="K22" i="19"/>
  <c r="K23" i="19"/>
  <c r="K24" i="19"/>
  <c r="K25" i="19"/>
  <c r="K26" i="19"/>
  <c r="K27" i="19"/>
  <c r="K28" i="19"/>
  <c r="H15" i="19"/>
  <c r="H16" i="19"/>
  <c r="H17" i="19"/>
  <c r="H18" i="19"/>
  <c r="H19" i="19"/>
  <c r="H20" i="19"/>
  <c r="H21" i="19"/>
  <c r="H22" i="19"/>
  <c r="H23" i="19"/>
  <c r="H24" i="19"/>
  <c r="H25" i="19"/>
  <c r="H26" i="19"/>
  <c r="H27" i="19"/>
  <c r="H28" i="19"/>
  <c r="B15" i="19"/>
  <c r="B16" i="19"/>
  <c r="B17" i="19"/>
  <c r="B18" i="19"/>
  <c r="B19" i="19"/>
  <c r="B20" i="19"/>
  <c r="B21" i="19"/>
  <c r="B22" i="19"/>
  <c r="B23" i="19"/>
  <c r="B24" i="19"/>
  <c r="B25" i="19"/>
  <c r="B26" i="19"/>
  <c r="B27" i="19"/>
  <c r="B28" i="19"/>
  <c r="E15" i="19"/>
  <c r="E16" i="19"/>
  <c r="E17" i="19"/>
  <c r="E18" i="19"/>
  <c r="E19" i="19"/>
  <c r="E20" i="19"/>
  <c r="E21" i="19"/>
  <c r="E22" i="19"/>
  <c r="E23" i="19"/>
  <c r="E24" i="19"/>
  <c r="E25" i="19"/>
  <c r="E26" i="19"/>
  <c r="E27" i="19"/>
  <c r="E28" i="19"/>
  <c r="P15" i="19"/>
  <c r="P16" i="19"/>
  <c r="P17" i="19"/>
  <c r="P18" i="19"/>
  <c r="P19" i="19"/>
  <c r="P20" i="19"/>
  <c r="P21" i="19"/>
  <c r="P22" i="19"/>
  <c r="P23" i="19"/>
  <c r="P24" i="19"/>
  <c r="P25" i="19"/>
  <c r="P26" i="19"/>
  <c r="P27" i="19"/>
  <c r="P28" i="19"/>
  <c r="M15" i="19"/>
  <c r="M16" i="19"/>
  <c r="M17" i="19"/>
  <c r="M18" i="19"/>
  <c r="M19" i="19"/>
  <c r="M20" i="19"/>
  <c r="M21" i="19"/>
  <c r="M22" i="19"/>
  <c r="M23" i="19"/>
  <c r="M24" i="19"/>
  <c r="M25" i="19"/>
  <c r="M26" i="19"/>
  <c r="M27" i="19"/>
  <c r="M28" i="19"/>
  <c r="J15" i="19"/>
  <c r="J16" i="19"/>
  <c r="J17" i="19"/>
  <c r="J18" i="19"/>
  <c r="J19" i="19"/>
  <c r="J20" i="19"/>
  <c r="J21" i="19"/>
  <c r="J22" i="19"/>
  <c r="J23" i="19"/>
  <c r="J24" i="19"/>
  <c r="J25" i="19"/>
  <c r="J26" i="19"/>
  <c r="J27" i="19"/>
  <c r="J28" i="19"/>
  <c r="G15" i="19"/>
  <c r="G16" i="19"/>
  <c r="G17" i="19"/>
  <c r="G18" i="19"/>
  <c r="G19" i="19"/>
  <c r="G20" i="19"/>
  <c r="G21" i="19"/>
  <c r="G22" i="19"/>
  <c r="G23" i="19"/>
  <c r="G24" i="19"/>
  <c r="G25" i="19"/>
  <c r="G26" i="19"/>
  <c r="G27" i="19"/>
  <c r="G28" i="19"/>
  <c r="D15" i="19"/>
  <c r="D16" i="19"/>
  <c r="D17" i="19"/>
  <c r="D18" i="19"/>
  <c r="D19" i="19"/>
  <c r="D20" i="19"/>
  <c r="D21" i="19"/>
  <c r="D22" i="19"/>
  <c r="D23" i="19"/>
  <c r="D24" i="19"/>
  <c r="D25" i="19"/>
  <c r="D26" i="19"/>
  <c r="D27" i="19"/>
  <c r="D28" i="19"/>
  <c r="G15" i="12"/>
  <c r="P14" i="19"/>
  <c r="M14" i="19"/>
  <c r="J14" i="19"/>
  <c r="G14" i="19"/>
  <c r="D14" i="19"/>
  <c r="P13" i="19"/>
  <c r="M13" i="19"/>
  <c r="J13" i="19"/>
  <c r="G13" i="19"/>
  <c r="D13" i="19"/>
  <c r="P12" i="19"/>
  <c r="M12" i="19"/>
  <c r="J12" i="19"/>
  <c r="G12" i="19"/>
  <c r="D12" i="19"/>
  <c r="P11" i="19"/>
  <c r="M11" i="19"/>
  <c r="J11" i="19"/>
  <c r="G11" i="19"/>
  <c r="D11" i="19"/>
  <c r="P10" i="19"/>
  <c r="M10" i="19"/>
  <c r="J10" i="19"/>
  <c r="G10" i="19"/>
  <c r="D10" i="19"/>
  <c r="P9" i="19"/>
  <c r="M9" i="19"/>
  <c r="J9" i="19"/>
  <c r="G9" i="19"/>
  <c r="D9" i="19"/>
  <c r="P8" i="19"/>
  <c r="M8" i="19"/>
  <c r="J8" i="19"/>
  <c r="G8" i="19"/>
  <c r="D8" i="19"/>
  <c r="P7" i="19"/>
  <c r="M7" i="19"/>
  <c r="J7" i="19"/>
  <c r="G7" i="19"/>
  <c r="D7" i="19"/>
  <c r="P6" i="19"/>
  <c r="M6" i="19"/>
  <c r="J6" i="19"/>
  <c r="G6" i="19"/>
  <c r="D6" i="19"/>
  <c r="P5" i="19"/>
  <c r="M5" i="19"/>
  <c r="J5" i="19"/>
  <c r="G5" i="19"/>
  <c r="D5" i="19"/>
  <c r="O28" i="19"/>
  <c r="L28" i="19"/>
  <c r="I28" i="19"/>
  <c r="F28" i="19"/>
  <c r="C28" i="19"/>
  <c r="O27" i="19"/>
  <c r="L27" i="19"/>
  <c r="I27" i="19"/>
  <c r="F27" i="19"/>
  <c r="C27" i="19"/>
  <c r="O26" i="19"/>
  <c r="L26" i="19"/>
  <c r="I26" i="19"/>
  <c r="F26" i="19"/>
  <c r="C26" i="19"/>
  <c r="O25" i="19"/>
  <c r="L25" i="19"/>
  <c r="I25" i="19"/>
  <c r="F25" i="19"/>
  <c r="C25" i="19"/>
  <c r="O24" i="19"/>
  <c r="L24" i="19"/>
  <c r="I24" i="19"/>
  <c r="F24" i="19"/>
  <c r="C24" i="19"/>
  <c r="O23" i="19"/>
  <c r="L23" i="19"/>
  <c r="I23" i="19"/>
  <c r="F23" i="19"/>
  <c r="C23" i="19"/>
  <c r="O22" i="19"/>
  <c r="L22" i="19"/>
  <c r="I22" i="19"/>
  <c r="F22" i="19"/>
  <c r="C22" i="19"/>
  <c r="O21" i="19"/>
  <c r="L21" i="19"/>
  <c r="I21" i="19"/>
  <c r="F21" i="19"/>
  <c r="C21" i="19"/>
  <c r="O20" i="19"/>
  <c r="L20" i="19"/>
  <c r="I20" i="19"/>
  <c r="F20" i="19"/>
  <c r="C20" i="19"/>
  <c r="O19" i="19"/>
  <c r="L19" i="19"/>
  <c r="I19" i="19"/>
  <c r="F19" i="19"/>
  <c r="C19" i="19"/>
  <c r="O18" i="19"/>
  <c r="L18" i="19"/>
  <c r="I18" i="19"/>
  <c r="F18" i="19"/>
  <c r="C18" i="19"/>
  <c r="O17" i="19"/>
  <c r="L17" i="19"/>
  <c r="I17" i="19"/>
  <c r="F17" i="19"/>
  <c r="C17" i="19"/>
  <c r="O16" i="19"/>
  <c r="L16" i="19"/>
  <c r="I16" i="19"/>
  <c r="F16" i="19"/>
  <c r="C16" i="19"/>
  <c r="O15" i="19"/>
  <c r="L15" i="19"/>
  <c r="I15" i="19"/>
  <c r="F15" i="19"/>
  <c r="C15" i="19"/>
  <c r="T15" i="5"/>
  <c r="S15" i="5"/>
  <c r="Q16" i="5"/>
  <c r="Q17" i="5"/>
  <c r="Q15" i="5"/>
  <c r="J13" i="54" l="1"/>
  <c r="L13" i="54" s="1"/>
  <c r="J12" i="54"/>
  <c r="J11" i="54"/>
  <c r="J10" i="54"/>
  <c r="J9" i="54"/>
  <c r="J8" i="54"/>
  <c r="J7" i="54"/>
  <c r="J6" i="54"/>
  <c r="J5" i="54"/>
  <c r="D13" i="54"/>
  <c r="F13" i="54" s="1"/>
  <c r="D12" i="54"/>
  <c r="D11" i="54"/>
  <c r="D10" i="54"/>
  <c r="D9" i="54"/>
  <c r="D8" i="54"/>
  <c r="D7" i="54"/>
  <c r="D6" i="54"/>
  <c r="D5" i="54"/>
  <c r="I13" i="54" l="1"/>
  <c r="K13" i="54"/>
  <c r="B13" i="54"/>
  <c r="E13" i="54"/>
  <c r="K6" i="42"/>
  <c r="K7" i="42"/>
  <c r="K8" i="42"/>
  <c r="K9" i="42"/>
  <c r="K10" i="42"/>
  <c r="K11" i="42"/>
  <c r="K12" i="42"/>
  <c r="K13" i="42"/>
  <c r="K5" i="42"/>
  <c r="J5" i="42"/>
  <c r="J6" i="42"/>
  <c r="J7" i="42"/>
  <c r="J8" i="42"/>
  <c r="J9" i="42"/>
  <c r="J10" i="42"/>
  <c r="J11" i="42"/>
  <c r="J12" i="42"/>
  <c r="J13" i="42"/>
  <c r="I6" i="42"/>
  <c r="I7" i="42"/>
  <c r="I8" i="42"/>
  <c r="I9" i="42"/>
  <c r="I10" i="42"/>
  <c r="I11" i="42"/>
  <c r="I12" i="42"/>
  <c r="I13" i="42"/>
  <c r="I5" i="42"/>
  <c r="F6" i="42"/>
  <c r="G6" i="42"/>
  <c r="H6" i="42"/>
  <c r="F7" i="42"/>
  <c r="G7" i="42"/>
  <c r="H7" i="42"/>
  <c r="F8" i="42"/>
  <c r="G8" i="42"/>
  <c r="H8" i="42"/>
  <c r="F9" i="42"/>
  <c r="G9" i="42"/>
  <c r="H9" i="42"/>
  <c r="F10" i="42"/>
  <c r="G10" i="42"/>
  <c r="H10" i="42"/>
  <c r="F11" i="42"/>
  <c r="G11" i="42"/>
  <c r="H11" i="42"/>
  <c r="F12" i="42"/>
  <c r="G12" i="42"/>
  <c r="H12" i="42"/>
  <c r="F13" i="42"/>
  <c r="G13" i="42"/>
  <c r="H13" i="42"/>
  <c r="H5" i="42"/>
  <c r="G5" i="42"/>
  <c r="F5" i="42"/>
  <c r="E6" i="42"/>
  <c r="E7" i="42"/>
  <c r="E8" i="42"/>
  <c r="E9" i="42"/>
  <c r="E10" i="42"/>
  <c r="E11" i="42"/>
  <c r="E12" i="42"/>
  <c r="E13" i="42"/>
  <c r="E5" i="42"/>
  <c r="C6" i="42"/>
  <c r="D6" i="42"/>
  <c r="C7" i="42"/>
  <c r="D7" i="42"/>
  <c r="C8" i="42"/>
  <c r="D8" i="42"/>
  <c r="C9" i="42"/>
  <c r="D9" i="42"/>
  <c r="C10" i="42"/>
  <c r="D10" i="42"/>
  <c r="C11" i="42"/>
  <c r="D11" i="42"/>
  <c r="C12" i="42"/>
  <c r="D12" i="42"/>
  <c r="C13" i="42"/>
  <c r="D13" i="42"/>
  <c r="D5" i="42"/>
  <c r="C5" i="42"/>
  <c r="B5" i="42"/>
  <c r="B6" i="42"/>
  <c r="B7" i="42"/>
  <c r="B8" i="42"/>
  <c r="B9" i="42"/>
  <c r="B10" i="42"/>
  <c r="B11" i="42"/>
  <c r="B12" i="42"/>
  <c r="B13" i="42"/>
  <c r="B14" i="42"/>
  <c r="K13" i="24"/>
  <c r="J13" i="24"/>
  <c r="I13" i="24"/>
  <c r="H13" i="24"/>
  <c r="D13" i="24"/>
  <c r="F13" i="24" s="1"/>
  <c r="B13" i="24"/>
  <c r="K12" i="24"/>
  <c r="J12" i="24"/>
  <c r="I12" i="24"/>
  <c r="H12" i="24"/>
  <c r="D12" i="24"/>
  <c r="K11" i="24"/>
  <c r="J11" i="24"/>
  <c r="I11" i="24"/>
  <c r="H11" i="24"/>
  <c r="D11" i="24"/>
  <c r="K10" i="24"/>
  <c r="J10" i="24"/>
  <c r="I10" i="24"/>
  <c r="H10" i="24"/>
  <c r="D10" i="24"/>
  <c r="K9" i="24"/>
  <c r="J9" i="24"/>
  <c r="I9" i="24"/>
  <c r="H9" i="24"/>
  <c r="D9" i="24"/>
  <c r="K8" i="24"/>
  <c r="J8" i="24"/>
  <c r="I8" i="24"/>
  <c r="H8" i="24"/>
  <c r="D8" i="24"/>
  <c r="K7" i="24"/>
  <c r="J7" i="24"/>
  <c r="I7" i="24"/>
  <c r="H7" i="24"/>
  <c r="D7" i="24"/>
  <c r="K6" i="24"/>
  <c r="J6" i="24"/>
  <c r="I6" i="24"/>
  <c r="H6" i="24"/>
  <c r="D6" i="24"/>
  <c r="K5" i="24"/>
  <c r="J5" i="24"/>
  <c r="I5" i="24"/>
  <c r="H5" i="24"/>
  <c r="D5" i="24"/>
  <c r="S62" i="43"/>
  <c r="U62" i="43"/>
  <c r="L62" i="41"/>
  <c r="J38" i="49"/>
  <c r="J39" i="49" s="1"/>
  <c r="J40" i="49" s="1"/>
  <c r="J41" i="49" s="1"/>
  <c r="J42" i="49" s="1"/>
  <c r="J33" i="49"/>
  <c r="J34" i="49"/>
  <c r="J35" i="49"/>
  <c r="J36" i="49"/>
  <c r="J37" i="49"/>
  <c r="J32" i="49"/>
  <c r="J31" i="49"/>
  <c r="L28" i="49"/>
  <c r="L27" i="49"/>
  <c r="L26" i="49"/>
  <c r="J27" i="49"/>
  <c r="J28" i="49" s="1"/>
  <c r="L25" i="49" s="1"/>
  <c r="C27" i="49"/>
  <c r="C26" i="49"/>
  <c r="C25" i="49"/>
  <c r="AA15" i="49"/>
  <c r="Y15" i="49"/>
  <c r="W15" i="49"/>
  <c r="U15" i="49"/>
  <c r="S15" i="49"/>
  <c r="Q15" i="49"/>
  <c r="O15" i="49"/>
  <c r="J22" i="49" s="1"/>
  <c r="M15" i="49"/>
  <c r="K15" i="49"/>
  <c r="I15" i="49"/>
  <c r="G15" i="49"/>
  <c r="E15" i="49"/>
  <c r="C15" i="49"/>
  <c r="AA14" i="49"/>
  <c r="Y14" i="49"/>
  <c r="W14" i="49"/>
  <c r="U14" i="49"/>
  <c r="S14" i="49"/>
  <c r="Q14" i="49"/>
  <c r="O14" i="49"/>
  <c r="M14" i="49"/>
  <c r="K14" i="49"/>
  <c r="I14" i="49"/>
  <c r="G14" i="49"/>
  <c r="E14" i="49"/>
  <c r="C14" i="49"/>
  <c r="J19" i="49" s="1"/>
  <c r="AA13" i="49"/>
  <c r="C18" i="49" s="1"/>
  <c r="Y13" i="49"/>
  <c r="W13" i="49"/>
  <c r="U13" i="49"/>
  <c r="S13" i="49"/>
  <c r="Q13" i="49"/>
  <c r="O13" i="49"/>
  <c r="M13" i="49"/>
  <c r="K13" i="49"/>
  <c r="I13" i="49"/>
  <c r="G13" i="49"/>
  <c r="E13" i="49"/>
  <c r="C13" i="49"/>
  <c r="C19" i="49" s="1"/>
  <c r="E13" i="24" l="1"/>
  <c r="O77" i="43"/>
  <c r="O76" i="43"/>
  <c r="O75" i="43"/>
  <c r="O74" i="43"/>
  <c r="N76" i="43"/>
  <c r="N75" i="43"/>
  <c r="N74" i="43"/>
  <c r="M77" i="43"/>
  <c r="M76" i="43"/>
  <c r="M75" i="43"/>
  <c r="M74" i="43"/>
  <c r="L77" i="43"/>
  <c r="L76" i="43"/>
  <c r="L75" i="43"/>
  <c r="L74" i="43"/>
  <c r="L78" i="43"/>
  <c r="P77" i="43"/>
  <c r="P76" i="43"/>
  <c r="P75" i="43"/>
  <c r="P74" i="43"/>
  <c r="AM118" i="33"/>
  <c r="AM119" i="33"/>
  <c r="AM120" i="33"/>
  <c r="AM121" i="33"/>
  <c r="AM122" i="33"/>
  <c r="AM123" i="33"/>
  <c r="AM124" i="33"/>
  <c r="AM125" i="33"/>
  <c r="AM126" i="33"/>
  <c r="AM117" i="33"/>
  <c r="AM116" i="33"/>
  <c r="AL118" i="33"/>
  <c r="AL119" i="33"/>
  <c r="AL120" i="33"/>
  <c r="AL121" i="33"/>
  <c r="AL122" i="33"/>
  <c r="AL123" i="33"/>
  <c r="AL124" i="33"/>
  <c r="AL125" i="33"/>
  <c r="AL126" i="33"/>
  <c r="AL117" i="33"/>
  <c r="AL116" i="33"/>
  <c r="AK118" i="33"/>
  <c r="AK119" i="33"/>
  <c r="AK120" i="33"/>
  <c r="AK121" i="33"/>
  <c r="AK122" i="33"/>
  <c r="AK123" i="33"/>
  <c r="AK124" i="33"/>
  <c r="AK125" i="33"/>
  <c r="AK126" i="33"/>
  <c r="AK117" i="33"/>
  <c r="AK116" i="33"/>
  <c r="AJ118" i="33"/>
  <c r="AJ119" i="33"/>
  <c r="AJ120" i="33"/>
  <c r="AJ121" i="33"/>
  <c r="AJ122" i="33"/>
  <c r="AJ123" i="33"/>
  <c r="AJ124" i="33"/>
  <c r="AJ125" i="33"/>
  <c r="AJ126" i="33"/>
  <c r="AJ117" i="33"/>
  <c r="AJ116" i="33"/>
  <c r="AI118" i="33"/>
  <c r="AI119" i="33"/>
  <c r="AI120" i="33"/>
  <c r="AI121" i="33"/>
  <c r="AI122" i="33"/>
  <c r="AI123" i="33"/>
  <c r="AI124" i="33"/>
  <c r="AI125" i="33"/>
  <c r="AI126" i="33"/>
  <c r="AI117" i="33"/>
  <c r="AI116" i="33"/>
  <c r="AH118" i="33"/>
  <c r="AH119" i="33"/>
  <c r="AH120" i="33"/>
  <c r="AH121" i="33"/>
  <c r="AH122" i="33"/>
  <c r="AH123" i="33"/>
  <c r="AH124" i="33"/>
  <c r="AH125" i="33"/>
  <c r="AH126" i="33"/>
  <c r="AH117" i="33"/>
  <c r="AH116" i="33"/>
  <c r="AG118" i="33"/>
  <c r="AG119" i="33"/>
  <c r="AG120" i="33"/>
  <c r="AG121" i="33"/>
  <c r="AG122" i="33"/>
  <c r="AG123" i="33"/>
  <c r="AG124" i="33"/>
  <c r="AG125" i="33"/>
  <c r="AG126" i="33"/>
  <c r="AG117" i="33"/>
  <c r="AG116" i="33"/>
  <c r="AF118" i="33"/>
  <c r="AF119" i="33"/>
  <c r="AF120" i="33"/>
  <c r="AF121" i="33"/>
  <c r="AF122" i="33"/>
  <c r="AF123" i="33"/>
  <c r="AF124" i="33"/>
  <c r="AF125" i="33"/>
  <c r="AF126" i="33"/>
  <c r="AF117" i="33"/>
  <c r="AF116" i="33"/>
  <c r="AE118" i="33"/>
  <c r="AE119" i="33"/>
  <c r="AE120" i="33"/>
  <c r="AE121" i="33"/>
  <c r="AE122" i="33"/>
  <c r="AE123" i="33"/>
  <c r="AE124" i="33"/>
  <c r="AE125" i="33"/>
  <c r="AE126" i="33"/>
  <c r="AE117" i="33"/>
  <c r="AE116" i="33"/>
  <c r="AD118" i="33"/>
  <c r="AD119" i="33"/>
  <c r="AD120" i="33"/>
  <c r="AD121" i="33"/>
  <c r="AD122" i="33"/>
  <c r="AD123" i="33"/>
  <c r="AD124" i="33"/>
  <c r="AD125" i="33"/>
  <c r="AD126" i="33"/>
  <c r="AD117" i="33"/>
  <c r="AD116" i="33"/>
  <c r="AC118" i="33"/>
  <c r="AC119" i="33"/>
  <c r="AC120" i="33"/>
  <c r="AC121" i="33"/>
  <c r="AC122" i="33"/>
  <c r="AC123" i="33"/>
  <c r="AC124" i="33"/>
  <c r="AC125" i="33"/>
  <c r="AC126" i="33"/>
  <c r="AC117" i="33"/>
  <c r="AC116" i="33"/>
  <c r="AB118" i="33"/>
  <c r="AB119" i="33"/>
  <c r="AB120" i="33"/>
  <c r="AB121" i="33"/>
  <c r="AB122" i="33"/>
  <c r="AB123" i="33"/>
  <c r="AB124" i="33"/>
  <c r="AB125" i="33"/>
  <c r="AB126" i="33"/>
  <c r="AB117" i="33"/>
  <c r="AB116" i="33"/>
  <c r="AA118" i="33"/>
  <c r="AA119" i="33"/>
  <c r="AA120" i="33"/>
  <c r="AA121" i="33"/>
  <c r="AA122" i="33"/>
  <c r="AA123" i="33"/>
  <c r="AA124" i="33"/>
  <c r="AA125" i="33"/>
  <c r="AA126" i="33"/>
  <c r="AA117" i="33"/>
  <c r="AA116" i="33"/>
  <c r="Z118" i="33"/>
  <c r="Z119" i="33"/>
  <c r="Z120" i="33"/>
  <c r="Z121" i="33"/>
  <c r="Z122" i="33"/>
  <c r="Z123" i="33"/>
  <c r="Z124" i="33"/>
  <c r="Z125" i="33"/>
  <c r="Z126" i="33"/>
  <c r="Z117" i="33"/>
  <c r="Z116" i="33"/>
  <c r="AM105" i="33"/>
  <c r="AM106" i="33"/>
  <c r="AM107" i="33"/>
  <c r="AM108" i="33"/>
  <c r="AM109" i="33"/>
  <c r="AM110" i="33"/>
  <c r="AM111" i="33"/>
  <c r="AM112" i="33"/>
  <c r="AM113" i="33"/>
  <c r="AM104" i="33"/>
  <c r="AM103" i="33"/>
  <c r="AL105" i="33"/>
  <c r="AL106" i="33"/>
  <c r="AL107" i="33"/>
  <c r="AL108" i="33"/>
  <c r="AL109" i="33"/>
  <c r="AL110" i="33"/>
  <c r="AL111" i="33"/>
  <c r="AL112" i="33"/>
  <c r="AL113" i="33"/>
  <c r="AL104" i="33"/>
  <c r="AL103" i="33"/>
  <c r="AK105" i="33"/>
  <c r="AK106" i="33"/>
  <c r="AK107" i="33"/>
  <c r="AK108" i="33"/>
  <c r="AK109" i="33"/>
  <c r="AK110" i="33"/>
  <c r="AK111" i="33"/>
  <c r="AK112" i="33"/>
  <c r="AK113" i="33"/>
  <c r="AK104" i="33"/>
  <c r="AK103" i="33"/>
  <c r="AJ105" i="33"/>
  <c r="AJ106" i="33"/>
  <c r="AJ107" i="33"/>
  <c r="AJ108" i="33"/>
  <c r="AJ109" i="33"/>
  <c r="AJ110" i="33"/>
  <c r="AJ111" i="33"/>
  <c r="AJ112" i="33"/>
  <c r="AJ113" i="33"/>
  <c r="AJ104" i="33"/>
  <c r="AJ103" i="33"/>
  <c r="AI105" i="33"/>
  <c r="AI106" i="33"/>
  <c r="AI107" i="33"/>
  <c r="AI108" i="33"/>
  <c r="AI109" i="33"/>
  <c r="AI110" i="33"/>
  <c r="AI111" i="33"/>
  <c r="AI112" i="33"/>
  <c r="AI113" i="33"/>
  <c r="AI104" i="33"/>
  <c r="AI103" i="33"/>
  <c r="AH105" i="33"/>
  <c r="AH106" i="33"/>
  <c r="AH107" i="33"/>
  <c r="AH108" i="33"/>
  <c r="AH109" i="33"/>
  <c r="AH110" i="33"/>
  <c r="AH111" i="33"/>
  <c r="AH112" i="33"/>
  <c r="AH113" i="33"/>
  <c r="AH104" i="33"/>
  <c r="AH103" i="33"/>
  <c r="AG105" i="33"/>
  <c r="AG106" i="33"/>
  <c r="AG107" i="33"/>
  <c r="AG108" i="33"/>
  <c r="AG109" i="33"/>
  <c r="AG110" i="33"/>
  <c r="AG111" i="33"/>
  <c r="AG112" i="33"/>
  <c r="AG113" i="33"/>
  <c r="AG104" i="33"/>
  <c r="AG103" i="33"/>
  <c r="AF105" i="33"/>
  <c r="AF106" i="33"/>
  <c r="AF107" i="33"/>
  <c r="AF108" i="33"/>
  <c r="AF109" i="33"/>
  <c r="AF110" i="33"/>
  <c r="AF111" i="33"/>
  <c r="AF112" i="33"/>
  <c r="AF113" i="33"/>
  <c r="AF104" i="33"/>
  <c r="AF103" i="33"/>
  <c r="AE105" i="33"/>
  <c r="AE106" i="33"/>
  <c r="AE107" i="33"/>
  <c r="AE108" i="33"/>
  <c r="AE109" i="33"/>
  <c r="AE110" i="33"/>
  <c r="AE111" i="33"/>
  <c r="AE112" i="33"/>
  <c r="AE113" i="33"/>
  <c r="AE104" i="33"/>
  <c r="AE103" i="33"/>
  <c r="AD105" i="33"/>
  <c r="AD106" i="33"/>
  <c r="AD107" i="33"/>
  <c r="AD108" i="33"/>
  <c r="AD109" i="33"/>
  <c r="AD110" i="33"/>
  <c r="AD111" i="33"/>
  <c r="AD112" i="33"/>
  <c r="AD113" i="33"/>
  <c r="AD104" i="33"/>
  <c r="AD103" i="33"/>
  <c r="AC105" i="33"/>
  <c r="AC106" i="33"/>
  <c r="AC107" i="33"/>
  <c r="AC108" i="33"/>
  <c r="AC109" i="33"/>
  <c r="AC110" i="33"/>
  <c r="AC111" i="33"/>
  <c r="AC112" i="33"/>
  <c r="AC113" i="33"/>
  <c r="AC104" i="33"/>
  <c r="AC103" i="33"/>
  <c r="AB105" i="33"/>
  <c r="AB106" i="33"/>
  <c r="AB107" i="33"/>
  <c r="AB108" i="33"/>
  <c r="AB109" i="33"/>
  <c r="AB110" i="33"/>
  <c r="AB111" i="33"/>
  <c r="AB112" i="33"/>
  <c r="AB113" i="33"/>
  <c r="AB104" i="33"/>
  <c r="AB103" i="33"/>
  <c r="AA105" i="33"/>
  <c r="AA106" i="33"/>
  <c r="AA107" i="33"/>
  <c r="AA108" i="33"/>
  <c r="AA109" i="33"/>
  <c r="AA110" i="33"/>
  <c r="AA111" i="33"/>
  <c r="AA112" i="33"/>
  <c r="AA113" i="33"/>
  <c r="AA104" i="33"/>
  <c r="AA103" i="33"/>
  <c r="Z105" i="33"/>
  <c r="Z106" i="33"/>
  <c r="Z107" i="33"/>
  <c r="Z108" i="33"/>
  <c r="Z109" i="33"/>
  <c r="Z110" i="33"/>
  <c r="Z111" i="33"/>
  <c r="Z112" i="33"/>
  <c r="Z113" i="33"/>
  <c r="Z104" i="33"/>
  <c r="Z103" i="33"/>
  <c r="AN91" i="33"/>
  <c r="AN92" i="33"/>
  <c r="AN93" i="33"/>
  <c r="AN94" i="33"/>
  <c r="AN95" i="33"/>
  <c r="AN96" i="33"/>
  <c r="AN97" i="33"/>
  <c r="AN98" i="33"/>
  <c r="AN99" i="33"/>
  <c r="AN100" i="33"/>
  <c r="AN90" i="33"/>
  <c r="AM92" i="33"/>
  <c r="AM93" i="33"/>
  <c r="AM94" i="33"/>
  <c r="AM95" i="33"/>
  <c r="AM96" i="33"/>
  <c r="AM97" i="33"/>
  <c r="AM98" i="33"/>
  <c r="AM99" i="33"/>
  <c r="AM100" i="33"/>
  <c r="AM91" i="33"/>
  <c r="AM90" i="33"/>
  <c r="AL92" i="33"/>
  <c r="AL93" i="33"/>
  <c r="AL94" i="33"/>
  <c r="AL95" i="33"/>
  <c r="AL96" i="33"/>
  <c r="AL97" i="33"/>
  <c r="AL98" i="33"/>
  <c r="AL99" i="33"/>
  <c r="AL100" i="33"/>
  <c r="AL91" i="33"/>
  <c r="AL90" i="33"/>
  <c r="AK92" i="33"/>
  <c r="AK93" i="33"/>
  <c r="AK94" i="33"/>
  <c r="AK95" i="33"/>
  <c r="AK96" i="33"/>
  <c r="AK97" i="33"/>
  <c r="AK98" i="33"/>
  <c r="AK99" i="33"/>
  <c r="AK100" i="33"/>
  <c r="AK91" i="33"/>
  <c r="AK90" i="33"/>
  <c r="AJ92" i="33"/>
  <c r="AJ93" i="33"/>
  <c r="AJ94" i="33"/>
  <c r="AJ95" i="33"/>
  <c r="AJ96" i="33"/>
  <c r="AJ97" i="33"/>
  <c r="AJ98" i="33"/>
  <c r="AJ99" i="33"/>
  <c r="AJ100" i="33"/>
  <c r="AJ91" i="33"/>
  <c r="AJ90" i="33"/>
  <c r="AI92" i="33"/>
  <c r="AI93" i="33"/>
  <c r="AI94" i="33"/>
  <c r="AI95" i="33"/>
  <c r="AI96" i="33"/>
  <c r="AI97" i="33"/>
  <c r="AI98" i="33"/>
  <c r="AI99" i="33"/>
  <c r="AI100" i="33"/>
  <c r="AI91" i="33"/>
  <c r="AI90" i="33"/>
  <c r="AH92" i="33"/>
  <c r="AH93" i="33"/>
  <c r="AH94" i="33"/>
  <c r="AH95" i="33"/>
  <c r="AH96" i="33"/>
  <c r="AH97" i="33"/>
  <c r="AH98" i="33"/>
  <c r="AH99" i="33"/>
  <c r="AH100" i="33"/>
  <c r="AH91" i="33"/>
  <c r="AH90" i="33"/>
  <c r="AG92" i="33"/>
  <c r="AG93" i="33"/>
  <c r="AG94" i="33"/>
  <c r="AG95" i="33"/>
  <c r="AG96" i="33"/>
  <c r="AG97" i="33"/>
  <c r="AG98" i="33"/>
  <c r="AG99" i="33"/>
  <c r="AG100" i="33"/>
  <c r="AG91" i="33"/>
  <c r="AG90" i="33"/>
  <c r="AF92" i="33"/>
  <c r="AF93" i="33"/>
  <c r="AF94" i="33"/>
  <c r="AF95" i="33"/>
  <c r="AF96" i="33"/>
  <c r="AF97" i="33"/>
  <c r="AF98" i="33"/>
  <c r="AF99" i="33"/>
  <c r="AF100" i="33"/>
  <c r="AF91" i="33"/>
  <c r="AF90" i="33"/>
  <c r="AE92" i="33"/>
  <c r="AE93" i="33"/>
  <c r="AE94" i="33"/>
  <c r="AE95" i="33"/>
  <c r="AE96" i="33"/>
  <c r="AE97" i="33"/>
  <c r="AE98" i="33"/>
  <c r="AE99" i="33"/>
  <c r="AE100" i="33"/>
  <c r="AE91" i="33"/>
  <c r="AE90" i="33"/>
  <c r="AD92" i="33"/>
  <c r="AD93" i="33"/>
  <c r="AD94" i="33"/>
  <c r="AD95" i="33"/>
  <c r="AD96" i="33"/>
  <c r="AD97" i="33"/>
  <c r="AD98" i="33"/>
  <c r="AD99" i="33"/>
  <c r="AD100" i="33"/>
  <c r="AD91" i="33"/>
  <c r="AD90" i="33"/>
  <c r="AC92" i="33"/>
  <c r="AC93" i="33"/>
  <c r="AC94" i="33"/>
  <c r="AC95" i="33"/>
  <c r="AC96" i="33"/>
  <c r="AC97" i="33"/>
  <c r="AC98" i="33"/>
  <c r="AC99" i="33"/>
  <c r="AC100" i="33"/>
  <c r="AC91" i="33"/>
  <c r="AC90" i="33"/>
  <c r="AB92" i="33"/>
  <c r="AB93" i="33"/>
  <c r="AB94" i="33"/>
  <c r="AB95" i="33"/>
  <c r="AB96" i="33"/>
  <c r="AB97" i="33"/>
  <c r="AB98" i="33"/>
  <c r="AB99" i="33"/>
  <c r="AB100" i="33"/>
  <c r="AB91" i="33"/>
  <c r="AB90" i="33"/>
  <c r="AA92" i="33"/>
  <c r="AA93" i="33"/>
  <c r="AA94" i="33"/>
  <c r="AA95" i="33"/>
  <c r="AA96" i="33"/>
  <c r="AA97" i="33"/>
  <c r="AA98" i="33"/>
  <c r="AA99" i="33"/>
  <c r="AA100" i="33"/>
  <c r="AA91" i="33"/>
  <c r="AA90" i="33"/>
  <c r="Z92" i="33"/>
  <c r="Z93" i="33"/>
  <c r="Z94" i="33"/>
  <c r="Z95" i="33"/>
  <c r="Z96" i="33"/>
  <c r="Z97" i="33"/>
  <c r="Z98" i="33"/>
  <c r="Z99" i="33"/>
  <c r="Z100" i="33"/>
  <c r="Z91" i="33"/>
  <c r="Z90" i="33"/>
  <c r="H53" i="33"/>
  <c r="H54" i="33" s="1"/>
  <c r="H55" i="33" s="1"/>
  <c r="H56" i="33" s="1"/>
  <c r="H57" i="33" s="1"/>
  <c r="H58" i="33" s="1"/>
  <c r="H59" i="33" s="1"/>
  <c r="H60" i="33" s="1"/>
  <c r="H61" i="33" s="1"/>
  <c r="H62" i="33" s="1"/>
  <c r="G53" i="33"/>
  <c r="G54" i="33" s="1"/>
  <c r="G55" i="33" s="1"/>
  <c r="G56" i="33" s="1"/>
  <c r="G57" i="33" s="1"/>
  <c r="G58" i="33" s="1"/>
  <c r="G59" i="33" s="1"/>
  <c r="G60" i="33" s="1"/>
  <c r="G61" i="33" s="1"/>
  <c r="G62" i="33" s="1"/>
  <c r="F53" i="33"/>
  <c r="F54" i="33" s="1"/>
  <c r="F55" i="33" s="1"/>
  <c r="F56" i="33" s="1"/>
  <c r="F57" i="33" s="1"/>
  <c r="F58" i="33" s="1"/>
  <c r="F59" i="33" s="1"/>
  <c r="F60" i="33" s="1"/>
  <c r="F61" i="33" s="1"/>
  <c r="F62" i="33" s="1"/>
  <c r="E53" i="33"/>
  <c r="E54" i="33" s="1"/>
  <c r="E55" i="33" s="1"/>
  <c r="E56" i="33" s="1"/>
  <c r="E57" i="33" s="1"/>
  <c r="E58" i="33" s="1"/>
  <c r="E59" i="33" s="1"/>
  <c r="E60" i="33" s="1"/>
  <c r="E61" i="33" s="1"/>
  <c r="E62" i="33" s="1"/>
  <c r="D53" i="33"/>
  <c r="D54" i="33" s="1"/>
  <c r="D55" i="33" s="1"/>
  <c r="D56" i="33" s="1"/>
  <c r="D57" i="33" s="1"/>
  <c r="D58" i="33" s="1"/>
  <c r="D59" i="33" s="1"/>
  <c r="D60" i="33" s="1"/>
  <c r="D61" i="33" s="1"/>
  <c r="D62" i="33" s="1"/>
  <c r="C53" i="33"/>
  <c r="C54" i="33" s="1"/>
  <c r="C55" i="33" s="1"/>
  <c r="C56" i="33" s="1"/>
  <c r="C57" i="33" s="1"/>
  <c r="C58" i="33" s="1"/>
  <c r="C59" i="33" s="1"/>
  <c r="C60" i="33" s="1"/>
  <c r="C61" i="33" s="1"/>
  <c r="C62" i="33" s="1"/>
  <c r="H77" i="33"/>
  <c r="H78" i="33" s="1"/>
  <c r="H79" i="33" s="1"/>
  <c r="H80" i="33" s="1"/>
  <c r="H81" i="33" s="1"/>
  <c r="H82" i="33" s="1"/>
  <c r="H83" i="33" s="1"/>
  <c r="H84" i="33" s="1"/>
  <c r="H85" i="33" s="1"/>
  <c r="H86" i="33" s="1"/>
  <c r="G77" i="33"/>
  <c r="G78" i="33" s="1"/>
  <c r="G79" i="33" s="1"/>
  <c r="G80" i="33" s="1"/>
  <c r="G81" i="33" s="1"/>
  <c r="G82" i="33" s="1"/>
  <c r="G83" i="33" s="1"/>
  <c r="G84" i="33" s="1"/>
  <c r="G85" i="33" s="1"/>
  <c r="G86" i="33" s="1"/>
  <c r="F77" i="33"/>
  <c r="F78" i="33" s="1"/>
  <c r="F79" i="33" s="1"/>
  <c r="F80" i="33" s="1"/>
  <c r="F81" i="33" s="1"/>
  <c r="F82" i="33" s="1"/>
  <c r="F83" i="33" s="1"/>
  <c r="F84" i="33" s="1"/>
  <c r="F85" i="33" s="1"/>
  <c r="F86" i="33" s="1"/>
  <c r="E77" i="33"/>
  <c r="E78" i="33" s="1"/>
  <c r="E79" i="33" s="1"/>
  <c r="E80" i="33" s="1"/>
  <c r="E81" i="33" s="1"/>
  <c r="E82" i="33" s="1"/>
  <c r="E83" i="33" s="1"/>
  <c r="E84" i="33" s="1"/>
  <c r="E85" i="33" s="1"/>
  <c r="E86" i="33" s="1"/>
  <c r="D77" i="33"/>
  <c r="D78" i="33" s="1"/>
  <c r="D79" i="33" s="1"/>
  <c r="D80" i="33" s="1"/>
  <c r="D81" i="33" s="1"/>
  <c r="D82" i="33" s="1"/>
  <c r="D83" i="33" s="1"/>
  <c r="D84" i="33" s="1"/>
  <c r="D85" i="33" s="1"/>
  <c r="D86" i="33" s="1"/>
  <c r="C77" i="33"/>
  <c r="C78" i="33" s="1"/>
  <c r="C79" i="33" s="1"/>
  <c r="C80" i="33" s="1"/>
  <c r="C81" i="33" s="1"/>
  <c r="C82" i="33" s="1"/>
  <c r="C83" i="33" s="1"/>
  <c r="C84" i="33" s="1"/>
  <c r="C85" i="33" s="1"/>
  <c r="C86" i="33" s="1"/>
  <c r="H65" i="33"/>
  <c r="H66" i="33" s="1"/>
  <c r="H67" i="33" s="1"/>
  <c r="H68" i="33" s="1"/>
  <c r="H69" i="33" s="1"/>
  <c r="H70" i="33" s="1"/>
  <c r="H71" i="33" s="1"/>
  <c r="H72" i="33" s="1"/>
  <c r="H73" i="33" s="1"/>
  <c r="H74" i="33" s="1"/>
  <c r="G65" i="33"/>
  <c r="G66" i="33" s="1"/>
  <c r="G67" i="33" s="1"/>
  <c r="G68" i="33" s="1"/>
  <c r="G69" i="33" s="1"/>
  <c r="G70" i="33" s="1"/>
  <c r="G71" i="33" s="1"/>
  <c r="G72" i="33" s="1"/>
  <c r="G73" i="33" s="1"/>
  <c r="G74" i="33" s="1"/>
  <c r="F65" i="33"/>
  <c r="F66" i="33" s="1"/>
  <c r="F67" i="33" s="1"/>
  <c r="F68" i="33" s="1"/>
  <c r="F69" i="33" s="1"/>
  <c r="F70" i="33" s="1"/>
  <c r="F71" i="33" s="1"/>
  <c r="F72" i="33" s="1"/>
  <c r="F73" i="33" s="1"/>
  <c r="F74" i="33" s="1"/>
  <c r="E65" i="33"/>
  <c r="E66" i="33" s="1"/>
  <c r="E67" i="33" s="1"/>
  <c r="E68" i="33" s="1"/>
  <c r="E69" i="33" s="1"/>
  <c r="E70" i="33" s="1"/>
  <c r="E71" i="33" s="1"/>
  <c r="E72" i="33" s="1"/>
  <c r="E73" i="33" s="1"/>
  <c r="E74" i="33" s="1"/>
  <c r="D65" i="33"/>
  <c r="D66" i="33" s="1"/>
  <c r="D67" i="33" s="1"/>
  <c r="D68" i="33" s="1"/>
  <c r="D69" i="33" s="1"/>
  <c r="D70" i="33" s="1"/>
  <c r="D71" i="33" s="1"/>
  <c r="D72" i="33" s="1"/>
  <c r="D73" i="33" s="1"/>
  <c r="D74" i="33" s="1"/>
  <c r="C65" i="33"/>
  <c r="C66" i="33" s="1"/>
  <c r="C67" i="33" s="1"/>
  <c r="C68" i="33" s="1"/>
  <c r="C69" i="33" s="1"/>
  <c r="C70" i="33" s="1"/>
  <c r="C71" i="33" s="1"/>
  <c r="C72" i="33" s="1"/>
  <c r="C73" i="33" s="1"/>
  <c r="C74" i="33" s="1"/>
  <c r="B78" i="33"/>
  <c r="B79" i="33" s="1"/>
  <c r="B80" i="33" s="1"/>
  <c r="B81" i="33" s="1"/>
  <c r="B82" i="33" s="1"/>
  <c r="B83" i="33" s="1"/>
  <c r="B84" i="33" s="1"/>
  <c r="B85" i="33" s="1"/>
  <c r="B86" i="33" s="1"/>
  <c r="B77" i="33"/>
  <c r="B65" i="33"/>
  <c r="B66" i="33" s="1"/>
  <c r="B67" i="33" s="1"/>
  <c r="B68" i="33" s="1"/>
  <c r="B69" i="33" s="1"/>
  <c r="B70" i="33" s="1"/>
  <c r="B71" i="33" s="1"/>
  <c r="B72" i="33" s="1"/>
  <c r="B73" i="33" s="1"/>
  <c r="B74" i="33" s="1"/>
  <c r="B53" i="33"/>
  <c r="B54" i="33" s="1"/>
  <c r="B55" i="33" s="1"/>
  <c r="B56" i="33" s="1"/>
  <c r="B57" i="33" s="1"/>
  <c r="B58" i="33" s="1"/>
  <c r="B59" i="33" s="1"/>
  <c r="B60" i="33" s="1"/>
  <c r="B61" i="33" s="1"/>
  <c r="B62" i="33" s="1"/>
  <c r="D9" i="21"/>
  <c r="K14" i="42"/>
  <c r="J14" i="42"/>
  <c r="I14" i="42"/>
  <c r="H14" i="42"/>
  <c r="G14" i="42"/>
  <c r="F14" i="42"/>
  <c r="E14" i="42"/>
  <c r="D14" i="42"/>
  <c r="C14" i="42"/>
  <c r="P62" i="43"/>
  <c r="G33" i="43"/>
  <c r="G34" i="43"/>
  <c r="G35" i="43"/>
  <c r="G36" i="43"/>
  <c r="G37" i="43"/>
  <c r="G38" i="43"/>
  <c r="G39" i="43"/>
  <c r="G40" i="43"/>
  <c r="G41" i="43"/>
  <c r="G42" i="43"/>
  <c r="G43" i="43"/>
  <c r="G44" i="43"/>
  <c r="G45" i="43"/>
  <c r="G46" i="43"/>
  <c r="G47" i="43"/>
  <c r="G48" i="43"/>
  <c r="G49" i="43"/>
  <c r="G50" i="43"/>
  <c r="G51" i="43"/>
  <c r="G52" i="43"/>
  <c r="G53" i="43"/>
  <c r="G54" i="43"/>
  <c r="G55" i="43"/>
  <c r="G56" i="43"/>
  <c r="G57" i="43"/>
  <c r="O67" i="43"/>
  <c r="O66" i="43"/>
  <c r="O62" i="43"/>
  <c r="F33" i="43"/>
  <c r="F34" i="43"/>
  <c r="F35" i="43"/>
  <c r="F36" i="43"/>
  <c r="F37" i="43"/>
  <c r="F38" i="43"/>
  <c r="F39" i="43"/>
  <c r="F40" i="43"/>
  <c r="F41" i="43"/>
  <c r="F42" i="43"/>
  <c r="F43" i="43"/>
  <c r="F44" i="43"/>
  <c r="F45" i="43"/>
  <c r="F46" i="43"/>
  <c r="F47" i="43"/>
  <c r="F48" i="43"/>
  <c r="F49" i="43"/>
  <c r="F50" i="43"/>
  <c r="F51" i="43"/>
  <c r="F52" i="43"/>
  <c r="F53" i="43"/>
  <c r="F54" i="43"/>
  <c r="F55" i="43"/>
  <c r="F56" i="43"/>
  <c r="F70" i="43"/>
  <c r="E77" i="43"/>
  <c r="D77" i="43"/>
  <c r="C77" i="43"/>
  <c r="E76" i="43"/>
  <c r="D76" i="43"/>
  <c r="C76" i="43"/>
  <c r="E75" i="43"/>
  <c r="D75" i="43"/>
  <c r="C75" i="43"/>
  <c r="E74" i="43"/>
  <c r="D74" i="43"/>
  <c r="C74" i="43"/>
  <c r="E71" i="43"/>
  <c r="D71" i="43"/>
  <c r="C71" i="43"/>
  <c r="M70" i="43"/>
  <c r="L70" i="43"/>
  <c r="E70" i="43"/>
  <c r="D70" i="43"/>
  <c r="C70" i="43"/>
  <c r="M69" i="43"/>
  <c r="L69" i="43"/>
  <c r="E69" i="43"/>
  <c r="D69" i="43"/>
  <c r="C69" i="43"/>
  <c r="M68" i="43"/>
  <c r="L68" i="43"/>
  <c r="E68" i="43"/>
  <c r="D68" i="43"/>
  <c r="C68" i="43"/>
  <c r="N67" i="43"/>
  <c r="M67" i="43"/>
  <c r="L67" i="43"/>
  <c r="N66" i="43"/>
  <c r="M66" i="43"/>
  <c r="L66" i="43"/>
  <c r="E65" i="43"/>
  <c r="D65" i="43"/>
  <c r="C65" i="43"/>
  <c r="E64" i="43"/>
  <c r="D64" i="43"/>
  <c r="C64" i="43"/>
  <c r="E63" i="43"/>
  <c r="D63" i="43"/>
  <c r="C63" i="43"/>
  <c r="N62" i="43"/>
  <c r="M62" i="43"/>
  <c r="L62" i="43"/>
  <c r="E62" i="43"/>
  <c r="D62" i="43"/>
  <c r="C62" i="43"/>
  <c r="E57" i="43"/>
  <c r="D57" i="43"/>
  <c r="C57" i="43"/>
  <c r="E56" i="43"/>
  <c r="D56" i="43"/>
  <c r="C56" i="43"/>
  <c r="E55" i="43"/>
  <c r="D55" i="43"/>
  <c r="C55" i="43"/>
  <c r="E54" i="43"/>
  <c r="D54" i="43"/>
  <c r="C54" i="43"/>
  <c r="E53" i="43"/>
  <c r="D53" i="43"/>
  <c r="C53" i="43"/>
  <c r="E52" i="43"/>
  <c r="D52" i="43"/>
  <c r="C52" i="43"/>
  <c r="E51" i="43"/>
  <c r="D51" i="43"/>
  <c r="C51" i="43"/>
  <c r="E50" i="43"/>
  <c r="D50" i="43"/>
  <c r="C50" i="43"/>
  <c r="E49" i="43"/>
  <c r="D49" i="43"/>
  <c r="C49" i="43"/>
  <c r="E48" i="43"/>
  <c r="D48" i="43"/>
  <c r="C48" i="43"/>
  <c r="E47" i="43"/>
  <c r="D47" i="43"/>
  <c r="C47" i="43"/>
  <c r="E46" i="43"/>
  <c r="D46" i="43"/>
  <c r="C46" i="43"/>
  <c r="E45" i="43"/>
  <c r="D45" i="43"/>
  <c r="C45" i="43"/>
  <c r="E44" i="43"/>
  <c r="D44" i="43"/>
  <c r="C44" i="43"/>
  <c r="E43" i="43"/>
  <c r="D43" i="43"/>
  <c r="C43" i="43"/>
  <c r="E42" i="43"/>
  <c r="D42" i="43"/>
  <c r="C42" i="43"/>
  <c r="E41" i="43"/>
  <c r="D41" i="43"/>
  <c r="C41" i="43"/>
  <c r="E40" i="43"/>
  <c r="D40" i="43"/>
  <c r="C40" i="43"/>
  <c r="E39" i="43"/>
  <c r="D39" i="43"/>
  <c r="C39" i="43"/>
  <c r="E38" i="43"/>
  <c r="D38" i="43"/>
  <c r="C38" i="43"/>
  <c r="E37" i="43"/>
  <c r="D37" i="43"/>
  <c r="C37" i="43"/>
  <c r="E36" i="43"/>
  <c r="D36" i="43"/>
  <c r="C36" i="43"/>
  <c r="E35" i="43"/>
  <c r="D35" i="43"/>
  <c r="C35" i="43"/>
  <c r="E34" i="43"/>
  <c r="D34" i="43"/>
  <c r="C34" i="43"/>
  <c r="E33" i="43"/>
  <c r="D33" i="43"/>
  <c r="C33" i="43"/>
  <c r="H23" i="42"/>
  <c r="G23" i="42"/>
  <c r="F23" i="42"/>
  <c r="D23" i="42"/>
  <c r="C23" i="42"/>
  <c r="B23" i="42"/>
  <c r="K22" i="42"/>
  <c r="J22" i="42"/>
  <c r="I22" i="42"/>
  <c r="H22" i="42"/>
  <c r="G22" i="42"/>
  <c r="F22" i="42"/>
  <c r="E22" i="42"/>
  <c r="D22" i="42"/>
  <c r="C22" i="42"/>
  <c r="B22" i="42"/>
  <c r="D77" i="41"/>
  <c r="C77" i="41"/>
  <c r="B77" i="41"/>
  <c r="D76" i="41"/>
  <c r="C76" i="41"/>
  <c r="B76" i="41"/>
  <c r="D75" i="41"/>
  <c r="C75" i="41"/>
  <c r="B75" i="41"/>
  <c r="D74" i="41"/>
  <c r="C74" i="41"/>
  <c r="B74" i="41"/>
  <c r="D71" i="41"/>
  <c r="C71" i="41"/>
  <c r="B71" i="41"/>
  <c r="H70" i="41"/>
  <c r="G70" i="41"/>
  <c r="D70" i="41"/>
  <c r="C70" i="41"/>
  <c r="B70" i="41"/>
  <c r="H69" i="41"/>
  <c r="G69" i="41"/>
  <c r="D69" i="41"/>
  <c r="C69" i="41"/>
  <c r="B69" i="41"/>
  <c r="H68" i="41"/>
  <c r="G68" i="41"/>
  <c r="D68" i="41"/>
  <c r="C68" i="41"/>
  <c r="B68" i="41"/>
  <c r="I67" i="41"/>
  <c r="H67" i="41"/>
  <c r="G67" i="41"/>
  <c r="I66" i="41"/>
  <c r="H66" i="41"/>
  <c r="G66" i="41"/>
  <c r="D65" i="41"/>
  <c r="C65" i="41"/>
  <c r="B65" i="41"/>
  <c r="D64" i="41"/>
  <c r="C64" i="41"/>
  <c r="B64" i="41"/>
  <c r="D63" i="41"/>
  <c r="C63" i="41"/>
  <c r="B63" i="41"/>
  <c r="I62" i="41"/>
  <c r="H62" i="41"/>
  <c r="G62" i="41"/>
  <c r="D62" i="41"/>
  <c r="C62" i="41"/>
  <c r="B62" i="41"/>
  <c r="D57" i="41"/>
  <c r="C57" i="41"/>
  <c r="B57" i="41"/>
  <c r="D56" i="41"/>
  <c r="C56" i="41"/>
  <c r="B56" i="41"/>
  <c r="D55" i="41"/>
  <c r="C55" i="41"/>
  <c r="B55" i="41"/>
  <c r="D54" i="41"/>
  <c r="C54" i="41"/>
  <c r="B54" i="41"/>
  <c r="D53" i="41"/>
  <c r="C53" i="41"/>
  <c r="B53" i="41"/>
  <c r="D52" i="41"/>
  <c r="C52" i="41"/>
  <c r="B52" i="41"/>
  <c r="D51" i="41"/>
  <c r="C51" i="41"/>
  <c r="B51" i="41"/>
  <c r="D50" i="41"/>
  <c r="C50" i="41"/>
  <c r="B50" i="41"/>
  <c r="D49" i="41"/>
  <c r="C49" i="41"/>
  <c r="B49" i="41"/>
  <c r="D48" i="41"/>
  <c r="C48" i="41"/>
  <c r="B48" i="41"/>
  <c r="D47" i="41"/>
  <c r="C47" i="41"/>
  <c r="B47" i="41"/>
  <c r="D46" i="41"/>
  <c r="C46" i="41"/>
  <c r="B46" i="41"/>
  <c r="D45" i="41"/>
  <c r="C45" i="41"/>
  <c r="B45" i="41"/>
  <c r="D44" i="41"/>
  <c r="C44" i="41"/>
  <c r="B44" i="41"/>
  <c r="D43" i="41"/>
  <c r="C43" i="41"/>
  <c r="B43" i="41"/>
  <c r="D42" i="41"/>
  <c r="C42" i="41"/>
  <c r="B42" i="41"/>
  <c r="D41" i="41"/>
  <c r="C41" i="41"/>
  <c r="B41" i="41"/>
  <c r="D40" i="41"/>
  <c r="C40" i="41"/>
  <c r="B40" i="41"/>
  <c r="D39" i="41"/>
  <c r="C39" i="41"/>
  <c r="B39" i="41"/>
  <c r="D38" i="41"/>
  <c r="C38" i="41"/>
  <c r="B38" i="41"/>
  <c r="D37" i="41"/>
  <c r="C37" i="41"/>
  <c r="B37" i="41"/>
  <c r="D36" i="41"/>
  <c r="C36" i="41"/>
  <c r="B36" i="41"/>
  <c r="D35" i="41"/>
  <c r="C35" i="41"/>
  <c r="B35" i="41"/>
  <c r="D34" i="41"/>
  <c r="C34" i="41"/>
  <c r="B34" i="41"/>
  <c r="D33" i="41"/>
  <c r="C33" i="41"/>
  <c r="B33" i="41"/>
  <c r="I11" i="45" l="1"/>
  <c r="D11" i="45"/>
  <c r="I9" i="45"/>
  <c r="D9" i="45"/>
  <c r="D10" i="45"/>
  <c r="I10" i="45"/>
  <c r="I7" i="45"/>
  <c r="D7" i="45"/>
  <c r="I8" i="45"/>
  <c r="D8" i="45"/>
  <c r="D12" i="45"/>
  <c r="I12" i="45"/>
  <c r="I6" i="45"/>
  <c r="D6" i="45"/>
  <c r="I14" i="45"/>
  <c r="D14" i="45"/>
  <c r="I13" i="45"/>
  <c r="D13" i="45"/>
  <c r="N78" i="43"/>
  <c r="P78" i="43"/>
  <c r="M78" i="43"/>
  <c r="O78" i="43"/>
  <c r="L29" i="42"/>
  <c r="L33" i="42"/>
  <c r="L27" i="42"/>
  <c r="L36" i="42"/>
  <c r="L35" i="42"/>
  <c r="L31" i="42"/>
  <c r="L34" i="42"/>
  <c r="L30" i="42"/>
  <c r="L32" i="42"/>
  <c r="L28" i="42"/>
  <c r="G77" i="43"/>
  <c r="G76" i="43"/>
  <c r="G75" i="43"/>
  <c r="G62" i="43"/>
  <c r="G74" i="43"/>
  <c r="G71" i="43"/>
  <c r="G70" i="43"/>
  <c r="G68" i="43"/>
  <c r="G65" i="43"/>
  <c r="G64" i="43"/>
  <c r="G69" i="43"/>
  <c r="G63" i="43"/>
  <c r="F69" i="43"/>
  <c r="F65" i="43"/>
  <c r="F68" i="43"/>
  <c r="F63" i="43"/>
  <c r="F57" i="43"/>
  <c r="F64" i="43"/>
  <c r="F62" i="43"/>
  <c r="F77" i="43"/>
  <c r="F76" i="43"/>
  <c r="F75" i="43"/>
  <c r="F71" i="43"/>
  <c r="F74" i="43"/>
  <c r="D66" i="43"/>
  <c r="C72" i="43"/>
  <c r="C66" i="43"/>
  <c r="E66" i="43"/>
  <c r="D72" i="43"/>
  <c r="E72" i="43"/>
  <c r="C78" i="43"/>
  <c r="D78" i="43"/>
  <c r="E78" i="43"/>
  <c r="B78" i="41"/>
  <c r="C78" i="41"/>
  <c r="B66" i="41"/>
  <c r="D78" i="41"/>
  <c r="C66" i="41"/>
  <c r="D66" i="41"/>
  <c r="B72" i="41"/>
  <c r="C72" i="41"/>
  <c r="D72" i="41"/>
  <c r="C14" i="45" l="1"/>
  <c r="G13" i="54"/>
  <c r="C12" i="45"/>
  <c r="G11" i="54"/>
  <c r="C8" i="45"/>
  <c r="G7" i="54"/>
  <c r="C9" i="45"/>
  <c r="G8" i="54"/>
  <c r="C13" i="45"/>
  <c r="G12" i="54"/>
  <c r="C11" i="45"/>
  <c r="G10" i="54"/>
  <c r="C10" i="45"/>
  <c r="G9" i="54"/>
  <c r="C7" i="45"/>
  <c r="G6" i="54"/>
  <c r="C6" i="45"/>
  <c r="G5" i="54"/>
  <c r="E14" i="45"/>
  <c r="B14" i="45"/>
  <c r="F14" i="45"/>
  <c r="G72" i="43"/>
  <c r="G66" i="43"/>
  <c r="G78" i="43"/>
  <c r="F72" i="43"/>
  <c r="F66" i="43"/>
  <c r="F78" i="43"/>
  <c r="B16" i="33"/>
  <c r="B17" i="33"/>
  <c r="B18" i="33"/>
  <c r="B19" i="33"/>
  <c r="D16" i="33"/>
  <c r="E16" i="33"/>
  <c r="F16" i="33"/>
  <c r="G16" i="33"/>
  <c r="H16" i="33"/>
  <c r="D17" i="33"/>
  <c r="E17" i="33"/>
  <c r="F17" i="33"/>
  <c r="G17" i="33"/>
  <c r="H17" i="33"/>
  <c r="D18" i="33"/>
  <c r="E18" i="33"/>
  <c r="F18" i="33"/>
  <c r="G18" i="33"/>
  <c r="H18" i="33"/>
  <c r="D19" i="33"/>
  <c r="E19" i="33"/>
  <c r="F19" i="33"/>
  <c r="G19" i="33"/>
  <c r="H19" i="33"/>
  <c r="C14" i="33"/>
  <c r="C19" i="33" l="1"/>
  <c r="C16" i="33"/>
  <c r="C18" i="33"/>
  <c r="C17" i="33"/>
  <c r="E6" i="21"/>
  <c r="E5" i="21"/>
  <c r="E3" i="21"/>
  <c r="E4" i="21"/>
  <c r="D4" i="21"/>
  <c r="D13" i="21"/>
  <c r="AB14" i="5"/>
  <c r="Y14" i="5"/>
  <c r="W14" i="5"/>
  <c r="Z14" i="5"/>
  <c r="AA14" i="5" s="1"/>
  <c r="V14" i="5"/>
  <c r="X14" i="5" s="1"/>
  <c r="Z13" i="5"/>
  <c r="V13" i="5"/>
  <c r="Z12" i="5"/>
  <c r="V12" i="5"/>
  <c r="Z11" i="5"/>
  <c r="V11" i="5"/>
  <c r="Z10" i="5"/>
  <c r="V10" i="5"/>
  <c r="Z9" i="5"/>
  <c r="V9" i="5"/>
  <c r="Z8" i="5"/>
  <c r="V8" i="5"/>
  <c r="Z7" i="5"/>
  <c r="V7" i="5"/>
  <c r="Z6" i="5"/>
  <c r="V6" i="5"/>
  <c r="Z5" i="5"/>
  <c r="V5" i="5"/>
  <c r="B14" i="19"/>
  <c r="B5" i="19"/>
  <c r="B6" i="19"/>
  <c r="B7" i="19"/>
  <c r="B8" i="19"/>
  <c r="B9" i="19"/>
  <c r="B10" i="19"/>
  <c r="B11" i="19"/>
  <c r="B12" i="19"/>
  <c r="Q5" i="31"/>
  <c r="Q6" i="31"/>
  <c r="Q7" i="31"/>
  <c r="Q8" i="31"/>
  <c r="Q9" i="31"/>
  <c r="Q10" i="31"/>
  <c r="Q11" i="31"/>
  <c r="Q12" i="31"/>
  <c r="Q4" i="31"/>
  <c r="P5" i="31"/>
  <c r="P6" i="31"/>
  <c r="P7" i="31"/>
  <c r="P8" i="31"/>
  <c r="P9" i="31"/>
  <c r="P10" i="31"/>
  <c r="P11" i="31"/>
  <c r="P12" i="31"/>
  <c r="P4" i="31"/>
  <c r="AM11" i="33"/>
  <c r="AL5" i="33"/>
  <c r="AL8" i="33"/>
  <c r="AL9" i="33"/>
  <c r="AL10" i="33"/>
  <c r="AL11" i="33"/>
  <c r="AL12" i="33"/>
  <c r="AL13" i="33"/>
  <c r="AL4" i="33"/>
  <c r="AK5" i="33"/>
  <c r="AK131" i="33" s="1"/>
  <c r="AK6" i="33"/>
  <c r="AK132" i="33" s="1"/>
  <c r="AK7" i="33"/>
  <c r="AK133" i="33" s="1"/>
  <c r="AK8" i="33"/>
  <c r="AK134" i="33" s="1"/>
  <c r="AK10" i="33"/>
  <c r="AK11" i="33"/>
  <c r="AK12" i="33"/>
  <c r="AJ4" i="33"/>
  <c r="AJ130" i="33" s="1"/>
  <c r="AI7" i="33"/>
  <c r="AI133" i="33" s="1"/>
  <c r="AI11" i="33"/>
  <c r="AI137" i="33" s="1"/>
  <c r="AH8" i="33"/>
  <c r="AH4" i="33"/>
  <c r="AH130" i="33" s="1"/>
  <c r="AF5" i="33"/>
  <c r="AF131" i="33" s="1"/>
  <c r="AF6" i="33"/>
  <c r="AF132" i="33" s="1"/>
  <c r="AF7" i="33"/>
  <c r="AF133" i="33" s="1"/>
  <c r="AF8" i="33"/>
  <c r="AF134" i="33" s="1"/>
  <c r="AF10" i="33"/>
  <c r="AF11" i="33"/>
  <c r="AF137" i="33" s="1"/>
  <c r="AF12" i="33"/>
  <c r="AF138" i="33" s="1"/>
  <c r="AE8" i="33"/>
  <c r="AE9" i="33"/>
  <c r="AE12" i="33"/>
  <c r="AE4" i="33"/>
  <c r="AD5" i="33"/>
  <c r="AD131" i="33" s="1"/>
  <c r="AD6" i="33"/>
  <c r="AD132" i="33" s="1"/>
  <c r="AD7" i="33"/>
  <c r="AD133" i="33" s="1"/>
  <c r="AD8" i="33"/>
  <c r="AD134" i="33" s="1"/>
  <c r="AD10" i="33"/>
  <c r="AD136" i="33" s="1"/>
  <c r="AD11" i="33"/>
  <c r="AD137" i="33" s="1"/>
  <c r="AD12" i="33"/>
  <c r="AD138" i="33" s="1"/>
  <c r="AB5" i="33"/>
  <c r="AB131" i="33" s="1"/>
  <c r="AB6" i="33"/>
  <c r="AB132" i="33" s="1"/>
  <c r="AB7" i="33"/>
  <c r="AB133" i="33" s="1"/>
  <c r="AB8" i="33"/>
  <c r="AB134" i="33" s="1"/>
  <c r="AB10" i="33"/>
  <c r="AB136" i="33" s="1"/>
  <c r="AB11" i="33"/>
  <c r="AB137" i="33" s="1"/>
  <c r="AB12" i="33"/>
  <c r="AB138" i="33" s="1"/>
  <c r="AB13" i="33"/>
  <c r="AB4" i="33"/>
  <c r="AB130" i="33" s="1"/>
  <c r="AG5" i="33"/>
  <c r="AG131" i="33" s="1"/>
  <c r="AG6" i="33"/>
  <c r="AG132" i="33" s="1"/>
  <c r="AG7" i="33"/>
  <c r="AG133" i="33" s="1"/>
  <c r="AG8" i="33"/>
  <c r="AG134" i="33" s="1"/>
  <c r="AG9" i="33"/>
  <c r="AG135" i="33" s="1"/>
  <c r="AG10" i="33"/>
  <c r="AG136" i="33" s="1"/>
  <c r="AG11" i="33"/>
  <c r="AG137" i="33" s="1"/>
  <c r="AG12" i="33"/>
  <c r="AG138" i="33" s="1"/>
  <c r="AG13" i="33"/>
  <c r="AG4" i="33"/>
  <c r="AG130" i="33" s="1"/>
  <c r="F4" i="34"/>
  <c r="AG14" i="33" s="1"/>
  <c r="Z5" i="33"/>
  <c r="Z131" i="33" s="1"/>
  <c r="Z9" i="33"/>
  <c r="Z135" i="33" s="1"/>
  <c r="Z11" i="33"/>
  <c r="Z137" i="33" s="1"/>
  <c r="E5" i="34"/>
  <c r="AA5" i="33" s="1"/>
  <c r="AA131" i="33" s="1"/>
  <c r="F5" i="34"/>
  <c r="AH5" i="33" s="1"/>
  <c r="AH131" i="33" s="1"/>
  <c r="E6" i="34"/>
  <c r="AB14" i="33" s="1"/>
  <c r="F6" i="34"/>
  <c r="AI14" i="33" s="1"/>
  <c r="E7" i="34"/>
  <c r="AC14" i="33" s="1"/>
  <c r="F7" i="34"/>
  <c r="AJ14" i="33" s="1"/>
  <c r="E8" i="34"/>
  <c r="AD14" i="33" s="1"/>
  <c r="F8" i="34"/>
  <c r="AK14" i="33" s="1"/>
  <c r="E9" i="34"/>
  <c r="AE14" i="33" s="1"/>
  <c r="F9" i="34"/>
  <c r="AL14" i="33" s="1"/>
  <c r="E10" i="34"/>
  <c r="AF14" i="33" s="1"/>
  <c r="F10" i="34"/>
  <c r="AM14" i="33" s="1"/>
  <c r="E4" i="34"/>
  <c r="Z14" i="33" s="1"/>
  <c r="J40" i="9"/>
  <c r="W4" i="33" s="1"/>
  <c r="W130" i="33" s="1"/>
  <c r="L40" i="9"/>
  <c r="L43" i="9"/>
  <c r="L44" i="9" s="1"/>
  <c r="H41" i="9"/>
  <c r="H17" i="9"/>
  <c r="H43" i="9" s="1"/>
  <c r="I17" i="9"/>
  <c r="J17" i="9"/>
  <c r="K17" i="9"/>
  <c r="K43" i="9" s="1"/>
  <c r="L17" i="9"/>
  <c r="L41" i="9" s="1"/>
  <c r="H18" i="9"/>
  <c r="I18" i="9"/>
  <c r="J18" i="9"/>
  <c r="K18" i="9"/>
  <c r="L18" i="9"/>
  <c r="H19" i="9"/>
  <c r="I19" i="9"/>
  <c r="J19" i="9"/>
  <c r="K19" i="9"/>
  <c r="K40" i="9" s="1"/>
  <c r="L19" i="9"/>
  <c r="H20" i="9"/>
  <c r="I20" i="9"/>
  <c r="J20" i="9"/>
  <c r="K20" i="9"/>
  <c r="L20" i="9"/>
  <c r="H21" i="9"/>
  <c r="I21" i="9"/>
  <c r="J21" i="9"/>
  <c r="K21" i="9"/>
  <c r="L21" i="9"/>
  <c r="H22" i="9"/>
  <c r="I22" i="9"/>
  <c r="J22" i="9"/>
  <c r="K22" i="9"/>
  <c r="L22" i="9"/>
  <c r="H23" i="9"/>
  <c r="I23" i="9"/>
  <c r="J23" i="9"/>
  <c r="K23" i="9"/>
  <c r="L23" i="9"/>
  <c r="H24" i="9"/>
  <c r="I24" i="9"/>
  <c r="J24" i="9"/>
  <c r="K24" i="9"/>
  <c r="L24" i="9"/>
  <c r="H25" i="9"/>
  <c r="I25" i="9"/>
  <c r="J25" i="9"/>
  <c r="K25" i="9"/>
  <c r="L25" i="9"/>
  <c r="I16" i="9"/>
  <c r="I43" i="9" s="1"/>
  <c r="J16" i="9"/>
  <c r="J43" i="9" s="1"/>
  <c r="J44" i="9" s="1"/>
  <c r="K16" i="9"/>
  <c r="K42" i="9" s="1"/>
  <c r="L16" i="9"/>
  <c r="L42" i="9" s="1"/>
  <c r="H16" i="9"/>
  <c r="H42" i="9" s="1"/>
  <c r="B24" i="33"/>
  <c r="C24" i="33"/>
  <c r="B25" i="33"/>
  <c r="C25" i="33"/>
  <c r="B26" i="33"/>
  <c r="C26" i="33"/>
  <c r="B27" i="33"/>
  <c r="C27" i="33"/>
  <c r="B28" i="33"/>
  <c r="C28" i="33"/>
  <c r="B29" i="33"/>
  <c r="C29" i="33"/>
  <c r="B30" i="33"/>
  <c r="C30" i="33"/>
  <c r="B31" i="33"/>
  <c r="C31" i="33"/>
  <c r="B32" i="33"/>
  <c r="C32" i="33"/>
  <c r="E24" i="33"/>
  <c r="F24" i="33"/>
  <c r="G24" i="33"/>
  <c r="H24" i="33"/>
  <c r="E25" i="33"/>
  <c r="F25" i="33"/>
  <c r="G25" i="33"/>
  <c r="H25" i="33"/>
  <c r="E26" i="33"/>
  <c r="F26" i="33"/>
  <c r="G26" i="33"/>
  <c r="H26" i="33"/>
  <c r="E27" i="33"/>
  <c r="F27" i="33"/>
  <c r="G27" i="33"/>
  <c r="H27" i="33"/>
  <c r="E28" i="33"/>
  <c r="F28" i="33"/>
  <c r="G28" i="33"/>
  <c r="H28" i="33"/>
  <c r="E29" i="33"/>
  <c r="F29" i="33"/>
  <c r="G29" i="33"/>
  <c r="H29" i="33"/>
  <c r="E30" i="33"/>
  <c r="F30" i="33"/>
  <c r="G30" i="33"/>
  <c r="H30" i="33"/>
  <c r="E31" i="33"/>
  <c r="F31" i="33"/>
  <c r="G31" i="33"/>
  <c r="H31" i="33"/>
  <c r="E32" i="33"/>
  <c r="F32" i="33"/>
  <c r="G32" i="33"/>
  <c r="H32" i="33"/>
  <c r="D25" i="33"/>
  <c r="D26" i="33"/>
  <c r="D27" i="33"/>
  <c r="D28" i="33"/>
  <c r="D29" i="33"/>
  <c r="D30" i="33"/>
  <c r="D31" i="33"/>
  <c r="D32" i="33"/>
  <c r="D24" i="33"/>
  <c r="E16" i="31"/>
  <c r="E29" i="31" s="1"/>
  <c r="C18" i="31"/>
  <c r="C31" i="31" s="1"/>
  <c r="D16" i="31"/>
  <c r="D29" i="31" s="1"/>
  <c r="C16" i="31"/>
  <c r="C29" i="31"/>
  <c r="J5" i="31"/>
  <c r="J4" i="31"/>
  <c r="R5" i="5"/>
  <c r="R6" i="5"/>
  <c r="R7" i="5"/>
  <c r="R8" i="5"/>
  <c r="R9" i="5"/>
  <c r="R11" i="5"/>
  <c r="R13" i="5"/>
  <c r="R14" i="5"/>
  <c r="E32" i="31"/>
  <c r="D32" i="31"/>
  <c r="G31" i="31"/>
  <c r="F31" i="31"/>
  <c r="E31" i="31"/>
  <c r="G30" i="31"/>
  <c r="F30" i="31"/>
  <c r="E30" i="31"/>
  <c r="C30" i="31"/>
  <c r="G29" i="31"/>
  <c r="F29" i="31"/>
  <c r="G24" i="31"/>
  <c r="F24" i="31"/>
  <c r="F37" i="31" s="1"/>
  <c r="D24" i="31"/>
  <c r="D37" i="31" s="1"/>
  <c r="C24" i="31"/>
  <c r="C19" i="31"/>
  <c r="C32" i="31" s="1"/>
  <c r="E17" i="31"/>
  <c r="D17" i="31"/>
  <c r="D30" i="31" s="1"/>
  <c r="G16" i="31"/>
  <c r="F16" i="31"/>
  <c r="C35" i="31"/>
  <c r="G34" i="31"/>
  <c r="F34" i="31"/>
  <c r="E34" i="31"/>
  <c r="D34" i="31"/>
  <c r="C34" i="31"/>
  <c r="G37" i="31"/>
  <c r="E24" i="31"/>
  <c r="E37" i="31" s="1"/>
  <c r="C37" i="31"/>
  <c r="G23" i="31"/>
  <c r="G36" i="31" s="1"/>
  <c r="F23" i="31"/>
  <c r="F36" i="31" s="1"/>
  <c r="E23" i="31"/>
  <c r="E36" i="31" s="1"/>
  <c r="D23" i="31"/>
  <c r="D36" i="31" s="1"/>
  <c r="C23" i="31"/>
  <c r="C36" i="31" s="1"/>
  <c r="G22" i="31"/>
  <c r="G35" i="31" s="1"/>
  <c r="F22" i="31"/>
  <c r="F35" i="31" s="1"/>
  <c r="E22" i="31"/>
  <c r="E35" i="31" s="1"/>
  <c r="D22" i="31"/>
  <c r="D35" i="31" s="1"/>
  <c r="C22" i="31"/>
  <c r="G21" i="31"/>
  <c r="F21" i="31"/>
  <c r="E21" i="31"/>
  <c r="D21" i="31"/>
  <c r="C21" i="31"/>
  <c r="G20" i="31"/>
  <c r="G33" i="31" s="1"/>
  <c r="F20" i="31"/>
  <c r="F33" i="31" s="1"/>
  <c r="E20" i="31"/>
  <c r="E33" i="31" s="1"/>
  <c r="D20" i="31"/>
  <c r="D33" i="31" s="1"/>
  <c r="C20" i="31"/>
  <c r="C33" i="31" s="1"/>
  <c r="G19" i="31"/>
  <c r="G32" i="31" s="1"/>
  <c r="F19" i="31"/>
  <c r="F32" i="31" s="1"/>
  <c r="E19" i="31"/>
  <c r="D19" i="31"/>
  <c r="G18" i="31"/>
  <c r="F18" i="31"/>
  <c r="E18" i="31"/>
  <c r="D18" i="31"/>
  <c r="D31" i="31" s="1"/>
  <c r="G17" i="31"/>
  <c r="F17" i="31"/>
  <c r="C17" i="31"/>
  <c r="N12" i="31"/>
  <c r="M12" i="31"/>
  <c r="L12" i="31"/>
  <c r="K12" i="31"/>
  <c r="J12" i="31"/>
  <c r="I12" i="31"/>
  <c r="H12" i="31"/>
  <c r="N11" i="31"/>
  <c r="M11" i="31"/>
  <c r="L11" i="31"/>
  <c r="K11" i="31"/>
  <c r="J11" i="31"/>
  <c r="I11" i="31"/>
  <c r="H11" i="31"/>
  <c r="N10" i="31"/>
  <c r="M10" i="31"/>
  <c r="L10" i="31"/>
  <c r="K10" i="31"/>
  <c r="J10" i="31"/>
  <c r="I10" i="31"/>
  <c r="H10" i="31"/>
  <c r="N9" i="31"/>
  <c r="M9" i="31"/>
  <c r="L9" i="31"/>
  <c r="K9" i="31"/>
  <c r="J9" i="31"/>
  <c r="I9" i="31"/>
  <c r="H9" i="31"/>
  <c r="N8" i="31"/>
  <c r="M8" i="31"/>
  <c r="L8" i="31"/>
  <c r="K8" i="31"/>
  <c r="J8" i="31"/>
  <c r="I8" i="31"/>
  <c r="H8" i="31"/>
  <c r="N7" i="31"/>
  <c r="M7" i="31"/>
  <c r="L7" i="31"/>
  <c r="K7" i="31"/>
  <c r="J7" i="31"/>
  <c r="I7" i="31"/>
  <c r="H7" i="31"/>
  <c r="N6" i="31"/>
  <c r="M6" i="31"/>
  <c r="L6" i="31"/>
  <c r="K6" i="31"/>
  <c r="J6" i="31"/>
  <c r="I6" i="31"/>
  <c r="H6" i="31"/>
  <c r="N5" i="31"/>
  <c r="M5" i="31"/>
  <c r="L5" i="31"/>
  <c r="K5" i="31"/>
  <c r="I5" i="31"/>
  <c r="H5" i="31"/>
  <c r="N4" i="31"/>
  <c r="M4" i="31"/>
  <c r="L4" i="31"/>
  <c r="K4" i="31"/>
  <c r="I4" i="31"/>
  <c r="H4" i="31"/>
  <c r="H3" i="31"/>
  <c r="AK138" i="33" l="1"/>
  <c r="AK137" i="33"/>
  <c r="P4" i="33"/>
  <c r="P130" i="33" s="1"/>
  <c r="L8" i="33"/>
  <c r="L134" i="33" s="1"/>
  <c r="N11" i="33"/>
  <c r="N137" i="33" s="1"/>
  <c r="J10" i="33"/>
  <c r="J136" i="33" s="1"/>
  <c r="K5" i="33"/>
  <c r="K131" i="33" s="1"/>
  <c r="M8" i="33"/>
  <c r="M134" i="33" s="1"/>
  <c r="O11" i="33"/>
  <c r="O137" i="33" s="1"/>
  <c r="J11" i="33"/>
  <c r="J137" i="33" s="1"/>
  <c r="M5" i="33"/>
  <c r="M131" i="33" s="1"/>
  <c r="O8" i="33"/>
  <c r="K12" i="33"/>
  <c r="K138" i="33" s="1"/>
  <c r="K9" i="33"/>
  <c r="K135" i="33" s="1"/>
  <c r="M12" i="33"/>
  <c r="M138" i="33" s="1"/>
  <c r="P5" i="33"/>
  <c r="P131" i="33" s="1"/>
  <c r="L9" i="33"/>
  <c r="L135" i="33" s="1"/>
  <c r="N12" i="33"/>
  <c r="N138" i="33" s="1"/>
  <c r="K6" i="33"/>
  <c r="K132" i="33" s="1"/>
  <c r="M9" i="33"/>
  <c r="M135" i="33" s="1"/>
  <c r="O12" i="33"/>
  <c r="O138" i="33" s="1"/>
  <c r="L6" i="33"/>
  <c r="L132" i="33" s="1"/>
  <c r="N9" i="33"/>
  <c r="N135" i="33" s="1"/>
  <c r="K10" i="33"/>
  <c r="K136" i="33" s="1"/>
  <c r="M13" i="33"/>
  <c r="M139" i="33" s="1"/>
  <c r="P6" i="33"/>
  <c r="P132" i="33" s="1"/>
  <c r="L10" i="33"/>
  <c r="L136" i="33" s="1"/>
  <c r="N13" i="33"/>
  <c r="N139" i="33" s="1"/>
  <c r="K7" i="33"/>
  <c r="K133" i="33" s="1"/>
  <c r="M10" i="33"/>
  <c r="M136" i="33" s="1"/>
  <c r="O13" i="33"/>
  <c r="L7" i="33"/>
  <c r="L133" i="33" s="1"/>
  <c r="N10" i="33"/>
  <c r="N136" i="33" s="1"/>
  <c r="P13" i="33"/>
  <c r="P139" i="33" s="1"/>
  <c r="K4" i="33"/>
  <c r="K130" i="33" s="1"/>
  <c r="O7" i="33"/>
  <c r="O133" i="33" s="1"/>
  <c r="K11" i="33"/>
  <c r="K137" i="33" s="1"/>
  <c r="J7" i="33"/>
  <c r="J133" i="33" s="1"/>
  <c r="N4" i="33"/>
  <c r="N130" i="33" s="1"/>
  <c r="P7" i="33"/>
  <c r="P133" i="33" s="1"/>
  <c r="L11" i="33"/>
  <c r="L137" i="33" s="1"/>
  <c r="J8" i="33"/>
  <c r="J134" i="33" s="1"/>
  <c r="O4" i="33"/>
  <c r="O130" i="33" s="1"/>
  <c r="K8" i="33"/>
  <c r="K134" i="33" s="1"/>
  <c r="M11" i="33"/>
  <c r="M137" i="33" s="1"/>
  <c r="J9" i="33"/>
  <c r="J135" i="33" s="1"/>
  <c r="K44" i="9"/>
  <c r="N43" i="9"/>
  <c r="R13" i="33"/>
  <c r="R139" i="33" s="1"/>
  <c r="V9" i="33"/>
  <c r="V135" i="33" s="1"/>
  <c r="T6" i="33"/>
  <c r="T132" i="33" s="1"/>
  <c r="AK140" i="33"/>
  <c r="AD4" i="33"/>
  <c r="AD130" i="33" s="1"/>
  <c r="AF4" i="33"/>
  <c r="AF130" i="33" s="1"/>
  <c r="AI4" i="33"/>
  <c r="AK4" i="33"/>
  <c r="AK130" i="33" s="1"/>
  <c r="AM4" i="33"/>
  <c r="W12" i="33"/>
  <c r="W138" i="33" s="1"/>
  <c r="U9" i="33"/>
  <c r="U135" i="33" s="1"/>
  <c r="S6" i="33"/>
  <c r="S132" i="33" s="1"/>
  <c r="AD140" i="33"/>
  <c r="AG32" i="33"/>
  <c r="AG139" i="33"/>
  <c r="AB32" i="33"/>
  <c r="AB139" i="33"/>
  <c r="AD13" i="33"/>
  <c r="AF13" i="33"/>
  <c r="AF139" i="33" s="1"/>
  <c r="AI13" i="33"/>
  <c r="AI139" i="33" s="1"/>
  <c r="AK13" i="33"/>
  <c r="AM13" i="33"/>
  <c r="J42" i="9"/>
  <c r="N42" i="9" s="1"/>
  <c r="V12" i="33"/>
  <c r="V138" i="33" s="1"/>
  <c r="T9" i="33"/>
  <c r="T135" i="33" s="1"/>
  <c r="R6" i="33"/>
  <c r="R132" i="33" s="1"/>
  <c r="AJ140" i="33"/>
  <c r="AI12" i="33"/>
  <c r="AI138" i="33" s="1"/>
  <c r="AM12" i="33"/>
  <c r="I42" i="9"/>
  <c r="J13" i="33" s="1"/>
  <c r="J139" i="33" s="1"/>
  <c r="AC140" i="33"/>
  <c r="U12" i="33"/>
  <c r="U138" i="33" s="1"/>
  <c r="S9" i="33"/>
  <c r="S135" i="33" s="1"/>
  <c r="W5" i="33"/>
  <c r="W131" i="33" s="1"/>
  <c r="T12" i="33"/>
  <c r="T138" i="33" s="1"/>
  <c r="R9" i="33"/>
  <c r="R135" i="33" s="1"/>
  <c r="V5" i="33"/>
  <c r="V131" i="33" s="1"/>
  <c r="AF136" i="33"/>
  <c r="AI10" i="33"/>
  <c r="AK29" i="33"/>
  <c r="AK136" i="33"/>
  <c r="AM10" i="33"/>
  <c r="AI140" i="33"/>
  <c r="K41" i="9"/>
  <c r="Q4" i="33"/>
  <c r="Q130" i="33" s="1"/>
  <c r="S12" i="33"/>
  <c r="S138" i="33" s="1"/>
  <c r="W8" i="33"/>
  <c r="W134" i="33" s="1"/>
  <c r="U5" i="33"/>
  <c r="U131" i="33" s="1"/>
  <c r="AB140" i="33"/>
  <c r="AB9" i="33"/>
  <c r="AB135" i="33" s="1"/>
  <c r="AD9" i="33"/>
  <c r="AD135" i="33" s="1"/>
  <c r="AF9" i="33"/>
  <c r="AF135" i="33" s="1"/>
  <c r="AI9" i="33"/>
  <c r="AK9" i="33"/>
  <c r="AK135" i="33" s="1"/>
  <c r="AM9" i="33"/>
  <c r="AM28" i="33" s="1"/>
  <c r="J41" i="9"/>
  <c r="Q13" i="33"/>
  <c r="Q139" i="33" s="1"/>
  <c r="R12" i="33"/>
  <c r="R138" i="33" s="1"/>
  <c r="V8" i="33"/>
  <c r="V134" i="33" s="1"/>
  <c r="T5" i="33"/>
  <c r="T131" i="33" s="1"/>
  <c r="AI8" i="33"/>
  <c r="AI134" i="33" s="1"/>
  <c r="AM8" i="33"/>
  <c r="I41" i="9"/>
  <c r="N41" i="9" s="1"/>
  <c r="Q12" i="33"/>
  <c r="Q138" i="33" s="1"/>
  <c r="W11" i="33"/>
  <c r="W137" i="33" s="1"/>
  <c r="U8" i="33"/>
  <c r="U134" i="33" s="1"/>
  <c r="S5" i="33"/>
  <c r="S131" i="33" s="1"/>
  <c r="AM7" i="33"/>
  <c r="U14" i="5"/>
  <c r="Q11" i="33"/>
  <c r="Q137" i="33" s="1"/>
  <c r="V11" i="33"/>
  <c r="V137" i="33" s="1"/>
  <c r="T8" i="33"/>
  <c r="T134" i="33" s="1"/>
  <c r="R5" i="33"/>
  <c r="R131" i="33" s="1"/>
  <c r="Z13" i="33"/>
  <c r="Z139" i="33" s="1"/>
  <c r="AI6" i="33"/>
  <c r="AI132" i="33" s="1"/>
  <c r="AM6" i="33"/>
  <c r="AM25" i="33" s="1"/>
  <c r="H40" i="9"/>
  <c r="Q10" i="33"/>
  <c r="Q136" i="33" s="1"/>
  <c r="U11" i="33"/>
  <c r="U137" i="33" s="1"/>
  <c r="S8" i="33"/>
  <c r="S134" i="33" s="1"/>
  <c r="Z12" i="33"/>
  <c r="Z138" i="33" s="1"/>
  <c r="AI5" i="33"/>
  <c r="AI131" i="33" s="1"/>
  <c r="AM5" i="33"/>
  <c r="AA14" i="33"/>
  <c r="Q14" i="33"/>
  <c r="S14" i="33"/>
  <c r="U14" i="33"/>
  <c r="T14" i="33"/>
  <c r="W14" i="33"/>
  <c r="V14" i="33"/>
  <c r="Q9" i="33"/>
  <c r="Q135" i="33" s="1"/>
  <c r="T11" i="33"/>
  <c r="T137" i="33" s="1"/>
  <c r="R8" i="33"/>
  <c r="R134" i="33" s="1"/>
  <c r="V4" i="33"/>
  <c r="AA4" i="33"/>
  <c r="AA130" i="33" s="1"/>
  <c r="AC4" i="33"/>
  <c r="AC130" i="33" s="1"/>
  <c r="I40" i="9"/>
  <c r="I44" i="9" s="1"/>
  <c r="Q8" i="33"/>
  <c r="Q134" i="33" s="1"/>
  <c r="S11" i="33"/>
  <c r="S137" i="33" s="1"/>
  <c r="W7" i="33"/>
  <c r="W133" i="33" s="1"/>
  <c r="U4" i="33"/>
  <c r="U130" i="33" s="1"/>
  <c r="Z10" i="33"/>
  <c r="AA13" i="33"/>
  <c r="AA139" i="33" s="1"/>
  <c r="AC13" i="33"/>
  <c r="AC139" i="33" s="1"/>
  <c r="AE13" i="33"/>
  <c r="AH13" i="33"/>
  <c r="AH139" i="33" s="1"/>
  <c r="AJ13" i="33"/>
  <c r="AJ139" i="33" s="1"/>
  <c r="Q7" i="33"/>
  <c r="Q133" i="33" s="1"/>
  <c r="R11" i="33"/>
  <c r="R137" i="33" s="1"/>
  <c r="V7" i="33"/>
  <c r="AA12" i="33"/>
  <c r="AA138" i="33" s="1"/>
  <c r="AC12" i="33"/>
  <c r="AC138" i="33" s="1"/>
  <c r="AH12" i="33"/>
  <c r="AH138" i="33" s="1"/>
  <c r="AJ12" i="33"/>
  <c r="AJ138" i="33" s="1"/>
  <c r="R14" i="33"/>
  <c r="T4" i="33"/>
  <c r="T130" i="33" s="1"/>
  <c r="Q6" i="33"/>
  <c r="Q132" i="33" s="1"/>
  <c r="W10" i="33"/>
  <c r="W136" i="33" s="1"/>
  <c r="U7" i="33"/>
  <c r="U133" i="33" s="1"/>
  <c r="S4" i="33"/>
  <c r="S130" i="33" s="1"/>
  <c r="Z8" i="33"/>
  <c r="Z134" i="33" s="1"/>
  <c r="AA11" i="33"/>
  <c r="AA137" i="33" s="1"/>
  <c r="AC11" i="33"/>
  <c r="AC137" i="33" s="1"/>
  <c r="AE11" i="33"/>
  <c r="AE31" i="33" s="1"/>
  <c r="AH11" i="33"/>
  <c r="AH137" i="33" s="1"/>
  <c r="AJ11" i="33"/>
  <c r="Q5" i="33"/>
  <c r="Q131" i="33" s="1"/>
  <c r="V10" i="33"/>
  <c r="V136" i="33" s="1"/>
  <c r="T7" i="33"/>
  <c r="T133" i="33" s="1"/>
  <c r="R4" i="33"/>
  <c r="R130" i="33" s="1"/>
  <c r="Z7" i="33"/>
  <c r="Z133" i="33" s="1"/>
  <c r="AA10" i="33"/>
  <c r="AA136" i="33" s="1"/>
  <c r="AC10" i="33"/>
  <c r="AC136" i="33" s="1"/>
  <c r="AE10" i="33"/>
  <c r="AH10" i="33"/>
  <c r="AH136" i="33" s="1"/>
  <c r="AJ10" i="33"/>
  <c r="AJ136" i="33" s="1"/>
  <c r="W13" i="33"/>
  <c r="W139" i="33" s="1"/>
  <c r="U10" i="33"/>
  <c r="U136" i="33" s="1"/>
  <c r="S7" i="33"/>
  <c r="S133" i="33" s="1"/>
  <c r="Z140" i="33"/>
  <c r="Z6" i="33"/>
  <c r="Z132" i="33" s="1"/>
  <c r="AA9" i="33"/>
  <c r="AA135" i="33" s="1"/>
  <c r="AC9" i="33"/>
  <c r="AC135" i="33" s="1"/>
  <c r="AH9" i="33"/>
  <c r="AH135" i="33" s="1"/>
  <c r="AJ9" i="33"/>
  <c r="AJ135" i="33" s="1"/>
  <c r="AH14" i="33"/>
  <c r="AA8" i="33"/>
  <c r="AA134" i="33" s="1"/>
  <c r="AC8" i="33"/>
  <c r="AC134" i="33" s="1"/>
  <c r="AH134" i="33"/>
  <c r="AJ8" i="33"/>
  <c r="AJ134" i="33" s="1"/>
  <c r="AL27" i="33"/>
  <c r="R7" i="33"/>
  <c r="R133" i="33" s="1"/>
  <c r="U13" i="33"/>
  <c r="U139" i="33" s="1"/>
  <c r="S10" i="33"/>
  <c r="S136" i="33" s="1"/>
  <c r="W6" i="33"/>
  <c r="W132" i="33" s="1"/>
  <c r="AF140" i="33"/>
  <c r="AG140" i="33"/>
  <c r="AA7" i="33"/>
  <c r="AA133" i="33" s="1"/>
  <c r="AC7" i="33"/>
  <c r="AC133" i="33" s="1"/>
  <c r="AE7" i="33"/>
  <c r="AH7" i="33"/>
  <c r="AH133" i="33" s="1"/>
  <c r="AJ7" i="33"/>
  <c r="AJ133" i="33" s="1"/>
  <c r="AL7" i="33"/>
  <c r="V13" i="33"/>
  <c r="V139" i="33" s="1"/>
  <c r="T10" i="33"/>
  <c r="T136" i="33" s="1"/>
  <c r="T13" i="33"/>
  <c r="T139" i="33" s="1"/>
  <c r="R10" i="33"/>
  <c r="R136" i="33" s="1"/>
  <c r="V6" i="33"/>
  <c r="V132" i="33" s="1"/>
  <c r="Z4" i="33"/>
  <c r="Z130" i="33" s="1"/>
  <c r="AA6" i="33"/>
  <c r="AA132" i="33" s="1"/>
  <c r="AC6" i="33"/>
  <c r="AC132" i="33" s="1"/>
  <c r="AE6" i="33"/>
  <c r="AH6" i="33"/>
  <c r="AH132" i="33" s="1"/>
  <c r="AJ6" i="33"/>
  <c r="AJ132" i="33" s="1"/>
  <c r="AL6" i="33"/>
  <c r="S13" i="33"/>
  <c r="S139" i="33" s="1"/>
  <c r="W9" i="33"/>
  <c r="W135" i="33" s="1"/>
  <c r="U6" i="33"/>
  <c r="U132" i="33" s="1"/>
  <c r="AC5" i="33"/>
  <c r="AC131" i="33" s="1"/>
  <c r="AE5" i="33"/>
  <c r="AE25" i="33" s="1"/>
  <c r="AJ5" i="33"/>
  <c r="AJ131" i="33" s="1"/>
  <c r="Z30" i="33"/>
  <c r="G47" i="33"/>
  <c r="V32" i="33"/>
  <c r="S29" i="33"/>
  <c r="AE26" i="33"/>
  <c r="F47" i="33"/>
  <c r="AA25" i="33"/>
  <c r="AG30" i="33"/>
  <c r="AF30" i="33"/>
  <c r="H47" i="33"/>
  <c r="T26" i="33"/>
  <c r="AG29" i="33"/>
  <c r="C48" i="33"/>
  <c r="B49" i="33"/>
  <c r="AB30" i="33"/>
  <c r="D49" i="33"/>
  <c r="Z28" i="33"/>
  <c r="E48" i="33"/>
  <c r="H44" i="33"/>
  <c r="D48" i="33"/>
  <c r="AE18" i="33"/>
  <c r="AE17" i="33"/>
  <c r="AE16" i="33"/>
  <c r="AE19" i="33"/>
  <c r="H48" i="33"/>
  <c r="G48" i="33"/>
  <c r="Z25" i="33"/>
  <c r="AJ31" i="33"/>
  <c r="AL31" i="33"/>
  <c r="AC16" i="33"/>
  <c r="AC17" i="33"/>
  <c r="AL17" i="33"/>
  <c r="AL19" i="33"/>
  <c r="AL18" i="33"/>
  <c r="AL16" i="33"/>
  <c r="AA29" i="33"/>
  <c r="B48" i="33"/>
  <c r="W30" i="33"/>
  <c r="U27" i="33"/>
  <c r="Z19" i="33"/>
  <c r="B42" i="33"/>
  <c r="C37" i="33"/>
  <c r="U30" i="33"/>
  <c r="W24" i="33"/>
  <c r="W17" i="33"/>
  <c r="W19" i="33"/>
  <c r="W18" i="33"/>
  <c r="W16" i="33"/>
  <c r="AG17" i="33"/>
  <c r="AG19" i="33"/>
  <c r="AG16" i="33"/>
  <c r="AG18" i="33"/>
  <c r="AD19" i="33"/>
  <c r="AF17" i="33"/>
  <c r="AF18" i="33"/>
  <c r="AK17" i="33"/>
  <c r="AK31" i="33"/>
  <c r="AM31" i="33"/>
  <c r="D47" i="33"/>
  <c r="F42" i="33"/>
  <c r="B47" i="33"/>
  <c r="C47" i="33"/>
  <c r="E47" i="33"/>
  <c r="AL29" i="33"/>
  <c r="E42" i="33"/>
  <c r="H49" i="33"/>
  <c r="T32" i="33"/>
  <c r="G49" i="33"/>
  <c r="R29" i="33"/>
  <c r="AG31" i="33"/>
  <c r="AB31" i="33"/>
  <c r="AD31" i="33"/>
  <c r="AF31" i="33"/>
  <c r="AM24" i="33"/>
  <c r="F49" i="33"/>
  <c r="E49" i="33"/>
  <c r="AG28" i="33"/>
  <c r="C49" i="33"/>
  <c r="G44" i="33"/>
  <c r="G38" i="33"/>
  <c r="B44" i="33"/>
  <c r="F44" i="33"/>
  <c r="S30" i="33"/>
  <c r="AK30" i="33"/>
  <c r="S27" i="33"/>
  <c r="E44" i="33"/>
  <c r="D44" i="33"/>
  <c r="H42" i="33"/>
  <c r="L28" i="33"/>
  <c r="W29" i="33"/>
  <c r="U26" i="33"/>
  <c r="D42" i="33"/>
  <c r="H35" i="33"/>
  <c r="F48" i="33"/>
  <c r="G42" i="33"/>
  <c r="B41" i="33"/>
  <c r="Q28" i="33"/>
  <c r="E41" i="33"/>
  <c r="AD28" i="33"/>
  <c r="AF28" i="33"/>
  <c r="E43" i="33"/>
  <c r="H41" i="33"/>
  <c r="D37" i="33"/>
  <c r="F41" i="33"/>
  <c r="D35" i="33"/>
  <c r="H43" i="33"/>
  <c r="F43" i="33"/>
  <c r="AG26" i="33"/>
  <c r="AB26" i="33"/>
  <c r="AD26" i="33"/>
  <c r="AF26" i="33"/>
  <c r="D43" i="33"/>
  <c r="AE28" i="33"/>
  <c r="D41" i="33"/>
  <c r="C35" i="33"/>
  <c r="G36" i="33"/>
  <c r="C43" i="33"/>
  <c r="C42" i="33"/>
  <c r="F36" i="33"/>
  <c r="E36" i="33"/>
  <c r="D36" i="33"/>
  <c r="Z31" i="33"/>
  <c r="F37" i="33"/>
  <c r="AB25" i="33"/>
  <c r="AI27" i="33"/>
  <c r="AK28" i="33"/>
  <c r="G41" i="33"/>
  <c r="G43" i="33"/>
  <c r="B43" i="33"/>
  <c r="C44" i="33"/>
  <c r="W27" i="33"/>
  <c r="C36" i="33"/>
  <c r="C41" i="33"/>
  <c r="T24" i="33"/>
  <c r="AF32" i="33"/>
  <c r="E37" i="33"/>
  <c r="T25" i="33"/>
  <c r="AJ27" i="33"/>
  <c r="H36" i="33"/>
  <c r="C38" i="33"/>
  <c r="V28" i="33"/>
  <c r="AG25" i="33"/>
  <c r="AD25" i="33"/>
  <c r="S31" i="33"/>
  <c r="H37" i="33"/>
  <c r="B36" i="33"/>
  <c r="E38" i="33"/>
  <c r="D38" i="33"/>
  <c r="W28" i="33"/>
  <c r="AG24" i="33"/>
  <c r="F38" i="33"/>
  <c r="G37" i="33"/>
  <c r="E35" i="33"/>
  <c r="F35" i="33"/>
  <c r="G35" i="33"/>
  <c r="H38" i="33"/>
  <c r="AL28" i="33"/>
  <c r="AM27" i="33"/>
  <c r="AL32" i="33"/>
  <c r="AL24" i="33"/>
  <c r="AK27" i="33"/>
  <c r="AI26" i="33"/>
  <c r="AH25" i="33"/>
  <c r="AK25" i="33"/>
  <c r="AL30" i="33"/>
  <c r="AK26" i="33"/>
  <c r="AL26" i="33"/>
  <c r="AH24" i="33"/>
  <c r="AJ26" i="33"/>
  <c r="AI24" i="33"/>
  <c r="AH30" i="33"/>
  <c r="AE27" i="33"/>
  <c r="AE24" i="33"/>
  <c r="AD27" i="33"/>
  <c r="AG27" i="33"/>
  <c r="B35" i="33"/>
  <c r="B37" i="33"/>
  <c r="B38" i="33"/>
  <c r="AA27" i="33"/>
  <c r="AB24" i="33"/>
  <c r="AB27" i="33"/>
  <c r="AC27" i="33"/>
  <c r="AD30" i="33"/>
  <c r="AF27" i="33"/>
  <c r="AA26" i="33"/>
  <c r="AD29" i="33"/>
  <c r="AF25" i="33"/>
  <c r="C44" i="31"/>
  <c r="C43" i="31"/>
  <c r="C42" i="31"/>
  <c r="C41" i="31"/>
  <c r="D44" i="31"/>
  <c r="D43" i="31"/>
  <c r="D41" i="31"/>
  <c r="D42" i="31"/>
  <c r="E43" i="31"/>
  <c r="E42" i="31"/>
  <c r="E44" i="31"/>
  <c r="E41" i="31"/>
  <c r="F44" i="31"/>
  <c r="F43" i="31"/>
  <c r="F42" i="31"/>
  <c r="F41" i="31"/>
  <c r="G44" i="31"/>
  <c r="G41" i="31"/>
  <c r="G42" i="31"/>
  <c r="G43" i="31"/>
  <c r="H25" i="31"/>
  <c r="U90" i="33" l="1"/>
  <c r="U103" i="33"/>
  <c r="U116" i="33"/>
  <c r="U140" i="33"/>
  <c r="O32" i="33"/>
  <c r="O139" i="33"/>
  <c r="T90" i="33"/>
  <c r="T103" i="33"/>
  <c r="T116" i="33"/>
  <c r="T140" i="33"/>
  <c r="U25" i="33"/>
  <c r="P26" i="33"/>
  <c r="V27" i="33"/>
  <c r="V133" i="33"/>
  <c r="V19" i="33"/>
  <c r="V130" i="33"/>
  <c r="S90" i="33"/>
  <c r="S103" i="33"/>
  <c r="S116" i="33"/>
  <c r="S140" i="33"/>
  <c r="P24" i="33"/>
  <c r="Q90" i="33"/>
  <c r="Q116" i="33"/>
  <c r="Q103" i="33"/>
  <c r="Q140" i="33"/>
  <c r="U24" i="33"/>
  <c r="K29" i="33"/>
  <c r="O27" i="33"/>
  <c r="O134" i="33"/>
  <c r="R90" i="33"/>
  <c r="R103" i="33"/>
  <c r="R116" i="33"/>
  <c r="R140" i="33"/>
  <c r="R17" i="33"/>
  <c r="V29" i="33"/>
  <c r="U32" i="33"/>
  <c r="U41" i="33" s="1"/>
  <c r="V90" i="33"/>
  <c r="V103" i="33"/>
  <c r="V116" i="33"/>
  <c r="V140" i="33"/>
  <c r="S32" i="33"/>
  <c r="S28" i="33"/>
  <c r="S41" i="33" s="1"/>
  <c r="U31" i="33"/>
  <c r="K30" i="33"/>
  <c r="S24" i="33"/>
  <c r="R26" i="33"/>
  <c r="W103" i="33"/>
  <c r="W116" i="33"/>
  <c r="W90" i="33"/>
  <c r="W140" i="33"/>
  <c r="Q29" i="33"/>
  <c r="AI31" i="33"/>
  <c r="Z24" i="33"/>
  <c r="S25" i="33"/>
  <c r="Z27" i="33"/>
  <c r="Q25" i="33"/>
  <c r="R27" i="33"/>
  <c r="AF19" i="33"/>
  <c r="L29" i="33"/>
  <c r="R30" i="33"/>
  <c r="AJ30" i="33"/>
  <c r="AJ137" i="33"/>
  <c r="Q26" i="33"/>
  <c r="AF29" i="33"/>
  <c r="AI28" i="33"/>
  <c r="AI43" i="33" s="1"/>
  <c r="AI135" i="33"/>
  <c r="U17" i="33"/>
  <c r="S18" i="33"/>
  <c r="Z26" i="33"/>
  <c r="Z36" i="33" s="1"/>
  <c r="AF24" i="33"/>
  <c r="AF38" i="33" s="1"/>
  <c r="J27" i="33"/>
  <c r="K26" i="33"/>
  <c r="Q27" i="33"/>
  <c r="AA28" i="33"/>
  <c r="T30" i="33"/>
  <c r="U19" i="33"/>
  <c r="AF16" i="33"/>
  <c r="N32" i="33"/>
  <c r="K31" i="33"/>
  <c r="AI130" i="33"/>
  <c r="AI17" i="33"/>
  <c r="AI19" i="33"/>
  <c r="S19" i="33"/>
  <c r="U28" i="33"/>
  <c r="S17" i="33"/>
  <c r="U18" i="33"/>
  <c r="V17" i="33"/>
  <c r="W32" i="33"/>
  <c r="T19" i="33"/>
  <c r="AK32" i="33"/>
  <c r="AK139" i="33"/>
  <c r="AM29" i="33"/>
  <c r="R18" i="33"/>
  <c r="AI29" i="33"/>
  <c r="AI36" i="33" s="1"/>
  <c r="AI136" i="33"/>
  <c r="K24" i="33"/>
  <c r="AA17" i="33"/>
  <c r="T28" i="33"/>
  <c r="V26" i="33"/>
  <c r="N31" i="33"/>
  <c r="V16" i="33"/>
  <c r="AD16" i="33"/>
  <c r="Q16" i="33"/>
  <c r="AA16" i="33"/>
  <c r="T17" i="33"/>
  <c r="AM26" i="33"/>
  <c r="AC25" i="33"/>
  <c r="O5" i="33"/>
  <c r="O131" i="33" s="1"/>
  <c r="J4" i="33"/>
  <c r="J130" i="33" s="1"/>
  <c r="R31" i="33"/>
  <c r="H44" i="9"/>
  <c r="N40" i="9"/>
  <c r="AC32" i="33"/>
  <c r="AC47" i="33" s="1"/>
  <c r="V24" i="33"/>
  <c r="Q17" i="33"/>
  <c r="V18" i="33"/>
  <c r="AA19" i="33"/>
  <c r="AH27" i="33"/>
  <c r="M4" i="33"/>
  <c r="M130" i="33" s="1"/>
  <c r="O6" i="33"/>
  <c r="L12" i="33"/>
  <c r="L138" i="33" s="1"/>
  <c r="J14" i="33"/>
  <c r="AI18" i="33"/>
  <c r="L26" i="33"/>
  <c r="K28" i="33"/>
  <c r="M31" i="33"/>
  <c r="L27" i="33"/>
  <c r="Q18" i="33"/>
  <c r="AM32" i="33"/>
  <c r="AK24" i="33"/>
  <c r="AK35" i="33" s="1"/>
  <c r="AC31" i="33"/>
  <c r="M28" i="33"/>
  <c r="N30" i="33"/>
  <c r="N48" i="33" s="1"/>
  <c r="AD18" i="33"/>
  <c r="AH28" i="33"/>
  <c r="AH42" i="33" s="1"/>
  <c r="O19" i="33"/>
  <c r="T16" i="33"/>
  <c r="AD24" i="33"/>
  <c r="AD35" i="33" s="1"/>
  <c r="AJ24" i="33"/>
  <c r="AJ25" i="33"/>
  <c r="AA31" i="33"/>
  <c r="AJ28" i="33"/>
  <c r="T29" i="33"/>
  <c r="L30" i="33"/>
  <c r="O31" i="33"/>
  <c r="M30" i="33"/>
  <c r="AM19" i="33"/>
  <c r="AB16" i="33"/>
  <c r="R24" i="33"/>
  <c r="AI30" i="33"/>
  <c r="T18" i="33"/>
  <c r="O30" i="33"/>
  <c r="O49" i="33" s="1"/>
  <c r="Z32" i="33"/>
  <c r="Z49" i="33" s="1"/>
  <c r="Z29" i="33"/>
  <c r="Z44" i="33" s="1"/>
  <c r="Z136" i="33"/>
  <c r="AD32" i="33"/>
  <c r="AD139" i="33"/>
  <c r="J6" i="33"/>
  <c r="J132" i="33" s="1"/>
  <c r="L13" i="33"/>
  <c r="L139" i="33" s="1"/>
  <c r="P8" i="33"/>
  <c r="L14" i="33"/>
  <c r="R16" i="33"/>
  <c r="AI25" i="33"/>
  <c r="AI38" i="33" s="1"/>
  <c r="AH31" i="33"/>
  <c r="AH48" i="33" s="1"/>
  <c r="U16" i="33"/>
  <c r="AD17" i="33"/>
  <c r="V31" i="33"/>
  <c r="V47" i="33" s="1"/>
  <c r="J28" i="33"/>
  <c r="AM16" i="33"/>
  <c r="AB17" i="33"/>
  <c r="T27" i="33"/>
  <c r="AJ18" i="33"/>
  <c r="AC29" i="33"/>
  <c r="Q31" i="33"/>
  <c r="AA140" i="33"/>
  <c r="P10" i="33"/>
  <c r="P136" i="33" s="1"/>
  <c r="X136" i="33" s="1"/>
  <c r="P9" i="33"/>
  <c r="P135" i="33" s="1"/>
  <c r="N5" i="33"/>
  <c r="P14" i="33"/>
  <c r="AA32" i="33"/>
  <c r="AI16" i="33"/>
  <c r="AH29" i="33"/>
  <c r="AA24" i="33"/>
  <c r="AJ32" i="33"/>
  <c r="AM30" i="33"/>
  <c r="AM17" i="33"/>
  <c r="AB18" i="33"/>
  <c r="V30" i="33"/>
  <c r="AJ17" i="33"/>
  <c r="AB29" i="33"/>
  <c r="AB36" i="33" s="1"/>
  <c r="AH26" i="33"/>
  <c r="AH37" i="33" s="1"/>
  <c r="T31" i="33"/>
  <c r="T48" i="33" s="1"/>
  <c r="N7" i="33"/>
  <c r="N133" i="33" s="1"/>
  <c r="N6" i="33"/>
  <c r="N132" i="33" s="1"/>
  <c r="J12" i="33"/>
  <c r="J138" i="33" s="1"/>
  <c r="K14" i="33"/>
  <c r="Z16" i="33"/>
  <c r="Z18" i="33"/>
  <c r="S16" i="33"/>
  <c r="S26" i="33"/>
  <c r="S37" i="33" s="1"/>
  <c r="AB28" i="33"/>
  <c r="L4" i="33"/>
  <c r="L130" i="33" s="1"/>
  <c r="K13" i="33"/>
  <c r="P11" i="33"/>
  <c r="P137" i="33" s="1"/>
  <c r="X137" i="33" s="1"/>
  <c r="O14" i="33"/>
  <c r="W31" i="33"/>
  <c r="W44" i="33" s="1"/>
  <c r="J30" i="33"/>
  <c r="M24" i="33"/>
  <c r="AJ16" i="33"/>
  <c r="AA30" i="33"/>
  <c r="AA43" i="33" s="1"/>
  <c r="P25" i="33"/>
  <c r="N29" i="33"/>
  <c r="AE30" i="33"/>
  <c r="AK18" i="33"/>
  <c r="M32" i="33"/>
  <c r="M48" i="33" s="1"/>
  <c r="AH18" i="33"/>
  <c r="AJ19" i="33"/>
  <c r="Q30" i="33"/>
  <c r="AC26" i="33"/>
  <c r="R28" i="33"/>
  <c r="J5" i="33"/>
  <c r="J131" i="33" s="1"/>
  <c r="O9" i="33"/>
  <c r="N8" i="33"/>
  <c r="N134" i="33" s="1"/>
  <c r="N14" i="33"/>
  <c r="Q24" i="33"/>
  <c r="Q19" i="33"/>
  <c r="R32" i="33"/>
  <c r="AH32" i="33"/>
  <c r="AM18" i="33"/>
  <c r="AI32" i="33"/>
  <c r="K27" i="33"/>
  <c r="AC30" i="33"/>
  <c r="AC48" i="33" s="1"/>
  <c r="AJ29" i="33"/>
  <c r="AJ35" i="33" s="1"/>
  <c r="AH19" i="33"/>
  <c r="AE32" i="33"/>
  <c r="O10" i="33"/>
  <c r="O136" i="33" s="1"/>
  <c r="M6" i="33"/>
  <c r="M132" i="33" s="1"/>
  <c r="L5" i="33"/>
  <c r="L131" i="33" s="1"/>
  <c r="M14" i="33"/>
  <c r="K25" i="33"/>
  <c r="V25" i="33"/>
  <c r="R25" i="33"/>
  <c r="AA18" i="33"/>
  <c r="AB19" i="33"/>
  <c r="AH16" i="33"/>
  <c r="Q32" i="33"/>
  <c r="Q48" i="33" s="1"/>
  <c r="AK16" i="33"/>
  <c r="AC19" i="33"/>
  <c r="J29" i="33"/>
  <c r="AL25" i="33"/>
  <c r="AL37" i="33" s="1"/>
  <c r="M29" i="33"/>
  <c r="M42" i="33" s="1"/>
  <c r="AC28" i="33"/>
  <c r="AC37" i="33" s="1"/>
  <c r="W26" i="33"/>
  <c r="AK19" i="33"/>
  <c r="Z17" i="33"/>
  <c r="AE29" i="33"/>
  <c r="AE41" i="33" s="1"/>
  <c r="AC18" i="33"/>
  <c r="AH17" i="33"/>
  <c r="R19" i="33"/>
  <c r="U29" i="33"/>
  <c r="W25" i="33"/>
  <c r="AC24" i="33"/>
  <c r="AH140" i="33"/>
  <c r="M7" i="33"/>
  <c r="P12" i="33"/>
  <c r="P138" i="33" s="1"/>
  <c r="AJ48" i="33"/>
  <c r="AF47" i="33"/>
  <c r="AG44" i="33"/>
  <c r="AG49" i="33"/>
  <c r="AF49" i="33"/>
  <c r="AI49" i="33"/>
  <c r="AB49" i="33"/>
  <c r="AI48" i="33"/>
  <c r="AJ49" i="33"/>
  <c r="W65" i="33"/>
  <c r="W104" i="33" s="1"/>
  <c r="AM65" i="33"/>
  <c r="P65" i="33"/>
  <c r="P104" i="33" s="1"/>
  <c r="AF65" i="33"/>
  <c r="V65" i="33"/>
  <c r="V104" i="33" s="1"/>
  <c r="O65" i="33"/>
  <c r="O104" i="33" s="1"/>
  <c r="AL65" i="33"/>
  <c r="AE65" i="33"/>
  <c r="AB53" i="33"/>
  <c r="AI53" i="33"/>
  <c r="L53" i="33"/>
  <c r="S53" i="33"/>
  <c r="W53" i="33"/>
  <c r="W91" i="33" s="1"/>
  <c r="AM53" i="33"/>
  <c r="P53" i="33"/>
  <c r="P91" i="33" s="1"/>
  <c r="AF53" i="33"/>
  <c r="AK65" i="33"/>
  <c r="N65" i="33"/>
  <c r="N104" i="33" s="1"/>
  <c r="U65" i="33"/>
  <c r="U104" i="33" s="1"/>
  <c r="AD65" i="33"/>
  <c r="Q36" i="33"/>
  <c r="AJ47" i="33"/>
  <c r="R41" i="33"/>
  <c r="V53" i="33"/>
  <c r="V91" i="33" s="1"/>
  <c r="O53" i="33"/>
  <c r="O91" i="33" s="1"/>
  <c r="AL53" i="33"/>
  <c r="AE53" i="33"/>
  <c r="AK53" i="33"/>
  <c r="AD53" i="33"/>
  <c r="N53" i="33"/>
  <c r="N91" i="33" s="1"/>
  <c r="U53" i="33"/>
  <c r="U91" i="33" s="1"/>
  <c r="W35" i="33"/>
  <c r="AH41" i="33"/>
  <c r="AJ53" i="33"/>
  <c r="M53" i="33"/>
  <c r="M91" i="33" s="1"/>
  <c r="AC53" i="33"/>
  <c r="T53" i="33"/>
  <c r="T91" i="33" s="1"/>
  <c r="AB47" i="33"/>
  <c r="Q47" i="33"/>
  <c r="W48" i="33"/>
  <c r="W49" i="33"/>
  <c r="M47" i="33"/>
  <c r="AB48" i="33"/>
  <c r="AD48" i="33"/>
  <c r="AD47" i="33"/>
  <c r="AD49" i="33"/>
  <c r="AG47" i="33"/>
  <c r="AG48" i="33"/>
  <c r="AG41" i="33"/>
  <c r="AI47" i="33"/>
  <c r="W36" i="33"/>
  <c r="AE48" i="33"/>
  <c r="AE47" i="33"/>
  <c r="AE49" i="33"/>
  <c r="AL48" i="33"/>
  <c r="AL47" i="33"/>
  <c r="AL49" i="33"/>
  <c r="M44" i="33"/>
  <c r="AB42" i="33"/>
  <c r="AB43" i="33"/>
  <c r="AB41" i="33"/>
  <c r="AB44" i="33"/>
  <c r="R47" i="33"/>
  <c r="AF48" i="33"/>
  <c r="AK48" i="33"/>
  <c r="AK47" i="33"/>
  <c r="AK49" i="33"/>
  <c r="AM48" i="33"/>
  <c r="AM47" i="33"/>
  <c r="AM49" i="33"/>
  <c r="S48" i="33"/>
  <c r="S47" i="33"/>
  <c r="S49" i="33"/>
  <c r="AG42" i="33"/>
  <c r="AG43" i="33"/>
  <c r="R48" i="33"/>
  <c r="Q43" i="33"/>
  <c r="Q41" i="33"/>
  <c r="Q42" i="33"/>
  <c r="AM44" i="33"/>
  <c r="AM42" i="33"/>
  <c r="AM41" i="33"/>
  <c r="AM43" i="33"/>
  <c r="AL44" i="33"/>
  <c r="AL41" i="33"/>
  <c r="AL42" i="33"/>
  <c r="AL43" i="33"/>
  <c r="AF43" i="33"/>
  <c r="AF44" i="33"/>
  <c r="AF42" i="33"/>
  <c r="AF41" i="33"/>
  <c r="S44" i="33"/>
  <c r="AK43" i="33"/>
  <c r="AK44" i="33"/>
  <c r="AK41" i="33"/>
  <c r="AK42" i="33"/>
  <c r="W37" i="33"/>
  <c r="AG36" i="33"/>
  <c r="AD44" i="33"/>
  <c r="AD41" i="33"/>
  <c r="AD43" i="33"/>
  <c r="AD42" i="33"/>
  <c r="U42" i="33"/>
  <c r="Q37" i="33"/>
  <c r="AJ42" i="33"/>
  <c r="AJ43" i="33"/>
  <c r="AI41" i="33"/>
  <c r="Z38" i="33"/>
  <c r="U38" i="33"/>
  <c r="R37" i="33"/>
  <c r="AA37" i="33"/>
  <c r="AB35" i="33"/>
  <c r="AF35" i="33"/>
  <c r="AM36" i="33"/>
  <c r="AM38" i="33"/>
  <c r="AM35" i="33"/>
  <c r="AL36" i="33"/>
  <c r="AL38" i="33"/>
  <c r="AI37" i="33"/>
  <c r="AJ38" i="33"/>
  <c r="AJ37" i="33"/>
  <c r="AL35" i="33"/>
  <c r="AJ36" i="33"/>
  <c r="AH35" i="33"/>
  <c r="AM37" i="33"/>
  <c r="AB37" i="33"/>
  <c r="AG37" i="33"/>
  <c r="AG35" i="33"/>
  <c r="AG38" i="33"/>
  <c r="AB38" i="33"/>
  <c r="AA35" i="33"/>
  <c r="Z35" i="33"/>
  <c r="H10" i="54" l="1"/>
  <c r="G10" i="24"/>
  <c r="L10" i="24" s="1"/>
  <c r="H11" i="54"/>
  <c r="G11" i="24"/>
  <c r="L11" i="24" s="1"/>
  <c r="M27" i="33"/>
  <c r="M133" i="33"/>
  <c r="X133" i="33" s="1"/>
  <c r="M90" i="33"/>
  <c r="M103" i="33"/>
  <c r="M116" i="33"/>
  <c r="M140" i="33"/>
  <c r="O18" i="33"/>
  <c r="O132" i="33"/>
  <c r="X132" i="33" s="1"/>
  <c r="X10" i="33"/>
  <c r="U36" i="33"/>
  <c r="S38" i="33"/>
  <c r="U48" i="33"/>
  <c r="U47" i="33"/>
  <c r="U49" i="33"/>
  <c r="X9" i="33"/>
  <c r="O135" i="33"/>
  <c r="X135" i="33" s="1"/>
  <c r="P16" i="33"/>
  <c r="P134" i="33"/>
  <c r="X134" i="33" s="1"/>
  <c r="W38" i="33"/>
  <c r="O103" i="33"/>
  <c r="O116" i="33"/>
  <c r="O90" i="33"/>
  <c r="O140" i="33"/>
  <c r="R35" i="33"/>
  <c r="U44" i="33"/>
  <c r="U35" i="33"/>
  <c r="M49" i="33"/>
  <c r="R44" i="33"/>
  <c r="K103" i="33"/>
  <c r="K116" i="33"/>
  <c r="K90" i="33"/>
  <c r="K140" i="33"/>
  <c r="M41" i="33"/>
  <c r="X130" i="33"/>
  <c r="S36" i="33"/>
  <c r="K16" i="33"/>
  <c r="K139" i="33"/>
  <c r="X139" i="33" s="1"/>
  <c r="X138" i="33"/>
  <c r="P116" i="33"/>
  <c r="P90" i="33"/>
  <c r="P103" i="33"/>
  <c r="P140" i="33"/>
  <c r="N47" i="33"/>
  <c r="N19" i="33"/>
  <c r="N90" i="33"/>
  <c r="N103" i="33"/>
  <c r="N116" i="33"/>
  <c r="N140" i="33"/>
  <c r="S42" i="33"/>
  <c r="U43" i="33"/>
  <c r="U37" i="33"/>
  <c r="S43" i="33"/>
  <c r="O47" i="33"/>
  <c r="N17" i="33"/>
  <c r="N131" i="33"/>
  <c r="X131" i="33" s="1"/>
  <c r="R49" i="33"/>
  <c r="L90" i="33"/>
  <c r="L103" i="33"/>
  <c r="L116" i="33"/>
  <c r="L140" i="33"/>
  <c r="P32" i="33"/>
  <c r="J90" i="33"/>
  <c r="J140" i="33"/>
  <c r="J103" i="33"/>
  <c r="X103" i="33" s="1"/>
  <c r="V37" i="33"/>
  <c r="T35" i="33"/>
  <c r="N27" i="33"/>
  <c r="AD36" i="33"/>
  <c r="AE36" i="33"/>
  <c r="Z48" i="33"/>
  <c r="Z47" i="33"/>
  <c r="M17" i="33"/>
  <c r="M19" i="33"/>
  <c r="M18" i="33"/>
  <c r="M16" i="33"/>
  <c r="AK37" i="33"/>
  <c r="AJ41" i="33"/>
  <c r="O29" i="33"/>
  <c r="P29" i="33"/>
  <c r="O24" i="33"/>
  <c r="X8" i="33"/>
  <c r="AA49" i="33"/>
  <c r="T38" i="33"/>
  <c r="M25" i="33"/>
  <c r="P28" i="33"/>
  <c r="X4" i="33"/>
  <c r="J17" i="33"/>
  <c r="J18" i="33"/>
  <c r="J16" i="33"/>
  <c r="J19" i="33"/>
  <c r="R38" i="33"/>
  <c r="AH43" i="33"/>
  <c r="AK38" i="33"/>
  <c r="Z43" i="33"/>
  <c r="AJ44" i="33"/>
  <c r="AE37" i="33"/>
  <c r="AE38" i="33"/>
  <c r="V35" i="33"/>
  <c r="N49" i="33"/>
  <c r="V48" i="33"/>
  <c r="P31" i="33"/>
  <c r="V38" i="33"/>
  <c r="AE35" i="33"/>
  <c r="M26" i="33"/>
  <c r="T37" i="33"/>
  <c r="AI42" i="33"/>
  <c r="L32" i="33"/>
  <c r="AA48" i="33"/>
  <c r="Z42" i="33"/>
  <c r="AD38" i="33"/>
  <c r="X6" i="33"/>
  <c r="J25" i="33"/>
  <c r="AC36" i="33"/>
  <c r="X14" i="33"/>
  <c r="L24" i="33"/>
  <c r="L25" i="33"/>
  <c r="AH38" i="33"/>
  <c r="V43" i="33"/>
  <c r="AC49" i="33"/>
  <c r="AA38" i="33"/>
  <c r="W42" i="33"/>
  <c r="W43" i="33"/>
  <c r="R42" i="33"/>
  <c r="AH36" i="33"/>
  <c r="Z41" i="33"/>
  <c r="T42" i="33"/>
  <c r="W41" i="33"/>
  <c r="Q44" i="33"/>
  <c r="M43" i="33"/>
  <c r="T49" i="33"/>
  <c r="AI44" i="33"/>
  <c r="N16" i="33"/>
  <c r="N28" i="33"/>
  <c r="AA47" i="33"/>
  <c r="O28" i="33"/>
  <c r="AH44" i="33"/>
  <c r="K32" i="33"/>
  <c r="AI35" i="33"/>
  <c r="R43" i="33"/>
  <c r="T41" i="33"/>
  <c r="T47" i="33"/>
  <c r="V49" i="33"/>
  <c r="K18" i="33"/>
  <c r="X5" i="33"/>
  <c r="J24" i="33"/>
  <c r="P30" i="33"/>
  <c r="T44" i="33"/>
  <c r="AK36" i="33"/>
  <c r="T36" i="33"/>
  <c r="V36" i="33"/>
  <c r="X11" i="33"/>
  <c r="K17" i="33"/>
  <c r="V41" i="33"/>
  <c r="AC35" i="33"/>
  <c r="AD37" i="33"/>
  <c r="S35" i="33"/>
  <c r="AF36" i="33"/>
  <c r="AA44" i="33"/>
  <c r="AE44" i="33"/>
  <c r="AC42" i="33"/>
  <c r="Q38" i="33"/>
  <c r="W47" i="33"/>
  <c r="O17" i="33"/>
  <c r="O16" i="33"/>
  <c r="X12" i="33"/>
  <c r="J31" i="33"/>
  <c r="J48" i="33" s="1"/>
  <c r="N18" i="33"/>
  <c r="N24" i="33"/>
  <c r="T43" i="33"/>
  <c r="L17" i="33"/>
  <c r="L19" i="33"/>
  <c r="L16" i="33"/>
  <c r="L18" i="33"/>
  <c r="AC38" i="33"/>
  <c r="AF37" i="33"/>
  <c r="AA41" i="33"/>
  <c r="AE42" i="33"/>
  <c r="AC44" i="33"/>
  <c r="AH49" i="33"/>
  <c r="Q49" i="33"/>
  <c r="X7" i="33"/>
  <c r="N25" i="33"/>
  <c r="V44" i="33"/>
  <c r="AA36" i="33"/>
  <c r="R36" i="33"/>
  <c r="K36" i="33"/>
  <c r="AA42" i="33"/>
  <c r="AE43" i="33"/>
  <c r="AC41" i="33"/>
  <c r="AH47" i="33"/>
  <c r="J26" i="33"/>
  <c r="K19" i="33"/>
  <c r="J32" i="33"/>
  <c r="L31" i="33"/>
  <c r="N26" i="33"/>
  <c r="O48" i="33"/>
  <c r="P27" i="33"/>
  <c r="P35" i="33" s="1"/>
  <c r="P18" i="33"/>
  <c r="P19" i="33"/>
  <c r="P17" i="33"/>
  <c r="V42" i="33"/>
  <c r="Z37" i="33"/>
  <c r="AC43" i="33"/>
  <c r="Q35" i="33"/>
  <c r="X13" i="33"/>
  <c r="O26" i="33"/>
  <c r="O25" i="33"/>
  <c r="AF80" i="33"/>
  <c r="W80" i="33"/>
  <c r="W120" i="33" s="1"/>
  <c r="P80" i="33"/>
  <c r="P120" i="33" s="1"/>
  <c r="AM80" i="33"/>
  <c r="AA79" i="33"/>
  <c r="R79" i="33"/>
  <c r="R119" i="33" s="1"/>
  <c r="AH79" i="33"/>
  <c r="K79" i="33"/>
  <c r="K119" i="33" s="1"/>
  <c r="S79" i="33"/>
  <c r="S119" i="33" s="1"/>
  <c r="AB79" i="33"/>
  <c r="AI79" i="33"/>
  <c r="L79" i="33"/>
  <c r="L119" i="33" s="1"/>
  <c r="R66" i="33"/>
  <c r="R105" i="33" s="1"/>
  <c r="AH66" i="33"/>
  <c r="AA66" i="33"/>
  <c r="K66" i="33"/>
  <c r="K105" i="33" s="1"/>
  <c r="Q66" i="33"/>
  <c r="Q105" i="33" s="1"/>
  <c r="Z66" i="33"/>
  <c r="J66" i="33"/>
  <c r="J105" i="33" s="1"/>
  <c r="AG66" i="33"/>
  <c r="M79" i="33"/>
  <c r="M119" i="33" s="1"/>
  <c r="T79" i="33"/>
  <c r="T119" i="33" s="1"/>
  <c r="AC79" i="33"/>
  <c r="AJ79" i="33"/>
  <c r="AK80" i="33"/>
  <c r="N80" i="33"/>
  <c r="N120" i="33" s="1"/>
  <c r="U80" i="33"/>
  <c r="U120" i="33" s="1"/>
  <c r="AD80" i="33"/>
  <c r="N78" i="33"/>
  <c r="N118" i="33" s="1"/>
  <c r="AK78" i="33"/>
  <c r="AD78" i="33"/>
  <c r="U78" i="33"/>
  <c r="U118" i="33" s="1"/>
  <c r="P78" i="33"/>
  <c r="P118" i="33" s="1"/>
  <c r="AM78" i="33"/>
  <c r="AF78" i="33"/>
  <c r="W78" i="33"/>
  <c r="W118" i="33" s="1"/>
  <c r="N77" i="33"/>
  <c r="N117" i="33" s="1"/>
  <c r="U77" i="33"/>
  <c r="U117" i="33" s="1"/>
  <c r="AK77" i="33"/>
  <c r="AD77" i="33"/>
  <c r="W77" i="33"/>
  <c r="W117" i="33" s="1"/>
  <c r="AM77" i="33"/>
  <c r="P77" i="33"/>
  <c r="P117" i="33" s="1"/>
  <c r="AF77" i="33"/>
  <c r="AL66" i="33"/>
  <c r="O66" i="33"/>
  <c r="O105" i="33" s="1"/>
  <c r="AE66" i="33"/>
  <c r="V66" i="33"/>
  <c r="V105" i="33" s="1"/>
  <c r="P54" i="33"/>
  <c r="P92" i="33" s="1"/>
  <c r="AM54" i="33"/>
  <c r="W54" i="33"/>
  <c r="W92" i="33" s="1"/>
  <c r="AF54" i="33"/>
  <c r="Z65" i="33"/>
  <c r="Q65" i="33"/>
  <c r="Q104" i="33" s="1"/>
  <c r="J65" i="33"/>
  <c r="J104" i="33" s="1"/>
  <c r="AG65" i="33"/>
  <c r="AA53" i="33"/>
  <c r="AH53" i="33"/>
  <c r="R53" i="33"/>
  <c r="R91" i="33" s="1"/>
  <c r="K53" i="33"/>
  <c r="K91" i="33" s="1"/>
  <c r="AM79" i="33"/>
  <c r="W79" i="33"/>
  <c r="W119" i="33" s="1"/>
  <c r="P79" i="33"/>
  <c r="P119" i="33" s="1"/>
  <c r="AF79" i="33"/>
  <c r="AJ54" i="33"/>
  <c r="AC54" i="33"/>
  <c r="T54" i="33"/>
  <c r="T92" i="33" s="1"/>
  <c r="M54" i="33"/>
  <c r="M92" i="33" s="1"/>
  <c r="AI54" i="33"/>
  <c r="AB54" i="33"/>
  <c r="S54" i="33"/>
  <c r="L54" i="33"/>
  <c r="M78" i="33"/>
  <c r="M118" i="33" s="1"/>
  <c r="AC78" i="33"/>
  <c r="T78" i="33"/>
  <c r="T118" i="33" s="1"/>
  <c r="AJ78" i="33"/>
  <c r="S65" i="33"/>
  <c r="L65" i="33"/>
  <c r="AI65" i="33"/>
  <c r="AB65" i="33"/>
  <c r="AG54" i="33"/>
  <c r="Z54" i="33"/>
  <c r="J54" i="33"/>
  <c r="Q54" i="33"/>
  <c r="Q92" i="33" s="1"/>
  <c r="AK79" i="33"/>
  <c r="U79" i="33"/>
  <c r="U119" i="33" s="1"/>
  <c r="AD79" i="33"/>
  <c r="N79" i="33"/>
  <c r="N119" i="33" s="1"/>
  <c r="M77" i="33"/>
  <c r="M117" i="33" s="1"/>
  <c r="T77" i="33"/>
  <c r="T117" i="33" s="1"/>
  <c r="AJ77" i="33"/>
  <c r="AC77" i="33"/>
  <c r="AL54" i="33"/>
  <c r="O54" i="33"/>
  <c r="O92" i="33" s="1"/>
  <c r="AE54" i="33"/>
  <c r="V54" i="33"/>
  <c r="V92" i="33" s="1"/>
  <c r="AK66" i="33"/>
  <c r="N66" i="33"/>
  <c r="N105" i="33" s="1"/>
  <c r="U66" i="33"/>
  <c r="U105" i="33" s="1"/>
  <c r="AD66" i="33"/>
  <c r="P66" i="33"/>
  <c r="P105" i="33" s="1"/>
  <c r="W66" i="33"/>
  <c r="W105" i="33" s="1"/>
  <c r="AM66" i="33"/>
  <c r="AF66" i="33"/>
  <c r="AB78" i="33"/>
  <c r="L78" i="33"/>
  <c r="L118" i="33" s="1"/>
  <c r="AI78" i="33"/>
  <c r="S78" i="33"/>
  <c r="S118" i="33" s="1"/>
  <c r="Z77" i="33"/>
  <c r="Q77" i="33"/>
  <c r="Q117" i="33" s="1"/>
  <c r="J77" i="33"/>
  <c r="AG77" i="33"/>
  <c r="V77" i="33"/>
  <c r="V117" i="33" s="1"/>
  <c r="O77" i="33"/>
  <c r="O117" i="33" s="1"/>
  <c r="AL77" i="33"/>
  <c r="AE77" i="33"/>
  <c r="M65" i="33"/>
  <c r="M104" i="33" s="1"/>
  <c r="AJ65" i="33"/>
  <c r="AC65" i="33"/>
  <c r="T65" i="33"/>
  <c r="T104" i="33" s="1"/>
  <c r="AK54" i="33"/>
  <c r="N54" i="33"/>
  <c r="N92" i="33" s="1"/>
  <c r="U54" i="33"/>
  <c r="U92" i="33" s="1"/>
  <c r="AD54" i="33"/>
  <c r="S77" i="33"/>
  <c r="S117" i="33" s="1"/>
  <c r="AB77" i="33"/>
  <c r="L77" i="33"/>
  <c r="L117" i="33" s="1"/>
  <c r="AI77" i="33"/>
  <c r="O78" i="33"/>
  <c r="O118" i="33" s="1"/>
  <c r="AL78" i="33"/>
  <c r="AE78" i="33"/>
  <c r="V78" i="33"/>
  <c r="V118" i="33" s="1"/>
  <c r="R65" i="33"/>
  <c r="R104" i="33" s="1"/>
  <c r="K65" i="33"/>
  <c r="K104" i="33" s="1"/>
  <c r="AH65" i="33"/>
  <c r="AA65" i="33"/>
  <c r="Z53" i="33"/>
  <c r="Q53" i="33"/>
  <c r="Q91" i="33" s="1"/>
  <c r="AG53" i="33"/>
  <c r="J53" i="33"/>
  <c r="J91" i="33" s="1"/>
  <c r="AH77" i="33"/>
  <c r="R77" i="33"/>
  <c r="R117" i="33" s="1"/>
  <c r="AA77" i="33"/>
  <c r="K77" i="33"/>
  <c r="K117" i="33" s="1"/>
  <c r="Q78" i="33"/>
  <c r="Q118" i="33" s="1"/>
  <c r="J78" i="33"/>
  <c r="Z78" i="33"/>
  <c r="AG78" i="33"/>
  <c r="AA78" i="33"/>
  <c r="K78" i="33"/>
  <c r="K118" i="33" s="1"/>
  <c r="AH78" i="33"/>
  <c r="R78" i="33"/>
  <c r="R118" i="33" s="1"/>
  <c r="D12" i="21"/>
  <c r="D10" i="21"/>
  <c r="D8" i="21"/>
  <c r="Z6" i="19"/>
  <c r="Z7" i="19"/>
  <c r="Z8" i="19"/>
  <c r="Z9" i="19"/>
  <c r="Z10" i="19"/>
  <c r="Z11" i="19"/>
  <c r="Z12" i="19"/>
  <c r="Z13" i="19"/>
  <c r="Z14" i="19"/>
  <c r="Z5" i="19"/>
  <c r="V6" i="19"/>
  <c r="V7" i="19"/>
  <c r="V8" i="19"/>
  <c r="V9" i="19"/>
  <c r="V10" i="19"/>
  <c r="V11" i="19"/>
  <c r="V12" i="19"/>
  <c r="V13" i="19"/>
  <c r="V14" i="19"/>
  <c r="V5" i="19"/>
  <c r="H6" i="54" l="1"/>
  <c r="G6" i="24"/>
  <c r="L6" i="24" s="1"/>
  <c r="H5" i="54"/>
  <c r="G5" i="24"/>
  <c r="L5" i="24" s="1"/>
  <c r="H8" i="54"/>
  <c r="G8" i="24"/>
  <c r="L8" i="24" s="1"/>
  <c r="X140" i="33"/>
  <c r="H7" i="54"/>
  <c r="G7" i="24"/>
  <c r="L7" i="24" s="1"/>
  <c r="S104" i="33"/>
  <c r="S91" i="33"/>
  <c r="J41" i="33"/>
  <c r="L91" i="33"/>
  <c r="X91" i="33" s="1"/>
  <c r="L104" i="33"/>
  <c r="X104" i="33" s="1"/>
  <c r="X90" i="33"/>
  <c r="H12" i="54"/>
  <c r="G12" i="24"/>
  <c r="L12" i="24" s="1"/>
  <c r="H9" i="54"/>
  <c r="G9" i="24"/>
  <c r="L9" i="24" s="1"/>
  <c r="H13" i="54"/>
  <c r="G13" i="24"/>
  <c r="L13" i="24" s="1"/>
  <c r="J49" i="33"/>
  <c r="N44" i="33"/>
  <c r="N42" i="33"/>
  <c r="N41" i="33"/>
  <c r="N43" i="33"/>
  <c r="L36" i="33"/>
  <c r="L38" i="33"/>
  <c r="L37" i="33"/>
  <c r="L35" i="33"/>
  <c r="P42" i="33"/>
  <c r="P41" i="33"/>
  <c r="P43" i="33"/>
  <c r="P44" i="33"/>
  <c r="N36" i="33"/>
  <c r="N37" i="33"/>
  <c r="N38" i="33"/>
  <c r="N35" i="33"/>
  <c r="M35" i="33"/>
  <c r="M38" i="33"/>
  <c r="P37" i="33"/>
  <c r="J44" i="33"/>
  <c r="P36" i="33"/>
  <c r="L49" i="33"/>
  <c r="L48" i="33"/>
  <c r="L41" i="33"/>
  <c r="L47" i="33"/>
  <c r="K47" i="33"/>
  <c r="K48" i="33"/>
  <c r="K41" i="33"/>
  <c r="K49" i="33"/>
  <c r="K43" i="33"/>
  <c r="K42" i="33"/>
  <c r="L43" i="33"/>
  <c r="K38" i="33"/>
  <c r="M36" i="33"/>
  <c r="P38" i="33"/>
  <c r="J47" i="33"/>
  <c r="O36" i="33"/>
  <c r="O35" i="33"/>
  <c r="O38" i="33"/>
  <c r="O37" i="33"/>
  <c r="J42" i="33"/>
  <c r="P47" i="33"/>
  <c r="P49" i="33"/>
  <c r="P48" i="33"/>
  <c r="O41" i="33"/>
  <c r="O42" i="33"/>
  <c r="O44" i="33"/>
  <c r="O43" i="33"/>
  <c r="K35" i="33"/>
  <c r="L42" i="33"/>
  <c r="J36" i="33"/>
  <c r="J37" i="33"/>
  <c r="J38" i="33"/>
  <c r="J116" i="33" s="1"/>
  <c r="X116" i="33" s="1"/>
  <c r="J35" i="33"/>
  <c r="K44" i="33"/>
  <c r="J43" i="33"/>
  <c r="AM140" i="33"/>
  <c r="AM137" i="33"/>
  <c r="AM133" i="33"/>
  <c r="AM138" i="33"/>
  <c r="AM132" i="33"/>
  <c r="AM135" i="33"/>
  <c r="AM134" i="33"/>
  <c r="AM136" i="33"/>
  <c r="AM139" i="33"/>
  <c r="AM130" i="33"/>
  <c r="AM131" i="33"/>
  <c r="K37" i="33"/>
  <c r="M37" i="33"/>
  <c r="AL130" i="33"/>
  <c r="AL138" i="33"/>
  <c r="AL137" i="33"/>
  <c r="AN116" i="33"/>
  <c r="AL140" i="33"/>
  <c r="AE138" i="33"/>
  <c r="AE130" i="33"/>
  <c r="AL136" i="33"/>
  <c r="AL134" i="33"/>
  <c r="AE134" i="33"/>
  <c r="AE135" i="33"/>
  <c r="AL131" i="33"/>
  <c r="AL139" i="33"/>
  <c r="AE140" i="33"/>
  <c r="AL135" i="33"/>
  <c r="AE136" i="33"/>
  <c r="AE131" i="33"/>
  <c r="AE133" i="33"/>
  <c r="AE137" i="33"/>
  <c r="AE132" i="33"/>
  <c r="AL132" i="33"/>
  <c r="AL133" i="33"/>
  <c r="AE139" i="33"/>
  <c r="L44" i="33"/>
  <c r="AH54" i="33"/>
  <c r="AA54" i="33"/>
  <c r="R54" i="33"/>
  <c r="R92" i="33" s="1"/>
  <c r="K54" i="33"/>
  <c r="K92" i="33" s="1"/>
  <c r="AH67" i="33"/>
  <c r="AA67" i="33"/>
  <c r="R67" i="33"/>
  <c r="R106" i="33" s="1"/>
  <c r="K67" i="33"/>
  <c r="K106" i="33" s="1"/>
  <c r="Q55" i="33"/>
  <c r="Q93" i="33" s="1"/>
  <c r="AG55" i="33"/>
  <c r="Z55" i="33"/>
  <c r="J55" i="33"/>
  <c r="AI80" i="33"/>
  <c r="S80" i="33"/>
  <c r="S120" i="33" s="1"/>
  <c r="AB80" i="33"/>
  <c r="L80" i="33"/>
  <c r="L120" i="33" s="1"/>
  <c r="AD55" i="33"/>
  <c r="U55" i="33"/>
  <c r="U93" i="33" s="1"/>
  <c r="AK55" i="33"/>
  <c r="N55" i="33"/>
  <c r="N93" i="33" s="1"/>
  <c r="AL67" i="33"/>
  <c r="V67" i="33"/>
  <c r="V106" i="33" s="1"/>
  <c r="O67" i="33"/>
  <c r="O106" i="33" s="1"/>
  <c r="AE67" i="33"/>
  <c r="AM55" i="33"/>
  <c r="AF55" i="33"/>
  <c r="W55" i="33"/>
  <c r="W93" i="33" s="1"/>
  <c r="P55" i="33"/>
  <c r="P93" i="33" s="1"/>
  <c r="AM67" i="33"/>
  <c r="W67" i="33"/>
  <c r="W106" i="33" s="1"/>
  <c r="AF67" i="33"/>
  <c r="P67" i="33"/>
  <c r="P106" i="33" s="1"/>
  <c r="AD67" i="33"/>
  <c r="U67" i="33"/>
  <c r="U106" i="33" s="1"/>
  <c r="N67" i="33"/>
  <c r="N106" i="33" s="1"/>
  <c r="AK67" i="33"/>
  <c r="U81" i="33"/>
  <c r="U121" i="33" s="1"/>
  <c r="AD81" i="33"/>
  <c r="AK81" i="33"/>
  <c r="N81" i="33"/>
  <c r="N121" i="33" s="1"/>
  <c r="AB55" i="33"/>
  <c r="AI55" i="33"/>
  <c r="S55" i="33"/>
  <c r="L55" i="33"/>
  <c r="AC55" i="33"/>
  <c r="AJ55" i="33"/>
  <c r="T55" i="33"/>
  <c r="T93" i="33" s="1"/>
  <c r="M55" i="33"/>
  <c r="M93" i="33" s="1"/>
  <c r="T80" i="33"/>
  <c r="T120" i="33" s="1"/>
  <c r="AJ80" i="33"/>
  <c r="M80" i="33"/>
  <c r="M120" i="33" s="1"/>
  <c r="AC80" i="33"/>
  <c r="R80" i="33"/>
  <c r="R120" i="33" s="1"/>
  <c r="K80" i="33"/>
  <c r="K120" i="33" s="1"/>
  <c r="AH80" i="33"/>
  <c r="AA80" i="33"/>
  <c r="AJ66" i="33"/>
  <c r="M66" i="33"/>
  <c r="M105" i="33" s="1"/>
  <c r="T66" i="33"/>
  <c r="T105" i="33" s="1"/>
  <c r="AC66" i="33"/>
  <c r="AL79" i="33"/>
  <c r="V79" i="33"/>
  <c r="V119" i="33" s="1"/>
  <c r="AE79" i="33"/>
  <c r="O79" i="33"/>
  <c r="O119" i="33" s="1"/>
  <c r="AL55" i="33"/>
  <c r="AE55" i="33"/>
  <c r="V55" i="33"/>
  <c r="V93" i="33" s="1"/>
  <c r="O55" i="33"/>
  <c r="O93" i="33" s="1"/>
  <c r="S66" i="33"/>
  <c r="L66" i="33"/>
  <c r="AI66" i="33"/>
  <c r="AB66" i="33"/>
  <c r="AG67" i="33"/>
  <c r="Z67" i="33"/>
  <c r="Q67" i="33"/>
  <c r="Q106" i="33" s="1"/>
  <c r="J67" i="33"/>
  <c r="J106" i="33" s="1"/>
  <c r="W81" i="33"/>
  <c r="W121" i="33" s="1"/>
  <c r="AM81" i="33"/>
  <c r="AF81" i="33"/>
  <c r="P81" i="33"/>
  <c r="P121" i="33" s="1"/>
  <c r="Q79" i="33"/>
  <c r="Q119" i="33" s="1"/>
  <c r="Z79" i="33"/>
  <c r="J79" i="33"/>
  <c r="J119" i="33" s="1"/>
  <c r="X119" i="33" s="1"/>
  <c r="AG79" i="33"/>
  <c r="H15" i="54" l="1"/>
  <c r="G15" i="24"/>
  <c r="L15" i="24" s="1"/>
  <c r="H14" i="54"/>
  <c r="G14" i="24"/>
  <c r="L14" i="24" s="1"/>
  <c r="L105" i="33"/>
  <c r="X105" i="33" s="1"/>
  <c r="L92" i="33"/>
  <c r="J92" i="33"/>
  <c r="X92" i="33" s="1"/>
  <c r="J117" i="33"/>
  <c r="X117" i="33" s="1"/>
  <c r="S92" i="33"/>
  <c r="S105" i="33"/>
  <c r="J118" i="33"/>
  <c r="X118" i="33" s="1"/>
  <c r="AN117" i="33"/>
  <c r="AN104" i="33"/>
  <c r="AN136" i="33"/>
  <c r="L7" i="45"/>
  <c r="G7" i="45"/>
  <c r="G14" i="45"/>
  <c r="L14" i="45"/>
  <c r="G16" i="45"/>
  <c r="L16" i="45"/>
  <c r="AN139" i="33"/>
  <c r="AN130" i="33"/>
  <c r="AN131" i="33"/>
  <c r="AN140" i="33"/>
  <c r="AN132" i="33"/>
  <c r="AN137" i="33"/>
  <c r="AN135" i="33"/>
  <c r="AN105" i="33"/>
  <c r="AN134" i="33"/>
  <c r="AN133" i="33"/>
  <c r="AN138" i="33"/>
  <c r="AN103" i="33"/>
  <c r="AN118" i="33"/>
  <c r="S81" i="33"/>
  <c r="S121" i="33" s="1"/>
  <c r="L81" i="33"/>
  <c r="L121" i="33" s="1"/>
  <c r="AB81" i="33"/>
  <c r="AI81" i="33"/>
  <c r="AG56" i="33"/>
  <c r="J56" i="33"/>
  <c r="Z56" i="33"/>
  <c r="Q56" i="33"/>
  <c r="Q94" i="33" s="1"/>
  <c r="J68" i="33"/>
  <c r="J107" i="33" s="1"/>
  <c r="Z68" i="33"/>
  <c r="AG68" i="33"/>
  <c r="Q68" i="33"/>
  <c r="Q107" i="33" s="1"/>
  <c r="AC67" i="33"/>
  <c r="M67" i="33"/>
  <c r="M106" i="33" s="1"/>
  <c r="T67" i="33"/>
  <c r="T106" i="33" s="1"/>
  <c r="AJ67" i="33"/>
  <c r="S56" i="33"/>
  <c r="AI56" i="33"/>
  <c r="AB56" i="33"/>
  <c r="L56" i="33"/>
  <c r="AM56" i="33"/>
  <c r="AF56" i="33"/>
  <c r="P56" i="33"/>
  <c r="P94" i="33" s="1"/>
  <c r="W56" i="33"/>
  <c r="W94" i="33" s="1"/>
  <c r="N82" i="33"/>
  <c r="N122" i="33" s="1"/>
  <c r="AK82" i="33"/>
  <c r="AD82" i="33"/>
  <c r="U82" i="33"/>
  <c r="U122" i="33" s="1"/>
  <c r="R81" i="33"/>
  <c r="R121" i="33" s="1"/>
  <c r="AA81" i="33"/>
  <c r="AH81" i="33"/>
  <c r="K81" i="33"/>
  <c r="K121" i="33" s="1"/>
  <c r="AB67" i="33"/>
  <c r="L67" i="33"/>
  <c r="S67" i="33"/>
  <c r="AI67" i="33"/>
  <c r="T56" i="33"/>
  <c r="T94" i="33" s="1"/>
  <c r="M56" i="33"/>
  <c r="M94" i="33" s="1"/>
  <c r="AJ56" i="33"/>
  <c r="AC56" i="33"/>
  <c r="AL68" i="33"/>
  <c r="O68" i="33"/>
  <c r="O107" i="33" s="1"/>
  <c r="AE68" i="33"/>
  <c r="V68" i="33"/>
  <c r="V107" i="33" s="1"/>
  <c r="T81" i="33"/>
  <c r="T121" i="33" s="1"/>
  <c r="AC81" i="33"/>
  <c r="AJ81" i="33"/>
  <c r="M81" i="33"/>
  <c r="M121" i="33" s="1"/>
  <c r="R68" i="33"/>
  <c r="R107" i="33" s="1"/>
  <c r="AH68" i="33"/>
  <c r="AA68" i="33"/>
  <c r="K68" i="33"/>
  <c r="K107" i="33" s="1"/>
  <c r="W68" i="33"/>
  <c r="W107" i="33" s="1"/>
  <c r="P68" i="33"/>
  <c r="P107" i="33" s="1"/>
  <c r="AM68" i="33"/>
  <c r="AF68" i="33"/>
  <c r="Q80" i="33"/>
  <c r="Q120" i="33" s="1"/>
  <c r="AG80" i="33"/>
  <c r="Z80" i="33"/>
  <c r="J80" i="33"/>
  <c r="J120" i="33" s="1"/>
  <c r="X120" i="33" s="1"/>
  <c r="O56" i="33"/>
  <c r="O94" i="33" s="1"/>
  <c r="AL56" i="33"/>
  <c r="AE56" i="33"/>
  <c r="V56" i="33"/>
  <c r="V94" i="33" s="1"/>
  <c r="P82" i="33"/>
  <c r="P122" i="33" s="1"/>
  <c r="AF82" i="33"/>
  <c r="AM82" i="33"/>
  <c r="W82" i="33"/>
  <c r="W122" i="33" s="1"/>
  <c r="AL80" i="33"/>
  <c r="O80" i="33"/>
  <c r="O120" i="33" s="1"/>
  <c r="V80" i="33"/>
  <c r="V120" i="33" s="1"/>
  <c r="AE80" i="33"/>
  <c r="AK68" i="33"/>
  <c r="U68" i="33"/>
  <c r="U107" i="33" s="1"/>
  <c r="N68" i="33"/>
  <c r="N107" i="33" s="1"/>
  <c r="AD68" i="33"/>
  <c r="N56" i="33"/>
  <c r="N94" i="33" s="1"/>
  <c r="AK56" i="33"/>
  <c r="U56" i="33"/>
  <c r="U94" i="33" s="1"/>
  <c r="AD56" i="33"/>
  <c r="R55" i="33"/>
  <c r="R93" i="33" s="1"/>
  <c r="AH55" i="33"/>
  <c r="AA55" i="33"/>
  <c r="K55" i="33"/>
  <c r="K93" i="33" s="1"/>
  <c r="N14" i="19"/>
  <c r="N13" i="19"/>
  <c r="N12" i="19"/>
  <c r="N11" i="19"/>
  <c r="N10" i="19"/>
  <c r="N9" i="19"/>
  <c r="N8" i="19"/>
  <c r="N7" i="19"/>
  <c r="N6" i="19"/>
  <c r="N5" i="19"/>
  <c r="K14" i="19"/>
  <c r="K13" i="19"/>
  <c r="K12" i="19"/>
  <c r="K11" i="19"/>
  <c r="K10" i="19"/>
  <c r="K9" i="19"/>
  <c r="K8" i="19"/>
  <c r="K7" i="19"/>
  <c r="K6" i="19"/>
  <c r="K5" i="19"/>
  <c r="H14" i="19"/>
  <c r="H13" i="19"/>
  <c r="H12" i="19"/>
  <c r="H11" i="19"/>
  <c r="H10" i="19"/>
  <c r="H9" i="19"/>
  <c r="H8" i="19"/>
  <c r="H7" i="19"/>
  <c r="H6" i="19"/>
  <c r="H5" i="19"/>
  <c r="E6" i="19"/>
  <c r="E7" i="19"/>
  <c r="E8" i="19"/>
  <c r="E9" i="19"/>
  <c r="E10" i="19"/>
  <c r="E11" i="19"/>
  <c r="E12" i="19"/>
  <c r="E13" i="19"/>
  <c r="E14" i="19"/>
  <c r="E5" i="19"/>
  <c r="R14" i="19"/>
  <c r="T14" i="19" s="1"/>
  <c r="Q14" i="19"/>
  <c r="R13" i="19"/>
  <c r="R12" i="19"/>
  <c r="R11" i="19"/>
  <c r="R10" i="19"/>
  <c r="R9" i="19"/>
  <c r="R8" i="19"/>
  <c r="R7" i="19"/>
  <c r="R6" i="19"/>
  <c r="R5" i="19"/>
  <c r="P16" i="12"/>
  <c r="P17" i="12"/>
  <c r="P18" i="12"/>
  <c r="P15" i="12"/>
  <c r="N16" i="12"/>
  <c r="N17" i="12"/>
  <c r="N18" i="12"/>
  <c r="N15" i="12"/>
  <c r="M6" i="12"/>
  <c r="M7" i="12"/>
  <c r="M8" i="12"/>
  <c r="M9" i="12"/>
  <c r="M10" i="12"/>
  <c r="M11" i="12"/>
  <c r="M12" i="12"/>
  <c r="M13" i="12"/>
  <c r="M14" i="12"/>
  <c r="M15" i="12"/>
  <c r="M16" i="12"/>
  <c r="M17" i="12"/>
  <c r="M5" i="12"/>
  <c r="K6" i="12"/>
  <c r="K7" i="12"/>
  <c r="K8" i="12"/>
  <c r="K9" i="12"/>
  <c r="K10" i="12"/>
  <c r="K11" i="12"/>
  <c r="K12" i="12"/>
  <c r="K13" i="12"/>
  <c r="K14" i="12"/>
  <c r="K15" i="12"/>
  <c r="K16" i="12"/>
  <c r="K17" i="12"/>
  <c r="K5" i="12"/>
  <c r="J5" i="12"/>
  <c r="J6" i="12"/>
  <c r="J7" i="12"/>
  <c r="J8" i="12"/>
  <c r="J9" i="12"/>
  <c r="J10" i="12"/>
  <c r="J11" i="12"/>
  <c r="J12" i="12"/>
  <c r="J13" i="12"/>
  <c r="J14" i="12"/>
  <c r="J16" i="12"/>
  <c r="J15" i="12"/>
  <c r="H6" i="12"/>
  <c r="H7" i="12"/>
  <c r="H8" i="12"/>
  <c r="H9" i="12"/>
  <c r="H10" i="12"/>
  <c r="H11" i="12"/>
  <c r="H12" i="12"/>
  <c r="H13" i="12"/>
  <c r="H14" i="12"/>
  <c r="H15" i="12"/>
  <c r="H16" i="12"/>
  <c r="H5" i="12"/>
  <c r="G6" i="12"/>
  <c r="G7" i="12"/>
  <c r="G8" i="12"/>
  <c r="G9" i="12"/>
  <c r="G10" i="12"/>
  <c r="G11" i="12"/>
  <c r="G12" i="12"/>
  <c r="G13" i="12"/>
  <c r="G14" i="12"/>
  <c r="G5" i="12"/>
  <c r="E6" i="12"/>
  <c r="E7" i="12"/>
  <c r="E8" i="12"/>
  <c r="E9" i="12"/>
  <c r="E10" i="12"/>
  <c r="E11" i="12"/>
  <c r="E12" i="12"/>
  <c r="E13" i="12"/>
  <c r="E14" i="12"/>
  <c r="E15" i="12"/>
  <c r="E5" i="12"/>
  <c r="D18" i="12"/>
  <c r="D23" i="12"/>
  <c r="D28" i="12"/>
  <c r="B6" i="12"/>
  <c r="B7" i="12"/>
  <c r="B8" i="12"/>
  <c r="B9" i="12"/>
  <c r="B10" i="12"/>
  <c r="B11" i="12"/>
  <c r="B12" i="12"/>
  <c r="B13" i="12"/>
  <c r="B14" i="12"/>
  <c r="B5" i="12"/>
  <c r="R14" i="12"/>
  <c r="T14" i="12" s="1"/>
  <c r="Q14" i="12"/>
  <c r="D14" i="12"/>
  <c r="R13" i="12"/>
  <c r="D13" i="12"/>
  <c r="R12" i="12"/>
  <c r="D12" i="12"/>
  <c r="R11" i="12"/>
  <c r="D11" i="12"/>
  <c r="R10" i="12"/>
  <c r="D10" i="12"/>
  <c r="R9" i="12"/>
  <c r="D9" i="12"/>
  <c r="R8" i="12"/>
  <c r="D8" i="12"/>
  <c r="R7" i="12"/>
  <c r="D7" i="12"/>
  <c r="R6" i="12"/>
  <c r="D6" i="12"/>
  <c r="R5" i="12"/>
  <c r="D5" i="12"/>
  <c r="P16" i="11"/>
  <c r="P17" i="11"/>
  <c r="P18" i="11"/>
  <c r="P15" i="11"/>
  <c r="N16" i="11"/>
  <c r="N17" i="11"/>
  <c r="N18" i="11"/>
  <c r="N15" i="11"/>
  <c r="M17" i="11"/>
  <c r="M5" i="11"/>
  <c r="M6" i="11"/>
  <c r="M7" i="11"/>
  <c r="M8" i="11"/>
  <c r="M9" i="11"/>
  <c r="M10" i="11"/>
  <c r="M11" i="11"/>
  <c r="M12" i="11"/>
  <c r="M13" i="11"/>
  <c r="M14" i="11"/>
  <c r="M15" i="11"/>
  <c r="K16" i="11"/>
  <c r="K17" i="11"/>
  <c r="K5" i="11"/>
  <c r="K6" i="11"/>
  <c r="K7" i="11"/>
  <c r="K8" i="11"/>
  <c r="K9" i="11"/>
  <c r="K10" i="11"/>
  <c r="K11" i="11"/>
  <c r="K12" i="11"/>
  <c r="K13" i="11"/>
  <c r="K14" i="11"/>
  <c r="K15" i="11"/>
  <c r="J6" i="11"/>
  <c r="J7" i="11"/>
  <c r="J8" i="11"/>
  <c r="J9" i="11"/>
  <c r="J10" i="11"/>
  <c r="J11" i="11"/>
  <c r="J12" i="11"/>
  <c r="J13" i="11"/>
  <c r="J14" i="11"/>
  <c r="J15" i="11"/>
  <c r="J16" i="11"/>
  <c r="J5" i="11"/>
  <c r="H6" i="11"/>
  <c r="H7" i="11"/>
  <c r="H8" i="11"/>
  <c r="H9" i="11"/>
  <c r="H10" i="11"/>
  <c r="H11" i="11"/>
  <c r="H12" i="11"/>
  <c r="H13" i="11"/>
  <c r="H14" i="11"/>
  <c r="H15" i="11"/>
  <c r="H16" i="11"/>
  <c r="H5" i="11"/>
  <c r="G6" i="11"/>
  <c r="G7" i="11"/>
  <c r="G8" i="11"/>
  <c r="G9" i="11"/>
  <c r="G10" i="11"/>
  <c r="G11" i="11"/>
  <c r="G12" i="11"/>
  <c r="G13" i="11"/>
  <c r="G14" i="11"/>
  <c r="G15" i="11"/>
  <c r="G5" i="11"/>
  <c r="E6" i="11"/>
  <c r="E7" i="11"/>
  <c r="E8" i="11"/>
  <c r="E9" i="11"/>
  <c r="E10" i="11"/>
  <c r="E11" i="11"/>
  <c r="E12" i="11"/>
  <c r="E13" i="11"/>
  <c r="E14" i="11"/>
  <c r="E15" i="11"/>
  <c r="E5" i="11"/>
  <c r="D5" i="11"/>
  <c r="D6" i="11"/>
  <c r="D7" i="11"/>
  <c r="D8" i="11"/>
  <c r="D9" i="11"/>
  <c r="D10" i="11"/>
  <c r="D11" i="11"/>
  <c r="D12" i="11"/>
  <c r="D13" i="11"/>
  <c r="D14" i="11"/>
  <c r="D18" i="11"/>
  <c r="D23" i="11"/>
  <c r="D28" i="11"/>
  <c r="C18" i="11"/>
  <c r="B5" i="11"/>
  <c r="B6" i="11"/>
  <c r="B7" i="11"/>
  <c r="B8" i="11"/>
  <c r="B9" i="11"/>
  <c r="B10" i="11"/>
  <c r="B11" i="11"/>
  <c r="B12" i="11"/>
  <c r="B13" i="11"/>
  <c r="B14" i="11"/>
  <c r="M16" i="11"/>
  <c r="R14" i="11"/>
  <c r="R13" i="11"/>
  <c r="R12" i="11"/>
  <c r="R11" i="11"/>
  <c r="R10" i="11"/>
  <c r="R9" i="11"/>
  <c r="R8" i="11"/>
  <c r="R7" i="11"/>
  <c r="R6" i="11"/>
  <c r="R5" i="11"/>
  <c r="P18" i="10"/>
  <c r="N18" i="10"/>
  <c r="P17" i="10"/>
  <c r="N17" i="10"/>
  <c r="P16" i="10"/>
  <c r="N16" i="10"/>
  <c r="P15" i="10"/>
  <c r="N15" i="10"/>
  <c r="M17" i="10"/>
  <c r="K17" i="10"/>
  <c r="M16" i="10"/>
  <c r="K16" i="10"/>
  <c r="M15" i="10"/>
  <c r="K15" i="10"/>
  <c r="J16" i="10"/>
  <c r="H16" i="10"/>
  <c r="J15" i="10"/>
  <c r="H15" i="10"/>
  <c r="J14" i="10"/>
  <c r="H14" i="10"/>
  <c r="J13" i="10"/>
  <c r="H13" i="10"/>
  <c r="J12" i="10"/>
  <c r="H12" i="10"/>
  <c r="J11" i="10"/>
  <c r="H11" i="10"/>
  <c r="J10" i="10"/>
  <c r="H10" i="10"/>
  <c r="J9" i="10"/>
  <c r="H9" i="10"/>
  <c r="J8" i="10"/>
  <c r="H8" i="10"/>
  <c r="J7" i="10"/>
  <c r="H7" i="10"/>
  <c r="J6" i="10"/>
  <c r="H6" i="10"/>
  <c r="J5" i="10"/>
  <c r="H5" i="10"/>
  <c r="E6" i="10"/>
  <c r="E7" i="10"/>
  <c r="E8" i="10"/>
  <c r="E9" i="10"/>
  <c r="E10" i="10"/>
  <c r="E11" i="10"/>
  <c r="E12" i="10"/>
  <c r="E13" i="10"/>
  <c r="E14" i="10"/>
  <c r="E15" i="10"/>
  <c r="E5" i="10"/>
  <c r="G15" i="10"/>
  <c r="G14" i="10"/>
  <c r="G13" i="10"/>
  <c r="G12" i="10"/>
  <c r="G11" i="10"/>
  <c r="G10" i="10"/>
  <c r="G9" i="10"/>
  <c r="G8" i="10"/>
  <c r="G7" i="10"/>
  <c r="G6" i="10"/>
  <c r="G5" i="10"/>
  <c r="D6" i="10"/>
  <c r="D7" i="10"/>
  <c r="D8" i="10"/>
  <c r="D9" i="10"/>
  <c r="D10" i="10"/>
  <c r="D11" i="10"/>
  <c r="D12" i="10"/>
  <c r="D13" i="10"/>
  <c r="D14" i="10"/>
  <c r="D18" i="10"/>
  <c r="D23" i="10"/>
  <c r="D28" i="10"/>
  <c r="D5" i="10"/>
  <c r="R6" i="10"/>
  <c r="B6" i="10"/>
  <c r="B7" i="10"/>
  <c r="B8" i="10"/>
  <c r="B9" i="10"/>
  <c r="B10" i="10"/>
  <c r="B11" i="10"/>
  <c r="B12" i="10"/>
  <c r="B13" i="10"/>
  <c r="B14" i="10"/>
  <c r="B5" i="10"/>
  <c r="C40" i="9"/>
  <c r="D40" i="9"/>
  <c r="E40" i="9"/>
  <c r="F40" i="9"/>
  <c r="C41" i="9"/>
  <c r="D41" i="9"/>
  <c r="E41" i="9"/>
  <c r="F41" i="9"/>
  <c r="C42" i="9"/>
  <c r="D42" i="9"/>
  <c r="E42" i="9"/>
  <c r="F42" i="9"/>
  <c r="C43" i="9"/>
  <c r="C44" i="9" s="1"/>
  <c r="D43" i="9"/>
  <c r="E43" i="9"/>
  <c r="F43" i="9"/>
  <c r="B43" i="9"/>
  <c r="B42" i="9"/>
  <c r="B41" i="9"/>
  <c r="B40" i="9"/>
  <c r="O15" i="12"/>
  <c r="L15" i="11"/>
  <c r="I15" i="10"/>
  <c r="G19" i="11"/>
  <c r="G24" i="11"/>
  <c r="G16" i="11"/>
  <c r="F19" i="12"/>
  <c r="B15" i="11"/>
  <c r="C28" i="12"/>
  <c r="B28" i="11"/>
  <c r="B23" i="10"/>
  <c r="C19" i="10"/>
  <c r="C18" i="12"/>
  <c r="B18" i="12"/>
  <c r="D15" i="10"/>
  <c r="R12" i="5"/>
  <c r="R10" i="5"/>
  <c r="S106" i="33" l="1"/>
  <c r="S93" i="33"/>
  <c r="L106" i="33"/>
  <c r="X106" i="33" s="1"/>
  <c r="L93" i="33"/>
  <c r="H16" i="54"/>
  <c r="G16" i="24"/>
  <c r="L16" i="24" s="1"/>
  <c r="J93" i="33"/>
  <c r="X93" i="33" s="1"/>
  <c r="J20" i="10"/>
  <c r="M26" i="10"/>
  <c r="G12" i="45"/>
  <c r="L12" i="45"/>
  <c r="L8" i="45"/>
  <c r="G8" i="45"/>
  <c r="G15" i="45"/>
  <c r="L15" i="45"/>
  <c r="L10" i="45"/>
  <c r="G10" i="45"/>
  <c r="G13" i="45"/>
  <c r="L13" i="45"/>
  <c r="L11" i="45"/>
  <c r="G11" i="45"/>
  <c r="L9" i="45"/>
  <c r="G9" i="45"/>
  <c r="L6" i="45"/>
  <c r="G6" i="45"/>
  <c r="F24" i="12"/>
  <c r="F24" i="11"/>
  <c r="F24" i="10"/>
  <c r="L15" i="12"/>
  <c r="C19" i="12"/>
  <c r="E19" i="12"/>
  <c r="G16" i="10"/>
  <c r="O15" i="10"/>
  <c r="X24" i="5"/>
  <c r="D24" i="11"/>
  <c r="B28" i="10"/>
  <c r="T14" i="11"/>
  <c r="Q14" i="11"/>
  <c r="F19" i="11"/>
  <c r="B15" i="12"/>
  <c r="B44" i="9"/>
  <c r="G24" i="10"/>
  <c r="E19" i="11"/>
  <c r="C28" i="10"/>
  <c r="G24" i="12"/>
  <c r="I15" i="11"/>
  <c r="D24" i="12"/>
  <c r="S16" i="5"/>
  <c r="C23" i="10"/>
  <c r="L15" i="10"/>
  <c r="G19" i="12"/>
  <c r="G19" i="10"/>
  <c r="C28" i="11"/>
  <c r="B23" i="11"/>
  <c r="F15" i="12"/>
  <c r="F15" i="11"/>
  <c r="U15" i="5"/>
  <c r="G16" i="12"/>
  <c r="X15" i="5"/>
  <c r="D15" i="12"/>
  <c r="B18" i="11"/>
  <c r="B18" i="10"/>
  <c r="C18" i="10"/>
  <c r="F15" i="10"/>
  <c r="C23" i="11"/>
  <c r="W19" i="5"/>
  <c r="C19" i="11"/>
  <c r="B15" i="10"/>
  <c r="B28" i="12"/>
  <c r="E19" i="10"/>
  <c r="AB15" i="5"/>
  <c r="AA15" i="5"/>
  <c r="Y15" i="5"/>
  <c r="I15" i="12"/>
  <c r="D15" i="11"/>
  <c r="B23" i="12"/>
  <c r="C23" i="12"/>
  <c r="F19" i="10"/>
  <c r="O15" i="11"/>
  <c r="D24" i="10"/>
  <c r="AN106" i="33"/>
  <c r="AN119" i="33"/>
  <c r="N57" i="33"/>
  <c r="N95" i="33" s="1"/>
  <c r="AK57" i="33"/>
  <c r="AD57" i="33"/>
  <c r="U57" i="33"/>
  <c r="U95" i="33" s="1"/>
  <c r="AL57" i="33"/>
  <c r="O57" i="33"/>
  <c r="O95" i="33" s="1"/>
  <c r="V57" i="33"/>
  <c r="V95" i="33" s="1"/>
  <c r="AE57" i="33"/>
  <c r="AF83" i="33"/>
  <c r="W83" i="33"/>
  <c r="W123" i="33" s="1"/>
  <c r="AM83" i="33"/>
  <c r="P83" i="33"/>
  <c r="P123" i="33" s="1"/>
  <c r="K82" i="33"/>
  <c r="K122" i="33" s="1"/>
  <c r="R82" i="33"/>
  <c r="R122" i="33" s="1"/>
  <c r="AH82" i="33"/>
  <c r="AA82" i="33"/>
  <c r="T68" i="33"/>
  <c r="T107" i="33" s="1"/>
  <c r="M68" i="33"/>
  <c r="M107" i="33" s="1"/>
  <c r="AJ68" i="33"/>
  <c r="AC68" i="33"/>
  <c r="N83" i="33"/>
  <c r="N123" i="33" s="1"/>
  <c r="AD83" i="33"/>
  <c r="U83" i="33"/>
  <c r="U123" i="33" s="1"/>
  <c r="AK83" i="33"/>
  <c r="AD69" i="33"/>
  <c r="N69" i="33"/>
  <c r="N108" i="33" s="1"/>
  <c r="U69" i="33"/>
  <c r="U108" i="33" s="1"/>
  <c r="AK69" i="33"/>
  <c r="AG69" i="33"/>
  <c r="J69" i="33"/>
  <c r="Z69" i="33"/>
  <c r="Q69" i="33"/>
  <c r="Q108" i="33" s="1"/>
  <c r="Q81" i="33"/>
  <c r="Q121" i="33" s="1"/>
  <c r="J81" i="33"/>
  <c r="J121" i="33" s="1"/>
  <c r="X121" i="33" s="1"/>
  <c r="AG81" i="33"/>
  <c r="Z81" i="33"/>
  <c r="AE69" i="33"/>
  <c r="O69" i="33"/>
  <c r="O108" i="33" s="1"/>
  <c r="V69" i="33"/>
  <c r="V108" i="33" s="1"/>
  <c r="AL69" i="33"/>
  <c r="AE81" i="33"/>
  <c r="V81" i="33"/>
  <c r="V121" i="33" s="1"/>
  <c r="AL81" i="33"/>
  <c r="O81" i="33"/>
  <c r="O121" i="33" s="1"/>
  <c r="AF69" i="33"/>
  <c r="W69" i="33"/>
  <c r="W108" i="33" s="1"/>
  <c r="P69" i="33"/>
  <c r="P108" i="33" s="1"/>
  <c r="AM69" i="33"/>
  <c r="M57" i="33"/>
  <c r="M95" i="33" s="1"/>
  <c r="AJ57" i="33"/>
  <c r="T57" i="33"/>
  <c r="T95" i="33" s="1"/>
  <c r="AC57" i="33"/>
  <c r="AG57" i="33"/>
  <c r="J57" i="33"/>
  <c r="Q57" i="33"/>
  <c r="Q95" i="33" s="1"/>
  <c r="Z57" i="33"/>
  <c r="L82" i="33"/>
  <c r="L122" i="33" s="1"/>
  <c r="AI82" i="33"/>
  <c r="S82" i="33"/>
  <c r="S122" i="33" s="1"/>
  <c r="AB82" i="33"/>
  <c r="AF57" i="33"/>
  <c r="AM57" i="33"/>
  <c r="P57" i="33"/>
  <c r="P95" i="33" s="1"/>
  <c r="W57" i="33"/>
  <c r="W95" i="33" s="1"/>
  <c r="R56" i="33"/>
  <c r="R94" i="33" s="1"/>
  <c r="AH56" i="33"/>
  <c r="K56" i="33"/>
  <c r="K94" i="33" s="1"/>
  <c r="AA56" i="33"/>
  <c r="AH69" i="33"/>
  <c r="K69" i="33"/>
  <c r="K108" i="33" s="1"/>
  <c r="AA69" i="33"/>
  <c r="R69" i="33"/>
  <c r="R108" i="33" s="1"/>
  <c r="S68" i="33"/>
  <c r="AI68" i="33"/>
  <c r="AB68" i="33"/>
  <c r="L68" i="33"/>
  <c r="AC82" i="33"/>
  <c r="AJ82" i="33"/>
  <c r="M82" i="33"/>
  <c r="M122" i="33" s="1"/>
  <c r="T82" i="33"/>
  <c r="T122" i="33" s="1"/>
  <c r="L57" i="33"/>
  <c r="AI57" i="33"/>
  <c r="AB57" i="33"/>
  <c r="S57" i="33"/>
  <c r="S14" i="19"/>
  <c r="S14" i="12"/>
  <c r="S14" i="11"/>
  <c r="R5" i="10"/>
  <c r="R12" i="10"/>
  <c r="R11" i="10"/>
  <c r="R10" i="10"/>
  <c r="R7" i="10"/>
  <c r="R8" i="10"/>
  <c r="R9" i="10"/>
  <c r="F44" i="9"/>
  <c r="E44" i="9"/>
  <c r="D44" i="9"/>
  <c r="T15" i="12" l="1"/>
  <c r="L107" i="33"/>
  <c r="L94" i="33"/>
  <c r="H17" i="54"/>
  <c r="G17" i="24"/>
  <c r="L17" i="24" s="1"/>
  <c r="S107" i="33"/>
  <c r="S94" i="33"/>
  <c r="J108" i="33"/>
  <c r="J94" i="33"/>
  <c r="Q15" i="11"/>
  <c r="Q15" i="12"/>
  <c r="T15" i="11"/>
  <c r="M26" i="11"/>
  <c r="T15" i="10"/>
  <c r="J25" i="11"/>
  <c r="J25" i="10"/>
  <c r="J20" i="11"/>
  <c r="J20" i="12"/>
  <c r="M26" i="12"/>
  <c r="J25" i="12"/>
  <c r="P27" i="10"/>
  <c r="G17" i="45"/>
  <c r="L17" i="45"/>
  <c r="C21" i="12"/>
  <c r="C21" i="11"/>
  <c r="C21" i="10"/>
  <c r="W15" i="5"/>
  <c r="C15" i="10"/>
  <c r="C15" i="12"/>
  <c r="S15" i="12" s="1"/>
  <c r="C15" i="11"/>
  <c r="S15" i="11" s="1"/>
  <c r="H20" i="11"/>
  <c r="H20" i="12"/>
  <c r="H20" i="10"/>
  <c r="AN107" i="33"/>
  <c r="X19" i="5"/>
  <c r="D19" i="12"/>
  <c r="D19" i="11"/>
  <c r="D19" i="10"/>
  <c r="X24" i="19"/>
  <c r="O16" i="11"/>
  <c r="O16" i="12"/>
  <c r="O16" i="10"/>
  <c r="U19" i="5"/>
  <c r="B19" i="11"/>
  <c r="B19" i="10"/>
  <c r="B19" i="12"/>
  <c r="X25" i="19"/>
  <c r="X25" i="5"/>
  <c r="D25" i="10"/>
  <c r="D25" i="12"/>
  <c r="D25" i="11"/>
  <c r="X19" i="19"/>
  <c r="U24" i="5"/>
  <c r="B24" i="10"/>
  <c r="B24" i="12"/>
  <c r="B24" i="11"/>
  <c r="J17" i="12"/>
  <c r="J17" i="11"/>
  <c r="J17" i="10"/>
  <c r="I25" i="11"/>
  <c r="I25" i="10"/>
  <c r="I25" i="12"/>
  <c r="W24" i="5"/>
  <c r="C24" i="11"/>
  <c r="C24" i="12"/>
  <c r="C24" i="10"/>
  <c r="L16" i="12"/>
  <c r="L16" i="11"/>
  <c r="L16" i="10"/>
  <c r="E16" i="10"/>
  <c r="E16" i="11"/>
  <c r="E16" i="12"/>
  <c r="M21" i="12"/>
  <c r="M21" i="10"/>
  <c r="M21" i="11"/>
  <c r="W24" i="19"/>
  <c r="W20" i="19"/>
  <c r="G25" i="10"/>
  <c r="G25" i="11"/>
  <c r="G25" i="12"/>
  <c r="S16" i="19"/>
  <c r="W19" i="19"/>
  <c r="AB16" i="5"/>
  <c r="AA16" i="5"/>
  <c r="Y16" i="5"/>
  <c r="I16" i="10"/>
  <c r="I16" i="11"/>
  <c r="I16" i="12"/>
  <c r="AB17" i="5"/>
  <c r="Y15" i="19"/>
  <c r="P27" i="11"/>
  <c r="P27" i="12"/>
  <c r="E24" i="12"/>
  <c r="E24" i="10"/>
  <c r="E24" i="11"/>
  <c r="AA15" i="19"/>
  <c r="W20" i="5"/>
  <c r="C20" i="10"/>
  <c r="C20" i="12"/>
  <c r="C20" i="11"/>
  <c r="U16" i="5"/>
  <c r="B16" i="12"/>
  <c r="B16" i="11"/>
  <c r="B16" i="10"/>
  <c r="AB15" i="19"/>
  <c r="F20" i="12"/>
  <c r="F20" i="10"/>
  <c r="F20" i="11"/>
  <c r="I20" i="11"/>
  <c r="I20" i="10"/>
  <c r="I20" i="12"/>
  <c r="AN120" i="33"/>
  <c r="W70" i="33"/>
  <c r="W109" i="33" s="1"/>
  <c r="AM70" i="33"/>
  <c r="AF70" i="33"/>
  <c r="P70" i="33"/>
  <c r="P109" i="33" s="1"/>
  <c r="AC83" i="33"/>
  <c r="AJ83" i="33"/>
  <c r="M83" i="33"/>
  <c r="M123" i="33" s="1"/>
  <c r="T83" i="33"/>
  <c r="T123" i="33" s="1"/>
  <c r="AA83" i="33"/>
  <c r="AH83" i="33"/>
  <c r="K83" i="33"/>
  <c r="K123" i="33" s="1"/>
  <c r="R83" i="33"/>
  <c r="R123" i="33" s="1"/>
  <c r="W58" i="33"/>
  <c r="W96" i="33" s="1"/>
  <c r="AM58" i="33"/>
  <c r="P58" i="33"/>
  <c r="P96" i="33" s="1"/>
  <c r="AF58" i="33"/>
  <c r="AL82" i="33"/>
  <c r="AE82" i="33"/>
  <c r="O82" i="33"/>
  <c r="O122" i="33" s="1"/>
  <c r="V82" i="33"/>
  <c r="V122" i="33" s="1"/>
  <c r="AI83" i="33"/>
  <c r="AB83" i="33"/>
  <c r="S83" i="33"/>
  <c r="S123" i="33" s="1"/>
  <c r="L83" i="33"/>
  <c r="L123" i="33" s="1"/>
  <c r="AH70" i="33"/>
  <c r="AA70" i="33"/>
  <c r="R70" i="33"/>
  <c r="R109" i="33" s="1"/>
  <c r="K70" i="33"/>
  <c r="K109" i="33" s="1"/>
  <c r="Z58" i="33"/>
  <c r="Q58" i="33"/>
  <c r="Q96" i="33" s="1"/>
  <c r="J58" i="33"/>
  <c r="AG58" i="33"/>
  <c r="V70" i="33"/>
  <c r="V109" i="33" s="1"/>
  <c r="AE70" i="33"/>
  <c r="AL70" i="33"/>
  <c r="O70" i="33"/>
  <c r="O109" i="33" s="1"/>
  <c r="N84" i="33"/>
  <c r="N124" i="33" s="1"/>
  <c r="U84" i="33"/>
  <c r="U124" i="33" s="1"/>
  <c r="AD84" i="33"/>
  <c r="AK84" i="33"/>
  <c r="AD70" i="33"/>
  <c r="U70" i="33"/>
  <c r="U109" i="33" s="1"/>
  <c r="AK70" i="33"/>
  <c r="N70" i="33"/>
  <c r="N109" i="33" s="1"/>
  <c r="L69" i="33"/>
  <c r="AI69" i="33"/>
  <c r="AB69" i="33"/>
  <c r="S69" i="33"/>
  <c r="P84" i="33"/>
  <c r="P124" i="33" s="1"/>
  <c r="W84" i="33"/>
  <c r="W124" i="33" s="1"/>
  <c r="AM84" i="33"/>
  <c r="AF84" i="33"/>
  <c r="V58" i="33"/>
  <c r="V96" i="33" s="1"/>
  <c r="AL58" i="33"/>
  <c r="AE58" i="33"/>
  <c r="O58" i="33"/>
  <c r="O96" i="33" s="1"/>
  <c r="AI58" i="33"/>
  <c r="AB58" i="33"/>
  <c r="S58" i="33"/>
  <c r="L58" i="33"/>
  <c r="AH57" i="33"/>
  <c r="K57" i="33"/>
  <c r="K95" i="33" s="1"/>
  <c r="AA57" i="33"/>
  <c r="R57" i="33"/>
  <c r="R95" i="33" s="1"/>
  <c r="AJ58" i="33"/>
  <c r="AC58" i="33"/>
  <c r="T58" i="33"/>
  <c r="T96" i="33" s="1"/>
  <c r="M58" i="33"/>
  <c r="M96" i="33" s="1"/>
  <c r="Z70" i="33"/>
  <c r="Q70" i="33"/>
  <c r="Q109" i="33" s="1"/>
  <c r="AG70" i="33"/>
  <c r="J70" i="33"/>
  <c r="J109" i="33" s="1"/>
  <c r="J82" i="33"/>
  <c r="J122" i="33" s="1"/>
  <c r="AG82" i="33"/>
  <c r="Z82" i="33"/>
  <c r="Q82" i="33"/>
  <c r="Q122" i="33" s="1"/>
  <c r="AJ69" i="33"/>
  <c r="AC69" i="33"/>
  <c r="T69" i="33"/>
  <c r="T108" i="33" s="1"/>
  <c r="M69" i="33"/>
  <c r="M108" i="33" s="1"/>
  <c r="AK58" i="33"/>
  <c r="AD58" i="33"/>
  <c r="U58" i="33"/>
  <c r="U96" i="33" s="1"/>
  <c r="N58" i="33"/>
  <c r="N96" i="33" s="1"/>
  <c r="AB16" i="19"/>
  <c r="T15" i="19"/>
  <c r="X15" i="19"/>
  <c r="U15" i="19"/>
  <c r="Q15" i="19"/>
  <c r="Y16" i="19"/>
  <c r="S15" i="19"/>
  <c r="W15" i="19"/>
  <c r="AA17" i="19"/>
  <c r="R13" i="10"/>
  <c r="R14" i="10"/>
  <c r="S108" i="33" l="1"/>
  <c r="S95" i="33"/>
  <c r="J95" i="33"/>
  <c r="X95" i="33" s="1"/>
  <c r="L95" i="33"/>
  <c r="L108" i="33"/>
  <c r="X108" i="33" s="1"/>
  <c r="X122" i="33"/>
  <c r="X94" i="33"/>
  <c r="X107" i="33"/>
  <c r="S17" i="5"/>
  <c r="U16" i="19"/>
  <c r="E112" i="43"/>
  <c r="C112" i="43"/>
  <c r="D112" i="43"/>
  <c r="C112" i="41"/>
  <c r="B112" i="41"/>
  <c r="G112" i="43"/>
  <c r="U112" i="43" s="1"/>
  <c r="F112" i="43"/>
  <c r="T112" i="43" s="1"/>
  <c r="AC112" i="43" s="1"/>
  <c r="AL112" i="43" s="1"/>
  <c r="C98" i="41"/>
  <c r="C98" i="43"/>
  <c r="B98" i="41"/>
  <c r="D98" i="43"/>
  <c r="E98" i="43"/>
  <c r="F98" i="43"/>
  <c r="T98" i="43" s="1"/>
  <c r="AC98" i="43" s="1"/>
  <c r="AL98" i="43" s="1"/>
  <c r="G98" i="43"/>
  <c r="U98" i="43" s="1"/>
  <c r="AD98" i="43" s="1"/>
  <c r="AM98" i="43" s="1"/>
  <c r="W16" i="19"/>
  <c r="D99" i="43"/>
  <c r="C99" i="41"/>
  <c r="C99" i="43"/>
  <c r="E99" i="43"/>
  <c r="B99" i="41"/>
  <c r="F99" i="43"/>
  <c r="T99" i="43" s="1"/>
  <c r="AC99" i="43" s="1"/>
  <c r="AL99" i="43" s="1"/>
  <c r="G99" i="43"/>
  <c r="U99" i="43" s="1"/>
  <c r="AD99" i="43" s="1"/>
  <c r="AM99" i="43" s="1"/>
  <c r="Q16" i="19"/>
  <c r="C85" i="41" s="1"/>
  <c r="C84" i="43"/>
  <c r="C84" i="41"/>
  <c r="B84" i="41"/>
  <c r="D84" i="43"/>
  <c r="E84" i="43"/>
  <c r="F84" i="43"/>
  <c r="T84" i="43" s="1"/>
  <c r="AC84" i="43" s="1"/>
  <c r="AL84" i="43" s="1"/>
  <c r="G84" i="43"/>
  <c r="U84" i="43" s="1"/>
  <c r="AD84" i="43" s="1"/>
  <c r="AM84" i="43" s="1"/>
  <c r="L19" i="45"/>
  <c r="G19" i="45"/>
  <c r="L18" i="45"/>
  <c r="G18" i="45"/>
  <c r="Q16" i="12"/>
  <c r="X20" i="5"/>
  <c r="D20" i="12"/>
  <c r="D20" i="11"/>
  <c r="D20" i="10"/>
  <c r="E17" i="12"/>
  <c r="E17" i="11"/>
  <c r="E17" i="10"/>
  <c r="Y17" i="5"/>
  <c r="H17" i="10"/>
  <c r="H17" i="11"/>
  <c r="H17" i="12"/>
  <c r="Q18" i="5"/>
  <c r="W25" i="5"/>
  <c r="C25" i="12"/>
  <c r="C25" i="11"/>
  <c r="C25" i="10"/>
  <c r="F25" i="11"/>
  <c r="F25" i="12"/>
  <c r="F25" i="10"/>
  <c r="U24" i="19"/>
  <c r="F21" i="12"/>
  <c r="F21" i="11"/>
  <c r="F21" i="10"/>
  <c r="AA16" i="19"/>
  <c r="AN108" i="33"/>
  <c r="X21" i="19"/>
  <c r="O17" i="10"/>
  <c r="O17" i="11"/>
  <c r="O17" i="12"/>
  <c r="M18" i="10"/>
  <c r="M18" i="12"/>
  <c r="M18" i="11"/>
  <c r="K21" i="10"/>
  <c r="K21" i="12"/>
  <c r="K21" i="11"/>
  <c r="J26" i="11"/>
  <c r="J26" i="12"/>
  <c r="J26" i="10"/>
  <c r="U20" i="5"/>
  <c r="B20" i="11"/>
  <c r="B20" i="12"/>
  <c r="B20" i="10"/>
  <c r="E20" i="12"/>
  <c r="E20" i="11"/>
  <c r="E20" i="10"/>
  <c r="U19" i="19"/>
  <c r="L21" i="12"/>
  <c r="S22" i="5"/>
  <c r="L21" i="11"/>
  <c r="L21" i="10"/>
  <c r="L17" i="10"/>
  <c r="L17" i="11"/>
  <c r="L17" i="12"/>
  <c r="H25" i="10"/>
  <c r="H25" i="12"/>
  <c r="H25" i="11"/>
  <c r="P22" i="12"/>
  <c r="P22" i="10"/>
  <c r="P22" i="11"/>
  <c r="L26" i="11"/>
  <c r="L26" i="10"/>
  <c r="L26" i="12"/>
  <c r="F16" i="12"/>
  <c r="F16" i="11"/>
  <c r="F16" i="10"/>
  <c r="X26" i="5"/>
  <c r="D26" i="12"/>
  <c r="D26" i="10"/>
  <c r="D26" i="11"/>
  <c r="G20" i="12"/>
  <c r="G20" i="11"/>
  <c r="G20" i="10"/>
  <c r="F22" i="10"/>
  <c r="F22" i="12"/>
  <c r="F22" i="11"/>
  <c r="E25" i="12"/>
  <c r="E25" i="11"/>
  <c r="E25" i="10"/>
  <c r="X26" i="19"/>
  <c r="U17" i="5"/>
  <c r="B17" i="10"/>
  <c r="B17" i="11"/>
  <c r="B17" i="12"/>
  <c r="X20" i="19"/>
  <c r="G26" i="12"/>
  <c r="G26" i="11"/>
  <c r="G26" i="10"/>
  <c r="I21" i="11"/>
  <c r="I21" i="10"/>
  <c r="I21" i="12"/>
  <c r="W22" i="5"/>
  <c r="C22" i="11"/>
  <c r="C22" i="12"/>
  <c r="C22" i="10"/>
  <c r="Q16" i="11"/>
  <c r="W17" i="19"/>
  <c r="U25" i="5"/>
  <c r="B25" i="12"/>
  <c r="B25" i="11"/>
  <c r="B25" i="10"/>
  <c r="W21" i="5"/>
  <c r="AN121" i="33"/>
  <c r="AI59" i="33"/>
  <c r="AB59" i="33"/>
  <c r="S59" i="33"/>
  <c r="L59" i="33"/>
  <c r="AG59" i="33"/>
  <c r="J59" i="33"/>
  <c r="Z59" i="33"/>
  <c r="Q59" i="33"/>
  <c r="Q97" i="33" s="1"/>
  <c r="AI70" i="33"/>
  <c r="S70" i="33"/>
  <c r="AB70" i="33"/>
  <c r="L70" i="33"/>
  <c r="AK71" i="33"/>
  <c r="N71" i="33"/>
  <c r="N110" i="33" s="1"/>
  <c r="AD71" i="33"/>
  <c r="U71" i="33"/>
  <c r="U110" i="33" s="1"/>
  <c r="T70" i="33"/>
  <c r="T109" i="33" s="1"/>
  <c r="AJ70" i="33"/>
  <c r="AC70" i="33"/>
  <c r="M70" i="33"/>
  <c r="M109" i="33" s="1"/>
  <c r="AG83" i="33"/>
  <c r="Z83" i="33"/>
  <c r="Q83" i="33"/>
  <c r="Q123" i="33" s="1"/>
  <c r="J83" i="33"/>
  <c r="J123" i="33" s="1"/>
  <c r="AD85" i="33"/>
  <c r="N85" i="33"/>
  <c r="N125" i="33" s="1"/>
  <c r="AK85" i="33"/>
  <c r="U85" i="33"/>
  <c r="U125" i="33" s="1"/>
  <c r="Z71" i="33"/>
  <c r="J71" i="33"/>
  <c r="J96" i="33" s="1"/>
  <c r="AG71" i="33"/>
  <c r="Q71" i="33"/>
  <c r="Q110" i="33" s="1"/>
  <c r="AI84" i="33"/>
  <c r="L84" i="33"/>
  <c r="L124" i="33" s="1"/>
  <c r="S84" i="33"/>
  <c r="S124" i="33" s="1"/>
  <c r="AB84" i="33"/>
  <c r="AH58" i="33"/>
  <c r="K58" i="33"/>
  <c r="K96" i="33" s="1"/>
  <c r="AA58" i="33"/>
  <c r="R58" i="33"/>
  <c r="R96" i="33" s="1"/>
  <c r="P59" i="33"/>
  <c r="P97" i="33" s="1"/>
  <c r="AF59" i="33"/>
  <c r="AM59" i="33"/>
  <c r="W59" i="33"/>
  <c r="W97" i="33" s="1"/>
  <c r="R84" i="33"/>
  <c r="R124" i="33" s="1"/>
  <c r="K84" i="33"/>
  <c r="K124" i="33" s="1"/>
  <c r="AA84" i="33"/>
  <c r="AH84" i="33"/>
  <c r="AA71" i="33"/>
  <c r="AH71" i="33"/>
  <c r="K71" i="33"/>
  <c r="K110" i="33" s="1"/>
  <c r="R71" i="33"/>
  <c r="R110" i="33" s="1"/>
  <c r="AC84" i="33"/>
  <c r="AJ84" i="33"/>
  <c r="M84" i="33"/>
  <c r="M124" i="33" s="1"/>
  <c r="T84" i="33"/>
  <c r="T124" i="33" s="1"/>
  <c r="AL59" i="33"/>
  <c r="O59" i="33"/>
  <c r="O97" i="33" s="1"/>
  <c r="AE59" i="33"/>
  <c r="V59" i="33"/>
  <c r="V97" i="33" s="1"/>
  <c r="AL83" i="33"/>
  <c r="AE83" i="33"/>
  <c r="O83" i="33"/>
  <c r="O123" i="33" s="1"/>
  <c r="V83" i="33"/>
  <c r="V123" i="33" s="1"/>
  <c r="AK59" i="33"/>
  <c r="N59" i="33"/>
  <c r="N97" i="33" s="1"/>
  <c r="AD59" i="33"/>
  <c r="U59" i="33"/>
  <c r="U97" i="33" s="1"/>
  <c r="AJ59" i="33"/>
  <c r="AC59" i="33"/>
  <c r="T59" i="33"/>
  <c r="T97" i="33" s="1"/>
  <c r="M59" i="33"/>
  <c r="M97" i="33" s="1"/>
  <c r="AM85" i="33"/>
  <c r="W85" i="33"/>
  <c r="W125" i="33" s="1"/>
  <c r="AF85" i="33"/>
  <c r="P85" i="33"/>
  <c r="P125" i="33" s="1"/>
  <c r="AL71" i="33"/>
  <c r="O71" i="33"/>
  <c r="O110" i="33" s="1"/>
  <c r="AE71" i="33"/>
  <c r="V71" i="33"/>
  <c r="V110" i="33" s="1"/>
  <c r="P71" i="33"/>
  <c r="P110" i="33" s="1"/>
  <c r="AM71" i="33"/>
  <c r="AF71" i="33"/>
  <c r="W71" i="33"/>
  <c r="W110" i="33" s="1"/>
  <c r="AB17" i="19"/>
  <c r="S14" i="10"/>
  <c r="Q14" i="10"/>
  <c r="T14" i="10"/>
  <c r="H19" i="54" l="1"/>
  <c r="G19" i="24"/>
  <c r="L19" i="24" s="1"/>
  <c r="S109" i="33"/>
  <c r="S96" i="33"/>
  <c r="X123" i="33"/>
  <c r="J97" i="33"/>
  <c r="J110" i="33"/>
  <c r="H18" i="54"/>
  <c r="G18" i="24"/>
  <c r="L18" i="24" s="1"/>
  <c r="L109" i="33"/>
  <c r="X109" i="33" s="1"/>
  <c r="L96" i="33"/>
  <c r="X96" i="33" s="1"/>
  <c r="U17" i="19"/>
  <c r="B85" i="41"/>
  <c r="G85" i="41" s="1"/>
  <c r="Q22" i="5"/>
  <c r="L112" i="43"/>
  <c r="N112" i="43"/>
  <c r="M112" i="43"/>
  <c r="H112" i="43"/>
  <c r="L112" i="41"/>
  <c r="K112" i="41"/>
  <c r="J112" i="41"/>
  <c r="AD112" i="43"/>
  <c r="AM112" i="43" s="1"/>
  <c r="G112" i="41"/>
  <c r="I112" i="41"/>
  <c r="H112" i="41"/>
  <c r="Q112" i="43"/>
  <c r="O112" i="43"/>
  <c r="P112" i="43"/>
  <c r="S112" i="43"/>
  <c r="R112" i="43"/>
  <c r="G99" i="41"/>
  <c r="H99" i="41"/>
  <c r="I99" i="41"/>
  <c r="W25" i="19"/>
  <c r="R99" i="43"/>
  <c r="S99" i="43"/>
  <c r="N99" i="43"/>
  <c r="M99" i="43"/>
  <c r="L99" i="43"/>
  <c r="H99" i="43"/>
  <c r="K99" i="41"/>
  <c r="L99" i="41"/>
  <c r="J99" i="41"/>
  <c r="R98" i="43"/>
  <c r="S98" i="43"/>
  <c r="Q98" i="43"/>
  <c r="P98" i="43"/>
  <c r="O98" i="43"/>
  <c r="O99" i="43"/>
  <c r="P99" i="43"/>
  <c r="Q99" i="43"/>
  <c r="H98" i="41"/>
  <c r="G98" i="41"/>
  <c r="I98" i="41"/>
  <c r="N98" i="43"/>
  <c r="M98" i="43"/>
  <c r="L98" i="43"/>
  <c r="H98" i="43"/>
  <c r="L98" i="41"/>
  <c r="J98" i="41"/>
  <c r="K98" i="41"/>
  <c r="Q17" i="19"/>
  <c r="E86" i="43" s="1"/>
  <c r="F85" i="43"/>
  <c r="T85" i="43" s="1"/>
  <c r="AC85" i="43" s="1"/>
  <c r="AL85" i="43" s="1"/>
  <c r="G85" i="43"/>
  <c r="U85" i="43" s="1"/>
  <c r="AD85" i="43" s="1"/>
  <c r="AM85" i="43" s="1"/>
  <c r="E85" i="43"/>
  <c r="C85" i="43"/>
  <c r="L85" i="43" s="1"/>
  <c r="D85" i="43"/>
  <c r="Q85" i="43" s="1"/>
  <c r="H84" i="41"/>
  <c r="G84" i="41"/>
  <c r="I84" i="41"/>
  <c r="K85" i="41"/>
  <c r="L85" i="41"/>
  <c r="J85" i="41"/>
  <c r="Q84" i="43"/>
  <c r="O84" i="43"/>
  <c r="P84" i="43"/>
  <c r="L84" i="41"/>
  <c r="J84" i="41"/>
  <c r="K84" i="41"/>
  <c r="S84" i="43"/>
  <c r="R84" i="43"/>
  <c r="M84" i="43"/>
  <c r="L84" i="43"/>
  <c r="N84" i="43"/>
  <c r="H84" i="43"/>
  <c r="Y17" i="19"/>
  <c r="L20" i="45"/>
  <c r="G20" i="45"/>
  <c r="G27" i="11"/>
  <c r="G27" i="12"/>
  <c r="G27" i="10"/>
  <c r="D112" i="41"/>
  <c r="Y18" i="5"/>
  <c r="H18" i="11"/>
  <c r="H18" i="12"/>
  <c r="H18" i="10"/>
  <c r="D99" i="41"/>
  <c r="W21" i="19"/>
  <c r="N22" i="11"/>
  <c r="N22" i="10"/>
  <c r="N22" i="12"/>
  <c r="AA18" i="19"/>
  <c r="K26" i="12"/>
  <c r="K26" i="11"/>
  <c r="K26" i="10"/>
  <c r="Q27" i="5"/>
  <c r="Q17" i="12"/>
  <c r="Q17" i="11"/>
  <c r="U18" i="19"/>
  <c r="E18" i="10"/>
  <c r="E18" i="11"/>
  <c r="E18" i="12"/>
  <c r="U18" i="5"/>
  <c r="X27" i="5"/>
  <c r="D27" i="11"/>
  <c r="D27" i="10"/>
  <c r="D27" i="12"/>
  <c r="AB22" i="19"/>
  <c r="Q17" i="10"/>
  <c r="O18" i="12"/>
  <c r="O18" i="10"/>
  <c r="O18" i="11"/>
  <c r="U21" i="5"/>
  <c r="B21" i="12"/>
  <c r="B21" i="11"/>
  <c r="B21" i="10"/>
  <c r="D84" i="41"/>
  <c r="X16" i="19"/>
  <c r="T16" i="19"/>
  <c r="H21" i="11"/>
  <c r="H21" i="10"/>
  <c r="H21" i="12"/>
  <c r="E21" i="12"/>
  <c r="E21" i="10"/>
  <c r="E21" i="11"/>
  <c r="P19" i="11"/>
  <c r="P19" i="10"/>
  <c r="P19" i="12"/>
  <c r="AA22" i="5"/>
  <c r="I22" i="11"/>
  <c r="I22" i="10"/>
  <c r="I22" i="12"/>
  <c r="G21" i="12"/>
  <c r="G21" i="11"/>
  <c r="G21" i="10"/>
  <c r="I23" i="12"/>
  <c r="I23" i="10"/>
  <c r="I23" i="11"/>
  <c r="F26" i="12"/>
  <c r="F26" i="11"/>
  <c r="F26" i="10"/>
  <c r="S23" i="5"/>
  <c r="L22" i="12"/>
  <c r="L22" i="10"/>
  <c r="L22" i="11"/>
  <c r="AA17" i="5"/>
  <c r="I17" i="10"/>
  <c r="I17" i="11"/>
  <c r="I17" i="12"/>
  <c r="S18" i="5"/>
  <c r="O22" i="11"/>
  <c r="O22" i="12"/>
  <c r="O22" i="10"/>
  <c r="U20" i="19"/>
  <c r="W26" i="5"/>
  <c r="C26" i="12"/>
  <c r="C26" i="11"/>
  <c r="C26" i="10"/>
  <c r="H26" i="10"/>
  <c r="H26" i="11"/>
  <c r="H26" i="12"/>
  <c r="M27" i="10"/>
  <c r="M27" i="11"/>
  <c r="M27" i="12"/>
  <c r="T27" i="5"/>
  <c r="AB27" i="19"/>
  <c r="E26" i="10"/>
  <c r="E26" i="12"/>
  <c r="E26" i="11"/>
  <c r="F23" i="12"/>
  <c r="F23" i="10"/>
  <c r="F23" i="11"/>
  <c r="W23" i="5"/>
  <c r="X27" i="19"/>
  <c r="T27" i="19"/>
  <c r="O27" i="11"/>
  <c r="O27" i="12"/>
  <c r="O27" i="10"/>
  <c r="T22" i="19"/>
  <c r="X22" i="19"/>
  <c r="D98" i="41"/>
  <c r="I26" i="12"/>
  <c r="I26" i="10"/>
  <c r="S27" i="5"/>
  <c r="I26" i="11"/>
  <c r="K18" i="10"/>
  <c r="K18" i="12"/>
  <c r="K18" i="11"/>
  <c r="U26" i="5"/>
  <c r="B26" i="11"/>
  <c r="B26" i="12"/>
  <c r="B26" i="10"/>
  <c r="W18" i="19"/>
  <c r="J21" i="10"/>
  <c r="J21" i="12"/>
  <c r="J21" i="11"/>
  <c r="X21" i="5"/>
  <c r="D21" i="11"/>
  <c r="D21" i="12"/>
  <c r="D21" i="10"/>
  <c r="U25" i="19"/>
  <c r="AB27" i="5"/>
  <c r="J27" i="11"/>
  <c r="J27" i="12"/>
  <c r="J27" i="10"/>
  <c r="S17" i="19"/>
  <c r="AN122" i="33"/>
  <c r="AN109" i="33"/>
  <c r="V72" i="33"/>
  <c r="V111" i="33" s="1"/>
  <c r="O72" i="33"/>
  <c r="O111" i="33" s="1"/>
  <c r="AL72" i="33"/>
  <c r="AE72" i="33"/>
  <c r="U86" i="33"/>
  <c r="U126" i="33" s="1"/>
  <c r="AD86" i="33"/>
  <c r="AK86" i="33"/>
  <c r="N86" i="33"/>
  <c r="N126" i="33" s="1"/>
  <c r="W86" i="33"/>
  <c r="W126" i="33" s="1"/>
  <c r="AM86" i="33"/>
  <c r="P86" i="33"/>
  <c r="P126" i="33" s="1"/>
  <c r="AF86" i="33"/>
  <c r="J72" i="33"/>
  <c r="J111" i="33" s="1"/>
  <c r="AG72" i="33"/>
  <c r="Q72" i="33"/>
  <c r="Q111" i="33" s="1"/>
  <c r="Z72" i="33"/>
  <c r="AD72" i="33"/>
  <c r="U72" i="33"/>
  <c r="U111" i="33" s="1"/>
  <c r="AK72" i="33"/>
  <c r="N72" i="33"/>
  <c r="N111" i="33" s="1"/>
  <c r="AI85" i="33"/>
  <c r="AB85" i="33"/>
  <c r="L85" i="33"/>
  <c r="L125" i="33" s="1"/>
  <c r="S85" i="33"/>
  <c r="S125" i="33" s="1"/>
  <c r="J60" i="33"/>
  <c r="AG60" i="33"/>
  <c r="Q60" i="33"/>
  <c r="Q98" i="33" s="1"/>
  <c r="Z60" i="33"/>
  <c r="AF60" i="33"/>
  <c r="AM60" i="33"/>
  <c r="W60" i="33"/>
  <c r="W98" i="33" s="1"/>
  <c r="P60" i="33"/>
  <c r="P98" i="33" s="1"/>
  <c r="K59" i="33"/>
  <c r="K97" i="33" s="1"/>
  <c r="AH59" i="33"/>
  <c r="AA59" i="33"/>
  <c r="R59" i="33"/>
  <c r="R97" i="33" s="1"/>
  <c r="AB71" i="33"/>
  <c r="S71" i="33"/>
  <c r="AI71" i="33"/>
  <c r="L71" i="33"/>
  <c r="T85" i="33"/>
  <c r="T125" i="33" s="1"/>
  <c r="M85" i="33"/>
  <c r="M125" i="33" s="1"/>
  <c r="AJ85" i="33"/>
  <c r="AC85" i="33"/>
  <c r="AE60" i="33"/>
  <c r="AL60" i="33"/>
  <c r="O60" i="33"/>
  <c r="O98" i="33" s="1"/>
  <c r="V60" i="33"/>
  <c r="V98" i="33" s="1"/>
  <c r="AC60" i="33"/>
  <c r="M60" i="33"/>
  <c r="M98" i="33" s="1"/>
  <c r="T60" i="33"/>
  <c r="T98" i="33" s="1"/>
  <c r="AJ60" i="33"/>
  <c r="Z84" i="33"/>
  <c r="AG84" i="33"/>
  <c r="Q84" i="33"/>
  <c r="Q124" i="33" s="1"/>
  <c r="J84" i="33"/>
  <c r="J124" i="33" s="1"/>
  <c r="W72" i="33"/>
  <c r="W111" i="33" s="1"/>
  <c r="AM72" i="33"/>
  <c r="P72" i="33"/>
  <c r="P111" i="33" s="1"/>
  <c r="AF72" i="33"/>
  <c r="AD60" i="33"/>
  <c r="U60" i="33"/>
  <c r="U98" i="33" s="1"/>
  <c r="N60" i="33"/>
  <c r="N98" i="33" s="1"/>
  <c r="AK60" i="33"/>
  <c r="R72" i="33"/>
  <c r="R111" i="33" s="1"/>
  <c r="K72" i="33"/>
  <c r="K111" i="33" s="1"/>
  <c r="AH72" i="33"/>
  <c r="AA72" i="33"/>
  <c r="AJ71" i="33"/>
  <c r="AC71" i="33"/>
  <c r="T71" i="33"/>
  <c r="T110" i="33" s="1"/>
  <c r="M71" i="33"/>
  <c r="M110" i="33" s="1"/>
  <c r="O84" i="33"/>
  <c r="O124" i="33" s="1"/>
  <c r="AL84" i="33"/>
  <c r="V84" i="33"/>
  <c r="V124" i="33" s="1"/>
  <c r="AE84" i="33"/>
  <c r="K85" i="33"/>
  <c r="K125" i="33" s="1"/>
  <c r="AH85" i="33"/>
  <c r="R85" i="33"/>
  <c r="R125" i="33" s="1"/>
  <c r="AA85" i="33"/>
  <c r="AB60" i="33"/>
  <c r="L60" i="33"/>
  <c r="AI60" i="33"/>
  <c r="S60" i="33"/>
  <c r="H20" i="54" l="1"/>
  <c r="G20" i="24"/>
  <c r="L20" i="24" s="1"/>
  <c r="X124" i="33"/>
  <c r="L110" i="33"/>
  <c r="X110" i="33" s="1"/>
  <c r="L97" i="33"/>
  <c r="S110" i="33"/>
  <c r="S97" i="33"/>
  <c r="X97" i="33" s="1"/>
  <c r="AB112" i="43"/>
  <c r="AK112" i="43" s="1"/>
  <c r="AB99" i="43"/>
  <c r="AK99" i="43" s="1"/>
  <c r="D85" i="41"/>
  <c r="O85" i="43"/>
  <c r="AB98" i="43"/>
  <c r="AK98" i="43" s="1"/>
  <c r="I85" i="41"/>
  <c r="P85" i="43"/>
  <c r="H85" i="41"/>
  <c r="Q19" i="5"/>
  <c r="S22" i="11"/>
  <c r="M85" i="43"/>
  <c r="Y18" i="19"/>
  <c r="C86" i="41"/>
  <c r="K86" i="41" s="1"/>
  <c r="D86" i="43"/>
  <c r="O86" i="43" s="1"/>
  <c r="S22" i="12"/>
  <c r="S22" i="10"/>
  <c r="B86" i="41"/>
  <c r="I86" i="41" s="1"/>
  <c r="N85" i="43"/>
  <c r="G86" i="43"/>
  <c r="U86" i="43" s="1"/>
  <c r="AD86" i="43" s="1"/>
  <c r="F86" i="43"/>
  <c r="T86" i="43" s="1"/>
  <c r="AC86" i="43" s="1"/>
  <c r="AL86" i="43" s="1"/>
  <c r="C86" i="43"/>
  <c r="L86" i="43" s="1"/>
  <c r="AA112" i="43"/>
  <c r="AJ112" i="43" s="1"/>
  <c r="F14" i="54"/>
  <c r="P112" i="41"/>
  <c r="L14" i="54" s="1"/>
  <c r="B119" i="41"/>
  <c r="D119" i="43"/>
  <c r="E119" i="43"/>
  <c r="C119" i="41"/>
  <c r="C119" i="43"/>
  <c r="G119" i="43"/>
  <c r="U119" i="43" s="1"/>
  <c r="AD119" i="43" s="1"/>
  <c r="AM119" i="43" s="1"/>
  <c r="F119" i="43"/>
  <c r="T119" i="43" s="1"/>
  <c r="AC119" i="43" s="1"/>
  <c r="AL119" i="43" s="1"/>
  <c r="B113" i="41"/>
  <c r="C113" i="43"/>
  <c r="D113" i="43"/>
  <c r="E113" i="43"/>
  <c r="C113" i="41"/>
  <c r="G113" i="43"/>
  <c r="U113" i="43" s="1"/>
  <c r="AD113" i="43" s="1"/>
  <c r="AM113" i="43" s="1"/>
  <c r="F113" i="43"/>
  <c r="T113" i="43" s="1"/>
  <c r="AC113" i="43" s="1"/>
  <c r="AL113" i="43" s="1"/>
  <c r="Z112" i="43"/>
  <c r="AI112" i="43" s="1"/>
  <c r="V112" i="43"/>
  <c r="F15" i="45" s="1"/>
  <c r="V98" i="43"/>
  <c r="E15" i="45" s="1"/>
  <c r="Z98" i="43"/>
  <c r="V99" i="43"/>
  <c r="E16" i="45" s="1"/>
  <c r="Z99" i="43"/>
  <c r="E14" i="54"/>
  <c r="G14" i="54" s="1"/>
  <c r="P98" i="41"/>
  <c r="K14" i="54" s="1"/>
  <c r="C100" i="41"/>
  <c r="E100" i="43"/>
  <c r="B100" i="41"/>
  <c r="D100" i="43"/>
  <c r="C100" i="43"/>
  <c r="G100" i="43"/>
  <c r="U100" i="43" s="1"/>
  <c r="AD100" i="43" s="1"/>
  <c r="AM100" i="43" s="1"/>
  <c r="F100" i="43"/>
  <c r="T100" i="43" s="1"/>
  <c r="AC100" i="43" s="1"/>
  <c r="AL100" i="43" s="1"/>
  <c r="W26" i="19"/>
  <c r="AA99" i="43"/>
  <c r="AJ99" i="43" s="1"/>
  <c r="AA98" i="43"/>
  <c r="AJ98" i="43" s="1"/>
  <c r="E15" i="54"/>
  <c r="H85" i="43"/>
  <c r="R85" i="43"/>
  <c r="S85" i="43"/>
  <c r="AA84" i="43"/>
  <c r="AJ84" i="43" s="1"/>
  <c r="B14" i="54"/>
  <c r="P84" i="41"/>
  <c r="I14" i="54" s="1"/>
  <c r="Q18" i="19"/>
  <c r="V84" i="43"/>
  <c r="B15" i="45" s="1"/>
  <c r="Z84" i="43"/>
  <c r="AB84" i="43"/>
  <c r="AK84" i="43" s="1"/>
  <c r="R86" i="43"/>
  <c r="S86" i="43"/>
  <c r="Q84" i="41"/>
  <c r="Q98" i="41"/>
  <c r="U26" i="19"/>
  <c r="W27" i="5"/>
  <c r="C27" i="11"/>
  <c r="C27" i="10"/>
  <c r="C27" i="12"/>
  <c r="L18" i="10"/>
  <c r="L18" i="11"/>
  <c r="L18" i="12"/>
  <c r="N27" i="11"/>
  <c r="N27" i="10"/>
  <c r="N27" i="12"/>
  <c r="AB22" i="5"/>
  <c r="J22" i="12"/>
  <c r="J22" i="11"/>
  <c r="J22" i="10"/>
  <c r="Q112" i="41"/>
  <c r="P28" i="12"/>
  <c r="P28" i="10"/>
  <c r="P28" i="11"/>
  <c r="T28" i="5"/>
  <c r="P99" i="41"/>
  <c r="M99" i="41"/>
  <c r="E15" i="24" s="1"/>
  <c r="X22" i="5"/>
  <c r="D22" i="12"/>
  <c r="D22" i="11"/>
  <c r="D22" i="10"/>
  <c r="T27" i="12"/>
  <c r="M28" i="12"/>
  <c r="M28" i="10"/>
  <c r="M28" i="11"/>
  <c r="N19" i="12"/>
  <c r="N19" i="11"/>
  <c r="N19" i="10"/>
  <c r="I24" i="10"/>
  <c r="I24" i="11"/>
  <c r="I24" i="12"/>
  <c r="T27" i="11"/>
  <c r="G22" i="11"/>
  <c r="G22" i="12"/>
  <c r="G22" i="10"/>
  <c r="K19" i="11"/>
  <c r="K19" i="10"/>
  <c r="K19" i="12"/>
  <c r="AB28" i="5"/>
  <c r="J28" i="12"/>
  <c r="J28" i="11"/>
  <c r="J28" i="10"/>
  <c r="M84" i="41"/>
  <c r="B14" i="24" s="1"/>
  <c r="X28" i="5"/>
  <c r="G28" i="10"/>
  <c r="G28" i="11"/>
  <c r="G28" i="12"/>
  <c r="L27" i="12"/>
  <c r="L27" i="11"/>
  <c r="L27" i="10"/>
  <c r="S28" i="5"/>
  <c r="AB28" i="19"/>
  <c r="Y27" i="5"/>
  <c r="H27" i="12"/>
  <c r="H27" i="11"/>
  <c r="H27" i="10"/>
  <c r="K27" i="12"/>
  <c r="K27" i="10"/>
  <c r="K27" i="11"/>
  <c r="Q99" i="41"/>
  <c r="M22" i="12"/>
  <c r="M22" i="10"/>
  <c r="M22" i="11"/>
  <c r="O23" i="12"/>
  <c r="O23" i="11"/>
  <c r="O23" i="10"/>
  <c r="L23" i="10"/>
  <c r="S24" i="5"/>
  <c r="L23" i="12"/>
  <c r="L23" i="11"/>
  <c r="E22" i="12"/>
  <c r="E22" i="11"/>
  <c r="E22" i="10"/>
  <c r="X17" i="19"/>
  <c r="T17" i="19"/>
  <c r="S18" i="19"/>
  <c r="Y22" i="5"/>
  <c r="H22" i="12"/>
  <c r="H22" i="11"/>
  <c r="H22" i="10"/>
  <c r="X28" i="19"/>
  <c r="T28" i="19"/>
  <c r="AA22" i="19"/>
  <c r="T23" i="19"/>
  <c r="X23" i="19"/>
  <c r="M98" i="41"/>
  <c r="E14" i="24" s="1"/>
  <c r="AA27" i="5"/>
  <c r="I27" i="11"/>
  <c r="I27" i="12"/>
  <c r="I27" i="10"/>
  <c r="U21" i="19"/>
  <c r="E27" i="11"/>
  <c r="E27" i="12"/>
  <c r="E27" i="10"/>
  <c r="Q85" i="41"/>
  <c r="F27" i="12"/>
  <c r="F27" i="11"/>
  <c r="F27" i="10"/>
  <c r="Y19" i="5"/>
  <c r="H19" i="10"/>
  <c r="H19" i="12"/>
  <c r="H19" i="11"/>
  <c r="L24" i="10"/>
  <c r="L24" i="11"/>
  <c r="S25" i="5"/>
  <c r="L24" i="12"/>
  <c r="U22" i="5"/>
  <c r="B22" i="12"/>
  <c r="B22" i="11"/>
  <c r="B22" i="10"/>
  <c r="Q18" i="11"/>
  <c r="AB23" i="19"/>
  <c r="U27" i="5"/>
  <c r="B27" i="12"/>
  <c r="B27" i="11"/>
  <c r="B27" i="10"/>
  <c r="W22" i="19"/>
  <c r="AA23" i="5"/>
  <c r="K22" i="11"/>
  <c r="K22" i="12"/>
  <c r="K22" i="10"/>
  <c r="Q18" i="10"/>
  <c r="AB18" i="19"/>
  <c r="Q18" i="12"/>
  <c r="M112" i="41"/>
  <c r="F14" i="24" s="1"/>
  <c r="AN110" i="33"/>
  <c r="AN123" i="33"/>
  <c r="T86" i="33"/>
  <c r="T126" i="33" s="1"/>
  <c r="AC86" i="33"/>
  <c r="AJ86" i="33"/>
  <c r="M86" i="33"/>
  <c r="M126" i="33" s="1"/>
  <c r="U73" i="33"/>
  <c r="U112" i="33" s="1"/>
  <c r="AD73" i="33"/>
  <c r="N73" i="33"/>
  <c r="N112" i="33" s="1"/>
  <c r="AK73" i="33"/>
  <c r="AL61" i="33"/>
  <c r="V61" i="33"/>
  <c r="V99" i="33" s="1"/>
  <c r="O61" i="33"/>
  <c r="O99" i="33" s="1"/>
  <c r="AE61" i="33"/>
  <c r="AB86" i="33"/>
  <c r="S86" i="33"/>
  <c r="S126" i="33" s="1"/>
  <c r="L86" i="33"/>
  <c r="L126" i="33" s="1"/>
  <c r="AI86" i="33"/>
  <c r="T61" i="33"/>
  <c r="T99" i="33" s="1"/>
  <c r="M61" i="33"/>
  <c r="M99" i="33" s="1"/>
  <c r="AJ61" i="33"/>
  <c r="AC61" i="33"/>
  <c r="AM61" i="33"/>
  <c r="W61" i="33"/>
  <c r="W99" i="33" s="1"/>
  <c r="P61" i="33"/>
  <c r="P99" i="33" s="1"/>
  <c r="AF61" i="33"/>
  <c r="AM73" i="33"/>
  <c r="AF73" i="33"/>
  <c r="W73" i="33"/>
  <c r="W112" i="33" s="1"/>
  <c r="P73" i="33"/>
  <c r="P112" i="33" s="1"/>
  <c r="AA60" i="33"/>
  <c r="K60" i="33"/>
  <c r="K98" i="33" s="1"/>
  <c r="AH60" i="33"/>
  <c r="R60" i="33"/>
  <c r="R98" i="33" s="1"/>
  <c r="Z61" i="33"/>
  <c r="J61" i="33"/>
  <c r="AG61" i="33"/>
  <c r="Q61" i="33"/>
  <c r="Q99" i="33" s="1"/>
  <c r="R86" i="33"/>
  <c r="R126" i="33" s="1"/>
  <c r="AH86" i="33"/>
  <c r="AA86" i="33"/>
  <c r="K86" i="33"/>
  <c r="K126" i="33" s="1"/>
  <c r="N61" i="33"/>
  <c r="N99" i="33" s="1"/>
  <c r="U61" i="33"/>
  <c r="U99" i="33" s="1"/>
  <c r="AK61" i="33"/>
  <c r="AD61" i="33"/>
  <c r="Q73" i="33"/>
  <c r="Q112" i="33" s="1"/>
  <c r="J73" i="33"/>
  <c r="J98" i="33" s="1"/>
  <c r="AG73" i="33"/>
  <c r="Z73" i="33"/>
  <c r="AB72" i="33"/>
  <c r="S72" i="33"/>
  <c r="L72" i="33"/>
  <c r="AI72" i="33"/>
  <c r="AE85" i="33"/>
  <c r="O85" i="33"/>
  <c r="O125" i="33" s="1"/>
  <c r="V85" i="33"/>
  <c r="V125" i="33" s="1"/>
  <c r="AL85" i="33"/>
  <c r="S61" i="33"/>
  <c r="AI61" i="33"/>
  <c r="AB61" i="33"/>
  <c r="L61" i="33"/>
  <c r="AG85" i="33"/>
  <c r="Z85" i="33"/>
  <c r="Q85" i="33"/>
  <c r="Q125" i="33" s="1"/>
  <c r="J85" i="33"/>
  <c r="J125" i="33" s="1"/>
  <c r="X125" i="33" s="1"/>
  <c r="R73" i="33"/>
  <c r="R112" i="33" s="1"/>
  <c r="K73" i="33"/>
  <c r="K112" i="33" s="1"/>
  <c r="AH73" i="33"/>
  <c r="AA73" i="33"/>
  <c r="AC72" i="33"/>
  <c r="T72" i="33"/>
  <c r="T111" i="33" s="1"/>
  <c r="M72" i="33"/>
  <c r="M111" i="33" s="1"/>
  <c r="AJ72" i="33"/>
  <c r="V73" i="33"/>
  <c r="V112" i="33" s="1"/>
  <c r="AL73" i="33"/>
  <c r="AE73" i="33"/>
  <c r="O73" i="33"/>
  <c r="O112" i="33" s="1"/>
  <c r="T22" i="5"/>
  <c r="M85" i="41" l="1"/>
  <c r="B15" i="24" s="1"/>
  <c r="H21" i="54"/>
  <c r="G21" i="24"/>
  <c r="L21" i="24" s="1"/>
  <c r="S111" i="33"/>
  <c r="S98" i="33"/>
  <c r="X98" i="33" s="1"/>
  <c r="J112" i="33"/>
  <c r="L111" i="33"/>
  <c r="X111" i="33" s="1"/>
  <c r="L98" i="33"/>
  <c r="Z85" i="43"/>
  <c r="AI85" i="43" s="1"/>
  <c r="AA85" i="43"/>
  <c r="AJ85" i="43" s="1"/>
  <c r="P85" i="41"/>
  <c r="V85" i="41" s="1"/>
  <c r="B15" i="54"/>
  <c r="AN112" i="43"/>
  <c r="V84" i="41"/>
  <c r="V112" i="41"/>
  <c r="V98" i="41"/>
  <c r="S23" i="10"/>
  <c r="Q28" i="5"/>
  <c r="Q23" i="5"/>
  <c r="Q20" i="5"/>
  <c r="P86" i="43"/>
  <c r="L86" i="41"/>
  <c r="J86" i="41"/>
  <c r="H86" i="43"/>
  <c r="Q22" i="11"/>
  <c r="Y27" i="19"/>
  <c r="D86" i="41"/>
  <c r="M86" i="43"/>
  <c r="AM86" i="43"/>
  <c r="N86" i="43"/>
  <c r="H86" i="41"/>
  <c r="G86" i="41"/>
  <c r="Q86" i="43"/>
  <c r="M113" i="43"/>
  <c r="N113" i="43"/>
  <c r="L113" i="43"/>
  <c r="H113" i="43"/>
  <c r="I113" i="41"/>
  <c r="H113" i="41"/>
  <c r="G113" i="41"/>
  <c r="B114" i="41"/>
  <c r="D114" i="43"/>
  <c r="C114" i="41"/>
  <c r="C114" i="43"/>
  <c r="E114" i="43"/>
  <c r="G114" i="43"/>
  <c r="U114" i="43" s="1"/>
  <c r="AD114" i="43" s="1"/>
  <c r="AM114" i="43" s="1"/>
  <c r="F114" i="43"/>
  <c r="T114" i="43" s="1"/>
  <c r="AC114" i="43" s="1"/>
  <c r="AL114" i="43" s="1"/>
  <c r="S113" i="43"/>
  <c r="R113" i="43"/>
  <c r="O113" i="43"/>
  <c r="Q113" i="43"/>
  <c r="P113" i="43"/>
  <c r="AE112" i="43"/>
  <c r="K15" i="45" s="1"/>
  <c r="K119" i="41"/>
  <c r="J119" i="41"/>
  <c r="L119" i="41"/>
  <c r="K113" i="41"/>
  <c r="L113" i="41"/>
  <c r="J113" i="41"/>
  <c r="M119" i="43"/>
  <c r="L119" i="43"/>
  <c r="N119" i="43"/>
  <c r="H119" i="43"/>
  <c r="R119" i="43"/>
  <c r="S119" i="43"/>
  <c r="P119" i="43"/>
  <c r="Q119" i="43"/>
  <c r="O119" i="43"/>
  <c r="C120" i="43"/>
  <c r="E120" i="43"/>
  <c r="B120" i="41"/>
  <c r="C120" i="41"/>
  <c r="D120" i="43"/>
  <c r="G120" i="43"/>
  <c r="U120" i="43" s="1"/>
  <c r="AD120" i="43" s="1"/>
  <c r="AM120" i="43" s="1"/>
  <c r="F120" i="43"/>
  <c r="T120" i="43" s="1"/>
  <c r="AC120" i="43" s="1"/>
  <c r="AL120" i="43" s="1"/>
  <c r="G119" i="41"/>
  <c r="I119" i="41"/>
  <c r="H119" i="41"/>
  <c r="C101" i="41"/>
  <c r="B101" i="41"/>
  <c r="D101" i="43"/>
  <c r="C101" i="43"/>
  <c r="E101" i="43"/>
  <c r="F101" i="43"/>
  <c r="T101" i="43" s="1"/>
  <c r="AC101" i="43" s="1"/>
  <c r="AL101" i="43" s="1"/>
  <c r="G101" i="43"/>
  <c r="U101" i="43" s="1"/>
  <c r="AD101" i="43" s="1"/>
  <c r="AM101" i="43" s="1"/>
  <c r="N100" i="43"/>
  <c r="L100" i="43"/>
  <c r="M100" i="43"/>
  <c r="H100" i="43"/>
  <c r="O100" i="43"/>
  <c r="P100" i="43"/>
  <c r="Q100" i="43"/>
  <c r="S100" i="43"/>
  <c r="R100" i="43"/>
  <c r="H100" i="41"/>
  <c r="G100" i="41"/>
  <c r="I100" i="41"/>
  <c r="K100" i="41"/>
  <c r="J100" i="41"/>
  <c r="L100" i="41"/>
  <c r="AI99" i="43"/>
  <c r="AN99" i="43" s="1"/>
  <c r="AE99" i="43"/>
  <c r="J16" i="45" s="1"/>
  <c r="AI98" i="43"/>
  <c r="AN98" i="43" s="1"/>
  <c r="AE98" i="43"/>
  <c r="J15" i="45" s="1"/>
  <c r="S27" i="12"/>
  <c r="T23" i="5"/>
  <c r="S23" i="12"/>
  <c r="T22" i="11"/>
  <c r="T22" i="12"/>
  <c r="S23" i="11"/>
  <c r="Q22" i="12"/>
  <c r="AB85" i="43"/>
  <c r="AK85" i="43" s="1"/>
  <c r="V85" i="43"/>
  <c r="B16" i="45" s="1"/>
  <c r="AE84" i="43"/>
  <c r="H15" i="45" s="1"/>
  <c r="D87" i="43"/>
  <c r="E87" i="43"/>
  <c r="C87" i="43"/>
  <c r="C87" i="41"/>
  <c r="B87" i="41"/>
  <c r="F87" i="43"/>
  <c r="T87" i="43" s="1"/>
  <c r="AC87" i="43" s="1"/>
  <c r="AL87" i="43" s="1"/>
  <c r="G87" i="43"/>
  <c r="U87" i="43" s="1"/>
  <c r="AD87" i="43" s="1"/>
  <c r="AM87" i="43" s="1"/>
  <c r="AB86" i="43"/>
  <c r="AK86" i="43" s="1"/>
  <c r="AI84" i="43"/>
  <c r="AN84" i="43" s="1"/>
  <c r="V99" i="41"/>
  <c r="K15" i="54"/>
  <c r="R98" i="41"/>
  <c r="J14" i="24" s="1"/>
  <c r="R84" i="41"/>
  <c r="H14" i="24" s="1"/>
  <c r="R112" i="41"/>
  <c r="K14" i="24" s="1"/>
  <c r="L21" i="45"/>
  <c r="G21" i="45"/>
  <c r="K23" i="11"/>
  <c r="K23" i="12"/>
  <c r="K23" i="10"/>
  <c r="Q24" i="5"/>
  <c r="N20" i="12"/>
  <c r="N20" i="10"/>
  <c r="N20" i="11"/>
  <c r="AB23" i="5"/>
  <c r="J23" i="12"/>
  <c r="J23" i="10"/>
  <c r="J23" i="11"/>
  <c r="Q19" i="12"/>
  <c r="S19" i="19"/>
  <c r="AA19" i="19"/>
  <c r="Y22" i="19"/>
  <c r="AA27" i="19"/>
  <c r="D113" i="41"/>
  <c r="N28" i="10"/>
  <c r="N28" i="12"/>
  <c r="N28" i="11"/>
  <c r="AA23" i="19"/>
  <c r="K20" i="10"/>
  <c r="K20" i="11"/>
  <c r="K20" i="12"/>
  <c r="Q21" i="5"/>
  <c r="Y20" i="5"/>
  <c r="M23" i="12"/>
  <c r="M23" i="10"/>
  <c r="M23" i="11"/>
  <c r="O24" i="10"/>
  <c r="O24" i="11"/>
  <c r="S24" i="11" s="1"/>
  <c r="O24" i="12"/>
  <c r="S24" i="12" s="1"/>
  <c r="N23" i="12"/>
  <c r="N23" i="11"/>
  <c r="N23" i="10"/>
  <c r="T28" i="11"/>
  <c r="S27" i="19"/>
  <c r="E28" i="10"/>
  <c r="E28" i="12"/>
  <c r="E28" i="11"/>
  <c r="U28" i="5"/>
  <c r="Y19" i="19"/>
  <c r="Q19" i="19"/>
  <c r="D100" i="41"/>
  <c r="D119" i="41"/>
  <c r="T28" i="12"/>
  <c r="W23" i="19"/>
  <c r="S23" i="19"/>
  <c r="Q27" i="19"/>
  <c r="U27" i="19"/>
  <c r="E23" i="12"/>
  <c r="E23" i="10"/>
  <c r="E23" i="11"/>
  <c r="U23" i="5"/>
  <c r="O19" i="11"/>
  <c r="O19" i="12"/>
  <c r="O19" i="10"/>
  <c r="AA28" i="5"/>
  <c r="I28" i="12"/>
  <c r="I28" i="10"/>
  <c r="I28" i="11"/>
  <c r="Q27" i="12"/>
  <c r="L28" i="11"/>
  <c r="L28" i="12"/>
  <c r="L28" i="10"/>
  <c r="K28" i="10"/>
  <c r="K28" i="12"/>
  <c r="K28" i="11"/>
  <c r="AB24" i="19"/>
  <c r="T24" i="19"/>
  <c r="Q22" i="19"/>
  <c r="U22" i="19"/>
  <c r="X23" i="5"/>
  <c r="G23" i="10"/>
  <c r="G23" i="12"/>
  <c r="G23" i="11"/>
  <c r="Q27" i="11"/>
  <c r="F28" i="11"/>
  <c r="F28" i="12"/>
  <c r="F28" i="10"/>
  <c r="W28" i="5"/>
  <c r="O28" i="12"/>
  <c r="O28" i="10"/>
  <c r="O28" i="11"/>
  <c r="P23" i="10"/>
  <c r="P23" i="12"/>
  <c r="P23" i="11"/>
  <c r="X18" i="19"/>
  <c r="T18" i="19"/>
  <c r="O25" i="10"/>
  <c r="O25" i="11"/>
  <c r="O25" i="12"/>
  <c r="L25" i="11"/>
  <c r="S26" i="5"/>
  <c r="L25" i="12"/>
  <c r="L25" i="10"/>
  <c r="AA25" i="5"/>
  <c r="S27" i="11"/>
  <c r="AA24" i="5"/>
  <c r="R99" i="41"/>
  <c r="J15" i="24" s="1"/>
  <c r="W27" i="19"/>
  <c r="S22" i="19"/>
  <c r="Y23" i="5"/>
  <c r="H23" i="10"/>
  <c r="H23" i="11"/>
  <c r="H23" i="12"/>
  <c r="S24" i="19"/>
  <c r="Y28" i="5"/>
  <c r="H28" i="11"/>
  <c r="H28" i="10"/>
  <c r="H28" i="12"/>
  <c r="Q19" i="11"/>
  <c r="AN111" i="33"/>
  <c r="AN124" i="33"/>
  <c r="AH74" i="33"/>
  <c r="K74" i="33"/>
  <c r="K113" i="33" s="1"/>
  <c r="AA74" i="33"/>
  <c r="R74" i="33"/>
  <c r="R113" i="33" s="1"/>
  <c r="AG62" i="33"/>
  <c r="J62" i="33"/>
  <c r="J100" i="33" s="1"/>
  <c r="Q62" i="33"/>
  <c r="Q100" i="33" s="1"/>
  <c r="Z62" i="33"/>
  <c r="S73" i="33"/>
  <c r="AI73" i="33"/>
  <c r="AB73" i="33"/>
  <c r="L73" i="33"/>
  <c r="R61" i="33"/>
  <c r="R99" i="33" s="1"/>
  <c r="AA61" i="33"/>
  <c r="K61" i="33"/>
  <c r="K99" i="33" s="1"/>
  <c r="AH61" i="33"/>
  <c r="Q86" i="33"/>
  <c r="Q126" i="33" s="1"/>
  <c r="J86" i="33"/>
  <c r="J126" i="33" s="1"/>
  <c r="X126" i="33" s="1"/>
  <c r="Z86" i="33"/>
  <c r="AG86" i="33"/>
  <c r="AE74" i="33"/>
  <c r="AL74" i="33"/>
  <c r="O74" i="33"/>
  <c r="O113" i="33" s="1"/>
  <c r="V74" i="33"/>
  <c r="V113" i="33" s="1"/>
  <c r="L62" i="33"/>
  <c r="AI62" i="33"/>
  <c r="AB62" i="33"/>
  <c r="S62" i="33"/>
  <c r="N74" i="33"/>
  <c r="N113" i="33" s="1"/>
  <c r="AK74" i="33"/>
  <c r="U74" i="33"/>
  <c r="U113" i="33" s="1"/>
  <c r="AD74" i="33"/>
  <c r="U62" i="33"/>
  <c r="U100" i="33" s="1"/>
  <c r="N62" i="33"/>
  <c r="N100" i="33" s="1"/>
  <c r="AK62" i="33"/>
  <c r="AD62" i="33"/>
  <c r="T62" i="33"/>
  <c r="T100" i="33" s="1"/>
  <c r="M62" i="33"/>
  <c r="M100" i="33" s="1"/>
  <c r="AJ62" i="33"/>
  <c r="AC62" i="33"/>
  <c r="AG74" i="33"/>
  <c r="J74" i="33"/>
  <c r="J113" i="33" s="1"/>
  <c r="Q74" i="33"/>
  <c r="Q113" i="33" s="1"/>
  <c r="Z74" i="33"/>
  <c r="V62" i="33"/>
  <c r="V100" i="33" s="1"/>
  <c r="O62" i="33"/>
  <c r="O100" i="33" s="1"/>
  <c r="AL62" i="33"/>
  <c r="AE62" i="33"/>
  <c r="AF74" i="33"/>
  <c r="P74" i="33"/>
  <c r="P113" i="33" s="1"/>
  <c r="AM74" i="33"/>
  <c r="W74" i="33"/>
  <c r="W113" i="33" s="1"/>
  <c r="AL86" i="33"/>
  <c r="V86" i="33"/>
  <c r="V126" i="33" s="1"/>
  <c r="AE86" i="33"/>
  <c r="O86" i="33"/>
  <c r="O126" i="33" s="1"/>
  <c r="AF62" i="33"/>
  <c r="W62" i="33"/>
  <c r="W100" i="33" s="1"/>
  <c r="AM62" i="33"/>
  <c r="P62" i="33"/>
  <c r="P100" i="33" s="1"/>
  <c r="T73" i="33"/>
  <c r="T112" i="33" s="1"/>
  <c r="M73" i="33"/>
  <c r="M112" i="33" s="1"/>
  <c r="AC73" i="33"/>
  <c r="AJ73" i="33"/>
  <c r="H22" i="54" l="1"/>
  <c r="G22" i="24"/>
  <c r="L22" i="24" s="1"/>
  <c r="S112" i="33"/>
  <c r="S99" i="33"/>
  <c r="X112" i="33"/>
  <c r="J99" i="33"/>
  <c r="X99" i="33" s="1"/>
  <c r="L112" i="33"/>
  <c r="L99" i="33"/>
  <c r="AB100" i="43"/>
  <c r="AK100" i="43" s="1"/>
  <c r="I15" i="54"/>
  <c r="Q86" i="41"/>
  <c r="R85" i="41"/>
  <c r="H15" i="24" s="1"/>
  <c r="B16" i="54"/>
  <c r="Z86" i="43"/>
  <c r="AI86" i="43" s="1"/>
  <c r="AB113" i="43"/>
  <c r="AK113" i="43" s="1"/>
  <c r="AA86" i="43"/>
  <c r="AJ86" i="43" s="1"/>
  <c r="AA119" i="43"/>
  <c r="AJ119" i="43" s="1"/>
  <c r="M86" i="41"/>
  <c r="B16" i="24" s="1"/>
  <c r="P86" i="41"/>
  <c r="I16" i="54" s="1"/>
  <c r="V86" i="43"/>
  <c r="B17" i="45" s="1"/>
  <c r="AN85" i="43"/>
  <c r="AE85" i="43"/>
  <c r="H16" i="45" s="1"/>
  <c r="D87" i="41"/>
  <c r="C121" i="43"/>
  <c r="D121" i="43"/>
  <c r="B121" i="41"/>
  <c r="E121" i="43"/>
  <c r="C121" i="41"/>
  <c r="G121" i="43"/>
  <c r="U121" i="43" s="1"/>
  <c r="AD121" i="43" s="1"/>
  <c r="AM121" i="43" s="1"/>
  <c r="F121" i="43"/>
  <c r="T121" i="43" s="1"/>
  <c r="AC121" i="43" s="1"/>
  <c r="AL121" i="43" s="1"/>
  <c r="R114" i="43"/>
  <c r="S114" i="43"/>
  <c r="AA113" i="43"/>
  <c r="AJ113" i="43" s="1"/>
  <c r="Z119" i="43"/>
  <c r="V119" i="43"/>
  <c r="F22" i="45" s="1"/>
  <c r="N114" i="43"/>
  <c r="L114" i="43"/>
  <c r="M114" i="43"/>
  <c r="H114" i="43"/>
  <c r="J120" i="41"/>
  <c r="L120" i="41"/>
  <c r="K120" i="41"/>
  <c r="L120" i="43"/>
  <c r="M120" i="43"/>
  <c r="N120" i="43"/>
  <c r="H120" i="43"/>
  <c r="Q114" i="43"/>
  <c r="P114" i="43"/>
  <c r="O114" i="43"/>
  <c r="F15" i="54"/>
  <c r="P113" i="41"/>
  <c r="L15" i="54" s="1"/>
  <c r="F21" i="54"/>
  <c r="P119" i="41"/>
  <c r="L21" i="54" s="1"/>
  <c r="G120" i="41"/>
  <c r="H120" i="41"/>
  <c r="I120" i="41"/>
  <c r="AB119" i="43"/>
  <c r="AK119" i="43" s="1"/>
  <c r="L114" i="41"/>
  <c r="J114" i="41"/>
  <c r="K114" i="41"/>
  <c r="H114" i="41"/>
  <c r="I114" i="41"/>
  <c r="G114" i="41"/>
  <c r="Z113" i="43"/>
  <c r="V113" i="43"/>
  <c r="F16" i="45" s="1"/>
  <c r="S120" i="43"/>
  <c r="R120" i="43"/>
  <c r="B115" i="41"/>
  <c r="C115" i="43"/>
  <c r="E115" i="43"/>
  <c r="D115" i="43"/>
  <c r="C115" i="41"/>
  <c r="G115" i="43"/>
  <c r="U115" i="43" s="1"/>
  <c r="AD115" i="43" s="1"/>
  <c r="AM115" i="43" s="1"/>
  <c r="F115" i="43"/>
  <c r="T115" i="43" s="1"/>
  <c r="AC115" i="43" s="1"/>
  <c r="AL115" i="43" s="1"/>
  <c r="O120" i="43"/>
  <c r="P120" i="43"/>
  <c r="Q120" i="43"/>
  <c r="H101" i="41"/>
  <c r="I101" i="41"/>
  <c r="G101" i="41"/>
  <c r="E16" i="54"/>
  <c r="D102" i="43"/>
  <c r="B102" i="41"/>
  <c r="E102" i="43"/>
  <c r="C102" i="43"/>
  <c r="C102" i="41"/>
  <c r="G102" i="43"/>
  <c r="U102" i="43" s="1"/>
  <c r="F102" i="43"/>
  <c r="T102" i="43" s="1"/>
  <c r="AC102" i="43" s="1"/>
  <c r="AL102" i="43" s="1"/>
  <c r="C106" i="41"/>
  <c r="D106" i="43"/>
  <c r="E106" i="43"/>
  <c r="B106" i="41"/>
  <c r="C106" i="43"/>
  <c r="F106" i="43"/>
  <c r="T106" i="43" s="1"/>
  <c r="AC106" i="43" s="1"/>
  <c r="AL106" i="43" s="1"/>
  <c r="G106" i="43"/>
  <c r="U106" i="43" s="1"/>
  <c r="AD106" i="43" s="1"/>
  <c r="AM106" i="43" s="1"/>
  <c r="AA100" i="43"/>
  <c r="AJ100" i="43" s="1"/>
  <c r="E107" i="43"/>
  <c r="B107" i="41"/>
  <c r="D107" i="43"/>
  <c r="C107" i="41"/>
  <c r="C107" i="43"/>
  <c r="F107" i="43"/>
  <c r="T107" i="43" s="1"/>
  <c r="AC107" i="43" s="1"/>
  <c r="AL107" i="43" s="1"/>
  <c r="G107" i="43"/>
  <c r="U107" i="43" s="1"/>
  <c r="AD107" i="43" s="1"/>
  <c r="AM107" i="43" s="1"/>
  <c r="V100" i="43"/>
  <c r="E17" i="45" s="1"/>
  <c r="Z100" i="43"/>
  <c r="B105" i="41"/>
  <c r="D105" i="43"/>
  <c r="C105" i="41"/>
  <c r="C105" i="43"/>
  <c r="E105" i="43"/>
  <c r="F105" i="43"/>
  <c r="T105" i="43" s="1"/>
  <c r="AC105" i="43" s="1"/>
  <c r="AL105" i="43" s="1"/>
  <c r="G105" i="43"/>
  <c r="U105" i="43" s="1"/>
  <c r="S101" i="43"/>
  <c r="R101" i="43"/>
  <c r="L101" i="43"/>
  <c r="M101" i="43"/>
  <c r="N101" i="43"/>
  <c r="H101" i="43"/>
  <c r="Q101" i="43"/>
  <c r="O101" i="43"/>
  <c r="P101" i="43"/>
  <c r="L101" i="41"/>
  <c r="J101" i="41"/>
  <c r="K101" i="41"/>
  <c r="S28" i="12"/>
  <c r="Y28" i="19"/>
  <c r="S25" i="12"/>
  <c r="T23" i="12"/>
  <c r="Q20" i="11"/>
  <c r="D91" i="43"/>
  <c r="C91" i="43"/>
  <c r="C91" i="41"/>
  <c r="E91" i="43"/>
  <c r="B91" i="41"/>
  <c r="F91" i="43"/>
  <c r="T91" i="43" s="1"/>
  <c r="AC91" i="43" s="1"/>
  <c r="AL91" i="43" s="1"/>
  <c r="G91" i="43"/>
  <c r="U91" i="43" s="1"/>
  <c r="AD91" i="43" s="1"/>
  <c r="AM91" i="43" s="1"/>
  <c r="Y23" i="19"/>
  <c r="D88" i="43"/>
  <c r="E88" i="43"/>
  <c r="C88" i="41"/>
  <c r="B88" i="41"/>
  <c r="C88" i="43"/>
  <c r="G88" i="43"/>
  <c r="U88" i="43" s="1"/>
  <c r="AD88" i="43" s="1"/>
  <c r="AM88" i="43" s="1"/>
  <c r="F88" i="43"/>
  <c r="T88" i="43" s="1"/>
  <c r="AC88" i="43" s="1"/>
  <c r="AL88" i="43" s="1"/>
  <c r="J87" i="41"/>
  <c r="K87" i="41"/>
  <c r="L87" i="41"/>
  <c r="N87" i="43"/>
  <c r="L87" i="43"/>
  <c r="M87" i="43"/>
  <c r="H87" i="43"/>
  <c r="S87" i="43"/>
  <c r="R87" i="43"/>
  <c r="I87" i="41"/>
  <c r="G87" i="41"/>
  <c r="H87" i="41"/>
  <c r="O87" i="43"/>
  <c r="Q87" i="43"/>
  <c r="P87" i="43"/>
  <c r="Q113" i="41"/>
  <c r="L22" i="45"/>
  <c r="G22" i="45"/>
  <c r="T23" i="11"/>
  <c r="AA20" i="19"/>
  <c r="S20" i="19"/>
  <c r="K24" i="12"/>
  <c r="K24" i="11"/>
  <c r="K24" i="10"/>
  <c r="S28" i="11"/>
  <c r="M119" i="41"/>
  <c r="F21" i="24" s="1"/>
  <c r="M24" i="11"/>
  <c r="M24" i="10"/>
  <c r="M24" i="12"/>
  <c r="AN125" i="33"/>
  <c r="AN112" i="33"/>
  <c r="D101" i="41"/>
  <c r="W28" i="19"/>
  <c r="S28" i="19"/>
  <c r="AA25" i="19"/>
  <c r="D120" i="41"/>
  <c r="M113" i="41"/>
  <c r="F15" i="24" s="1"/>
  <c r="Q20" i="12"/>
  <c r="AB24" i="5"/>
  <c r="J24" i="11"/>
  <c r="J24" i="10"/>
  <c r="J24" i="12"/>
  <c r="Q28" i="19"/>
  <c r="U28" i="19"/>
  <c r="AA24" i="19"/>
  <c r="N21" i="10"/>
  <c r="N21" i="12"/>
  <c r="Q21" i="12" s="1"/>
  <c r="N21" i="11"/>
  <c r="Q21" i="11" s="1"/>
  <c r="Y21" i="5"/>
  <c r="N24" i="12"/>
  <c r="N24" i="11"/>
  <c r="N24" i="10"/>
  <c r="AB25" i="19"/>
  <c r="T25" i="19"/>
  <c r="P100" i="41"/>
  <c r="M100" i="41"/>
  <c r="E16" i="24" s="1"/>
  <c r="Q100" i="41"/>
  <c r="AA28" i="19"/>
  <c r="P24" i="11"/>
  <c r="P24" i="12"/>
  <c r="P24" i="10"/>
  <c r="T24" i="5"/>
  <c r="Q28" i="11"/>
  <c r="Y24" i="5"/>
  <c r="H24" i="12"/>
  <c r="H24" i="11"/>
  <c r="H24" i="10"/>
  <c r="Y20" i="19"/>
  <c r="Q20" i="19"/>
  <c r="Q28" i="12"/>
  <c r="AB19" i="19"/>
  <c r="T19" i="19"/>
  <c r="Q23" i="19"/>
  <c r="U23" i="19"/>
  <c r="Q119" i="41"/>
  <c r="O26" i="12"/>
  <c r="S26" i="12" s="1"/>
  <c r="O26" i="10"/>
  <c r="O26" i="11"/>
  <c r="S26" i="11" s="1"/>
  <c r="AA26" i="5"/>
  <c r="S25" i="11"/>
  <c r="Q23" i="11"/>
  <c r="D114" i="41"/>
  <c r="Q23" i="12"/>
  <c r="AH62" i="33"/>
  <c r="K62" i="33"/>
  <c r="K100" i="33" s="1"/>
  <c r="AA62" i="33"/>
  <c r="R62" i="33"/>
  <c r="R100" i="33" s="1"/>
  <c r="L74" i="33"/>
  <c r="AI74" i="33"/>
  <c r="AB74" i="33"/>
  <c r="S74" i="33"/>
  <c r="M74" i="33"/>
  <c r="M113" i="33" s="1"/>
  <c r="AJ74" i="33"/>
  <c r="AC74" i="33"/>
  <c r="T74" i="33"/>
  <c r="T113" i="33" s="1"/>
  <c r="S100" i="33" l="1"/>
  <c r="S113" i="33"/>
  <c r="H23" i="54"/>
  <c r="G23" i="24"/>
  <c r="L23" i="24" s="1"/>
  <c r="L100" i="33"/>
  <c r="X100" i="33" s="1"/>
  <c r="L113" i="33"/>
  <c r="X113" i="33" s="1"/>
  <c r="AB120" i="43"/>
  <c r="AK120" i="43" s="1"/>
  <c r="V113" i="41"/>
  <c r="AN86" i="43"/>
  <c r="AE86" i="43"/>
  <c r="H17" i="45" s="1"/>
  <c r="AB101" i="43"/>
  <c r="AK101" i="43" s="1"/>
  <c r="AA114" i="43"/>
  <c r="AJ114" i="43" s="1"/>
  <c r="AB114" i="43"/>
  <c r="AK114" i="43" s="1"/>
  <c r="E17" i="54"/>
  <c r="Q25" i="5"/>
  <c r="R86" i="41"/>
  <c r="H16" i="24" s="1"/>
  <c r="V86" i="41"/>
  <c r="Z114" i="43"/>
  <c r="V114" i="43"/>
  <c r="F17" i="45" s="1"/>
  <c r="P115" i="43"/>
  <c r="Q115" i="43"/>
  <c r="O115" i="43"/>
  <c r="AI119" i="43"/>
  <c r="AN119" i="43" s="1"/>
  <c r="AE119" i="43"/>
  <c r="K22" i="45" s="1"/>
  <c r="C116" i="43"/>
  <c r="B116" i="41"/>
  <c r="E116" i="43"/>
  <c r="C116" i="41"/>
  <c r="D116" i="43"/>
  <c r="F116" i="43"/>
  <c r="T116" i="43" s="1"/>
  <c r="AC116" i="43" s="1"/>
  <c r="AL116" i="43" s="1"/>
  <c r="G116" i="43"/>
  <c r="U116" i="43" s="1"/>
  <c r="AD116" i="43" s="1"/>
  <c r="AM116" i="43" s="1"/>
  <c r="AA120" i="43"/>
  <c r="AJ120" i="43" s="1"/>
  <c r="V119" i="41"/>
  <c r="G115" i="41"/>
  <c r="H115" i="41"/>
  <c r="I115" i="41"/>
  <c r="P120" i="41"/>
  <c r="L22" i="54" s="1"/>
  <c r="F22" i="54"/>
  <c r="AI113" i="43"/>
  <c r="AN113" i="43" s="1"/>
  <c r="AE113" i="43"/>
  <c r="K16" i="45" s="1"/>
  <c r="L115" i="41"/>
  <c r="J115" i="41"/>
  <c r="K115" i="41"/>
  <c r="R115" i="43"/>
  <c r="S115" i="43"/>
  <c r="M115" i="43"/>
  <c r="L115" i="43"/>
  <c r="N115" i="43"/>
  <c r="H115" i="43"/>
  <c r="J121" i="41"/>
  <c r="K121" i="41"/>
  <c r="L121" i="41"/>
  <c r="P114" i="41"/>
  <c r="L16" i="54" s="1"/>
  <c r="F16" i="54"/>
  <c r="S121" i="43"/>
  <c r="R121" i="43"/>
  <c r="C122" i="41"/>
  <c r="C122" i="43"/>
  <c r="B122" i="41"/>
  <c r="D122" i="43"/>
  <c r="E122" i="43"/>
  <c r="G122" i="43"/>
  <c r="U122" i="43" s="1"/>
  <c r="F122" i="43"/>
  <c r="T122" i="43" s="1"/>
  <c r="AC122" i="43" s="1"/>
  <c r="AL122" i="43" s="1"/>
  <c r="H121" i="41"/>
  <c r="G121" i="41"/>
  <c r="I121" i="41"/>
  <c r="O121" i="43"/>
  <c r="Q121" i="43"/>
  <c r="P121" i="43"/>
  <c r="Z120" i="43"/>
  <c r="V120" i="43"/>
  <c r="F23" i="45" s="1"/>
  <c r="N121" i="43"/>
  <c r="M121" i="43"/>
  <c r="L121" i="43"/>
  <c r="H121" i="43"/>
  <c r="R105" i="43"/>
  <c r="S105" i="43"/>
  <c r="O106" i="43"/>
  <c r="P106" i="43"/>
  <c r="Q106" i="43"/>
  <c r="K105" i="41"/>
  <c r="L105" i="41"/>
  <c r="J105" i="41"/>
  <c r="G105" i="41"/>
  <c r="I105" i="41"/>
  <c r="H105" i="41"/>
  <c r="V101" i="43"/>
  <c r="E18" i="45" s="1"/>
  <c r="Z101" i="43"/>
  <c r="N106" i="43"/>
  <c r="L106" i="43"/>
  <c r="M106" i="43"/>
  <c r="H106" i="43"/>
  <c r="AI100" i="43"/>
  <c r="AN100" i="43" s="1"/>
  <c r="AE100" i="43"/>
  <c r="J17" i="45" s="1"/>
  <c r="AD102" i="43"/>
  <c r="AM102" i="43" s="1"/>
  <c r="K102" i="41"/>
  <c r="J102" i="41"/>
  <c r="L102" i="41"/>
  <c r="S106" i="43"/>
  <c r="R106" i="43"/>
  <c r="Q105" i="43"/>
  <c r="O105" i="43"/>
  <c r="P105" i="43"/>
  <c r="AA101" i="43"/>
  <c r="AJ101" i="43" s="1"/>
  <c r="L102" i="43"/>
  <c r="M102" i="43"/>
  <c r="N102" i="43"/>
  <c r="H102" i="43"/>
  <c r="R107" i="43"/>
  <c r="S107" i="43"/>
  <c r="I106" i="41"/>
  <c r="G106" i="41"/>
  <c r="H106" i="41"/>
  <c r="J106" i="41"/>
  <c r="K106" i="41"/>
  <c r="L106" i="41"/>
  <c r="R102" i="43"/>
  <c r="S102" i="43"/>
  <c r="N107" i="43"/>
  <c r="L107" i="43"/>
  <c r="M107" i="43"/>
  <c r="H107" i="43"/>
  <c r="G102" i="41"/>
  <c r="H102" i="41"/>
  <c r="I102" i="41"/>
  <c r="AD105" i="43"/>
  <c r="AM105" i="43" s="1"/>
  <c r="N105" i="43"/>
  <c r="L105" i="43"/>
  <c r="M105" i="43"/>
  <c r="H105" i="43"/>
  <c r="L107" i="41"/>
  <c r="K107" i="41"/>
  <c r="J107" i="41"/>
  <c r="Q102" i="43"/>
  <c r="P102" i="43"/>
  <c r="O102" i="43"/>
  <c r="E103" i="43"/>
  <c r="C103" i="41"/>
  <c r="B103" i="41"/>
  <c r="D103" i="43"/>
  <c r="C103" i="43"/>
  <c r="F103" i="43"/>
  <c r="T103" i="43" s="1"/>
  <c r="AC103" i="43" s="1"/>
  <c r="AL103" i="43" s="1"/>
  <c r="G103" i="43"/>
  <c r="U103" i="43" s="1"/>
  <c r="AD103" i="43" s="1"/>
  <c r="AM103" i="43" s="1"/>
  <c r="P107" i="43"/>
  <c r="O107" i="43"/>
  <c r="Q107" i="43"/>
  <c r="G107" i="41"/>
  <c r="H107" i="41"/>
  <c r="I107" i="41"/>
  <c r="T24" i="11"/>
  <c r="T24" i="12"/>
  <c r="AA87" i="43"/>
  <c r="AJ87" i="43" s="1"/>
  <c r="M87" i="41"/>
  <c r="B17" i="24" s="1"/>
  <c r="AB87" i="43"/>
  <c r="AK87" i="43" s="1"/>
  <c r="C89" i="41"/>
  <c r="E89" i="43"/>
  <c r="D89" i="43"/>
  <c r="B89" i="41"/>
  <c r="C89" i="43"/>
  <c r="G89" i="43"/>
  <c r="U89" i="43" s="1"/>
  <c r="AD89" i="43" s="1"/>
  <c r="AM89" i="43" s="1"/>
  <c r="F89" i="43"/>
  <c r="T89" i="43" s="1"/>
  <c r="AC89" i="43" s="1"/>
  <c r="AL89" i="43" s="1"/>
  <c r="R88" i="43"/>
  <c r="S88" i="43"/>
  <c r="Q88" i="43"/>
  <c r="O88" i="43"/>
  <c r="P88" i="43"/>
  <c r="Q91" i="43"/>
  <c r="O91" i="43"/>
  <c r="P91" i="43"/>
  <c r="H88" i="41"/>
  <c r="G88" i="41"/>
  <c r="I88" i="41"/>
  <c r="Q87" i="41"/>
  <c r="G91" i="41"/>
  <c r="I91" i="41"/>
  <c r="H91" i="41"/>
  <c r="V87" i="43"/>
  <c r="B18" i="45" s="1"/>
  <c r="Z87" i="43"/>
  <c r="L88" i="43"/>
  <c r="M88" i="43"/>
  <c r="N88" i="43"/>
  <c r="H88" i="43"/>
  <c r="J88" i="41"/>
  <c r="K88" i="41"/>
  <c r="L88" i="41"/>
  <c r="B17" i="54"/>
  <c r="P87" i="41"/>
  <c r="D92" i="43"/>
  <c r="E92" i="43"/>
  <c r="C92" i="41"/>
  <c r="C92" i="43"/>
  <c r="B92" i="41"/>
  <c r="F92" i="43"/>
  <c r="T92" i="43" s="1"/>
  <c r="AC92" i="43" s="1"/>
  <c r="AL92" i="43" s="1"/>
  <c r="G92" i="43"/>
  <c r="U92" i="43" s="1"/>
  <c r="R91" i="43"/>
  <c r="S91" i="43"/>
  <c r="J91" i="41"/>
  <c r="K91" i="41"/>
  <c r="L91" i="41"/>
  <c r="N91" i="43"/>
  <c r="L91" i="43"/>
  <c r="M91" i="43"/>
  <c r="H91" i="43"/>
  <c r="V100" i="41"/>
  <c r="K16" i="54"/>
  <c r="R113" i="41"/>
  <c r="K15" i="24" s="1"/>
  <c r="Q120" i="41"/>
  <c r="L23" i="45"/>
  <c r="G23" i="45"/>
  <c r="D106" i="41"/>
  <c r="D115" i="41"/>
  <c r="D102" i="41"/>
  <c r="Q21" i="19"/>
  <c r="Y21" i="19"/>
  <c r="Q101" i="41"/>
  <c r="D91" i="41"/>
  <c r="AA21" i="19"/>
  <c r="S21" i="19"/>
  <c r="K25" i="10"/>
  <c r="K25" i="12"/>
  <c r="K25" i="11"/>
  <c r="Q26" i="5"/>
  <c r="Y25" i="5"/>
  <c r="R100" i="41"/>
  <c r="J16" i="24" s="1"/>
  <c r="M120" i="41"/>
  <c r="F22" i="24" s="1"/>
  <c r="P25" i="12"/>
  <c r="P25" i="11"/>
  <c r="P25" i="10"/>
  <c r="T25" i="5"/>
  <c r="Y24" i="19"/>
  <c r="Q24" i="19"/>
  <c r="D88" i="41"/>
  <c r="Q114" i="41"/>
  <c r="M25" i="12"/>
  <c r="M25" i="10"/>
  <c r="M25" i="11"/>
  <c r="AB25" i="5"/>
  <c r="R119" i="41"/>
  <c r="K21" i="24" s="1"/>
  <c r="AN113" i="33"/>
  <c r="Q24" i="11"/>
  <c r="S25" i="19"/>
  <c r="M114" i="41"/>
  <c r="F16" i="24" s="1"/>
  <c r="Q24" i="12"/>
  <c r="M101" i="41"/>
  <c r="E17" i="24" s="1"/>
  <c r="P101" i="41"/>
  <c r="D121" i="41"/>
  <c r="T26" i="19"/>
  <c r="AB26" i="19"/>
  <c r="N25" i="11"/>
  <c r="N25" i="12"/>
  <c r="N25" i="10"/>
  <c r="AB20" i="19"/>
  <c r="T20" i="19"/>
  <c r="D105" i="41"/>
  <c r="D107" i="41"/>
  <c r="AN126" i="33"/>
  <c r="H24" i="54" l="1"/>
  <c r="G24" i="24"/>
  <c r="L24" i="24" s="1"/>
  <c r="AB106" i="43"/>
  <c r="AK106" i="43" s="1"/>
  <c r="AA115" i="43"/>
  <c r="AJ115" i="43" s="1"/>
  <c r="AB121" i="43"/>
  <c r="AK121" i="43" s="1"/>
  <c r="R114" i="41"/>
  <c r="K16" i="24" s="1"/>
  <c r="AA106" i="43"/>
  <c r="AJ106" i="43" s="1"/>
  <c r="AB102" i="43"/>
  <c r="AK102" i="43" s="1"/>
  <c r="Q106" i="41"/>
  <c r="G122" i="41"/>
  <c r="H122" i="41"/>
  <c r="I122" i="41"/>
  <c r="Z121" i="43"/>
  <c r="V121" i="43"/>
  <c r="F24" i="45" s="1"/>
  <c r="V120" i="41"/>
  <c r="V114" i="41"/>
  <c r="AI120" i="43"/>
  <c r="AN120" i="43" s="1"/>
  <c r="AE120" i="43"/>
  <c r="K23" i="45" s="1"/>
  <c r="F17" i="54"/>
  <c r="P115" i="41"/>
  <c r="L17" i="54" s="1"/>
  <c r="P116" i="43"/>
  <c r="Q116" i="43"/>
  <c r="O116" i="43"/>
  <c r="L116" i="41"/>
  <c r="J116" i="41"/>
  <c r="K116" i="41"/>
  <c r="K122" i="41"/>
  <c r="L122" i="41"/>
  <c r="J122" i="41"/>
  <c r="C117" i="43"/>
  <c r="D117" i="43"/>
  <c r="B117" i="41"/>
  <c r="C117" i="41"/>
  <c r="E117" i="43"/>
  <c r="F117" i="43"/>
  <c r="T117" i="43" s="1"/>
  <c r="AC117" i="43" s="1"/>
  <c r="AL117" i="43" s="1"/>
  <c r="G117" i="43"/>
  <c r="U117" i="43" s="1"/>
  <c r="AD117" i="43" s="1"/>
  <c r="AM117" i="43" s="1"/>
  <c r="AA121" i="43"/>
  <c r="AJ121" i="43" s="1"/>
  <c r="Z115" i="43"/>
  <c r="V115" i="43"/>
  <c r="F18" i="45" s="1"/>
  <c r="R116" i="43"/>
  <c r="S116" i="43"/>
  <c r="G116" i="41"/>
  <c r="H116" i="41"/>
  <c r="I116" i="41"/>
  <c r="P121" i="41"/>
  <c r="L23" i="54" s="1"/>
  <c r="F23" i="54"/>
  <c r="L116" i="43"/>
  <c r="N116" i="43"/>
  <c r="M116" i="43"/>
  <c r="H116" i="43"/>
  <c r="AB115" i="43"/>
  <c r="AK115" i="43" s="1"/>
  <c r="AD122" i="43"/>
  <c r="AM122" i="43" s="1"/>
  <c r="R122" i="43"/>
  <c r="S122" i="43"/>
  <c r="P122" i="43"/>
  <c r="Q122" i="43"/>
  <c r="O122" i="43"/>
  <c r="L122" i="43"/>
  <c r="M122" i="43"/>
  <c r="N122" i="43"/>
  <c r="H122" i="43"/>
  <c r="AI114" i="43"/>
  <c r="AN114" i="43" s="1"/>
  <c r="AE114" i="43"/>
  <c r="K17" i="45" s="1"/>
  <c r="B108" i="41"/>
  <c r="C108" i="43"/>
  <c r="D108" i="43"/>
  <c r="C108" i="41"/>
  <c r="E108" i="43"/>
  <c r="G108" i="43"/>
  <c r="U108" i="43" s="1"/>
  <c r="AD108" i="43" s="1"/>
  <c r="AM108" i="43" s="1"/>
  <c r="F108" i="43"/>
  <c r="T108" i="43" s="1"/>
  <c r="AC108" i="43" s="1"/>
  <c r="AL108" i="43" s="1"/>
  <c r="E22" i="54"/>
  <c r="E23" i="54"/>
  <c r="AB107" i="43"/>
  <c r="AK107" i="43" s="1"/>
  <c r="AI101" i="43"/>
  <c r="AN101" i="43" s="1"/>
  <c r="AE101" i="43"/>
  <c r="J18" i="45" s="1"/>
  <c r="L103" i="43"/>
  <c r="M103" i="43"/>
  <c r="N103" i="43"/>
  <c r="H103" i="43"/>
  <c r="E18" i="54"/>
  <c r="AB105" i="43"/>
  <c r="AK105" i="43" s="1"/>
  <c r="O103" i="43"/>
  <c r="P103" i="43"/>
  <c r="Q103" i="43"/>
  <c r="E21" i="54"/>
  <c r="G103" i="41"/>
  <c r="H103" i="41"/>
  <c r="I103" i="41"/>
  <c r="AA105" i="43"/>
  <c r="AJ105" i="43" s="1"/>
  <c r="AA107" i="43"/>
  <c r="AJ107" i="43" s="1"/>
  <c r="Z102" i="43"/>
  <c r="V102" i="43"/>
  <c r="E19" i="45" s="1"/>
  <c r="B104" i="41"/>
  <c r="C104" i="43"/>
  <c r="E104" i="43"/>
  <c r="C104" i="41"/>
  <c r="D104" i="43"/>
  <c r="G104" i="43"/>
  <c r="U104" i="43" s="1"/>
  <c r="AD104" i="43" s="1"/>
  <c r="AM104" i="43" s="1"/>
  <c r="F104" i="43"/>
  <c r="T104" i="43" s="1"/>
  <c r="J103" i="41"/>
  <c r="K103" i="41"/>
  <c r="L103" i="41"/>
  <c r="Z107" i="43"/>
  <c r="V107" i="43"/>
  <c r="E24" i="45" s="1"/>
  <c r="V105" i="43"/>
  <c r="E22" i="45" s="1"/>
  <c r="Z105" i="43"/>
  <c r="V106" i="43"/>
  <c r="E23" i="45" s="1"/>
  <c r="Z106" i="43"/>
  <c r="R103" i="43"/>
  <c r="S103" i="43"/>
  <c r="AA102" i="43"/>
  <c r="AJ102" i="43" s="1"/>
  <c r="T25" i="11"/>
  <c r="Q25" i="12"/>
  <c r="R87" i="41"/>
  <c r="H17" i="24" s="1"/>
  <c r="AA91" i="43"/>
  <c r="AJ91" i="43" s="1"/>
  <c r="N92" i="43"/>
  <c r="L92" i="43"/>
  <c r="M92" i="43"/>
  <c r="H92" i="43"/>
  <c r="AD92" i="43"/>
  <c r="AM92" i="43" s="1"/>
  <c r="B18" i="54"/>
  <c r="P88" i="41"/>
  <c r="I18" i="54" s="1"/>
  <c r="AB88" i="43"/>
  <c r="AK88" i="43" s="1"/>
  <c r="I17" i="54"/>
  <c r="V87" i="41"/>
  <c r="AA88" i="43"/>
  <c r="AJ88" i="43" s="1"/>
  <c r="V91" i="43"/>
  <c r="B22" i="45" s="1"/>
  <c r="Z91" i="43"/>
  <c r="G92" i="41"/>
  <c r="H92" i="41"/>
  <c r="I92" i="41"/>
  <c r="K92" i="41"/>
  <c r="L92" i="41"/>
  <c r="J92" i="41"/>
  <c r="R92" i="43"/>
  <c r="S92" i="43"/>
  <c r="O92" i="43"/>
  <c r="Q92" i="43"/>
  <c r="P92" i="43"/>
  <c r="V88" i="43"/>
  <c r="B19" i="45" s="1"/>
  <c r="Z88" i="43"/>
  <c r="N89" i="43"/>
  <c r="L89" i="43"/>
  <c r="M89" i="43"/>
  <c r="H89" i="43"/>
  <c r="B21" i="54"/>
  <c r="P91" i="41"/>
  <c r="I21" i="54" s="1"/>
  <c r="B93" i="41"/>
  <c r="C93" i="43"/>
  <c r="D93" i="43"/>
  <c r="E93" i="43"/>
  <c r="C93" i="41"/>
  <c r="G93" i="43"/>
  <c r="U93" i="43" s="1"/>
  <c r="AD93" i="43" s="1"/>
  <c r="AM93" i="43" s="1"/>
  <c r="F93" i="43"/>
  <c r="T93" i="43" s="1"/>
  <c r="AC93" i="43" s="1"/>
  <c r="AL93" i="43" s="1"/>
  <c r="AI87" i="43"/>
  <c r="AN87" i="43" s="1"/>
  <c r="AE87" i="43"/>
  <c r="H18" i="45" s="1"/>
  <c r="I89" i="41"/>
  <c r="G89" i="41"/>
  <c r="H89" i="41"/>
  <c r="R89" i="43"/>
  <c r="S89" i="43"/>
  <c r="P89" i="43"/>
  <c r="O89" i="43"/>
  <c r="Q89" i="43"/>
  <c r="D90" i="43"/>
  <c r="B90" i="41"/>
  <c r="C90" i="43"/>
  <c r="E90" i="43"/>
  <c r="C90" i="41"/>
  <c r="F90" i="43"/>
  <c r="T90" i="43" s="1"/>
  <c r="AC90" i="43" s="1"/>
  <c r="AL90" i="43" s="1"/>
  <c r="G90" i="43"/>
  <c r="U90" i="43" s="1"/>
  <c r="AD90" i="43" s="1"/>
  <c r="AM90" i="43" s="1"/>
  <c r="AB91" i="43"/>
  <c r="AK91" i="43" s="1"/>
  <c r="J89" i="41"/>
  <c r="K89" i="41"/>
  <c r="L89" i="41"/>
  <c r="V101" i="41"/>
  <c r="K17" i="54"/>
  <c r="Q121" i="41"/>
  <c r="R101" i="41"/>
  <c r="J17" i="24" s="1"/>
  <c r="Q115" i="41"/>
  <c r="Q102" i="41"/>
  <c r="R120" i="41"/>
  <c r="K22" i="24" s="1"/>
  <c r="Q91" i="41"/>
  <c r="Q88" i="41"/>
  <c r="L24" i="45"/>
  <c r="G24" i="45"/>
  <c r="P26" i="11"/>
  <c r="T26" i="11" s="1"/>
  <c r="P26" i="12"/>
  <c r="T26" i="12" s="1"/>
  <c r="P26" i="10"/>
  <c r="AB26" i="5"/>
  <c r="T26" i="5"/>
  <c r="M88" i="41"/>
  <c r="B18" i="24" s="1"/>
  <c r="D103" i="41"/>
  <c r="Q107" i="41"/>
  <c r="Q25" i="19"/>
  <c r="Y25" i="19"/>
  <c r="M102" i="41"/>
  <c r="E18" i="24" s="1"/>
  <c r="P102" i="41"/>
  <c r="D89" i="41"/>
  <c r="T25" i="12"/>
  <c r="T21" i="19"/>
  <c r="AB21" i="19"/>
  <c r="AA26" i="19"/>
  <c r="S26" i="19"/>
  <c r="P107" i="41"/>
  <c r="M107" i="41"/>
  <c r="E23" i="24" s="1"/>
  <c r="M115" i="41"/>
  <c r="F17" i="24" s="1"/>
  <c r="M105" i="41"/>
  <c r="E21" i="24" s="1"/>
  <c r="P105" i="41"/>
  <c r="M121" i="41"/>
  <c r="F23" i="24" s="1"/>
  <c r="P106" i="41"/>
  <c r="M106" i="41"/>
  <c r="E22" i="24" s="1"/>
  <c r="D122" i="41"/>
  <c r="D92" i="41"/>
  <c r="D116" i="41"/>
  <c r="M91" i="41"/>
  <c r="B21" i="24" s="1"/>
  <c r="Q25" i="11"/>
  <c r="Q105" i="41"/>
  <c r="N26" i="12"/>
  <c r="Q26" i="12" s="1"/>
  <c r="N26" i="11"/>
  <c r="Q26" i="11" s="1"/>
  <c r="N26" i="10"/>
  <c r="Y26" i="5"/>
  <c r="AA116" i="43" l="1"/>
  <c r="AJ116" i="43" s="1"/>
  <c r="AA122" i="43"/>
  <c r="AJ122" i="43" s="1"/>
  <c r="E19" i="54"/>
  <c r="O117" i="43"/>
  <c r="Q117" i="43"/>
  <c r="P117" i="43"/>
  <c r="V121" i="41"/>
  <c r="L117" i="43"/>
  <c r="M117" i="43"/>
  <c r="N117" i="43"/>
  <c r="H117" i="43"/>
  <c r="V116" i="43"/>
  <c r="F19" i="45" s="1"/>
  <c r="Z116" i="43"/>
  <c r="AI115" i="43"/>
  <c r="AN115" i="43" s="1"/>
  <c r="AE115" i="43"/>
  <c r="K18" i="45" s="1"/>
  <c r="C118" i="41"/>
  <c r="D118" i="43"/>
  <c r="C118" i="43"/>
  <c r="E118" i="43"/>
  <c r="B118" i="41"/>
  <c r="G118" i="43"/>
  <c r="U118" i="43" s="1"/>
  <c r="AD118" i="43" s="1"/>
  <c r="AM118" i="43" s="1"/>
  <c r="F118" i="43"/>
  <c r="T118" i="43" s="1"/>
  <c r="AC118" i="43" s="1"/>
  <c r="AL118" i="43" s="1"/>
  <c r="F18" i="54"/>
  <c r="P116" i="41"/>
  <c r="L18" i="54" s="1"/>
  <c r="AB116" i="43"/>
  <c r="AK116" i="43" s="1"/>
  <c r="V115" i="41"/>
  <c r="Z122" i="43"/>
  <c r="V122" i="43"/>
  <c r="F25" i="45" s="1"/>
  <c r="AB122" i="43"/>
  <c r="AK122" i="43" s="1"/>
  <c r="J117" i="41"/>
  <c r="K117" i="41"/>
  <c r="L117" i="41"/>
  <c r="AI121" i="43"/>
  <c r="AN121" i="43" s="1"/>
  <c r="AE121" i="43"/>
  <c r="K24" i="45" s="1"/>
  <c r="F24" i="54"/>
  <c r="P122" i="41"/>
  <c r="L24" i="54" s="1"/>
  <c r="S117" i="43"/>
  <c r="R117" i="43"/>
  <c r="I117" i="41"/>
  <c r="G117" i="41"/>
  <c r="H117" i="41"/>
  <c r="AC104" i="43"/>
  <c r="AL104" i="43" s="1"/>
  <c r="O104" i="43"/>
  <c r="P104" i="43"/>
  <c r="Q104" i="43"/>
  <c r="L104" i="43"/>
  <c r="M104" i="43"/>
  <c r="N104" i="43"/>
  <c r="H104" i="43"/>
  <c r="AI105" i="43"/>
  <c r="AN105" i="43" s="1"/>
  <c r="AE105" i="43"/>
  <c r="J22" i="45" s="1"/>
  <c r="M108" i="43"/>
  <c r="N108" i="43"/>
  <c r="L108" i="43"/>
  <c r="H108" i="43"/>
  <c r="R104" i="43"/>
  <c r="S104" i="43"/>
  <c r="O108" i="43"/>
  <c r="P108" i="43"/>
  <c r="Q108" i="43"/>
  <c r="AA103" i="43"/>
  <c r="AJ103" i="43" s="1"/>
  <c r="J104" i="41"/>
  <c r="K104" i="41"/>
  <c r="L104" i="41"/>
  <c r="AI102" i="43"/>
  <c r="AN102" i="43" s="1"/>
  <c r="AE102" i="43"/>
  <c r="J19" i="45" s="1"/>
  <c r="AB103" i="43"/>
  <c r="AK103" i="43" s="1"/>
  <c r="AI107" i="43"/>
  <c r="AN107" i="43" s="1"/>
  <c r="AE107" i="43"/>
  <c r="J24" i="45" s="1"/>
  <c r="V103" i="43"/>
  <c r="E20" i="45" s="1"/>
  <c r="Z103" i="43"/>
  <c r="H104" i="41"/>
  <c r="I104" i="41"/>
  <c r="G104" i="41"/>
  <c r="AI106" i="43"/>
  <c r="AN106" i="43" s="1"/>
  <c r="AE106" i="43"/>
  <c r="J23" i="45" s="1"/>
  <c r="S108" i="43"/>
  <c r="R108" i="43"/>
  <c r="J108" i="41"/>
  <c r="K108" i="41"/>
  <c r="L108" i="41"/>
  <c r="G108" i="41"/>
  <c r="H108" i="41"/>
  <c r="I108" i="41"/>
  <c r="AA89" i="43"/>
  <c r="AJ89" i="43" s="1"/>
  <c r="L93" i="43"/>
  <c r="M93" i="43"/>
  <c r="N93" i="43"/>
  <c r="H93" i="43"/>
  <c r="L90" i="43"/>
  <c r="M90" i="43"/>
  <c r="N90" i="43"/>
  <c r="H90" i="43"/>
  <c r="H90" i="41"/>
  <c r="G90" i="41"/>
  <c r="I90" i="41"/>
  <c r="O90" i="43"/>
  <c r="Q90" i="43"/>
  <c r="P90" i="43"/>
  <c r="J93" i="41"/>
  <c r="K93" i="41"/>
  <c r="L93" i="41"/>
  <c r="P92" i="41"/>
  <c r="I22" i="54" s="1"/>
  <c r="B22" i="54"/>
  <c r="Z89" i="43"/>
  <c r="V89" i="43"/>
  <c r="B20" i="45" s="1"/>
  <c r="AB89" i="43"/>
  <c r="AK89" i="43" s="1"/>
  <c r="AI88" i="43"/>
  <c r="AN88" i="43" s="1"/>
  <c r="AE88" i="43"/>
  <c r="H19" i="45" s="1"/>
  <c r="E94" i="43"/>
  <c r="C94" i="43"/>
  <c r="C94" i="41"/>
  <c r="B94" i="41"/>
  <c r="D94" i="43"/>
  <c r="G94" i="43"/>
  <c r="U94" i="43" s="1"/>
  <c r="AD94" i="43" s="1"/>
  <c r="AM94" i="43" s="1"/>
  <c r="F94" i="43"/>
  <c r="T94" i="43" s="1"/>
  <c r="V91" i="41"/>
  <c r="S90" i="43"/>
  <c r="R90" i="43"/>
  <c r="AA92" i="43"/>
  <c r="AJ92" i="43" s="1"/>
  <c r="R93" i="43"/>
  <c r="S93" i="43"/>
  <c r="AI91" i="43"/>
  <c r="AN91" i="43" s="1"/>
  <c r="AE91" i="43"/>
  <c r="H22" i="45" s="1"/>
  <c r="V88" i="41"/>
  <c r="Z92" i="43"/>
  <c r="V92" i="43"/>
  <c r="B23" i="45" s="1"/>
  <c r="Q93" i="43"/>
  <c r="P93" i="43"/>
  <c r="O93" i="43"/>
  <c r="K90" i="41"/>
  <c r="J90" i="41"/>
  <c r="L90" i="41"/>
  <c r="H93" i="41"/>
  <c r="I93" i="41"/>
  <c r="G93" i="41"/>
  <c r="B19" i="54"/>
  <c r="P89" i="41"/>
  <c r="I19" i="54" s="1"/>
  <c r="AB92" i="43"/>
  <c r="AK92" i="43" s="1"/>
  <c r="R106" i="41"/>
  <c r="J22" i="24" s="1"/>
  <c r="K22" i="54"/>
  <c r="V107" i="41"/>
  <c r="K23" i="54"/>
  <c r="V105" i="41"/>
  <c r="K21" i="54"/>
  <c r="V102" i="41"/>
  <c r="K18" i="54"/>
  <c r="Q92" i="41"/>
  <c r="V106" i="41"/>
  <c r="R91" i="41"/>
  <c r="H21" i="24" s="1"/>
  <c r="R121" i="41"/>
  <c r="K23" i="24" s="1"/>
  <c r="R115" i="41"/>
  <c r="K17" i="24" s="1"/>
  <c r="R107" i="41"/>
  <c r="J23" i="24" s="1"/>
  <c r="R88" i="41"/>
  <c r="H18" i="24" s="1"/>
  <c r="R102" i="41"/>
  <c r="J18" i="24" s="1"/>
  <c r="G25" i="45"/>
  <c r="L25" i="45"/>
  <c r="M122" i="41"/>
  <c r="F24" i="24" s="1"/>
  <c r="M92" i="41"/>
  <c r="B22" i="24" s="1"/>
  <c r="D108" i="41"/>
  <c r="Q103" i="41"/>
  <c r="R105" i="41"/>
  <c r="J21" i="24" s="1"/>
  <c r="D117" i="41"/>
  <c r="D93" i="41"/>
  <c r="Q116" i="41"/>
  <c r="P103" i="41"/>
  <c r="M103" i="41"/>
  <c r="E19" i="24" s="1"/>
  <c r="D104" i="41"/>
  <c r="Q122" i="41"/>
  <c r="M116" i="41"/>
  <c r="F18" i="24" s="1"/>
  <c r="Q26" i="19"/>
  <c r="Y26" i="19"/>
  <c r="D90" i="41"/>
  <c r="M89" i="41"/>
  <c r="B19" i="24" s="1"/>
  <c r="Q89" i="41"/>
  <c r="AB108" i="43" l="1"/>
  <c r="AK108" i="43" s="1"/>
  <c r="AB117" i="43"/>
  <c r="AK117" i="43" s="1"/>
  <c r="E20" i="54"/>
  <c r="V116" i="41"/>
  <c r="R118" i="43"/>
  <c r="S118" i="43"/>
  <c r="N118" i="43"/>
  <c r="M118" i="43"/>
  <c r="L118" i="43"/>
  <c r="H118" i="43"/>
  <c r="P117" i="41"/>
  <c r="L19" i="54" s="1"/>
  <c r="F19" i="54"/>
  <c r="AI116" i="43"/>
  <c r="AN116" i="43" s="1"/>
  <c r="AE116" i="43"/>
  <c r="K19" i="45" s="1"/>
  <c r="V122" i="41"/>
  <c r="I118" i="41"/>
  <c r="G118" i="41"/>
  <c r="H118" i="41"/>
  <c r="J118" i="41"/>
  <c r="L118" i="41"/>
  <c r="K118" i="41"/>
  <c r="Z117" i="43"/>
  <c r="V117" i="43"/>
  <c r="F20" i="45" s="1"/>
  <c r="AI122" i="43"/>
  <c r="AN122" i="43" s="1"/>
  <c r="AE122" i="43"/>
  <c r="K25" i="45" s="1"/>
  <c r="Q118" i="43"/>
  <c r="O118" i="43"/>
  <c r="P118" i="43"/>
  <c r="AA117" i="43"/>
  <c r="AJ117" i="43" s="1"/>
  <c r="AA104" i="43"/>
  <c r="AJ104" i="43" s="1"/>
  <c r="AI103" i="43"/>
  <c r="AN103" i="43" s="1"/>
  <c r="AE103" i="43"/>
  <c r="J20" i="45" s="1"/>
  <c r="V104" i="43"/>
  <c r="E21" i="45" s="1"/>
  <c r="Z104" i="43"/>
  <c r="E24" i="54"/>
  <c r="AA108" i="43"/>
  <c r="AJ108" i="43" s="1"/>
  <c r="AB104" i="43"/>
  <c r="AK104" i="43" s="1"/>
  <c r="Z108" i="43"/>
  <c r="V108" i="43"/>
  <c r="E25" i="45" s="1"/>
  <c r="AB90" i="43"/>
  <c r="AK90" i="43" s="1"/>
  <c r="Z93" i="43"/>
  <c r="V93" i="43"/>
  <c r="B24" i="45" s="1"/>
  <c r="AI89" i="43"/>
  <c r="AN89" i="43" s="1"/>
  <c r="AE89" i="43"/>
  <c r="H20" i="45" s="1"/>
  <c r="G94" i="41"/>
  <c r="H94" i="41"/>
  <c r="I94" i="41"/>
  <c r="L94" i="43"/>
  <c r="M94" i="43"/>
  <c r="N94" i="43"/>
  <c r="H94" i="43"/>
  <c r="AC94" i="43"/>
  <c r="AL94" i="43" s="1"/>
  <c r="B20" i="54"/>
  <c r="P90" i="41"/>
  <c r="I20" i="54" s="1"/>
  <c r="V92" i="41"/>
  <c r="V89" i="41"/>
  <c r="AA93" i="43"/>
  <c r="AJ93" i="43" s="1"/>
  <c r="S94" i="43"/>
  <c r="R94" i="43"/>
  <c r="AB93" i="43"/>
  <c r="AK93" i="43" s="1"/>
  <c r="B23" i="54"/>
  <c r="P93" i="41"/>
  <c r="I23" i="54" s="1"/>
  <c r="Z90" i="43"/>
  <c r="V90" i="43"/>
  <c r="B21" i="45" s="1"/>
  <c r="AI92" i="43"/>
  <c r="AN92" i="43" s="1"/>
  <c r="AE92" i="43"/>
  <c r="H23" i="45" s="1"/>
  <c r="AA90" i="43"/>
  <c r="AJ90" i="43" s="1"/>
  <c r="O94" i="43"/>
  <c r="P94" i="43"/>
  <c r="Q94" i="43"/>
  <c r="J94" i="41"/>
  <c r="L94" i="41"/>
  <c r="K94" i="41"/>
  <c r="V103" i="41"/>
  <c r="K19" i="54"/>
  <c r="R92" i="41"/>
  <c r="H22" i="24" s="1"/>
  <c r="R89" i="41"/>
  <c r="H19" i="24" s="1"/>
  <c r="Q93" i="41"/>
  <c r="R122" i="41"/>
  <c r="K24" i="24" s="1"/>
  <c r="R116" i="41"/>
  <c r="K18" i="24" s="1"/>
  <c r="Q117" i="41"/>
  <c r="R103" i="41"/>
  <c r="J19" i="24" s="1"/>
  <c r="P104" i="41"/>
  <c r="M104" i="41"/>
  <c r="E20" i="24" s="1"/>
  <c r="Q104" i="41"/>
  <c r="D118" i="41"/>
  <c r="M90" i="41"/>
  <c r="B20" i="24" s="1"/>
  <c r="M117" i="41"/>
  <c r="F19" i="24" s="1"/>
  <c r="D94" i="41"/>
  <c r="M108" i="41"/>
  <c r="E24" i="24" s="1"/>
  <c r="P108" i="41"/>
  <c r="Q108" i="41"/>
  <c r="M93" i="41"/>
  <c r="B23" i="24" s="1"/>
  <c r="Q90" i="41"/>
  <c r="V117" i="41" l="1"/>
  <c r="V93" i="41"/>
  <c r="F20" i="54"/>
  <c r="P118" i="41"/>
  <c r="L20" i="54" s="1"/>
  <c r="V118" i="43"/>
  <c r="F21" i="45" s="1"/>
  <c r="Z118" i="43"/>
  <c r="AA118" i="43"/>
  <c r="AJ118" i="43" s="1"/>
  <c r="AI117" i="43"/>
  <c r="AN117" i="43" s="1"/>
  <c r="AE117" i="43"/>
  <c r="K20" i="45" s="1"/>
  <c r="AB118" i="43"/>
  <c r="AK118" i="43" s="1"/>
  <c r="AI108" i="43"/>
  <c r="AN108" i="43" s="1"/>
  <c r="AE108" i="43"/>
  <c r="J25" i="45" s="1"/>
  <c r="AI104" i="43"/>
  <c r="AN104" i="43" s="1"/>
  <c r="AE104" i="43"/>
  <c r="J21" i="45" s="1"/>
  <c r="AB94" i="43"/>
  <c r="AK94" i="43" s="1"/>
  <c r="V90" i="41"/>
  <c r="AA94" i="43"/>
  <c r="AJ94" i="43" s="1"/>
  <c r="B24" i="54"/>
  <c r="P94" i="41"/>
  <c r="I24" i="54" s="1"/>
  <c r="AI93" i="43"/>
  <c r="AN93" i="43" s="1"/>
  <c r="AE93" i="43"/>
  <c r="H24" i="45" s="1"/>
  <c r="Z94" i="43"/>
  <c r="V94" i="43"/>
  <c r="B25" i="45" s="1"/>
  <c r="AI90" i="43"/>
  <c r="AN90" i="43" s="1"/>
  <c r="AE90" i="43"/>
  <c r="H21" i="45" s="1"/>
  <c r="V104" i="41"/>
  <c r="K20" i="54"/>
  <c r="V108" i="41"/>
  <c r="K24" i="54"/>
  <c r="Q118" i="41"/>
  <c r="R93" i="41"/>
  <c r="H23" i="24" s="1"/>
  <c r="R117" i="41"/>
  <c r="K19" i="24" s="1"/>
  <c r="R90" i="41"/>
  <c r="H20" i="24" s="1"/>
  <c r="R104" i="41"/>
  <c r="J20" i="24" s="1"/>
  <c r="Q94" i="41"/>
  <c r="M118" i="41"/>
  <c r="F20" i="24" s="1"/>
  <c r="R108" i="41"/>
  <c r="J24" i="24" s="1"/>
  <c r="M94" i="41"/>
  <c r="B24" i="24" s="1"/>
  <c r="V118" i="41" l="1"/>
  <c r="AI118" i="43"/>
  <c r="AN118" i="43" s="1"/>
  <c r="AE118" i="43"/>
  <c r="K21" i="45" s="1"/>
  <c r="V94" i="41"/>
  <c r="AI94" i="43"/>
  <c r="AN94" i="43" s="1"/>
  <c r="AE94" i="43"/>
  <c r="H25" i="45" s="1"/>
  <c r="R118" i="41"/>
  <c r="K20" i="24" s="1"/>
  <c r="R94" i="41"/>
  <c r="H24" i="24" s="1"/>
  <c r="W16" i="5" l="1"/>
  <c r="C16" i="11"/>
  <c r="S16" i="11" s="1"/>
  <c r="C16" i="10"/>
  <c r="C16" i="12"/>
  <c r="S16" i="12" s="1"/>
  <c r="T16" i="5"/>
  <c r="X16" i="5"/>
  <c r="D16" i="11"/>
  <c r="T16" i="11" s="1"/>
  <c r="D16" i="10"/>
  <c r="T16" i="10" s="1"/>
  <c r="D16" i="12"/>
  <c r="T16" i="12" s="1"/>
  <c r="W17" i="5" l="1"/>
  <c r="C17" i="10"/>
  <c r="C17" i="12"/>
  <c r="C17" i="11"/>
  <c r="X17" i="5"/>
  <c r="D17" i="12"/>
  <c r="D17" i="11"/>
  <c r="D17" i="10"/>
  <c r="G17" i="11"/>
  <c r="G17" i="10"/>
  <c r="T17" i="10" s="1"/>
  <c r="G17" i="12"/>
  <c r="F17" i="11"/>
  <c r="F17" i="12"/>
  <c r="S17" i="12" s="1"/>
  <c r="F17" i="10"/>
  <c r="T17" i="5"/>
  <c r="T17" i="12" l="1"/>
  <c r="T17" i="11"/>
  <c r="X18" i="5"/>
  <c r="G18" i="12"/>
  <c r="G18" i="11"/>
  <c r="G18" i="10"/>
  <c r="F18" i="12"/>
  <c r="F18" i="10"/>
  <c r="F18" i="11"/>
  <c r="W18" i="5"/>
  <c r="AB18" i="5"/>
  <c r="J18" i="12"/>
  <c r="J18" i="11"/>
  <c r="J18" i="10"/>
  <c r="AA18" i="5"/>
  <c r="I18" i="10"/>
  <c r="I18" i="12"/>
  <c r="I18" i="11"/>
  <c r="S19" i="5"/>
  <c r="S17" i="11"/>
  <c r="T18" i="5"/>
  <c r="T18" i="11" l="1"/>
  <c r="T18" i="10"/>
  <c r="T18" i="12"/>
  <c r="AA19" i="5"/>
  <c r="I19" i="11"/>
  <c r="I19" i="12"/>
  <c r="I19" i="10"/>
  <c r="M19" i="10"/>
  <c r="M19" i="12"/>
  <c r="M19" i="11"/>
  <c r="S18" i="11"/>
  <c r="AB19" i="5"/>
  <c r="J19" i="12"/>
  <c r="J19" i="10"/>
  <c r="J19" i="11"/>
  <c r="L19" i="10"/>
  <c r="S20" i="5"/>
  <c r="L19" i="12"/>
  <c r="L19" i="11"/>
  <c r="S18" i="12"/>
  <c r="T19" i="5"/>
  <c r="T19" i="12" l="1"/>
  <c r="T19" i="11"/>
  <c r="L20" i="11"/>
  <c r="S21" i="5"/>
  <c r="L20" i="12"/>
  <c r="L20" i="10"/>
  <c r="AA20" i="5"/>
  <c r="O20" i="10"/>
  <c r="O20" i="12"/>
  <c r="O20" i="11"/>
  <c r="M20" i="11"/>
  <c r="M20" i="12"/>
  <c r="M20" i="10"/>
  <c r="AB20" i="5"/>
  <c r="P20" i="12"/>
  <c r="P20" i="10"/>
  <c r="P20" i="11"/>
  <c r="S19" i="11"/>
  <c r="S19" i="12"/>
  <c r="T20" i="5"/>
  <c r="T20" i="11" l="1"/>
  <c r="P21" i="11"/>
  <c r="T21" i="11" s="1"/>
  <c r="P21" i="10"/>
  <c r="P21" i="12"/>
  <c r="T21" i="12" s="1"/>
  <c r="AB21" i="5"/>
  <c r="T21" i="5"/>
  <c r="S20" i="12"/>
  <c r="O21" i="11"/>
  <c r="S21" i="11" s="1"/>
  <c r="O21" i="10"/>
  <c r="O21" i="12"/>
  <c r="S21" i="12" s="1"/>
  <c r="AA21" i="5"/>
  <c r="T20" i="12"/>
  <c r="S20" i="11"/>
  <c r="Q15" i="10" l="1"/>
  <c r="Q16" i="10"/>
  <c r="Q19" i="10" l="1"/>
  <c r="S15" i="10" l="1"/>
  <c r="S17" i="10"/>
  <c r="S16" i="10"/>
  <c r="S18" i="10" l="1"/>
  <c r="S19" i="10"/>
  <c r="S20" i="10"/>
  <c r="S21" i="10"/>
  <c r="S24" i="10"/>
  <c r="S25" i="10" l="1"/>
  <c r="S26" i="10" l="1"/>
  <c r="S27" i="10"/>
  <c r="S28" i="10"/>
  <c r="T28" i="10" l="1"/>
  <c r="T27" i="10"/>
  <c r="T19" i="10" l="1"/>
  <c r="T20" i="10"/>
  <c r="T26" i="10" l="1"/>
  <c r="T21" i="10"/>
  <c r="T22" i="10" l="1"/>
  <c r="T23" i="10" l="1"/>
  <c r="T25" i="10" l="1"/>
  <c r="T24" i="10"/>
  <c r="Q28" i="10"/>
  <c r="Q22" i="10"/>
  <c r="Q21" i="10"/>
  <c r="Q25" i="10"/>
  <c r="Q24" i="10"/>
  <c r="Q20" i="10"/>
  <c r="Q23" i="10"/>
  <c r="Q26" i="10"/>
  <c r="Q27"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tc={7D466B88-4877-4A8F-839F-37835EE75388}</author>
  </authors>
  <commentList>
    <comment ref="B14" authorId="0" shapeId="0" xr:uid="{7D466B88-4877-4A8F-839F-37835EE75388}">
      <text>
        <t>[Threaded comment]
Your version of Excel allows you to read this threaded comment; however, any edits to it will get removed if the file is opened in a newer version of Excel. Learn more: https://go.microsoft.com/fwlink/?linkid=870924
Comment:
    The range of this chart looks alarming. It could be significantly narrowed down if it assumed that the proportion of the workforce who are qualified teachers will remain at the mean level observed over the 2016-2025 period.</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Cerelia Diprose</author>
  </authors>
  <commentList>
    <comment ref="E2" authorId="0" shapeId="0" xr:uid="{69704F40-E8B0-2D42-A0E1-6DCD6DE057A2}">
      <text>
        <r>
          <rPr>
            <b/>
            <sz val="10"/>
            <color rgb="FF000000"/>
            <rFont val="Tahoma"/>
            <family val="2"/>
          </rPr>
          <t>Cerelia Diprose:</t>
        </r>
        <r>
          <rPr>
            <sz val="10"/>
            <color rgb="FF000000"/>
            <rFont val="Tahoma"/>
            <family val="2"/>
          </rPr>
          <t xml:space="preserve">
</t>
        </r>
        <r>
          <rPr>
            <sz val="10"/>
            <color rgb="FF000000"/>
            <rFont val="Tahoma"/>
            <family val="2"/>
          </rPr>
          <t>Values in this column are derived from 2023 and 2024 observed ratios as published on Education Counts.</t>
        </r>
      </text>
    </comment>
    <comment ref="F2" authorId="0" shapeId="0" xr:uid="{32341138-081D-964E-992C-C749D6445FA8}">
      <text>
        <r>
          <rPr>
            <b/>
            <sz val="10"/>
            <color rgb="FF000000"/>
            <rFont val="Tahoma"/>
            <family val="2"/>
          </rPr>
          <t>Cerelia Diprose:</t>
        </r>
        <r>
          <rPr>
            <sz val="10"/>
            <color rgb="FF000000"/>
            <rFont val="Tahoma"/>
            <family val="2"/>
          </rPr>
          <t xml:space="preserve">
</t>
        </r>
        <r>
          <rPr>
            <sz val="10"/>
            <color rgb="FF000000"/>
            <rFont val="Tahoma"/>
            <family val="2"/>
          </rPr>
          <t>Per service type's own requirements, if those are higher than regulated requirements.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Cerelia Diprose</author>
  </authors>
  <commentList>
    <comment ref="A14" authorId="0" shapeId="0" xr:uid="{9851E58C-8D6B-49F7-98D2-F8D82C0A8F3A}">
      <text>
        <r>
          <rPr>
            <b/>
            <sz val="9"/>
            <color indexed="81"/>
            <rFont val="Tahoma"/>
            <family val="2"/>
          </rPr>
          <t>Cerelia Diprose:</t>
        </r>
        <r>
          <rPr>
            <sz val="9"/>
            <color indexed="81"/>
            <rFont val="Tahoma"/>
            <family val="2"/>
          </rPr>
          <t xml:space="preserve">
This row's numbers are from a directory extract - see hidden page Source-participation_2025</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tc={9720BDC3-8B3A-4C2D-8785-BF27ACE5BA16}</author>
  </authors>
  <commentList>
    <comment ref="H15" authorId="0" shapeId="0" xr:uid="{9720BDC3-8B3A-4C2D-8785-BF27ACE5BA16}">
      <text>
        <t>[Threaded comment]
Your version of Excel allows you to read this threaded comment; however, any edits to it will get removed if the file is opened in a newer version of Excel. Learn more: https://go.microsoft.com/fwlink/?linkid=870924
Comment:
    Range between low and high scenarios would be reduced if same proportion assumption was applied (71% qualified) instead of minimum regulated (50%) for low and max funding band (100%) for high</t>
      </text>
    </comment>
  </commentList>
</comments>
</file>

<file path=xl/sharedStrings.xml><?xml version="1.0" encoding="utf-8"?>
<sst xmlns="http://schemas.openxmlformats.org/spreadsheetml/2006/main" count="103839" uniqueCount="23904">
  <si>
    <t>Item</t>
  </si>
  <si>
    <t>Source</t>
  </si>
  <si>
    <t>File link (internal) or URL (external)</t>
  </si>
  <si>
    <t>Notes</t>
  </si>
  <si>
    <t>5-and-under population by age</t>
  </si>
  <si>
    <t>Stats NZ Infoshare</t>
  </si>
  <si>
    <t>Population 5 and under 2015-2024.csv</t>
  </si>
  <si>
    <t>Stats NZ projected births</t>
  </si>
  <si>
    <t>Stats NZ</t>
  </si>
  <si>
    <t>Stats_NZ_Population_Projections.xlsx</t>
  </si>
  <si>
    <t>ECE participation by age</t>
  </si>
  <si>
    <t>Ministry of Education</t>
  </si>
  <si>
    <t>Participation in ECE 2000-2024.xlsx</t>
  </si>
  <si>
    <t>ECE teaching staff by full or part time status</t>
  </si>
  <si>
    <t>ECE teaching staff by full or part time status 2011-2024.xlsx</t>
  </si>
  <si>
    <t>Hours worked</t>
  </si>
  <si>
    <t>Stats NZ IDI</t>
  </si>
  <si>
    <t>CONFIDENTIALISED ANZSIC activity dimensions.xlsx</t>
  </si>
  <si>
    <t>Sheet idi.anzsic_x_hoursworked. Used to adjust for FTE.</t>
  </si>
  <si>
    <t>Playcentre ratios and qualified staffing</t>
  </si>
  <si>
    <t>Playcentre NZ</t>
  </si>
  <si>
    <t>Supervision Requirements | Playcentre.org.nz</t>
  </si>
  <si>
    <t>Home-based and Centre-based Teacher-led ratios</t>
  </si>
  <si>
    <t>Legislation.govt.nz</t>
  </si>
  <si>
    <t>Education (Early Childhood Services) Amendment Regulations 2011 (SR 2011/198) Schedule New Schedule 2 substituted – New Zealand Legislation</t>
  </si>
  <si>
    <t>ECE services directory</t>
  </si>
  <si>
    <t>Early Childhood Services | Education Counts</t>
  </si>
  <si>
    <t>As at 12 June 2025. Used as basis for 2025 demand.</t>
  </si>
  <si>
    <t>Licensed places information</t>
  </si>
  <si>
    <t>Number of licensed ECE places 2000-2024.xlsx</t>
  </si>
  <si>
    <t>Used to forecast licensed places for Max Occupancy scenario.</t>
  </si>
  <si>
    <t>Market age breakdown</t>
  </si>
  <si>
    <t>ECE participation 2021-2024 pivot - by age and service type.xlsx</t>
  </si>
  <si>
    <t>Used to calculate proportion of attendees in each age/age group.</t>
  </si>
  <si>
    <t>ECE teachers by qualification status</t>
  </si>
  <si>
    <t>Number of teaching staff by qualification status (2011-2024)</t>
  </si>
  <si>
    <t>Used as base to calculate historic FTE workforce and qualified workforce.</t>
  </si>
  <si>
    <t>Observed adult:child ratios</t>
  </si>
  <si>
    <t>ECE adult to child ratios 2023-2024.xlsx</t>
  </si>
  <si>
    <t>Used to calculate observed ratios for kindergarten + education &amp; care services.</t>
  </si>
  <si>
    <t>2025 roll numbers</t>
  </si>
  <si>
    <t>ECE services directory.csv</t>
  </si>
  <si>
    <t>Live version should be the same. Proportions calculated in Power BI, exported then pasted in here.</t>
  </si>
  <si>
    <t>Stats NZ population forecast</t>
  </si>
  <si>
    <t>Statistics NZ Aotearoa Data Explorer</t>
  </si>
  <si>
    <t>Aotearoa Data Explorer • National population projections, by age and sex, 2024(base)-2078</t>
  </si>
  <si>
    <t>Manually typed in - I'll update with values retrieved by API call once application to use the API is approved.</t>
  </si>
  <si>
    <t>Sheet label</t>
  </si>
  <si>
    <t>Type</t>
  </si>
  <si>
    <t>Description</t>
  </si>
  <si>
    <t>T1</t>
  </si>
  <si>
    <t>Table</t>
  </si>
  <si>
    <t>Population under 5 2015-2024 with growth from migration values</t>
  </si>
  <si>
    <t>T2</t>
  </si>
  <si>
    <t>Population forecast - Stats NZ</t>
  </si>
  <si>
    <t>T5</t>
  </si>
  <si>
    <t>ECE participation rate calculation by age</t>
  </si>
  <si>
    <t>T6</t>
  </si>
  <si>
    <t>Demand forecast - low participation in ECE</t>
  </si>
  <si>
    <t>T7</t>
  </si>
  <si>
    <t>Demand forecast - medium participation in ECE</t>
  </si>
  <si>
    <t>T8</t>
  </si>
  <si>
    <t>Demand forecast - high participation in ECE</t>
  </si>
  <si>
    <t>T15</t>
  </si>
  <si>
    <t>Demand forecast - low as low participation, medium as medium participation, high as high participation</t>
  </si>
  <si>
    <t>T16</t>
  </si>
  <si>
    <t>Ratios - by child age and service type, with multipliers for use in calculating required workforce size</t>
  </si>
  <si>
    <t>T17</t>
  </si>
  <si>
    <t>Participation share and workforce demand for kindergartens and education &amp; care services</t>
  </si>
  <si>
    <t>T18</t>
  </si>
  <si>
    <t>Participation share (as headcount) and workforce demand by service type</t>
  </si>
  <si>
    <t>T19</t>
  </si>
  <si>
    <t>Workforce demand forecasts - results for total and qualified workforce for kindergarten + education &amp; care services</t>
  </si>
  <si>
    <t>T19.1</t>
  </si>
  <si>
    <t>Workforce demand forecasts - results for total and qualified workforce for education &amp; care services</t>
  </si>
  <si>
    <t>T20</t>
  </si>
  <si>
    <t>Licensed places 2015-2024 with growth values</t>
  </si>
  <si>
    <t>T21</t>
  </si>
  <si>
    <t>Licensed places in 2025 by service type</t>
  </si>
  <si>
    <t>T22</t>
  </si>
  <si>
    <t>Workforce demand hindcast - estimated minimum workforce required for 2016-2025 at present ratios</t>
  </si>
  <si>
    <t>T23</t>
  </si>
  <si>
    <t>Workforce demand forecasts - results for total and qualified workforce for all enrollable service types</t>
  </si>
  <si>
    <t>C1</t>
  </si>
  <si>
    <t>Chart</t>
  </si>
  <si>
    <t>Population forecast - mean migration and min/median/high births</t>
  </si>
  <si>
    <t>C2</t>
  </si>
  <si>
    <t>Population forecast - high migration and min/median/high births</t>
  </si>
  <si>
    <t>C3</t>
  </si>
  <si>
    <t>Demand forecast - using T14 data to show lowest, most central, and highest demand scenarios</t>
  </si>
  <si>
    <t>C4</t>
  </si>
  <si>
    <t>Workforce demand and supply for kindergarten and education &amp; care services using T19 data - against full-range demand, with straight-line supply</t>
  </si>
  <si>
    <t>C4.1</t>
  </si>
  <si>
    <t>Workforce demand and supply for education &amp; care services using T19 data - against full-range demand, with straight-line supply and population line for reference</t>
  </si>
  <si>
    <t>C5</t>
  </si>
  <si>
    <t>Qualified FTE workforce demand and supply for kindergarten and education &amp; care services - against full-range demand, with straight-line supply</t>
  </si>
  <si>
    <t>C6</t>
  </si>
  <si>
    <t>FTE Workforce demand and supply for all enrollable service types - against full range demand, with straight-line supply</t>
  </si>
  <si>
    <t>C7</t>
  </si>
  <si>
    <t>Qualified FTE workforce demand and supply for all enrollable service types - against full range demand, with straight-line supply</t>
  </si>
  <si>
    <t>Opportunities</t>
  </si>
  <si>
    <t>List</t>
  </si>
  <si>
    <t>List of opportunities to extend or improve this product.</t>
  </si>
  <si>
    <t>Assumption</t>
  </si>
  <si>
    <t>Assumption details</t>
  </si>
  <si>
    <t>Migration</t>
  </si>
  <si>
    <t>Our migration calculations assume that border controls like those seen in 2021 and 2022 will not occur again in the forecast period.</t>
  </si>
  <si>
    <t>Market share</t>
  </si>
  <si>
    <t>Teacher demand projections assume that each service type will hold the mean market share that it has held between 2021-2025. This may result in an overestimation of the number of qualified teachers needed, because kindergarten market share has significantly reduced over that period while education &amp; care market share has significantly increased.</t>
  </si>
  <si>
    <t>Regulatory settings - ratios</t>
  </si>
  <si>
    <t>We assume that regulatory requirements for adult-to-child ratios will remain the same.</t>
  </si>
  <si>
    <t>FTE</t>
  </si>
  <si>
    <t>We assume that 
- the average weekly work hours for ECE workers reported in the census are a suitable approximation of hours actually worked
- that prior to 2018, average weekly hours worked were the same as they were at the time of the 2018 census
- that work demands will continue to change at the same rate that they did between 2018 and 2023</t>
  </si>
  <si>
    <t>Workforce demand</t>
  </si>
  <si>
    <t>We assume that workforce demand is influenced by regulated ratios, that the demand for qualified teachers within the overall workforce is influenced by funding levels, and that ratios are relevant to the number of children actually in attendance at any given time.</t>
  </si>
  <si>
    <t>All services are all-day</t>
  </si>
  <si>
    <t>To simplify estimations, our model applies all-day ratios for all services and participants. See the Limitations table for information about how this impacts the accuracy of our estimates.</t>
  </si>
  <si>
    <t>Service types</t>
  </si>
  <si>
    <t>For the purposes of forecasting in the scenario of all licensed places being used, we assume that Puna Reo, Reo Rua Education and Care, Leo o Fanau Moana Bilingual, and Leo o Fanau Moana Immersion services have previously fallen under the Education and Care service type.</t>
  </si>
  <si>
    <t>Licensed places</t>
  </si>
  <si>
    <t>The proportion of places licensed for under-2s will follow historic trends, regardless of low rates of participation  by under-2s.</t>
  </si>
  <si>
    <t>Attendance</t>
  </si>
  <si>
    <t>We assume that attendance will continue at the same rate it was measured in 2024 for service types covered in the ECE census hours of participation data, and that attendance at other service types will average 24 hours per week.</t>
  </si>
  <si>
    <t>For the purpose of forecasting market share for services that require enrolment, we assume that attendance at Casual Education and Care + Hospital-based services is not relevant.</t>
  </si>
  <si>
    <t>Max occupancy</t>
  </si>
  <si>
    <t>The max occupancy scenario assumes that licensed places will continue to grow at the mean rate observed from 2015-2024, and that all licensed places will be in use all of the time. It does not account for the relationship between licensed places and service numbers or population.</t>
  </si>
  <si>
    <t>Limitation</t>
  </si>
  <si>
    <t>Sessional services are not accounted for</t>
  </si>
  <si>
    <t>We do not have data about how many services are all-day and how many are sessional. To simplify estimations, our model applies all-day ratios for all services and participants. In reality, many services are sessional. Ratios for sessional services are different to all-day centre-based services. This means that our model will overestimate the number of full-time equivalent staff needed to meet market demand.</t>
  </si>
  <si>
    <t>New service types' old categorisations are unknown</t>
  </si>
  <si>
    <t>Four new service types have been introduced in 2025. We do not know which categories the services were in before the new types were introduced, so our forecast has placed all of them into the prior-existing service type that required the lowest concentration of qualified staff.</t>
  </si>
  <si>
    <t>New categories are not accounted for</t>
  </si>
  <si>
    <t>We do not have historic data about services in the new service types, so we have not distinguished them in our forecasting model.</t>
  </si>
  <si>
    <t>5-year-olds are not accounted for</t>
  </si>
  <si>
    <t>Our model does not account for 5-year-olds attending ECE services.</t>
  </si>
  <si>
    <t>No staffing information for Kōhanga Reo</t>
  </si>
  <si>
    <t>The Ministry of Education does not publish statistical or demographic data about teachers in Kōhanga Reo services. As such, we cannot build Kōhanga Reo into our model in the same way that other centre-based, teacher-led services can be built in.</t>
  </si>
  <si>
    <t>Licensed places forecasting</t>
  </si>
  <si>
    <t>Forecasting of licensed places considers only historic patterns in licensed places. It does not consider the relationship between the number of enrolled children or the number of active services with the number of licensed places.</t>
  </si>
  <si>
    <t>Market breakdown by age</t>
  </si>
  <si>
    <t>The total numbers returned by the Education Counts participation pivot table for age x service type are significantly higher than the total numbers returned in single-dimension tables from the ECE census. To mitigate this limitation, the proportions for each age are calculated using the pivot table, then applied over the total numbers from the participation by service type file.</t>
  </si>
  <si>
    <t>Accuracy differs between levels of detail</t>
  </si>
  <si>
    <t>This model has tested well when used as a high-level overview tool, but results are less accurate when looking at detailed parts. Model results for specific service types are likely to be further from reality due to our model's use of mean averages to predict potential future demand. For example, results for the number of children expected to attend home-based services will likely be well above actual attendance, and results for the number of children expected to attend education and care services will likely be below actual numbers. Both of these service types have strong and enduring trends that are not reflected when we use observed means to predict demand.</t>
  </si>
  <si>
    <t>Hindcast model is speculative</t>
  </si>
  <si>
    <t>The hindcast model used to produce chart C5 relies heavily on assumptions. We recommend using actual numbers for prior years when considering long term trends.</t>
  </si>
  <si>
    <t>Data on ratios is limited</t>
  </si>
  <si>
    <t>Data about actual ratios are only available for 2023 and 2024, so we have been unable to account for trends in actual ratios in our workforce forecasts. Because of this, we expect that the accuracy of workforce forecasts using this model will improve as additional data are made available.</t>
  </si>
  <si>
    <t>Term</t>
  </si>
  <si>
    <t>Low participation</t>
  </si>
  <si>
    <t>The lowest observed rate of participation in ECE for the period 2015-2024. Calculated using age-specific participation numbers.</t>
  </si>
  <si>
    <t>Medium participation</t>
  </si>
  <si>
    <t>The mean observed rate of participation in ECE for the period 2015-2024. Calculated using age-specific participation numbers.</t>
  </si>
  <si>
    <t>High participation</t>
  </si>
  <si>
    <t>The maximum observed rate of participation in ECE for the period 2015-2024. Calculated using age-specific participation numbers.</t>
  </si>
  <si>
    <t>Population</t>
  </si>
  <si>
    <t>The number of people of each age for each year. Source data was Aotearoa Data Explorer National Population Projection by year and age values.</t>
  </si>
  <si>
    <t>Full-time (40 hours) equivalents. 'FTE' describes the number of people needed to do the work if each person worked 40 hours. In practice, FTE can be shared across multiple staff members, so headcounts are usually much higher than FTE.</t>
  </si>
  <si>
    <t>Low workforce demand</t>
  </si>
  <si>
    <t>Minimum required staffing assuming that the lowest-demand scenario occurs.</t>
  </si>
  <si>
    <t>Medium workforce demand</t>
  </si>
  <si>
    <t>Minimum required staffing assuming that the medium-demand scenario occurs.</t>
  </si>
  <si>
    <t>High workforce demand</t>
  </si>
  <si>
    <t>Minimum required staffing assuming that the high-demand scenario occurs.</t>
  </si>
  <si>
    <t>Realised demand</t>
  </si>
  <si>
    <t>The number of FTE that the model expects would have been needed to achieve minimum regulated ratios.</t>
  </si>
  <si>
    <t>The percentage of participants in a specific service type. Calculated as (number of participants in service type)/(total number of participants)</t>
  </si>
  <si>
    <t>Low qualified workforce demand</t>
  </si>
  <si>
    <t>Minimum required staffing assuming that the lowest demand scenario occurs and providers choose to hire the minimum regulated or targeted amount of qualified teachers for their service type.</t>
  </si>
  <si>
    <t>Medium qualified workforce demand</t>
  </si>
  <si>
    <t>Minimum required qualified workforce assuming that the medium demand scenario occurs and providers choose to hire the same proportion of qualified teachers that has been observed in service types who report qualification status to Ministry of Education over the 2016-2024 - 70%.</t>
  </si>
  <si>
    <t>High qualified workforce demand</t>
  </si>
  <si>
    <t>Minimum required qualified FTE workforce assuming that the highest demand scenario occurs and providers choose to hire or train all of their staff to be qualified teachers.</t>
  </si>
  <si>
    <t>METHODOLOGY</t>
  </si>
  <si>
    <t>Overview - flow chart</t>
  </si>
  <si>
    <t>Demand for ECE places</t>
  </si>
  <si>
    <t>Approach</t>
  </si>
  <si>
    <t>Stats NZ population estimates are used as the starting value. 
To estimate demand for ECE places for each age group (Under-2, 2, and 3+), observed rates of participation in ECE are applied to per-age population predictions.
To estimate demand for places in each service type, the estimated demand is modified by the observed share of participation for each service type. Mean share of participation is used for this step, as mean shares sum to 1.
To estimate the number of adult staff needed in the ECE industry, the estimated demand for service type is multiplied by the proportionalised adult-to-child ratio.
To estimate the number of qualified teachers needed in the ECE industry, the estimated number of adult staff needed is multiplied by the service type's targeted (Kindergarten) or regulated (other service types) percentage of  qualified teachers. 50% (or targeted (Kindergarten) or regulated (Home-based) minimum), 80%, and 100% scenarios are calculated to produce Low, Medium, and High demand scenarios. These percentages are based on the thresholds for funding bands.
A fourth scenario, in which all service types operate at 100% occupancy, is also allowed for. This scenario is labelled 'Maximum occupancy'. The maximum occupancy scenario assumes that all licensed places in all services will be in use all of the time. It uses observed mean rates of change in the number of licensed places for each service type, and applies minimum ratios to predict the size of the workforce necessary to support the industry if every licensed place was occupied in every hour it was available.
All numbers are rounded to the nearest multiple of 5, unless this would result in a zero. Where results would be zero, they are rounded to the nearest whole number.</t>
  </si>
  <si>
    <t>Starting variables</t>
  </si>
  <si>
    <t>Symbol</t>
  </si>
  <si>
    <t>Equation</t>
  </si>
  <si>
    <r>
      <t>a</t>
    </r>
    <r>
      <rPr>
        <i/>
        <vertAlign val="superscript"/>
        <sz val="11"/>
        <color theme="1"/>
        <rFont val="Aptos Narrow"/>
        <family val="2"/>
        <scheme val="minor"/>
      </rPr>
      <t>1</t>
    </r>
  </si>
  <si>
    <t>Stats NZ actual population estimate by age for years 2015-2024</t>
  </si>
  <si>
    <r>
      <t>a</t>
    </r>
    <r>
      <rPr>
        <i/>
        <vertAlign val="superscript"/>
        <sz val="11"/>
        <color theme="1"/>
        <rFont val="Aptos Narrow"/>
        <family val="2"/>
        <scheme val="minor"/>
      </rPr>
      <t>2</t>
    </r>
  </si>
  <si>
    <t>Stats NZ population estimate by age for years 2025-2035</t>
  </si>
  <si>
    <t>d</t>
  </si>
  <si>
    <t>Observed ECE participation rate for age (0-4)</t>
  </si>
  <si>
    <r>
      <t xml:space="preserve">number of people participating in ECE </t>
    </r>
    <r>
      <rPr>
        <sz val="11"/>
        <color theme="1"/>
        <rFont val="Aptos Narrow"/>
        <family val="2"/>
      </rPr>
      <t>÷ number of people in population of interest</t>
    </r>
  </si>
  <si>
    <t>e</t>
  </si>
  <si>
    <t>Market share for service type</t>
  </si>
  <si>
    <t>number of people participating in service type ÷ number of people participating in ECE</t>
  </si>
  <si>
    <t>f</t>
  </si>
  <si>
    <t>Total staff ratio multiplier</t>
  </si>
  <si>
    <t>stated number of adults ÷ stated number of children</t>
  </si>
  <si>
    <t>g</t>
  </si>
  <si>
    <t>Qualified staff percentage</t>
  </si>
  <si>
    <t>h</t>
  </si>
  <si>
    <t>Number of licensed places</t>
  </si>
  <si>
    <t>prior year's # licensed places * (1 + applicable change multiplier)</t>
  </si>
  <si>
    <t>i</t>
  </si>
  <si>
    <t>Average hours worked as reported in census for ANZSIC (either average or derived from average using straight-line method)</t>
  </si>
  <si>
    <t>FOR EACH age in {0, 1, 2, 3, 4}</t>
  </si>
  <si>
    <t>j</t>
  </si>
  <si>
    <t xml:space="preserve">Expected population = </t>
  </si>
  <si>
    <r>
      <rPr>
        <i/>
        <sz val="11"/>
        <color theme="1"/>
        <rFont val="Aptos Narrow"/>
        <family val="2"/>
        <scheme val="minor"/>
      </rPr>
      <t>a</t>
    </r>
    <r>
      <rPr>
        <i/>
        <vertAlign val="superscript"/>
        <sz val="11"/>
        <color theme="1"/>
        <rFont val="Aptos Narrow"/>
        <family val="2"/>
        <scheme val="minor"/>
      </rPr>
      <t>1</t>
    </r>
    <r>
      <rPr>
        <sz val="11"/>
        <color theme="1"/>
        <rFont val="Aptos Narrow"/>
        <family val="2"/>
        <scheme val="minor"/>
      </rPr>
      <t xml:space="preserve"> for  cohorts born prior to 2025 or</t>
    </r>
    <r>
      <rPr>
        <i/>
        <sz val="11"/>
        <color theme="1"/>
        <rFont val="Aptos Narrow"/>
        <family val="2"/>
        <scheme val="minor"/>
      </rPr>
      <t xml:space="preserve"> a</t>
    </r>
    <r>
      <rPr>
        <i/>
        <vertAlign val="superscript"/>
        <sz val="11"/>
        <color theme="1"/>
        <rFont val="Aptos Narrow"/>
        <family val="2"/>
        <scheme val="minor"/>
      </rPr>
      <t>2</t>
    </r>
    <r>
      <rPr>
        <i/>
        <sz val="11"/>
        <color theme="1"/>
        <rFont val="Aptos Narrow"/>
        <family val="2"/>
        <scheme val="minor"/>
      </rPr>
      <t xml:space="preserve"> </t>
    </r>
    <r>
      <rPr>
        <sz val="11"/>
        <color theme="1"/>
        <rFont val="Aptos Narrow"/>
        <family val="2"/>
        <scheme val="minor"/>
      </rPr>
      <t>for future cohorts</t>
    </r>
  </si>
  <si>
    <t>k</t>
  </si>
  <si>
    <t>Expected total demand for ECE places =</t>
  </si>
  <si>
    <r>
      <rPr>
        <i/>
        <sz val="11"/>
        <color theme="1"/>
        <rFont val="Aptos Narrow"/>
        <family val="2"/>
        <scheme val="minor"/>
      </rPr>
      <t>j</t>
    </r>
    <r>
      <rPr>
        <sz val="11"/>
        <color theme="1"/>
        <rFont val="Aptos Narrow"/>
        <family val="2"/>
        <scheme val="minor"/>
      </rPr>
      <t xml:space="preserve"> * </t>
    </r>
    <r>
      <rPr>
        <i/>
        <sz val="11"/>
        <color theme="1"/>
        <rFont val="Aptos Narrow"/>
        <family val="2"/>
        <scheme val="minor"/>
      </rPr>
      <t>d</t>
    </r>
  </si>
  <si>
    <t>FOR EACH service type</t>
  </si>
  <si>
    <t>l</t>
  </si>
  <si>
    <t>Expected demand for ECE places =</t>
  </si>
  <si>
    <r>
      <rPr>
        <i/>
        <sz val="11"/>
        <color theme="1"/>
        <rFont val="Aptos Narrow"/>
        <family val="2"/>
        <scheme val="minor"/>
      </rPr>
      <t>( j</t>
    </r>
    <r>
      <rPr>
        <sz val="11"/>
        <color theme="1"/>
        <rFont val="Aptos Narrow"/>
        <family val="2"/>
        <scheme val="minor"/>
      </rPr>
      <t xml:space="preserve"> * </t>
    </r>
    <r>
      <rPr>
        <i/>
        <sz val="11"/>
        <color theme="1"/>
        <rFont val="Aptos Narrow"/>
        <family val="2"/>
        <scheme val="minor"/>
      </rPr>
      <t>d</t>
    </r>
    <r>
      <rPr>
        <sz val="11"/>
        <color theme="1"/>
        <rFont val="Aptos Narrow"/>
        <family val="2"/>
        <scheme val="minor"/>
      </rPr>
      <t xml:space="preserve"> ) * e</t>
    </r>
  </si>
  <si>
    <t>m</t>
  </si>
  <si>
    <t>Expected FTE workforce needed =</t>
  </si>
  <si>
    <r>
      <t>i * (</t>
    </r>
    <r>
      <rPr>
        <sz val="11"/>
        <color theme="1"/>
        <rFont val="Aptos Narrow"/>
        <family val="2"/>
        <scheme val="minor"/>
      </rPr>
      <t xml:space="preserve">sum all </t>
    </r>
    <r>
      <rPr>
        <i/>
        <sz val="11"/>
        <color theme="1"/>
        <rFont val="Aptos Narrow"/>
        <family val="2"/>
        <scheme val="minor"/>
      </rPr>
      <t xml:space="preserve">( l * f ) </t>
    </r>
    <r>
      <rPr>
        <sz val="11"/>
        <color theme="1"/>
        <rFont val="Aptos Narrow"/>
        <family val="2"/>
        <scheme val="minor"/>
      </rPr>
      <t>results)</t>
    </r>
  </si>
  <si>
    <t>n</t>
  </si>
  <si>
    <t>Expected qualified FTE teachers needed =</t>
  </si>
  <si>
    <r>
      <t>i * (</t>
    </r>
    <r>
      <rPr>
        <sz val="11"/>
        <color theme="1"/>
        <rFont val="Aptos Narrow"/>
        <family val="2"/>
        <scheme val="minor"/>
      </rPr>
      <t xml:space="preserve"> sum all </t>
    </r>
    <r>
      <rPr>
        <i/>
        <sz val="11"/>
        <color theme="1"/>
        <rFont val="Aptos Narrow"/>
        <family val="2"/>
        <scheme val="minor"/>
      </rPr>
      <t>( m * g ) results )</t>
    </r>
  </si>
  <si>
    <t>Workforce supply</t>
  </si>
  <si>
    <t>ECE census data indicates steady growth in the workforce from 2016-2024 with all data points fitting well to a straight trend line.
Because of this, our workforce supply estimates take a simple straight-line approach.
Improving supply modelling is an opportunity identified in the Opportunities page.</t>
  </si>
  <si>
    <t>OPPORTUNITIES FOR FURTHER ANALYSIS</t>
  </si>
  <si>
    <t>Forecasting for individual service types on the basis of market patterns at the service type level could enable analysis of potential future market share and improve accuracy of results for specific service types and therefore, for workforce projections.</t>
  </si>
  <si>
    <t>Exploration of the relationship between licensed places, population, demand, supply, and service numbers could inform improved forecasting of licensed places.</t>
  </si>
  <si>
    <t>Re-running the analysis with regional under-5 population and predicted birth numbers could inform the sector's strategic decisions.</t>
  </si>
  <si>
    <t>Relating these data to other data about the ethnic and cultural makeup of the population could help to identify specific skills that may provide an advantage to suppliers and job candidates.</t>
  </si>
  <si>
    <t>Extending teacher supply forecasting using a similar methodology to the demand modelling could improve the value of this model in workforce planning.</t>
  </si>
  <si>
    <t>Extending the modelled demand scenarios to account for changes in parental employment may improve the accuracy of demand forecasting.</t>
  </si>
  <si>
    <t>Allowing for different work pattern scenarios may increase accuracy of workforce need projections.</t>
  </si>
  <si>
    <t>Sourcing better information about teachers in Kōhanga Reo may increase accuracy of workforce need projections.</t>
  </si>
  <si>
    <t>Updating observed ratio inputs as more data are published will improve accuracy of workforce need projections.</t>
  </si>
  <si>
    <t>Starting population</t>
  </si>
  <si>
    <t>year-on-year % change in cohort size</t>
  </si>
  <si>
    <t>Year</t>
  </si>
  <si>
    <t>0 Years</t>
  </si>
  <si>
    <t>1 Years</t>
  </si>
  <si>
    <t>2 Years</t>
  </si>
  <si>
    <t>3 Years</t>
  </si>
  <si>
    <t>4 Years</t>
  </si>
  <si>
    <t>5 Years</t>
  </si>
  <si>
    <t>Total</t>
  </si>
  <si>
    <t>Net migration increase</t>
  </si>
  <si>
    <t>Estimated total increase in under-6 population arising from migration</t>
  </si>
  <si>
    <t>Net % increase from migration</t>
  </si>
  <si>
    <t>Min</t>
  </si>
  <si>
    <t>Mean</t>
  </si>
  <si>
    <t>Median</t>
  </si>
  <si>
    <t>Max</t>
  </si>
  <si>
    <t>POPULATION FORECAST: STATS NZ GRNULAR POPULATION FORECASTS</t>
  </si>
  <si>
    <t>Applied rate of increase</t>
  </si>
  <si>
    <t>0 years*</t>
  </si>
  <si>
    <t>1 years</t>
  </si>
  <si>
    <t>2 years</t>
  </si>
  <si>
    <t>3 years</t>
  </si>
  <si>
    <t>4 years</t>
  </si>
  <si>
    <t>Total under 2s</t>
  </si>
  <si>
    <t>Total 2+s</t>
  </si>
  <si>
    <t>Low</t>
  </si>
  <si>
    <t>High</t>
  </si>
  <si>
    <t>Actual</t>
  </si>
  <si>
    <t>Medium</t>
  </si>
  <si>
    <t>Values are from Stats NZ population projections</t>
  </si>
  <si>
    <t>Population aged 4 and under</t>
  </si>
  <si>
    <t xml:space="preserve"> </t>
  </si>
  <si>
    <t>Number of children participating in ECE</t>
  </si>
  <si>
    <t>% of demand from age</t>
  </si>
  <si>
    <t>Less than 1 years old</t>
  </si>
  <si>
    <t>1 years old</t>
  </si>
  <si>
    <t>2 years old</t>
  </si>
  <si>
    <t>3 years old</t>
  </si>
  <si>
    <t>4 years old</t>
  </si>
  <si>
    <t>Rate of participation in ECE</t>
  </si>
  <si>
    <t>Overall</t>
  </si>
  <si>
    <t>Range</t>
  </si>
  <si>
    <t>Covid years excluded</t>
  </si>
  <si>
    <t>Mean (exc. Covid years)</t>
  </si>
  <si>
    <t>LOW PARTICIPATION IN ECE</t>
  </si>
  <si>
    <t>Applied rate of participation</t>
  </si>
  <si>
    <t>MEDIUM PARTICIPATION IN ECE</t>
  </si>
  <si>
    <t>HIGH PARTICIPATION IN ECE</t>
  </si>
  <si>
    <t>HYBRID: LOW AS LOW/LOW, MEDIUM AS MEDIUM/MEDIUM, HIGH AS HIGH/HIGH</t>
  </si>
  <si>
    <t>Ratio requirements</t>
  </si>
  <si>
    <t>Service Type</t>
  </si>
  <si>
    <t>Age Group</t>
  </si>
  <si>
    <t>Required Adult:Child Ratio</t>
  </si>
  <si>
    <t>min multiplier</t>
  </si>
  <si>
    <t>mean multiplier</t>
  </si>
  <si>
    <t>% qualified teachers (min)</t>
  </si>
  <si>
    <t>Min. qualified teachers</t>
  </si>
  <si>
    <t>Kindergarten (all day or sessional)</t>
  </si>
  <si>
    <t>Under 2 years</t>
  </si>
  <si>
    <t>1:5</t>
  </si>
  <si>
    <t>Kindergarten (all day)</t>
  </si>
  <si>
    <t>2 years and over</t>
  </si>
  <si>
    <t>1:10</t>
  </si>
  <si>
    <t>Education &amp; Care</t>
  </si>
  <si>
    <t>Home-based Services</t>
  </si>
  <si>
    <t>All ages</t>
  </si>
  <si>
    <t>1:4</t>
  </si>
  <si>
    <t>Hospital-based Services</t>
  </si>
  <si>
    <t>Playcentre</t>
  </si>
  <si>
    <t>Kōhanga Reo</t>
  </si>
  <si>
    <t>1:6</t>
  </si>
  <si>
    <t>Kindergarten (sessional)</t>
  </si>
  <si>
    <t>1:15</t>
  </si>
  <si>
    <t>Participation share and teacher demand for centre-based, teacher-led services</t>
  </si>
  <si>
    <t>Participation share by service type and size</t>
  </si>
  <si>
    <t>Kindergarten</t>
  </si>
  <si>
    <t>Te Kōhanga Reo*</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</si>
  <si>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</si>
  <si>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</si>
  <si>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</si>
  <si>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</si>
  <si>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</si>
  <si>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</si>
  <si>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</si>
  <si>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</si>
  <si>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</si>
  <si>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</si>
  <si>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</si>
  <si>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</si>
  <si>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</si>
  <si>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</si>
  <si>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</si>
  <si>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</si>
  <si>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</si>
  <si>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</si>
  <si>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</si>
  <si>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</si>
  <si>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</si>
  <si>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</si>
  <si>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</si>
  <si>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</si>
  <si>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</si>
  <si>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</si>
  <si>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Year-on-year market share change by service type</t>
  </si>
  <si>
    <t>Market share forecasting ranges</t>
  </si>
  <si>
    <t>Attendance levels</t>
  </si>
  <si>
    <t>Qualified staff count multipliers</t>
  </si>
  <si>
    <t>Measure</t>
  </si>
  <si>
    <t>Target</t>
  </si>
  <si>
    <t>2000-2025</t>
  </si>
  <si>
    <t>Hours</t>
  </si>
  <si>
    <t>Adult:Child ratio multipliers</t>
  </si>
  <si>
    <t>Group</t>
  </si>
  <si>
    <t>Te Kōhanga Reo</t>
  </si>
  <si>
    <t>Under 2s (regulated)</t>
  </si>
  <si>
    <t>2016-2025</t>
  </si>
  <si>
    <t>2+ (regulated)</t>
  </si>
  <si>
    <t>Under 2s (observed)</t>
  </si>
  <si>
    <t>2 (observed)</t>
  </si>
  <si>
    <t>3+ (observed)</t>
  </si>
  <si>
    <t>Market breakdown multipliers</t>
  </si>
  <si>
    <t>2021-2025</t>
  </si>
  <si>
    <t>Under 2s (4yr mean)</t>
  </si>
  <si>
    <t>2 (4yr mean)</t>
  </si>
  <si>
    <t>3-4 (4yr mean)</t>
  </si>
  <si>
    <t>5+ (4yr mean)</t>
  </si>
  <si>
    <t>Low scenario estimate - headcount enrolments</t>
  </si>
  <si>
    <t>Low scenario estimate - workforce FTE required to maintain observed ratios</t>
  </si>
  <si>
    <t>Low scenario estimate - qualified FTE required to maintain compliance with regulation</t>
  </si>
  <si>
    <t>Low scenario estimate - unqualified FTE required</t>
  </si>
  <si>
    <t>Education &amp; Care (under 2s)</t>
  </si>
  <si>
    <t>Education &amp; Care (2s)</t>
  </si>
  <si>
    <t>Education &amp; Care (3+)</t>
  </si>
  <si>
    <t>Kindergarten (Under 2s)</t>
  </si>
  <si>
    <t>Kindergarten (2s)</t>
  </si>
  <si>
    <t>Kindergarten (3+)</t>
  </si>
  <si>
    <t>Total FTE</t>
  </si>
  <si>
    <t>Medium scenario estimate - headcount enrolments</t>
  </si>
  <si>
    <t>Medium scenario estimate - workforce FTE required to maintain observed ratios</t>
  </si>
  <si>
    <t>Medium scenario estimate - qualified FTE required to maintain observed ratios (where available) or regulated ratios (where there are no observations available)</t>
  </si>
  <si>
    <t>Medium scenario estimate - unqualified FTE required</t>
  </si>
  <si>
    <t>High scenario estimate - headcount enrolments</t>
  </si>
  <si>
    <t>High scenario estimate - workforce FTE required to maintain observed ratios</t>
  </si>
  <si>
    <t>High scenario estimate - qualified FTE required to maintain observed ratios (where available) or regulated ratios (where there are no observations available)</t>
  </si>
  <si>
    <t>High scenario estimate - unqualified FTE required</t>
  </si>
  <si>
    <t>Compliance scenario estimate - headcount enrolments</t>
  </si>
  <si>
    <t>Home-based</t>
  </si>
  <si>
    <t>Other</t>
  </si>
  <si>
    <t>Low scenario estimate - qualified FTE required to maintain observed ratios (where available) or regulated ratios (where there are no observations available)</t>
  </si>
  <si>
    <t>Low scenario estimate - unqualified FTE required to maintain observed ratios (where available) or regulated ratios (where there are no observations available)</t>
  </si>
  <si>
    <t>Kōhanga Reo (Under 2s)</t>
  </si>
  <si>
    <t>Kōhanga Reo (2+)</t>
  </si>
  <si>
    <t>Medium scenario estimate - unqualified FTE required to maintain observed ratios (where available) or regulated ratios (where there are no observations available)</t>
  </si>
  <si>
    <t>High scenario estimate - unqualified FTE required to maintain observed ratios (where available) or regulated ratios (where there are no observations available)</t>
  </si>
  <si>
    <t>Compliance scenario estimate - medium headcount enrolments</t>
  </si>
  <si>
    <t>Compliance scenario estimate - workforce FTE to maintain regulated ratios</t>
  </si>
  <si>
    <t>KINDERGARTEN/EDUCATION &amp; CARE WORKFORCE DEMAND - FULL-RANGE FORECAST ASSUMING FULL-TIME ATTENDANCE AND CONTINUANCE OF WORK PATTERNS</t>
  </si>
  <si>
    <t>*2015 has been omitted from this dataset due to un-resolvable data quality issues</t>
  </si>
  <si>
    <t>FTE - Total workforce</t>
  </si>
  <si>
    <t>FTE - Qualified teachers</t>
  </si>
  <si>
    <t>Teachers needed  (Low)</t>
  </si>
  <si>
    <t>Teachers needed  (Regulated ratio)</t>
  </si>
  <si>
    <t>Teachers working (Actual)</t>
  </si>
  <si>
    <t>Teachers needed (Medium)</t>
  </si>
  <si>
    <t>Teachers needed (High)</t>
  </si>
  <si>
    <t>Teachers needed (Max Occupancy)</t>
  </si>
  <si>
    <t>Teachers needed (Low)</t>
  </si>
  <si>
    <t>Supply (Actual)</t>
  </si>
  <si>
    <t>EDUCATION &amp; CARE WORKFORCE DEMAND - FULL-RANGE FORECAST ASSUMING FULL-TIME ATTENDANCE AND CONTINUANCE OF WORK PATTERNS</t>
  </si>
  <si>
    <t>Total Demand (Low)</t>
  </si>
  <si>
    <t>Demand (Realised Minimum)</t>
  </si>
  <si>
    <t>Total Demand (Medium)</t>
  </si>
  <si>
    <t>Total Demand (High)</t>
  </si>
  <si>
    <t>Realised Demand</t>
  </si>
  <si>
    <t>Total Demand (Max Occupancy)</t>
  </si>
  <si>
    <t>Demand (Low)</t>
  </si>
  <si>
    <t>Demand (Medium)</t>
  </si>
  <si>
    <t>Demand (High)</t>
  </si>
  <si>
    <t>Demand (Max Occupancy)</t>
  </si>
  <si>
    <t>Licensed ECE places 2015-2024</t>
  </si>
  <si>
    <t>Actual total licensed places</t>
  </si>
  <si>
    <r>
      <t xml:space="preserve">Under 2s 
</t>
    </r>
    <r>
      <rPr>
        <b/>
        <i/>
        <sz val="11"/>
        <color theme="1"/>
        <rFont val="Aptos Narrow"/>
        <family val="2"/>
        <scheme val="minor"/>
      </rPr>
      <t>if licensed numbers are informed by mean market demand</t>
    </r>
  </si>
  <si>
    <r>
      <t xml:space="preserve">2+ 
</t>
    </r>
    <r>
      <rPr>
        <b/>
        <i/>
        <sz val="11"/>
        <color theme="1"/>
        <rFont val="Aptos Narrow"/>
        <family val="2"/>
        <scheme val="minor"/>
      </rPr>
      <t>if licensed numbers are informed by mean market demand</t>
    </r>
  </si>
  <si>
    <r>
      <t xml:space="preserve">Under 2s 
</t>
    </r>
    <r>
      <rPr>
        <b/>
        <i/>
        <sz val="11"/>
        <color theme="1"/>
        <rFont val="Aptos Narrow"/>
        <family val="2"/>
        <scheme val="minor"/>
      </rPr>
      <t>if licensed numbers are assumed to hold same proportions as in 2025</t>
    </r>
  </si>
  <si>
    <r>
      <t xml:space="preserve">2+ 
</t>
    </r>
    <r>
      <rPr>
        <b/>
        <i/>
        <sz val="11"/>
        <color theme="1"/>
        <rFont val="Aptos Narrow"/>
        <family val="2"/>
        <scheme val="minor"/>
      </rPr>
      <t>if licensed numbers are assumed to hold same proportions as in 2025</t>
    </r>
  </si>
  <si>
    <t>Casual Education &amp; Care</t>
  </si>
  <si>
    <t>Hospital-based</t>
  </si>
  <si>
    <t>TOTAL LICENSED PLACES</t>
  </si>
  <si>
    <t>Year-on-year change</t>
  </si>
  <si>
    <t>10-year</t>
  </si>
  <si>
    <t>5-year</t>
  </si>
  <si>
    <t>3-year</t>
  </si>
  <si>
    <t>Projected licensed places - 5-yr minimum scenario repeats</t>
  </si>
  <si>
    <t>Projected licensed places - 10-yr mean scenario repeats</t>
  </si>
  <si>
    <t>Projected licensed places - 10-yr max scenario repeats</t>
  </si>
  <si>
    <t>Teacher demand forecasting</t>
  </si>
  <si>
    <t>Minimum teachers needed - total workforce - LOW licensed places scenario informed by 10-yr mean market demand</t>
  </si>
  <si>
    <t>TOTAL TEACHERS NEEDED</t>
  </si>
  <si>
    <t>Minimum teachers needed - total workforce - low licensed places scenario informed by 2025 licensed places proportions</t>
  </si>
  <si>
    <t>Minimum teachers needed - total workforce - MEDIUM licensed places scenario informed by 10-yr mean market demand</t>
  </si>
  <si>
    <t>Minimum teachers needed - total workforce - medium licensed places scenario informed by 2025 licensed places proportions</t>
  </si>
  <si>
    <t>Minimum teachers needed - total workforce - HIGH licensed places scenario informed by 10-yr mean market demand</t>
  </si>
  <si>
    <t>Required workforce if all places had been used in prior years</t>
  </si>
  <si>
    <t>Minimum teachers needed - total workforce - prior licensed places scenario informed by 10-yr mean market demand</t>
  </si>
  <si>
    <t>licensed places IN 2025</t>
  </si>
  <si>
    <t>Sourced from ECE Directory on 12 June 2025</t>
  </si>
  <si>
    <t>Max. Under 2's</t>
  </si>
  <si>
    <t>Other licensed places</t>
  </si>
  <si>
    <t>Max licensed places</t>
  </si>
  <si>
    <t>% under 2s</t>
  </si>
  <si>
    <t>% other licensed places</t>
  </si>
  <si>
    <t>WORKFORCE HINDCASTS FOR ALL SERVICE TYPES WITH ENROLMENTS</t>
  </si>
  <si>
    <t>Children participating</t>
  </si>
  <si>
    <t>Actual data</t>
  </si>
  <si>
    <t>Imputed data</t>
  </si>
  <si>
    <t>Kindergarten (under 2s)</t>
  </si>
  <si>
    <t>Te Kōhanga Reo (under 2s)</t>
  </si>
  <si>
    <t>Te Kōhanga Reo (2+)</t>
  </si>
  <si>
    <t>Imputation ranges</t>
  </si>
  <si>
    <t>Calculated based on participation 2021-2024 pivot table. Major discrepancies were observed between the nominal outputs of the pivot table and the numbers in the Participation in ECE 2000-2024 file. As such, proportions from the pivot table are applied over nominal participation values by service type to impute the age breakdown of participants in each service type.</t>
  </si>
  <si>
    <t>Ratio multipliers</t>
  </si>
  <si>
    <t>Multiplier</t>
  </si>
  <si>
    <t>Regulated</t>
  </si>
  <si>
    <t>Mean (observed)</t>
  </si>
  <si>
    <t>Total workforce required - min regulated levels</t>
  </si>
  <si>
    <t>ENROLMENT SERVICES WORKFORCE DEMAND - FULL-RANGE FORECAST ASSUMING  CONTINUANCE OF WORK PATTERNS</t>
  </si>
  <si>
    <t>** Assumes that Kōhanga Reo and Playcentres were staffed/supervised at minimum regulated ratios</t>
  </si>
  <si>
    <t>Supply</t>
  </si>
  <si>
    <t>Early Childhood Services Directory</t>
  </si>
  <si>
    <t>A list of Early Childhood Services including contact details, institution information, regional information and decile information</t>
  </si>
  <si>
    <t>^Email addresses are only listed for Early Childhood Services that agreed to have their email publicly released. Persons or organisations wishing to send email material to individuals or organisations whose email addresses appear in this directory must comply with the requirements of the Unsolicited Electronic Messages Act 2007.</t>
  </si>
  <si>
    <t>The most up to date information that we have available has been provided.  Recent changes may not be reflected.</t>
  </si>
  <si>
    <t>Roll data as at 1 July 2024</t>
  </si>
  <si>
    <t>Regional Council: ---</t>
  </si>
  <si>
    <t>Territorial Authority: ---</t>
  </si>
  <si>
    <t>Neighbourhood (SA2): ---</t>
  </si>
  <si>
    <t>ECE Type: ---</t>
  </si>
  <si>
    <t>20 Hours ECE: ---</t>
  </si>
  <si>
    <t>Service: ---</t>
  </si>
  <si>
    <t>Service Number</t>
  </si>
  <si>
    <t>Service Name</t>
  </si>
  <si>
    <t>Telephone</t>
  </si>
  <si>
    <t>Email^</t>
  </si>
  <si>
    <t>Street</t>
  </si>
  <si>
    <t>Suburb</t>
  </si>
  <si>
    <t>Town / City</t>
  </si>
  <si>
    <t>Definition</t>
  </si>
  <si>
    <t>Authority</t>
  </si>
  <si>
    <t>20 Hours ECE</t>
  </si>
  <si>
    <t>KME Peak Body</t>
  </si>
  <si>
    <t>Takiwā</t>
  </si>
  <si>
    <t>Equity Index (EQI)</t>
  </si>
  <si>
    <t>Territorial Authority</t>
  </si>
  <si>
    <t>Urban/Rural</t>
  </si>
  <si>
    <t>Regional Council</t>
  </si>
  <si>
    <t>Education Region</t>
  </si>
  <si>
    <t>General Electorate</t>
  </si>
  <si>
    <t>Māori Electorate</t>
  </si>
  <si>
    <t>Neighbourhood (SA2 code)</t>
  </si>
  <si>
    <t>Neighbourhood (SA2)</t>
  </si>
  <si>
    <t>Ward</t>
  </si>
  <si>
    <t>Management Contact Name</t>
  </si>
  <si>
    <t>Management Postal Address</t>
  </si>
  <si>
    <t>Management Postal Suburb</t>
  </si>
  <si>
    <t>Management Postal City</t>
  </si>
  <si>
    <t>Management Contact Phone</t>
  </si>
  <si>
    <t>Community of Learning ID</t>
  </si>
  <si>
    <t>Community of Learning Name</t>
  </si>
  <si>
    <t>Latitude</t>
  </si>
  <si>
    <t>Longitude</t>
  </si>
  <si>
    <t>Max. Licenced Positions</t>
  </si>
  <si>
    <t>Max. Under 2’s</t>
  </si>
  <si>
    <t>Age 0</t>
  </si>
  <si>
    <t>Age 1</t>
  </si>
  <si>
    <t>Age 2</t>
  </si>
  <si>
    <t>Age 3</t>
  </si>
  <si>
    <t>Age 4</t>
  </si>
  <si>
    <t>Age 5</t>
  </si>
  <si>
    <t>European / Pākehā</t>
  </si>
  <si>
    <t>Māori</t>
  </si>
  <si>
    <t>Pacific</t>
  </si>
  <si>
    <t>Asian</t>
  </si>
  <si>
    <t>Anne West Kindergarten</t>
  </si>
  <si>
    <t>09-408 1110</t>
  </si>
  <si>
    <t>richard@nka.org.nz</t>
  </si>
  <si>
    <t>92 Pukepoto Road</t>
  </si>
  <si>
    <t>Kaitaia</t>
  </si>
  <si>
    <t>Free Kindergarten</t>
  </si>
  <si>
    <t>Community based</t>
  </si>
  <si>
    <t>Yes</t>
  </si>
  <si>
    <t>Te Tai Raro</t>
  </si>
  <si>
    <t>EQI 2</t>
  </si>
  <si>
    <t>Far North District</t>
  </si>
  <si>
    <t>Small urban area</t>
  </si>
  <si>
    <t>Northland Region</t>
  </si>
  <si>
    <t>Tai Tokerau</t>
  </si>
  <si>
    <t>Northland</t>
  </si>
  <si>
    <t>Te Tai Tokerau</t>
  </si>
  <si>
    <t>Kaitāia West</t>
  </si>
  <si>
    <t>Te Hiku General Ward</t>
  </si>
  <si>
    <t>Richard Storey</t>
  </si>
  <si>
    <t>P O Box 4005</t>
  </si>
  <si>
    <t>Kamo</t>
  </si>
  <si>
    <t>Whangarei 0141</t>
  </si>
  <si>
    <t>09-435 9099</t>
  </si>
  <si>
    <t>Doubtless Bay Kindergarten</t>
  </si>
  <si>
    <t>09-406 0138</t>
  </si>
  <si>
    <t>5 E Mamaru Road</t>
  </si>
  <si>
    <t>Taipa</t>
  </si>
  <si>
    <t>EQI 3</t>
  </si>
  <si>
    <t>Rural settlement</t>
  </si>
  <si>
    <t>Doubtless Bay</t>
  </si>
  <si>
    <t>Te Kāhui Tai Kura o Te Hiku</t>
  </si>
  <si>
    <t>Mission Place Kindergarten</t>
  </si>
  <si>
    <t>09-4082444</t>
  </si>
  <si>
    <t>Mission Place</t>
  </si>
  <si>
    <t>Kaitāia East</t>
  </si>
  <si>
    <t>Hillcrest Kindergarten</t>
  </si>
  <si>
    <t>09-4010548</t>
  </si>
  <si>
    <t>Cnr Park &amp; Hillcrest Roads</t>
  </si>
  <si>
    <t>Kaikohe</t>
  </si>
  <si>
    <t>Kaikohe-Hokianga General Ward</t>
  </si>
  <si>
    <t>Te Arahura Community of Learning</t>
  </si>
  <si>
    <t>Waitangi Kindergarten</t>
  </si>
  <si>
    <t>09-4027365</t>
  </si>
  <si>
    <t>Te Kemara Avenue</t>
  </si>
  <si>
    <t>Paihia</t>
  </si>
  <si>
    <t>EQI 4</t>
  </si>
  <si>
    <t>Bay of Islands-Whangaroa General Ward</t>
  </si>
  <si>
    <t>Peowhairangi Community of Learning</t>
  </si>
  <si>
    <t>Dargaville Free Kindergarten</t>
  </si>
  <si>
    <t>09-4398875</t>
  </si>
  <si>
    <t>Portland Street</t>
  </si>
  <si>
    <t>Dargaville</t>
  </si>
  <si>
    <t>Kaipara District</t>
  </si>
  <si>
    <t>Wairoa General Ward</t>
  </si>
  <si>
    <t>Northern Wairoa Kāhui Ako</t>
  </si>
  <si>
    <t>Ruawai Kindergarten</t>
  </si>
  <si>
    <t>09-4392415</t>
  </si>
  <si>
    <t>4376A State Highway 12</t>
  </si>
  <si>
    <t>Ruawai</t>
  </si>
  <si>
    <t>EQI &gt; 5</t>
  </si>
  <si>
    <t>Rural other</t>
  </si>
  <si>
    <t>Rūāwai-Matakohe</t>
  </si>
  <si>
    <t>Otamatea General Ward</t>
  </si>
  <si>
    <t>Selwyn Park Kindergarten</t>
  </si>
  <si>
    <t>09-4397519</t>
  </si>
  <si>
    <t>31 McKay Cresent</t>
  </si>
  <si>
    <t>Forest View Kindergarten</t>
  </si>
  <si>
    <t>09-4372965</t>
  </si>
  <si>
    <t>215 Kiripaka Road</t>
  </si>
  <si>
    <t>Tikipunga</t>
  </si>
  <si>
    <t>Whangarei</t>
  </si>
  <si>
    <t>Whangarei District</t>
  </si>
  <si>
    <t>Large urban area</t>
  </si>
  <si>
    <t>Whangārei</t>
  </si>
  <si>
    <t>Tikipunga North</t>
  </si>
  <si>
    <t>Whangārei Urban General Ward</t>
  </si>
  <si>
    <t>Te Tai Raki Whangarei Kāhui Ako</t>
  </si>
  <si>
    <t>First Ave Hora Hora Kindergarten</t>
  </si>
  <si>
    <t>09-4387053</t>
  </si>
  <si>
    <t>43 A First Avenue</t>
  </si>
  <si>
    <t>Whangarei CBD</t>
  </si>
  <si>
    <t>Woodhill-Vinetown</t>
  </si>
  <si>
    <t>Ngā Kura mo te ako o Whangarei Kāhui Ako Group 2</t>
  </si>
  <si>
    <t>Te Kamo Kindergarten</t>
  </si>
  <si>
    <t>09-4350378</t>
  </si>
  <si>
    <t>5 Farmer Street</t>
  </si>
  <si>
    <t>Kamo Central</t>
  </si>
  <si>
    <t>Mairtown Free Kindergarten</t>
  </si>
  <si>
    <t>09-4372742</t>
  </si>
  <si>
    <t>21 Princes Street</t>
  </si>
  <si>
    <t>Mairtown</t>
  </si>
  <si>
    <t>Onerahi Free Kindergarten</t>
  </si>
  <si>
    <t>09-4361688</t>
  </si>
  <si>
    <t>6 Bayswater Place</t>
  </si>
  <si>
    <t>Onerahi</t>
  </si>
  <si>
    <t>Onerahi Park</t>
  </si>
  <si>
    <t>Hikurangi Kindergarten</t>
  </si>
  <si>
    <t>09-4338535</t>
  </si>
  <si>
    <t>Park Street</t>
  </si>
  <si>
    <t>Hikurangi</t>
  </si>
  <si>
    <t>Hikurangi-Coastal General Ward</t>
  </si>
  <si>
    <t>Portland Kindergarten</t>
  </si>
  <si>
    <t>09-4322533</t>
  </si>
  <si>
    <t>12 Portland School Road</t>
  </si>
  <si>
    <t>Portland</t>
  </si>
  <si>
    <t>Otaika-Portland</t>
  </si>
  <si>
    <t>Bream Bay General Ward</t>
  </si>
  <si>
    <t>Ngā Kura mo te ako o Whangarei Kāhui Ako Group 4</t>
  </si>
  <si>
    <t>Raumanga Kindergarten</t>
  </si>
  <si>
    <t>09-4381694</t>
  </si>
  <si>
    <t>13 A Murdoch Crescent</t>
  </si>
  <si>
    <t>Raumanga</t>
  </si>
  <si>
    <t>Parihaka Kindergarten</t>
  </si>
  <si>
    <t>09-4389804</t>
  </si>
  <si>
    <t>38 Kohe Street</t>
  </si>
  <si>
    <t>Parahaki</t>
  </si>
  <si>
    <t>Riverside</t>
  </si>
  <si>
    <t>Tikipunga Free Kindergarten</t>
  </si>
  <si>
    <t>09-4370053</t>
  </si>
  <si>
    <t>8 Tania Place</t>
  </si>
  <si>
    <t>Wellsford Kindergarten</t>
  </si>
  <si>
    <t>09-423 8281</t>
  </si>
  <si>
    <t>wellsford@aka.org.nz</t>
  </si>
  <si>
    <t>Hazelmere Street</t>
  </si>
  <si>
    <t>Wellsford</t>
  </si>
  <si>
    <t>Auckland - Rodney</t>
  </si>
  <si>
    <t>Auckland Region</t>
  </si>
  <si>
    <t>Tāmaki Herenga Tāngata</t>
  </si>
  <si>
    <t>Kaipara ki Mahurangi</t>
  </si>
  <si>
    <t>Rodney Ward</t>
  </si>
  <si>
    <t>Pauline Winter</t>
  </si>
  <si>
    <t>P O Box 6933</t>
  </si>
  <si>
    <t>Wellesley Street</t>
  </si>
  <si>
    <t>Auckland 1141</t>
  </si>
  <si>
    <t>09-3735636</t>
  </si>
  <si>
    <t>Glamorgan Kindergarten</t>
  </si>
  <si>
    <t>09-4735099</t>
  </si>
  <si>
    <t>glamorgan@kaitiakikindergartens.org.nz</t>
  </si>
  <si>
    <t>37 Danbury Drive</t>
  </si>
  <si>
    <t>Torbay</t>
  </si>
  <si>
    <t>Auckland</t>
  </si>
  <si>
    <t>Auckland - Hibiscus and Bays</t>
  </si>
  <si>
    <t>Major urban area</t>
  </si>
  <si>
    <t>East Coast Bays</t>
  </si>
  <si>
    <t>Glamorgan</t>
  </si>
  <si>
    <t>Albany Ward</t>
  </si>
  <si>
    <t>Tara Solomon</t>
  </si>
  <si>
    <t>P O Box 35223</t>
  </si>
  <si>
    <t>Browns Bay</t>
  </si>
  <si>
    <t>North Shore City 0753</t>
  </si>
  <si>
    <t>Oneroa Community of Learning</t>
  </si>
  <si>
    <t>Orewa Beach Kindergarten</t>
  </si>
  <si>
    <t>09-4264543</t>
  </si>
  <si>
    <t>orewabeach@kaitiakikindergartens.org.nz</t>
  </si>
  <si>
    <t>Riverside Road</t>
  </si>
  <si>
    <t>Orewa</t>
  </si>
  <si>
    <t>Whangaparāoa</t>
  </si>
  <si>
    <t>Orewa South</t>
  </si>
  <si>
    <t>Orewa Community of Learning</t>
  </si>
  <si>
    <t>Mahurangi Kindergarten</t>
  </si>
  <si>
    <t>09-4257096</t>
  </si>
  <si>
    <t>mahurangi@kaitiakikindergartens.org.nz</t>
  </si>
  <si>
    <t>13 Albert Road</t>
  </si>
  <si>
    <t>Warkworth</t>
  </si>
  <si>
    <t>Warkworth West</t>
  </si>
  <si>
    <t>Rangitoto Kindergarten</t>
  </si>
  <si>
    <t>09-4783355</t>
  </si>
  <si>
    <t>rangitoto@kaitiakikindergartens.org.nz</t>
  </si>
  <si>
    <t>2 A Hythe Terrace</t>
  </si>
  <si>
    <t>Mairangi Bay</t>
  </si>
  <si>
    <t>North Shore</t>
  </si>
  <si>
    <t>Mairangi Bay North</t>
  </si>
  <si>
    <t>Mid Bays Community of Schools</t>
  </si>
  <si>
    <t>Taiaotea Kindergarten</t>
  </si>
  <si>
    <t>09-478 7795</t>
  </si>
  <si>
    <t>brownsbay@kaitiakikindergartens.org.nz</t>
  </si>
  <si>
    <t>4 Woodlands Crescent</t>
  </si>
  <si>
    <t>Browns Bay Central</t>
  </si>
  <si>
    <t>Torbay Kindergarten</t>
  </si>
  <si>
    <t>09-473 9340</t>
  </si>
  <si>
    <t>torbay@kaitiakikindergartens.org.nz</t>
  </si>
  <si>
    <t>141 Deep Creek Road</t>
  </si>
  <si>
    <t>Torbay East</t>
  </si>
  <si>
    <t>Stanmore Bay Kindergarten</t>
  </si>
  <si>
    <t>09-4248847</t>
  </si>
  <si>
    <t>stanmorebay@kaitiakikindergartens.org.nz</t>
  </si>
  <si>
    <t>Waiora Road</t>
  </si>
  <si>
    <t>Stanmore Bay</t>
  </si>
  <si>
    <t>Stanmore Bay West</t>
  </si>
  <si>
    <t>Whangaparaoa Peninsula Kāhui Ako</t>
  </si>
  <si>
    <t>Anchorage Park Kindergarten</t>
  </si>
  <si>
    <t>09-5763138</t>
  </si>
  <si>
    <t>anchoragepark@aka.org.nz</t>
  </si>
  <si>
    <t>9 Tiaka Place</t>
  </si>
  <si>
    <t>Pakuranga</t>
  </si>
  <si>
    <t>Auckland - Howick</t>
  </si>
  <si>
    <t>Tāmaki Herenga Manawa</t>
  </si>
  <si>
    <t>Tāmaki Makaurau</t>
  </si>
  <si>
    <t>Pakuranga West</t>
  </si>
  <si>
    <t>Howick Ward</t>
  </si>
  <si>
    <t>Pakuranga West Kāhui Ako</t>
  </si>
  <si>
    <t>Avondale Kindergarten</t>
  </si>
  <si>
    <t>09-8289532</t>
  </si>
  <si>
    <t>avondale@aka.org.nz</t>
  </si>
  <si>
    <t>195 Rosebank Road</t>
  </si>
  <si>
    <t>Avondale</t>
  </si>
  <si>
    <t>Auckland - Whau</t>
  </si>
  <si>
    <t>Kelston</t>
  </si>
  <si>
    <t>Avondale North West (Auckland)</t>
  </si>
  <si>
    <t>Whau Ward</t>
  </si>
  <si>
    <t>Bairds Kindergarten</t>
  </si>
  <si>
    <t>09-2747111</t>
  </si>
  <si>
    <t>bairds@aka.org.nz</t>
  </si>
  <si>
    <t>4 Edward Avenue</t>
  </si>
  <si>
    <t>Otara</t>
  </si>
  <si>
    <t>EQI 1</t>
  </si>
  <si>
    <t>Auckland - Ōtara-Papatoetoe</t>
  </si>
  <si>
    <t>Tāmaki Herenga Waka</t>
  </si>
  <si>
    <t>Panmure-Ōtāhuhu</t>
  </si>
  <si>
    <t>Ōtara West</t>
  </si>
  <si>
    <t>Manukau Ward</t>
  </si>
  <si>
    <t>Bayview Kindergarten</t>
  </si>
  <si>
    <t>09-444 5540</t>
  </si>
  <si>
    <t>bayview@aka.org.nz</t>
  </si>
  <si>
    <t>70 Bayview Road</t>
  </si>
  <si>
    <t>Glenfield</t>
  </si>
  <si>
    <t>Auckland - Kaipātiki</t>
  </si>
  <si>
    <t>Upper Harbour</t>
  </si>
  <si>
    <t>Bayview West (Auckland)</t>
  </si>
  <si>
    <t>North Shore Ward</t>
  </si>
  <si>
    <t>Kaipātiki Kāhui Ako</t>
  </si>
  <si>
    <t>Belmont Bayswater Kindergarten</t>
  </si>
  <si>
    <t>09-4456744</t>
  </si>
  <si>
    <t>belmontbayswater@aka.org.nz</t>
  </si>
  <si>
    <t>1C Rosyth Avenue</t>
  </si>
  <si>
    <t>Bayswater-Auckland</t>
  </si>
  <si>
    <t>Auckland - Devonport-Takapuna</t>
  </si>
  <si>
    <t>Bayswater</t>
  </si>
  <si>
    <t>Devonport-Takapuna Kāhui Ako</t>
  </si>
  <si>
    <t>Beach Haven Kindergarten</t>
  </si>
  <si>
    <t>09-483 8706</t>
  </si>
  <si>
    <t>beachhaven@aka.org.nz</t>
  </si>
  <si>
    <t>179 Beach Haven Road</t>
  </si>
  <si>
    <t>Beach Haven</t>
  </si>
  <si>
    <t>Northcote</t>
  </si>
  <si>
    <t>Beach Haven East</t>
  </si>
  <si>
    <t>Te Ara Whetū Kāhui Ako</t>
  </si>
  <si>
    <t>Birkenhead Kindergarten</t>
  </si>
  <si>
    <t>09-480 9330</t>
  </si>
  <si>
    <t>birkenhead@aka.org.nz</t>
  </si>
  <si>
    <t>97 A Mokoia Road</t>
  </si>
  <si>
    <t>Birkenhead</t>
  </si>
  <si>
    <t>Birkenhead South</t>
  </si>
  <si>
    <t>Blockhouse Bay Kindergarten</t>
  </si>
  <si>
    <t>09-627 8042</t>
  </si>
  <si>
    <t>blockhousebay@aka.org.nz</t>
  </si>
  <si>
    <t>5 Exminster Street</t>
  </si>
  <si>
    <t>Blockhouse Bay</t>
  </si>
  <si>
    <t>New Lynn</t>
  </si>
  <si>
    <t>Blockhouse Bay Central</t>
  </si>
  <si>
    <t>Lynfield Kāhui Ako</t>
  </si>
  <si>
    <t>Botany Downs Kindergarten</t>
  </si>
  <si>
    <t>09-534 9025</t>
  </si>
  <si>
    <t>botanydowns@aka.org.nz</t>
  </si>
  <si>
    <t>22 Maroubra Place</t>
  </si>
  <si>
    <t>Howick</t>
  </si>
  <si>
    <t>Botany</t>
  </si>
  <si>
    <t>Botany Downs East</t>
  </si>
  <si>
    <t>Howick Coast Kāhui Ako</t>
  </si>
  <si>
    <t>Sunnynook Kindergarten</t>
  </si>
  <si>
    <t>09-410 5210</t>
  </si>
  <si>
    <t>sunnynook@aka.org.nz</t>
  </si>
  <si>
    <t>50 Sunnynook Road</t>
  </si>
  <si>
    <t>Sunnynook North</t>
  </si>
  <si>
    <t>Pupuke (Westlake) Community of Learning</t>
  </si>
  <si>
    <t>Bucklands Beach Kindergarten</t>
  </si>
  <si>
    <t>09-5346212</t>
  </si>
  <si>
    <t>bucklandsbeach@aka.org.nz</t>
  </si>
  <si>
    <t>8 Oliver Road</t>
  </si>
  <si>
    <t>Bucklands Beach</t>
  </si>
  <si>
    <t>Eastern Beach</t>
  </si>
  <si>
    <t>Cascades Kindergarten</t>
  </si>
  <si>
    <t>09-5767466</t>
  </si>
  <si>
    <t>cascades@aka.org.nz</t>
  </si>
  <si>
    <t>Lady Marie Drive</t>
  </si>
  <si>
    <t>Pakuranga Heights East</t>
  </si>
  <si>
    <t xml:space="preserve">Te ara Mana-ā-Kura Kāhui Ako| Farm Cove Community of Learning </t>
  </si>
  <si>
    <t>Ellerslie Kindergarten</t>
  </si>
  <si>
    <t>09-579 0076</t>
  </si>
  <si>
    <t>ellerslie@aka.org.nz</t>
  </si>
  <si>
    <t>122 Celtic Crescent</t>
  </si>
  <si>
    <t>Ellerslie</t>
  </si>
  <si>
    <t>Auckland - Ōrākei</t>
  </si>
  <si>
    <t>Maungakiekie</t>
  </si>
  <si>
    <t>Ellerslie East</t>
  </si>
  <si>
    <t>Maungakiekie-Tāmaki Ward</t>
  </si>
  <si>
    <t>Colwill Kindergarten</t>
  </si>
  <si>
    <t>09-833 9794</t>
  </si>
  <si>
    <t>colwill@aka.org.nz</t>
  </si>
  <si>
    <t>19 Kintara Drive</t>
  </si>
  <si>
    <t>Massey</t>
  </si>
  <si>
    <t>Auckland - Henderson-Massey</t>
  </si>
  <si>
    <t>Royal Heights South</t>
  </si>
  <si>
    <t>Waitākere Ward</t>
  </si>
  <si>
    <t>Te Kāhui Ako o Tiriwā</t>
  </si>
  <si>
    <t>Remuera Kindergarten</t>
  </si>
  <si>
    <t>09-520 1575</t>
  </si>
  <si>
    <t>remuera@aka.org.nz</t>
  </si>
  <si>
    <t>Wairua Road</t>
  </si>
  <si>
    <t>Remuera</t>
  </si>
  <si>
    <t>Epsom</t>
  </si>
  <si>
    <t>Remuera South</t>
  </si>
  <si>
    <t>Ōrākei Ward</t>
  </si>
  <si>
    <t>Onehunga Kindergarten</t>
  </si>
  <si>
    <t>09-636 8057</t>
  </si>
  <si>
    <t>17 A Cameron Street</t>
  </si>
  <si>
    <t>Onehunga</t>
  </si>
  <si>
    <t>Auckland - Maungakiekie-Tāmaki</t>
  </si>
  <si>
    <t>Onehunga Central</t>
  </si>
  <si>
    <t>Te Iti Kahurangi Community of Learning</t>
  </si>
  <si>
    <t>Devonport Kindergarten</t>
  </si>
  <si>
    <t>09-445 3504</t>
  </si>
  <si>
    <t>devonport@aka.org.nz</t>
  </si>
  <si>
    <t>43 Vauxhall Road</t>
  </si>
  <si>
    <t>Devonport</t>
  </si>
  <si>
    <t>Cheltenham</t>
  </si>
  <si>
    <t>Don Buck Kindergarten</t>
  </si>
  <si>
    <t>09-8324899</t>
  </si>
  <si>
    <t>donbuck@aka.org.nz</t>
  </si>
  <si>
    <t>124 A Don Buck Road</t>
  </si>
  <si>
    <t>Massey West</t>
  </si>
  <si>
    <t>Favona Kindergarten</t>
  </si>
  <si>
    <t>09-2758212</t>
  </si>
  <si>
    <t>favona@aka.org.nz</t>
  </si>
  <si>
    <t>Wakefield Road</t>
  </si>
  <si>
    <t>Mangere</t>
  </si>
  <si>
    <t>Auckland - Māngere-Ōtāhuhu</t>
  </si>
  <si>
    <t>Māngere</t>
  </si>
  <si>
    <t>Favona North</t>
  </si>
  <si>
    <t>Ferndale Kindergarten</t>
  </si>
  <si>
    <t>09-846 6909</t>
  </si>
  <si>
    <t>ferndale@aka.org.nz</t>
  </si>
  <si>
    <t>830 New North Road</t>
  </si>
  <si>
    <t>Mount Albert</t>
  </si>
  <si>
    <t>Enviroschools</t>
  </si>
  <si>
    <t>Auckland - Albert-Eden</t>
  </si>
  <si>
    <t>Mt Albert</t>
  </si>
  <si>
    <t>Mount Albert Central</t>
  </si>
  <si>
    <t>Albert-Eden-Puketāpapa Ward</t>
  </si>
  <si>
    <t>Mt Albert Kāhui Ako</t>
  </si>
  <si>
    <t>Flatbush Kindergarten</t>
  </si>
  <si>
    <t>09-2748644</t>
  </si>
  <si>
    <t>flatbush@aka.org.nz</t>
  </si>
  <si>
    <t>329 Bairds Road</t>
  </si>
  <si>
    <t>Ōtara South</t>
  </si>
  <si>
    <t>Te Puke ō Taramainuku Kāhui Ako</t>
  </si>
  <si>
    <t>Glen Eden Kindergarten</t>
  </si>
  <si>
    <t>09-8186389</t>
  </si>
  <si>
    <t>gleneden@aka.org.nz</t>
  </si>
  <si>
    <t>3 Clayburn Road</t>
  </si>
  <si>
    <t>Glen Eden</t>
  </si>
  <si>
    <t>Auckland - Waitākere Ranges</t>
  </si>
  <si>
    <t>Glen Eden North</t>
  </si>
  <si>
    <t>Glen Innes Kindergarten</t>
  </si>
  <si>
    <t>09-5284113</t>
  </si>
  <si>
    <t>gleninnes@aka.org.nz</t>
  </si>
  <si>
    <t>71 Taniwha Street</t>
  </si>
  <si>
    <t>Glen Innes</t>
  </si>
  <si>
    <t>Tāmaki</t>
  </si>
  <si>
    <t>Glen Innes East-Wai O Taiki Bay</t>
  </si>
  <si>
    <t>Glenfield Kindergarten</t>
  </si>
  <si>
    <t>09-4448473</t>
  </si>
  <si>
    <t>glenfield@aka.org.nz</t>
  </si>
  <si>
    <t>Mayfield Road</t>
  </si>
  <si>
    <t>Glenfield West</t>
  </si>
  <si>
    <t>Green Bay Kindergarten</t>
  </si>
  <si>
    <t>09-8274044</t>
  </si>
  <si>
    <t>greenbay@aka.org.nz</t>
  </si>
  <si>
    <t>10 La Rosa Street</t>
  </si>
  <si>
    <t>Green Bay</t>
  </si>
  <si>
    <t>Green Bay North</t>
  </si>
  <si>
    <t>Kōtuitui Community of Learning</t>
  </si>
  <si>
    <t>Henderson Kindergarten</t>
  </si>
  <si>
    <t>09-8388710</t>
  </si>
  <si>
    <t>henderson@aka.org.nz</t>
  </si>
  <si>
    <t>1 A Henderson Valley Road</t>
  </si>
  <si>
    <t>Henderson</t>
  </si>
  <si>
    <t>Te Atatū</t>
  </si>
  <si>
    <t>Henderson West</t>
  </si>
  <si>
    <t>Henderson Community of Learning</t>
  </si>
  <si>
    <t>Highland Park Kindergarten</t>
  </si>
  <si>
    <t>09-5347074</t>
  </si>
  <si>
    <t>highlandpark@aka.org.nz</t>
  </si>
  <si>
    <t>563 Pakuranga Road</t>
  </si>
  <si>
    <t>Botany Downs West</t>
  </si>
  <si>
    <t>Hillsborough Kindergarten</t>
  </si>
  <si>
    <t>09-620 5344</t>
  </si>
  <si>
    <t>hillsborough@aka.org.nz</t>
  </si>
  <si>
    <t>668 Richardson Road</t>
  </si>
  <si>
    <t>Hillsborough</t>
  </si>
  <si>
    <t>Auckland - Puketāpapa</t>
  </si>
  <si>
    <t>Mt Roskill</t>
  </si>
  <si>
    <t>Mount Roskill Central East</t>
  </si>
  <si>
    <t>Hobsonville Kindergarten</t>
  </si>
  <si>
    <t>09-416 8723</t>
  </si>
  <si>
    <t>hobsonville@aka.org.nz</t>
  </si>
  <si>
    <t>34a Trig Road</t>
  </si>
  <si>
    <t>Hobsonville</t>
  </si>
  <si>
    <t>West Harbour West</t>
  </si>
  <si>
    <t>Whiria Te Tangata Community of Learning</t>
  </si>
  <si>
    <t>Howick Kindergarten</t>
  </si>
  <si>
    <t>09-534 9124</t>
  </si>
  <si>
    <t>howick@aka.org.nz</t>
  </si>
  <si>
    <t>51 Wellington Street</t>
  </si>
  <si>
    <t>Howick Central</t>
  </si>
  <si>
    <t>Mangere West Kindergarten</t>
  </si>
  <si>
    <t>09-275 4090</t>
  </si>
  <si>
    <t>67 Idlewild Avenue</t>
  </si>
  <si>
    <t>Māngere West</t>
  </si>
  <si>
    <t>Kauri Park Kindergarten</t>
  </si>
  <si>
    <t>09-483 7073</t>
  </si>
  <si>
    <t>kauripark@aka.org.nz</t>
  </si>
  <si>
    <t>11 McGlashen Place</t>
  </si>
  <si>
    <t>Beach Haven South</t>
  </si>
  <si>
    <t>Kingsdene Kindergarten</t>
  </si>
  <si>
    <t>09-2754658</t>
  </si>
  <si>
    <t>kingsdene@aka.org.nz</t>
  </si>
  <si>
    <t>62 Mascot Avenue</t>
  </si>
  <si>
    <t>Māngere Central</t>
  </si>
  <si>
    <t>Papatoetoe North Kindergarten</t>
  </si>
  <si>
    <t>09-2764057</t>
  </si>
  <si>
    <t>PapatoetoeNorth@aka.org.nz</t>
  </si>
  <si>
    <t>1 Beryl Place</t>
  </si>
  <si>
    <t>Mangere East</t>
  </si>
  <si>
    <t>Māngere East</t>
  </si>
  <si>
    <t>Epsom South Kindergarten</t>
  </si>
  <si>
    <t>09-638 9272</t>
  </si>
  <si>
    <t>epsomsouth@aka.org.nz</t>
  </si>
  <si>
    <t>14 Aberfoyle Street</t>
  </si>
  <si>
    <t>Epsom Central-North</t>
  </si>
  <si>
    <t>Freemans Bay Kindergarten</t>
  </si>
  <si>
    <t>09-3762465</t>
  </si>
  <si>
    <t>freemansbay@aka.org.nz</t>
  </si>
  <si>
    <t>16 Tahuna Street</t>
  </si>
  <si>
    <t>Freemans Bay</t>
  </si>
  <si>
    <t>Auckland - Waitematā</t>
  </si>
  <si>
    <t>Auckland Central</t>
  </si>
  <si>
    <t>Waitematā and Gulf Ward</t>
  </si>
  <si>
    <t>Lynfield Kindergarten</t>
  </si>
  <si>
    <t>09-6263218</t>
  </si>
  <si>
    <t>lynfield@aka.org.nz</t>
  </si>
  <si>
    <t>108 Halsey Drive</t>
  </si>
  <si>
    <t>Lynfield</t>
  </si>
  <si>
    <t>Lynfield Central</t>
  </si>
  <si>
    <t>McNaughton Kindergarten</t>
  </si>
  <si>
    <t>09-2759593</t>
  </si>
  <si>
    <t>debbie.lunjevich@aka.org.nz</t>
  </si>
  <si>
    <t>14 McNaughton Avenue</t>
  </si>
  <si>
    <t>Harania North</t>
  </si>
  <si>
    <t>Mangere Bridge Kindergarten</t>
  </si>
  <si>
    <t>09-636 9552</t>
  </si>
  <si>
    <t>mangerebridge@aka.org.nz</t>
  </si>
  <si>
    <t>36 Lindis Place</t>
  </si>
  <si>
    <t>Mangere Bridge</t>
  </si>
  <si>
    <t>Māngere Bridge Ambury</t>
  </si>
  <si>
    <t>Marlborough Kindergarten</t>
  </si>
  <si>
    <t>09-4809061</t>
  </si>
  <si>
    <t>marlborough@aka.org.nz</t>
  </si>
  <si>
    <t>7 A Agincourt Street</t>
  </si>
  <si>
    <t>Glenfield Central</t>
  </si>
  <si>
    <t>Massey Kindergarten</t>
  </si>
  <si>
    <t>09-8337000</t>
  </si>
  <si>
    <t>massey@aka.org.nz</t>
  </si>
  <si>
    <t>326 A Don Buck Road</t>
  </si>
  <si>
    <t>Mayfield Kindergarten</t>
  </si>
  <si>
    <t>09-2745100</t>
  </si>
  <si>
    <t>mayfield@aka.org.nz</t>
  </si>
  <si>
    <t>20 R Pearl Baker Drive</t>
  </si>
  <si>
    <t>Ōtara East</t>
  </si>
  <si>
    <t>Meadowbank Kindergarten</t>
  </si>
  <si>
    <t>09-5215 799</t>
  </si>
  <si>
    <t>meadowbank@aka.org.nz</t>
  </si>
  <si>
    <t>122 Meadowbank Road</t>
  </si>
  <si>
    <t>Meadowbank</t>
  </si>
  <si>
    <t>Meadowbank West</t>
  </si>
  <si>
    <t>Milford Kindergarten</t>
  </si>
  <si>
    <t>09-4861188</t>
  </si>
  <si>
    <t>milford@aka.org.nz</t>
  </si>
  <si>
    <t>14 Pierce Road</t>
  </si>
  <si>
    <t>Milford</t>
  </si>
  <si>
    <t>Milford Central</t>
  </si>
  <si>
    <t>Mission Bay Kindergarten</t>
  </si>
  <si>
    <t>09-528 7029</t>
  </si>
  <si>
    <t>missionbay@aka.org.nz</t>
  </si>
  <si>
    <t>82 Atkin Avenue</t>
  </si>
  <si>
    <t>Mission Bay</t>
  </si>
  <si>
    <t>Morningside Kindergarten</t>
  </si>
  <si>
    <t>09-846 3101</t>
  </si>
  <si>
    <t>morningside@aka.org.nz</t>
  </si>
  <si>
    <t>31 Taylors Road</t>
  </si>
  <si>
    <t>Morningside (Auckland)</t>
  </si>
  <si>
    <t>Mt Eden Kindergarten</t>
  </si>
  <si>
    <t>09-6303720</t>
  </si>
  <si>
    <t>mteden@aka.org.nz</t>
  </si>
  <si>
    <t>11A Milton Road</t>
  </si>
  <si>
    <t>Mount Eden</t>
  </si>
  <si>
    <t>Mount Eden West</t>
  </si>
  <si>
    <t>Mt Roskill Kindergarten</t>
  </si>
  <si>
    <t>09-620 8323</t>
  </si>
  <si>
    <t>mtroskill@aka.org.nz</t>
  </si>
  <si>
    <t>19 Akarana Avenue</t>
  </si>
  <si>
    <t>Mount Roskill</t>
  </si>
  <si>
    <t>Mount Roskill North</t>
  </si>
  <si>
    <t>Sylvia Park Kindergarten</t>
  </si>
  <si>
    <t>09-570 2200</t>
  </si>
  <si>
    <t>sylviapark@aka.org.nz</t>
  </si>
  <si>
    <t>10 Hamlin Road</t>
  </si>
  <si>
    <t>Mount Wellington</t>
  </si>
  <si>
    <t>Mount Wellington Hamlin</t>
  </si>
  <si>
    <t>Murdoch Park Kindergarten</t>
  </si>
  <si>
    <t>09-2789443</t>
  </si>
  <si>
    <t>murdochpark@aka.org.nz</t>
  </si>
  <si>
    <t>43 Chestnut Road</t>
  </si>
  <si>
    <t>Papatoetoe</t>
  </si>
  <si>
    <t>Manurewa</t>
  </si>
  <si>
    <t>Papatoetoe South West</t>
  </si>
  <si>
    <t>West Papatoetoe Community of Learning</t>
  </si>
  <si>
    <t>Northcote Central Kindergarten</t>
  </si>
  <si>
    <t>09-418 1593</t>
  </si>
  <si>
    <t>northcotecentral@aka.org.nz</t>
  </si>
  <si>
    <t>36 College Road</t>
  </si>
  <si>
    <t>Northcote Central</t>
  </si>
  <si>
    <t>Northcote Central (Auckland)</t>
  </si>
  <si>
    <t>Northcote Kindergarten</t>
  </si>
  <si>
    <t>09-480 7039</t>
  </si>
  <si>
    <t>northcote@aka.org.nz</t>
  </si>
  <si>
    <t>7 Nutsey Avenue</t>
  </si>
  <si>
    <t>Northcote South (Auckland)</t>
  </si>
  <si>
    <t>Omana Kindergarten</t>
  </si>
  <si>
    <t>09-2787933</t>
  </si>
  <si>
    <t>omana@aka.org.nz</t>
  </si>
  <si>
    <t>42 Omana Road</t>
  </si>
  <si>
    <t>Papatoetoe North</t>
  </si>
  <si>
    <t>Orakei Kindergarten</t>
  </si>
  <si>
    <t>09-521 0732</t>
  </si>
  <si>
    <t>orakei@aka.org.nz</t>
  </si>
  <si>
    <t>Cnr Coates Avenue &amp; Grace Street</t>
  </si>
  <si>
    <t>Orakei</t>
  </si>
  <si>
    <t>Orakei West</t>
  </si>
  <si>
    <t>Te Roopu Pourewa Community of Learning</t>
  </si>
  <si>
    <t>Oratia Kindergarten</t>
  </si>
  <si>
    <t>09-8184409</t>
  </si>
  <si>
    <t>oratia@aka.org.nz</t>
  </si>
  <si>
    <t>552 West Coast Road</t>
  </si>
  <si>
    <t>Oratia</t>
  </si>
  <si>
    <t>Waitakere</t>
  </si>
  <si>
    <t>Otahuhu Kindergarten</t>
  </si>
  <si>
    <t>09-2767835</t>
  </si>
  <si>
    <t>otahuhu@aka.org.nz</t>
  </si>
  <si>
    <t>51 A Hutton Street</t>
  </si>
  <si>
    <t>Otahuhu</t>
  </si>
  <si>
    <t>Ōtāhuhu South</t>
  </si>
  <si>
    <t>Ōtāhuhu Community of Learning</t>
  </si>
  <si>
    <t>Owairaka Kindergarten</t>
  </si>
  <si>
    <t>09-8465476</t>
  </si>
  <si>
    <t>owairaka@aka.org.nz</t>
  </si>
  <si>
    <t>6 A Dunkirk Terrace</t>
  </si>
  <si>
    <t>Owairaka</t>
  </si>
  <si>
    <t>Ōwairaka West</t>
  </si>
  <si>
    <t>Pakuranga Kindergarten</t>
  </si>
  <si>
    <t>09-576 9605</t>
  </si>
  <si>
    <t>pakuranga@aka.org.nz</t>
  </si>
  <si>
    <t>107 A Reeves Road</t>
  </si>
  <si>
    <t>Pakuranga Heights</t>
  </si>
  <si>
    <t>Pakuranga Heights South West</t>
  </si>
  <si>
    <t>Papatoetoe Kindergarten</t>
  </si>
  <si>
    <t>09-278 5867</t>
  </si>
  <si>
    <t>papatoetoe@aka.org.nz</t>
  </si>
  <si>
    <t>53 Wilmay Avenue</t>
  </si>
  <si>
    <t>Papatoetoe Central West</t>
  </si>
  <si>
    <t>Parnell Kindergarten</t>
  </si>
  <si>
    <t>09-3773 071</t>
  </si>
  <si>
    <t>parnell@aka.org.nz</t>
  </si>
  <si>
    <t>12 Alberon Place</t>
  </si>
  <si>
    <t>Parnell</t>
  </si>
  <si>
    <t>Parnell East</t>
  </si>
  <si>
    <t>Ponsonby Kindergarten</t>
  </si>
  <si>
    <t>09-3764931</t>
  </si>
  <si>
    <t>ponsonby@aka.org.nz</t>
  </si>
  <si>
    <t>22 Ponsonby Terrace</t>
  </si>
  <si>
    <t>Ponsonby</t>
  </si>
  <si>
    <t>Ponsonby East</t>
  </si>
  <si>
    <t>Pt England Kindergarten</t>
  </si>
  <si>
    <t>09-5709557</t>
  </si>
  <si>
    <t>ptengland@aka.org.nz</t>
  </si>
  <si>
    <t>130B Point England Road</t>
  </si>
  <si>
    <t>Point England</t>
  </si>
  <si>
    <t>Point England North</t>
  </si>
  <si>
    <t>Ranui Kindergarten</t>
  </si>
  <si>
    <t>09-833 9887</t>
  </si>
  <si>
    <t>ranui@aka.org.nz</t>
  </si>
  <si>
    <t>Ranui Station Road</t>
  </si>
  <si>
    <t>Ranui</t>
  </si>
  <si>
    <t>Rānui Domain</t>
  </si>
  <si>
    <t>Lincoln North Kindergarten</t>
  </si>
  <si>
    <t>09-8362740</t>
  </si>
  <si>
    <t>lincolnnorth@aka.org.nz</t>
  </si>
  <si>
    <t>47 A Longburn Road</t>
  </si>
  <si>
    <t>Henderson Lincoln West</t>
  </si>
  <si>
    <t>Glen Eden West Kindergarten</t>
  </si>
  <si>
    <t>09-818 3698</t>
  </si>
  <si>
    <t>glenedenwest@aka.org.nz</t>
  </si>
  <si>
    <t>78 A Rosier Road</t>
  </si>
  <si>
    <t>Glen Eden Woodglen</t>
  </si>
  <si>
    <t>Roskill South Kindergarten</t>
  </si>
  <si>
    <t>09-620 5706</t>
  </si>
  <si>
    <t>roskillsouth@aka.org.nz</t>
  </si>
  <si>
    <t>1327 Dominion Road Ext</t>
  </si>
  <si>
    <t>Mount Roskill South</t>
  </si>
  <si>
    <t>Mt Albert Kindergarten</t>
  </si>
  <si>
    <t>09-8464379</t>
  </si>
  <si>
    <t>mtalbert@aka.org.nz</t>
  </si>
  <si>
    <t>24 Mark Road</t>
  </si>
  <si>
    <t>Mount Albert West</t>
  </si>
  <si>
    <t>St Heliers Kindergarten</t>
  </si>
  <si>
    <t>09-575 8113</t>
  </si>
  <si>
    <t>stheliers@aka.org.nz</t>
  </si>
  <si>
    <t>43 Maskell Street</t>
  </si>
  <si>
    <t>St Heliers</t>
  </si>
  <si>
    <t>Glendowie South West</t>
  </si>
  <si>
    <t>Grey Lynn Kindergarten</t>
  </si>
  <si>
    <t>09-378 6941</t>
  </si>
  <si>
    <t>greylynn@aka.org.nz</t>
  </si>
  <si>
    <t>25 Home Street</t>
  </si>
  <si>
    <t>Grey Lynn</t>
  </si>
  <si>
    <t>Grey Lynn East</t>
  </si>
  <si>
    <t>St Johns Kindergarten</t>
  </si>
  <si>
    <t>09-521 1477</t>
  </si>
  <si>
    <t>stjohns@aka.org.nz</t>
  </si>
  <si>
    <t>49 Howard Hunter Avenue</t>
  </si>
  <si>
    <t>Saint Johns East</t>
  </si>
  <si>
    <t>Sandringham Kindergarten</t>
  </si>
  <si>
    <t>09-849 4523</t>
  </si>
  <si>
    <t>sandringham@aka.org.nz</t>
  </si>
  <si>
    <t>2 Kenneth Avenue</t>
  </si>
  <si>
    <t>Sandringham</t>
  </si>
  <si>
    <t>Sandringham North</t>
  </si>
  <si>
    <t>Sturges Road Kindergarten</t>
  </si>
  <si>
    <t>09-836 4943</t>
  </si>
  <si>
    <t>sturgesroad@aka.org.nz</t>
  </si>
  <si>
    <t>124 Sturges Road</t>
  </si>
  <si>
    <t>Whenuapai Kindergarten</t>
  </si>
  <si>
    <t>09-416 4125</t>
  </si>
  <si>
    <t>whenuapai@aka.org.nz</t>
  </si>
  <si>
    <t>16 Airport Road</t>
  </si>
  <si>
    <t>Whenuapai</t>
  </si>
  <si>
    <t>Auckland - Upper Harbour</t>
  </si>
  <si>
    <t>Sunnyvale Kindergarten</t>
  </si>
  <si>
    <t>09-8362283</t>
  </si>
  <si>
    <t>31 A Kaikoura Street</t>
  </si>
  <si>
    <t>Henderson East</t>
  </si>
  <si>
    <t>Takapuna Kindergarten</t>
  </si>
  <si>
    <t>09-489 6189</t>
  </si>
  <si>
    <t>takapuna@aka.org.nz</t>
  </si>
  <si>
    <t>11 A Tennyson Avenue</t>
  </si>
  <si>
    <t>Takapuna</t>
  </si>
  <si>
    <t>Takapuna Central</t>
  </si>
  <si>
    <t>Te Atatu Peninsula Kindergarten</t>
  </si>
  <si>
    <t>09-834 5024</t>
  </si>
  <si>
    <t>teatatupeninsula@aka.org.nz</t>
  </si>
  <si>
    <t>16 A Harbour View Road</t>
  </si>
  <si>
    <t>Te Atatu Peninsula</t>
  </si>
  <si>
    <t>Te Atatū Peninsula Central</t>
  </si>
  <si>
    <t>Te Atatu South Kindergarten</t>
  </si>
  <si>
    <t>09-8363856</t>
  </si>
  <si>
    <t>teatatusouth@aka.org.nz</t>
  </si>
  <si>
    <t>66 A Divich Avenue</t>
  </si>
  <si>
    <t>Te Atatu South</t>
  </si>
  <si>
    <t>Te Atatū South-McLeod South</t>
  </si>
  <si>
    <t>Te Atatu Community of Learning</t>
  </si>
  <si>
    <t>Westlake Forrest Hill Kindergarten</t>
  </si>
  <si>
    <t>09-410 7742</t>
  </si>
  <si>
    <t>westlakeforresthill@aka.org.nz</t>
  </si>
  <si>
    <t>Tiber Road</t>
  </si>
  <si>
    <t>Forrest Hill East</t>
  </si>
  <si>
    <t>Westmere Kindergarten</t>
  </si>
  <si>
    <t>09-376 3833</t>
  </si>
  <si>
    <t>westmere@aka.org.nz</t>
  </si>
  <si>
    <t>90 Garnet Road</t>
  </si>
  <si>
    <t>Westmere</t>
  </si>
  <si>
    <t>Westmere South-Western Springs</t>
  </si>
  <si>
    <t>Farm Cove Kindergarten</t>
  </si>
  <si>
    <t>09-576 9934</t>
  </si>
  <si>
    <t>farmcove@aka.org.nz</t>
  </si>
  <si>
    <t>20 Galloway Crescent</t>
  </si>
  <si>
    <t>Farm Cove</t>
  </si>
  <si>
    <t>Yendarra Kindergarten</t>
  </si>
  <si>
    <t>09-2746877</t>
  </si>
  <si>
    <t>yendarra@aka.org.nz</t>
  </si>
  <si>
    <t>31 Crown Crescent</t>
  </si>
  <si>
    <t>Ferguson</t>
  </si>
  <si>
    <t>Alfriston Road Kindergarten</t>
  </si>
  <si>
    <t>09-2676024</t>
  </si>
  <si>
    <t>21 Alfriston Road</t>
  </si>
  <si>
    <t>Auckland - Manurewa</t>
  </si>
  <si>
    <t>Takanini</t>
  </si>
  <si>
    <t>Manurewa East</t>
  </si>
  <si>
    <t>Manurewa-Papakura Ward</t>
  </si>
  <si>
    <t>Adam Berry</t>
  </si>
  <si>
    <t>P O Box 93</t>
  </si>
  <si>
    <t>Auckland 2245</t>
  </si>
  <si>
    <t>09-972 9917</t>
  </si>
  <si>
    <t>Alfriston Kāhui Ako</t>
  </si>
  <si>
    <t>Clayton Park Kindergarten</t>
  </si>
  <si>
    <t>09-2670027</t>
  </si>
  <si>
    <t>Coxhead Road</t>
  </si>
  <si>
    <t>Wattle Downs East</t>
  </si>
  <si>
    <t>Kawakawa Bay Kindergarten</t>
  </si>
  <si>
    <t>09-292 2468</t>
  </si>
  <si>
    <t>Kawakawa Bay Hall Kawakawa-Orere Road, RD5</t>
  </si>
  <si>
    <t>Kawakawa Bay</t>
  </si>
  <si>
    <t>Auckland - Franklin</t>
  </si>
  <si>
    <t>Papakura</t>
  </si>
  <si>
    <t>Hauraki-Waikato</t>
  </si>
  <si>
    <t>Kawakawa Bay-Orere</t>
  </si>
  <si>
    <t>Franklin Ward</t>
  </si>
  <si>
    <t>Finlayson Park Kindergarten</t>
  </si>
  <si>
    <t>09-267 0936</t>
  </si>
  <si>
    <t>John Walker Drive</t>
  </si>
  <si>
    <t>Rowandale West</t>
  </si>
  <si>
    <t>George Street Kindergarten</t>
  </si>
  <si>
    <t>09-235 8122</t>
  </si>
  <si>
    <t>9 George Street</t>
  </si>
  <si>
    <t>Waiuku</t>
  </si>
  <si>
    <t>Port Waikato</t>
  </si>
  <si>
    <t>Waiuku East</t>
  </si>
  <si>
    <t>Waiuku Community of Learning</t>
  </si>
  <si>
    <t>Hill Park Kindergarten</t>
  </si>
  <si>
    <t>09-2676133</t>
  </si>
  <si>
    <t>55 Grand Vue Road</t>
  </si>
  <si>
    <t>Hillpark South</t>
  </si>
  <si>
    <t>Homai Kindergarten</t>
  </si>
  <si>
    <t>09-2665203</t>
  </si>
  <si>
    <t>183 Browns Road</t>
  </si>
  <si>
    <t>Wiri West</t>
  </si>
  <si>
    <t>Te Kaahui Ako O Manurewa</t>
  </si>
  <si>
    <t>Mason Avenue Kindergarten</t>
  </si>
  <si>
    <t>09-238 7856</t>
  </si>
  <si>
    <t>8 Mason Avenue</t>
  </si>
  <si>
    <t>Pukekohe</t>
  </si>
  <si>
    <t>Medium urban area</t>
  </si>
  <si>
    <t>Rosa Birch Park</t>
  </si>
  <si>
    <t>Pukekohe Community of Learning</t>
  </si>
  <si>
    <t>Nina Busing Kindergarten</t>
  </si>
  <si>
    <t>09-2989081</t>
  </si>
  <si>
    <t>13 A Clevedon Road</t>
  </si>
  <si>
    <t>Auckland - Papakura</t>
  </si>
  <si>
    <t>Papakura Kelvin</t>
  </si>
  <si>
    <t>Kāhui Ako ki Papakura</t>
  </si>
  <si>
    <t>Papakura West Kindergarten</t>
  </si>
  <si>
    <t>adam.berry@cmka.org.nz</t>
  </si>
  <si>
    <t>29 Ray Small Drive</t>
  </si>
  <si>
    <t>Pahurehure</t>
  </si>
  <si>
    <t>Papakura North Kindergarten</t>
  </si>
  <si>
    <t>1 Artillery Drive</t>
  </si>
  <si>
    <t>Papakura North</t>
  </si>
  <si>
    <t>Pukekohe Central Kindergarten</t>
  </si>
  <si>
    <t>2 Harrington Avenue</t>
  </si>
  <si>
    <t>Pukekohe Central</t>
  </si>
  <si>
    <t>Redoubt North Kindergarten</t>
  </si>
  <si>
    <t>4 Charntay Avenue</t>
  </si>
  <si>
    <t>Clover Park</t>
  </si>
  <si>
    <t>Clover Park South</t>
  </si>
  <si>
    <t>Roscommon Kindergarten</t>
  </si>
  <si>
    <t>23 Burundi Avenue</t>
  </si>
  <si>
    <t>Clendon Park North</t>
  </si>
  <si>
    <t>Waiuku Kindergarten</t>
  </si>
  <si>
    <t>14 Kitchener Road</t>
  </si>
  <si>
    <t>Waiuku Central</t>
  </si>
  <si>
    <t>Aberdeen Kindergarten</t>
  </si>
  <si>
    <t>07-8477753</t>
  </si>
  <si>
    <t>ceo@kindergarten.org.nz</t>
  </si>
  <si>
    <t>50 Aberdeen Drive</t>
  </si>
  <si>
    <t>Hamilton Central</t>
  </si>
  <si>
    <t>Hamilton</t>
  </si>
  <si>
    <t>Te Tai Whenua</t>
  </si>
  <si>
    <t>Hamilton City</t>
  </si>
  <si>
    <t>Waikato Region</t>
  </si>
  <si>
    <t>Waikato</t>
  </si>
  <si>
    <t>Hamilton West</t>
  </si>
  <si>
    <t>Dinsdale North</t>
  </si>
  <si>
    <t>West General Ward</t>
  </si>
  <si>
    <t>Edna Frame</t>
  </si>
  <si>
    <t>P O Box 4311</t>
  </si>
  <si>
    <t>Hamilton 3247</t>
  </si>
  <si>
    <t>07-856 4649</t>
  </si>
  <si>
    <t>He Waka Eke Noa (NW Hamilton) Community of Learning</t>
  </si>
  <si>
    <t>Bellmont Avenue Kindergarten</t>
  </si>
  <si>
    <t>07-8552669</t>
  </si>
  <si>
    <t>37 Bellmont Avenue</t>
  </si>
  <si>
    <t>Hamilton East</t>
  </si>
  <si>
    <t>Chartwell</t>
  </si>
  <si>
    <t>East General Ward</t>
  </si>
  <si>
    <t>Cambridge Kindergarten</t>
  </si>
  <si>
    <t>07-8276250</t>
  </si>
  <si>
    <t>104 Victoria Street</t>
  </si>
  <si>
    <t>Cambridge</t>
  </si>
  <si>
    <t>Waipa District</t>
  </si>
  <si>
    <t>Taupō</t>
  </si>
  <si>
    <t>Cambridge East</t>
  </si>
  <si>
    <t>Cambridge General Ward</t>
  </si>
  <si>
    <t>Chartwell Kindergarten</t>
  </si>
  <si>
    <t>07-8553721</t>
  </si>
  <si>
    <t>Herbert Road</t>
  </si>
  <si>
    <t>Queenwood (Hamilton City)</t>
  </si>
  <si>
    <t>Deanwell Kindergarten</t>
  </si>
  <si>
    <t>07-8437570</t>
  </si>
  <si>
    <t>26 Anderson Road</t>
  </si>
  <si>
    <t>Deanwell</t>
  </si>
  <si>
    <t>Te Kaahui Ako o Mangakootukutuku</t>
  </si>
  <si>
    <t>Dinsdale Kindergarten</t>
  </si>
  <si>
    <t>07-8478520</t>
  </si>
  <si>
    <t>84 Bremworth Avenue</t>
  </si>
  <si>
    <t>Dinsdale</t>
  </si>
  <si>
    <t>Dinsdale South</t>
  </si>
  <si>
    <t>Fairfield Kindergarten</t>
  </si>
  <si>
    <t>07-8556300</t>
  </si>
  <si>
    <t>29 Kenney Crescent</t>
  </si>
  <si>
    <t>Fairfield</t>
  </si>
  <si>
    <t>Fairfield North (Hamilton City)</t>
  </si>
  <si>
    <t>Frankton Kindergarten</t>
  </si>
  <si>
    <t>07-8475719</t>
  </si>
  <si>
    <t>181 Massey Street</t>
  </si>
  <si>
    <t>Frankton</t>
  </si>
  <si>
    <t>Swarbrick</t>
  </si>
  <si>
    <t>Galbraith Kindergarten</t>
  </si>
  <si>
    <t>07-8248976</t>
  </si>
  <si>
    <t>Herschel Street</t>
  </si>
  <si>
    <t>Ngaruawahia</t>
  </si>
  <si>
    <t>Waikato District</t>
  </si>
  <si>
    <t>Ngāruawāhia Central</t>
  </si>
  <si>
    <t>Newcastle-Ngāruawāhia General Ward</t>
  </si>
  <si>
    <t>Ngāruawāhia Community of Learning</t>
  </si>
  <si>
    <t>Grandview Kindergarten</t>
  </si>
  <si>
    <t>07-8475360</t>
  </si>
  <si>
    <t>106 Grandview Road</t>
  </si>
  <si>
    <t>Nawton</t>
  </si>
  <si>
    <t>Nawton East</t>
  </si>
  <si>
    <t>Hamilton West Kindergarten</t>
  </si>
  <si>
    <t>07-8394103</t>
  </si>
  <si>
    <t>35 Horne Street</t>
  </si>
  <si>
    <t>Hamilton Lake South</t>
  </si>
  <si>
    <t>07-8563529</t>
  </si>
  <si>
    <t>Masters Avenue</t>
  </si>
  <si>
    <t>Hillcrest</t>
  </si>
  <si>
    <t>Hillcrest East (Hamilton City)</t>
  </si>
  <si>
    <t>Hukanui Kindergarten</t>
  </si>
  <si>
    <t>07-8552410</t>
  </si>
  <si>
    <t>52 Rutherford Street</t>
  </si>
  <si>
    <t>Chedworth</t>
  </si>
  <si>
    <t>Insoll Kindergarten</t>
  </si>
  <si>
    <t>07-8555740</t>
  </si>
  <si>
    <t>65 Halberg Crescent</t>
  </si>
  <si>
    <t>Enderley North</t>
  </si>
  <si>
    <t>James Gray Kindergarten</t>
  </si>
  <si>
    <t>07-8274714</t>
  </si>
  <si>
    <t>18 Kingsley Street</t>
  </si>
  <si>
    <t>Leamington</t>
  </si>
  <si>
    <t>Leamington East</t>
  </si>
  <si>
    <t>Jamieson Kindergarten</t>
  </si>
  <si>
    <t>07-8492684</t>
  </si>
  <si>
    <t>70 Storey Ave</t>
  </si>
  <si>
    <t>Forest Lake</t>
  </si>
  <si>
    <t>Forest Lake (Hamilton City)</t>
  </si>
  <si>
    <t>Leamington Kindergarten</t>
  </si>
  <si>
    <t>07-8276680</t>
  </si>
  <si>
    <t>49 Thompson Street</t>
  </si>
  <si>
    <t>Leamington West</t>
  </si>
  <si>
    <t>Melville Kindergarten</t>
  </si>
  <si>
    <t>07-8435005</t>
  </si>
  <si>
    <t>5 Trigg Place</t>
  </si>
  <si>
    <t>Melville</t>
  </si>
  <si>
    <t>Bader</t>
  </si>
  <si>
    <t>Miropiko Kindergarten</t>
  </si>
  <si>
    <t>07-8556773</t>
  </si>
  <si>
    <t>309 River Road</t>
  </si>
  <si>
    <t>Claudelands</t>
  </si>
  <si>
    <t>Newcastle Kindergarten</t>
  </si>
  <si>
    <t>07-8248280</t>
  </si>
  <si>
    <t>1 King Street</t>
  </si>
  <si>
    <t>Ngāruawāhia North</t>
  </si>
  <si>
    <t>Peachgrove Kindergarten</t>
  </si>
  <si>
    <t>07-8566659</t>
  </si>
  <si>
    <t>181 Galloway Street</t>
  </si>
  <si>
    <t>Hamilton East Cook</t>
  </si>
  <si>
    <t>Pukete Kindergarten</t>
  </si>
  <si>
    <t>07-8493718</t>
  </si>
  <si>
    <t>pukete@kindergarten.org.nz</t>
  </si>
  <si>
    <t>13 Cullimore Street</t>
  </si>
  <si>
    <t>Pukete</t>
  </si>
  <si>
    <t>Pukete East</t>
  </si>
  <si>
    <t>Raglan Kindergarten</t>
  </si>
  <si>
    <t>07-8258674</t>
  </si>
  <si>
    <t>9 Stewart Street</t>
  </si>
  <si>
    <t>Raglan</t>
  </si>
  <si>
    <t>Taranaki-King Country</t>
  </si>
  <si>
    <t>Whāingaroa General Ward</t>
  </si>
  <si>
    <t>St Andrews Kindergarten</t>
  </si>
  <si>
    <t>07-8492597</t>
  </si>
  <si>
    <t>5 Seamer Place</t>
  </si>
  <si>
    <t>Te Rapa</t>
  </si>
  <si>
    <t>Saint Andrews East</t>
  </si>
  <si>
    <t>Glenview Kindergarten</t>
  </si>
  <si>
    <t>07-8437945</t>
  </si>
  <si>
    <t>15 Te Anau Place</t>
  </si>
  <si>
    <t>Glenview</t>
  </si>
  <si>
    <t>Whitiora Kindergarten</t>
  </si>
  <si>
    <t>07-8381614</t>
  </si>
  <si>
    <t>45 Abbotsford Street</t>
  </si>
  <si>
    <t>Whitiora</t>
  </si>
  <si>
    <t>Central Kids Kindergartens - Paeroa</t>
  </si>
  <si>
    <t>07-8851016</t>
  </si>
  <si>
    <t>paeroa@centralkids.org.nz</t>
  </si>
  <si>
    <t>13 Arney Street</t>
  </si>
  <si>
    <t>Paeroa</t>
  </si>
  <si>
    <t>Hauraki District</t>
  </si>
  <si>
    <t>Coromandel</t>
  </si>
  <si>
    <t>Paeroa Ward</t>
  </si>
  <si>
    <t>Moetuturi Ormsby</t>
  </si>
  <si>
    <t>34 Chambers Street</t>
  </si>
  <si>
    <t>Tokoroa 3420</t>
  </si>
  <si>
    <t>021-538696</t>
  </si>
  <si>
    <t>Ohinemuri Community of Learning</t>
  </si>
  <si>
    <t>Te Aroha Kindergarten</t>
  </si>
  <si>
    <t>07-8848709</t>
  </si>
  <si>
    <t>karen@taka.org.nz</t>
  </si>
  <si>
    <t>7 Lawrence Avenue</t>
  </si>
  <si>
    <t>Te Aroha</t>
  </si>
  <si>
    <t>Matamata-Piako District</t>
  </si>
  <si>
    <t>Te Aroha East</t>
  </si>
  <si>
    <t>Te Aroha General Ward</t>
  </si>
  <si>
    <t>Karen Robinson</t>
  </si>
  <si>
    <t>Waikato 3932</t>
  </si>
  <si>
    <t>07-8848974</t>
  </si>
  <si>
    <t>Te Aroha Kāhui Ako</t>
  </si>
  <si>
    <t>Central Kids Kindergartens - Thames</t>
  </si>
  <si>
    <t>thames.k@centralkids.org.nz</t>
  </si>
  <si>
    <t>Grey Street</t>
  </si>
  <si>
    <t>Thames</t>
  </si>
  <si>
    <t>Thames-Coromandel District</t>
  </si>
  <si>
    <t>Thames Central</t>
  </si>
  <si>
    <t>Thames Ward</t>
  </si>
  <si>
    <t>Te Kāhui Ako o Te Kauaeranga (Thames Community of Learning)</t>
  </si>
  <si>
    <t>Central Kids Kindergartens - Apanui</t>
  </si>
  <si>
    <t>07-3085046</t>
  </si>
  <si>
    <t>apanui@centralkids.org.nz</t>
  </si>
  <si>
    <t>41A Apanui Avenue</t>
  </si>
  <si>
    <t>Whakatane</t>
  </si>
  <si>
    <t>Whakatane District</t>
  </si>
  <si>
    <t>Bay of Plenty Region</t>
  </si>
  <si>
    <t>Bay of Plenty, Waiariki</t>
  </si>
  <si>
    <t>East Coast</t>
  </si>
  <si>
    <t>Waiariki</t>
  </si>
  <si>
    <t>Whakatāne Central</t>
  </si>
  <si>
    <t>Whakatāne-Ōhope General Ward</t>
  </si>
  <si>
    <t>Donna Dillon</t>
  </si>
  <si>
    <t>021-578171</t>
  </si>
  <si>
    <t>Whakatane Community of Learning</t>
  </si>
  <si>
    <t>Central Kids Kindergartens - Arohanui</t>
  </si>
  <si>
    <t>arohanui@centralkids.org.nz</t>
  </si>
  <si>
    <t>107 Grampian Street</t>
  </si>
  <si>
    <t>Tokoroa</t>
  </si>
  <si>
    <t>South Waikato District</t>
  </si>
  <si>
    <t>Te Tai Hauāuru</t>
  </si>
  <si>
    <t>Moananui</t>
  </si>
  <si>
    <t>Tokoroa Ward</t>
  </si>
  <si>
    <t>Racheal Bell</t>
  </si>
  <si>
    <t>027-5408859</t>
  </si>
  <si>
    <t>Tokoroa Kāhui Ako</t>
  </si>
  <si>
    <t>Central Kids Kindergartens - Balmoral</t>
  </si>
  <si>
    <t>balmoral@centralkids.org.nz</t>
  </si>
  <si>
    <t>Tainui Street</t>
  </si>
  <si>
    <t>Central Kids Kindergartens - Charles</t>
  </si>
  <si>
    <t>charles@centralkids.org.nz</t>
  </si>
  <si>
    <t>4 Charles Crescent</t>
  </si>
  <si>
    <t>Putaruru</t>
  </si>
  <si>
    <t>Putāruru</t>
  </si>
  <si>
    <t>Putāruru Ward</t>
  </si>
  <si>
    <t>Putaruru Community of Learning</t>
  </si>
  <si>
    <t>Central Kids Kindergartens - Clyde Street</t>
  </si>
  <si>
    <t>clydest@centralkids.org.nz</t>
  </si>
  <si>
    <t>42 Clyde Street</t>
  </si>
  <si>
    <t>Stanley Park</t>
  </si>
  <si>
    <t>Central Kids Kindergartens - David Henry</t>
  </si>
  <si>
    <t>davidhenry@centralkids.org.nz</t>
  </si>
  <si>
    <t>60 Fergusson Street</t>
  </si>
  <si>
    <t>Matarawa</t>
  </si>
  <si>
    <t>Central Kids Kindergartens - Edgecumbe</t>
  </si>
  <si>
    <t>07-3049732</t>
  </si>
  <si>
    <t>edgecumbe@centralkids.org.nz</t>
  </si>
  <si>
    <t>14 Kauri Street</t>
  </si>
  <si>
    <t>Edgecumbe</t>
  </si>
  <si>
    <t>Rangitāiki General Ward</t>
  </si>
  <si>
    <t>Pūtauaki ki Rangitaiki Whānui Kāhui Ako</t>
  </si>
  <si>
    <t>Central Kids Kindergartens - Fordlands</t>
  </si>
  <si>
    <t>07-3486259</t>
  </si>
  <si>
    <t>fordlands@centralkids.org.nz</t>
  </si>
  <si>
    <t>21 Bellingham Crescent</t>
  </si>
  <si>
    <t>Fordlands</t>
  </si>
  <si>
    <t>Rotorua</t>
  </si>
  <si>
    <t>Rotorua District</t>
  </si>
  <si>
    <t>Te Ipu Wai Auraki General Ward</t>
  </si>
  <si>
    <t>Dale Campbell</t>
  </si>
  <si>
    <t>021-728958</t>
  </si>
  <si>
    <t>Te Maru o Ngongotaha (Rotorua) Community of Learning</t>
  </si>
  <si>
    <t>Central Kids Kindergartens - Garaway</t>
  </si>
  <si>
    <t>07-3086813</t>
  </si>
  <si>
    <t>garaway@centralkids.org.nz</t>
  </si>
  <si>
    <t>43A Garaway Street</t>
  </si>
  <si>
    <t>Trident</t>
  </si>
  <si>
    <t>Central Kids Kindergartens - Glenshea</t>
  </si>
  <si>
    <t>glenshea@centralkids.org.nz</t>
  </si>
  <si>
    <t>Glenshea Street</t>
  </si>
  <si>
    <t>Central Kids Kindergartens - Hazelmere</t>
  </si>
  <si>
    <t>hazelmere@centralkids.org.nz</t>
  </si>
  <si>
    <t>1246 Hazelmere Crescent</t>
  </si>
  <si>
    <t>Te Awamutu</t>
  </si>
  <si>
    <t>Sherwin Park</t>
  </si>
  <si>
    <t>Te Awamutu-Kihikihi General Ward</t>
  </si>
  <si>
    <t>Central Kids Kindergartens - Hinemoa</t>
  </si>
  <si>
    <t>07-3787430</t>
  </si>
  <si>
    <t>hinemoa@centralkids.org.nz</t>
  </si>
  <si>
    <t>61 Hinemoa Avenue</t>
  </si>
  <si>
    <t>Taupo</t>
  </si>
  <si>
    <t>Taupo District</t>
  </si>
  <si>
    <t>Mountview</t>
  </si>
  <si>
    <t>Taupō General Ward</t>
  </si>
  <si>
    <t>Gail Pierce</t>
  </si>
  <si>
    <t>Taupō Community of Schools</t>
  </si>
  <si>
    <t>Central Kids Kindergartens - Huntly</t>
  </si>
  <si>
    <t>07-8287819</t>
  </si>
  <si>
    <t>huntly@centralkids.org.nz</t>
  </si>
  <si>
    <t>9 Onslow Street</t>
  </si>
  <si>
    <t>Huntly</t>
  </si>
  <si>
    <t>Huntly South</t>
  </si>
  <si>
    <t>Huntly General Ward</t>
  </si>
  <si>
    <t>Te Kaahui Ako o Raahui Pookeka</t>
  </si>
  <si>
    <t>Central Kids Kindergartens - Jackson Park</t>
  </si>
  <si>
    <t>07-3481979</t>
  </si>
  <si>
    <t>jacksonpark@centralkids.org.nz</t>
  </si>
  <si>
    <t>66 Springfield Road</t>
  </si>
  <si>
    <t>Springfield</t>
  </si>
  <si>
    <t>Springfield South</t>
  </si>
  <si>
    <t>Rotorua Central Community of Learning</t>
  </si>
  <si>
    <t>Central Kids Kindergartens - Kihikihi</t>
  </si>
  <si>
    <t>kihikihi@centralkids.org.nz</t>
  </si>
  <si>
    <t>Linden Street</t>
  </si>
  <si>
    <t>Kihikihi</t>
  </si>
  <si>
    <t>Kihikihi Central</t>
  </si>
  <si>
    <t>Central Kids Kindergartens - Laughton</t>
  </si>
  <si>
    <t>07-3786401</t>
  </si>
  <si>
    <t>laughton@centralkids.org.nz</t>
  </si>
  <si>
    <t>29 Laughton Street</t>
  </si>
  <si>
    <t>Taupō Central East</t>
  </si>
  <si>
    <t>Central Kids Kindergartens - Mill Crescent</t>
  </si>
  <si>
    <t>millcres@centralkids.org.nz</t>
  </si>
  <si>
    <t>4 Mill Crescent</t>
  </si>
  <si>
    <t>Matamata</t>
  </si>
  <si>
    <t>Matamata West</t>
  </si>
  <si>
    <t>Matamata General Ward</t>
  </si>
  <si>
    <t>Matamata Community of Learning</t>
  </si>
  <si>
    <t>Central Kids Kindergartens - Morrinsville</t>
  </si>
  <si>
    <t>morrinsville@centralkids.org.nz</t>
  </si>
  <si>
    <t>63 Moorhouse Street</t>
  </si>
  <si>
    <t>Morrinsville</t>
  </si>
  <si>
    <t>Morrinsville East</t>
  </si>
  <si>
    <t>Morrinsville General Ward</t>
  </si>
  <si>
    <t>Morrinsville Kāhui Ako</t>
  </si>
  <si>
    <t>Karamuramu Kindergarten</t>
  </si>
  <si>
    <t>07-3665677</t>
  </si>
  <si>
    <t>karamuramu@ikindergartens.nz</t>
  </si>
  <si>
    <t xml:space="preserve"> 22 Rewa Crescent</t>
  </si>
  <si>
    <t>Murupara</t>
  </si>
  <si>
    <t>Te Urewera General Ward</t>
  </si>
  <si>
    <t>Peter Monteith</t>
  </si>
  <si>
    <t>P O Box 951</t>
  </si>
  <si>
    <t>Tauranga</t>
  </si>
  <si>
    <t>Tauranga 3140</t>
  </si>
  <si>
    <t>07-578 0552</t>
  </si>
  <si>
    <t>Central Kids Kindergartens - Ngongotahā</t>
  </si>
  <si>
    <t>07-3574532</t>
  </si>
  <si>
    <t>ngongotaha@centralkids.org.nz</t>
  </si>
  <si>
    <t>19 School Road</t>
  </si>
  <si>
    <t>Ngongotaha</t>
  </si>
  <si>
    <t>Ngongotahā West</t>
  </si>
  <si>
    <t>Central Kids Kindergartens - Ōpōtiki</t>
  </si>
  <si>
    <t>07-3156827</t>
  </si>
  <si>
    <t>opotiki@centralkids.org.nz</t>
  </si>
  <si>
    <t>108 Ford Street</t>
  </si>
  <si>
    <t>Opotiki</t>
  </si>
  <si>
    <t>Ōpōtiki District</t>
  </si>
  <si>
    <t>Ōpōtiki</t>
  </si>
  <si>
    <t>Ōpōtiki Ward</t>
  </si>
  <si>
    <t>Ōpōtiki Community of Learning</t>
  </si>
  <si>
    <t>Central Kids Kindergartens - Otorohanga</t>
  </si>
  <si>
    <t>otorohanga@centralkids.org.nz</t>
  </si>
  <si>
    <t>9 Hinewai Street</t>
  </si>
  <si>
    <t>Otorohanga</t>
  </si>
  <si>
    <t>Ōtorohanga District</t>
  </si>
  <si>
    <t>Ōtorohanga</t>
  </si>
  <si>
    <t>Ōtorohanga General Ward</t>
  </si>
  <si>
    <t>Nga Awa ki te Moana Kāhui Ako</t>
  </si>
  <si>
    <t>Central Kids Kindergartens - Ōwhata</t>
  </si>
  <si>
    <t>07-3456237</t>
  </si>
  <si>
    <t>owhata@centralkids.org.nz</t>
  </si>
  <si>
    <t>36 Wharenui Road</t>
  </si>
  <si>
    <t>Owhata</t>
  </si>
  <si>
    <t>Ōwhata East</t>
  </si>
  <si>
    <t>Eastern Rotorua Kāhui Ako</t>
  </si>
  <si>
    <t>Central Kids Kindergartens - Paraone</t>
  </si>
  <si>
    <t>paraone@centralkids.org.nz</t>
  </si>
  <si>
    <t>4 Paraone Street</t>
  </si>
  <si>
    <t>Taumarunui</t>
  </si>
  <si>
    <t>Ruapehu District</t>
  </si>
  <si>
    <t>Manawatū-Whanganui Region</t>
  </si>
  <si>
    <t>Rangitīkei</t>
  </si>
  <si>
    <t>Taumarunui Central</t>
  </si>
  <si>
    <t>Ruapehu General Ward</t>
  </si>
  <si>
    <t>Taumarunui Kāhui Ako</t>
  </si>
  <si>
    <t>Central Kids Kindergartens - Paraōnui</t>
  </si>
  <si>
    <t>paraonui@centralkids.org.nz</t>
  </si>
  <si>
    <t>13 Totara Street</t>
  </si>
  <si>
    <t>Paraonui</t>
  </si>
  <si>
    <t>Central Kids Kindergartens - Pūtauaki</t>
  </si>
  <si>
    <t>07-3236015</t>
  </si>
  <si>
    <t>putauaki@centralkids.org.nz</t>
  </si>
  <si>
    <t>10 Marshall Street</t>
  </si>
  <si>
    <t>Kawerau</t>
  </si>
  <si>
    <t>Kawerau District</t>
  </si>
  <si>
    <t>Monika Reserve</t>
  </si>
  <si>
    <t>Area Outside Ward</t>
  </si>
  <si>
    <t>Central Kids Kindergartens - Rāwhiti</t>
  </si>
  <si>
    <t>rawhiti@centralkids.org.nz</t>
  </si>
  <si>
    <t>3 Konini Place</t>
  </si>
  <si>
    <t>Matamata North</t>
  </si>
  <si>
    <t>Central Kids Kindergartens - Rewi Street</t>
  </si>
  <si>
    <t>rewist@centralkids.org.nz</t>
  </si>
  <si>
    <t>60 Rewi Street</t>
  </si>
  <si>
    <t>Goodfellow Park</t>
  </si>
  <si>
    <t>Central Kids Kindergartens - Rotorua East</t>
  </si>
  <si>
    <t>07-3459689</t>
  </si>
  <si>
    <t>rotoruaeast@centralkids.org.nz</t>
  </si>
  <si>
    <t>7 Alastair Avenue</t>
  </si>
  <si>
    <t>Te Ngae</t>
  </si>
  <si>
    <t>Central Kids Kindergartens - Selwyn</t>
  </si>
  <si>
    <t>07-3485129</t>
  </si>
  <si>
    <t>selwyn@centralkids.org.nz</t>
  </si>
  <si>
    <t>5 Rowi Street</t>
  </si>
  <si>
    <t>Selwyn Heights</t>
  </si>
  <si>
    <t>Central Kids Kindergartens -  Te Ara Mātauranga</t>
  </si>
  <si>
    <t>tearamatauranga@centralkids.org.nz</t>
  </si>
  <si>
    <t>11 Manson Street</t>
  </si>
  <si>
    <t>Taumarunui North</t>
  </si>
  <si>
    <t>Central Kids Kindergartens - Tūrangi</t>
  </si>
  <si>
    <t>07-3868748</t>
  </si>
  <si>
    <t>turangi@centralkids.org.nz</t>
  </si>
  <si>
    <t>33 Hinerangi Street</t>
  </si>
  <si>
    <t>Turangi</t>
  </si>
  <si>
    <t>Tūrangi</t>
  </si>
  <si>
    <t>Turangi-Tongariro General Ward</t>
  </si>
  <si>
    <t>Central Kids Kindergartens - Waipāhīhī</t>
  </si>
  <si>
    <t>07-3787993</t>
  </si>
  <si>
    <t>waipahihi@centralkids.org.nz</t>
  </si>
  <si>
    <t>21 Frederick Street</t>
  </si>
  <si>
    <t>Richmond Heights</t>
  </si>
  <si>
    <t>Central Kids Kindergartens - Fairview Park</t>
  </si>
  <si>
    <t>07-348 5875</t>
  </si>
  <si>
    <t>fairviewpark@centralkids.org.nz</t>
  </si>
  <si>
    <t>46 Fairview Road</t>
  </si>
  <si>
    <t>Western Heights</t>
  </si>
  <si>
    <t>Western Heights (Rotorua District)</t>
  </si>
  <si>
    <t>Arataki Free Kindergarten</t>
  </si>
  <si>
    <t>07-5755340</t>
  </si>
  <si>
    <t>arataki@ikindergartens.nz</t>
  </si>
  <si>
    <t>31 Hawea Street</t>
  </si>
  <si>
    <t>Mount Maunganui</t>
  </si>
  <si>
    <t>Tauranga City</t>
  </si>
  <si>
    <t>Bay of Plenty</t>
  </si>
  <si>
    <t>Te Maunga North</t>
  </si>
  <si>
    <t>Arataki General Ward</t>
  </si>
  <si>
    <t>Kāhui Ako ki Mauao</t>
  </si>
  <si>
    <t>Brookfield Free Kindergarten</t>
  </si>
  <si>
    <t>07-5766311</t>
  </si>
  <si>
    <t>brookfield@ikindergartens.nz</t>
  </si>
  <si>
    <t>77 Otumoetai Road</t>
  </si>
  <si>
    <t>Otumoetai</t>
  </si>
  <si>
    <t>Brookfield East</t>
  </si>
  <si>
    <t>Bethlehem General Ward</t>
  </si>
  <si>
    <t>Ōtūmoetai Community of Learning</t>
  </si>
  <si>
    <t>Greerton Village Kindergarten</t>
  </si>
  <si>
    <t>07-5411632</t>
  </si>
  <si>
    <t>greerton@ikindergartens.nz</t>
  </si>
  <si>
    <t>171 Greerton Road</t>
  </si>
  <si>
    <t>Greerton</t>
  </si>
  <si>
    <t>Greerton South</t>
  </si>
  <si>
    <t>Tauriko General Ward</t>
  </si>
  <si>
    <t>Tauranga Peninsula Kāhui Ako</t>
  </si>
  <si>
    <t>Gwen Rogers Free Kindergarten</t>
  </si>
  <si>
    <t>07-5754915</t>
  </si>
  <si>
    <t>gwenrogers@ikindergartens.nz</t>
  </si>
  <si>
    <t>1 Macville Lane</t>
  </si>
  <si>
    <t>Omanu Beach</t>
  </si>
  <si>
    <t>Mauao/Mount Maunganui General Ward</t>
  </si>
  <si>
    <t>Maungatapu Free Kindergarten</t>
  </si>
  <si>
    <t>07-5440288</t>
  </si>
  <si>
    <t>maungatapu@ikindergartens.nz</t>
  </si>
  <si>
    <t>187 Te Hono Street</t>
  </si>
  <si>
    <t>Maungatapu-Tauranga</t>
  </si>
  <si>
    <t>Maungatapu</t>
  </si>
  <si>
    <t>Welcome Bay General Ward</t>
  </si>
  <si>
    <t>Otumoetai Free Kindergarten</t>
  </si>
  <si>
    <t>07-5766256</t>
  </si>
  <si>
    <t>otumoetai@ikindergartens.nz</t>
  </si>
  <si>
    <t>24 Karaka Road</t>
  </si>
  <si>
    <t>Otūmoetai East</t>
  </si>
  <si>
    <t>Matua-Otūmoetai General Ward</t>
  </si>
  <si>
    <t>Te Puke Free Kindergarten</t>
  </si>
  <si>
    <t>07-5737266</t>
  </si>
  <si>
    <t>tepuke@ikindergartens.nz</t>
  </si>
  <si>
    <t>5 Glen Terrace</t>
  </si>
  <si>
    <t>Te Puke</t>
  </si>
  <si>
    <t>Western Bay of Plenty District</t>
  </si>
  <si>
    <t>Te Puke East</t>
  </si>
  <si>
    <t>Maketu-Te Puke Ward</t>
  </si>
  <si>
    <t>Te Puke Community of Learning</t>
  </si>
  <si>
    <t>Paengaroa Free Kindergarten</t>
  </si>
  <si>
    <t>07-5331538</t>
  </si>
  <si>
    <t>paengaroa@ikindergartens.nz</t>
  </si>
  <si>
    <t>33 Old Coach Road, RD 9</t>
  </si>
  <si>
    <t>Pongakawa</t>
  </si>
  <si>
    <t>Bell Block Pohutakawa Kindergarten</t>
  </si>
  <si>
    <t>06-7550130</t>
  </si>
  <si>
    <t>bellblock@kindergartentaranaki.co.nz</t>
  </si>
  <si>
    <t>39 Murray Street</t>
  </si>
  <si>
    <t>Bell Block</t>
  </si>
  <si>
    <t>New Plymouth</t>
  </si>
  <si>
    <t>New Plymouth District</t>
  </si>
  <si>
    <t>Taranaki Region</t>
  </si>
  <si>
    <t>Taranaki, Whanganui, Manawatū</t>
  </si>
  <si>
    <t>Bell Block West</t>
  </si>
  <si>
    <t>Kaitake-Ngāmotu General Ward</t>
  </si>
  <si>
    <t>Dawn Osman</t>
  </si>
  <si>
    <t>P O Box 655</t>
  </si>
  <si>
    <t>New Plymouth 4340</t>
  </si>
  <si>
    <t>027-6399828</t>
  </si>
  <si>
    <t>Brooklands Kindergarten</t>
  </si>
  <si>
    <t>06-7586427</t>
  </si>
  <si>
    <t>brooklands@kindergartentaranaki.co.nz</t>
  </si>
  <si>
    <t>22 Upjohn Street</t>
  </si>
  <si>
    <t>Upper Vogeltown</t>
  </si>
  <si>
    <t>Devon Kindergarten</t>
  </si>
  <si>
    <t>06-7575694</t>
  </si>
  <si>
    <t>devon@kindergartentaranaki.co.nz</t>
  </si>
  <si>
    <t>411 St Aubyn Street</t>
  </si>
  <si>
    <t>Moturoa</t>
  </si>
  <si>
    <t>Fitzroy Kindergarten</t>
  </si>
  <si>
    <t>06-7589264</t>
  </si>
  <si>
    <t>fitzroy@kindergartentaranaki.co.nz</t>
  </si>
  <si>
    <t>24A Sackville Street</t>
  </si>
  <si>
    <t>Fitzroy</t>
  </si>
  <si>
    <t>Fitzroy (New Plymouth District)</t>
  </si>
  <si>
    <t>Kahikatea Kindergarten Hurdon</t>
  </si>
  <si>
    <t>06-7534989</t>
  </si>
  <si>
    <t>kahikatea@kindergartentaranaki.co.nz</t>
  </si>
  <si>
    <t>357 Tukapa Street, RD 1</t>
  </si>
  <si>
    <t>Ferndale</t>
  </si>
  <si>
    <t>Inglewood Kindergarten</t>
  </si>
  <si>
    <t>06-7567649</t>
  </si>
  <si>
    <t>inglewood@kindergartentaranaki.co.nz</t>
  </si>
  <si>
    <t>Ngaio Street</t>
  </si>
  <si>
    <t>Inglewood</t>
  </si>
  <si>
    <t>Kōhanga Moa General Ward</t>
  </si>
  <si>
    <t>Kāhui Ako o te Kōhanga Moa - Inglewood Community of Learning</t>
  </si>
  <si>
    <t>Marfell Kindergarten</t>
  </si>
  <si>
    <t>06-7510926</t>
  </si>
  <si>
    <t>marfell@kindergartentaranaki.co.nz</t>
  </si>
  <si>
    <t>2A Cook Street</t>
  </si>
  <si>
    <t>Marfell</t>
  </si>
  <si>
    <t>Merrilands Kindergarten</t>
  </si>
  <si>
    <t>06-7582531</t>
  </si>
  <si>
    <t>merrilands@kindergartentaranaki.co.nz</t>
  </si>
  <si>
    <t>49A Lismore Street</t>
  </si>
  <si>
    <t>Merrilands</t>
  </si>
  <si>
    <t>Pukekura Kindergarten</t>
  </si>
  <si>
    <t>06-7583648</t>
  </si>
  <si>
    <t>pukekura@kindergartentaranaki.co.nz</t>
  </si>
  <si>
    <t>34 Fillis Street</t>
  </si>
  <si>
    <t>Welbourn</t>
  </si>
  <si>
    <t>Puketapu Kindergarten</t>
  </si>
  <si>
    <t>06-7551366</t>
  </si>
  <si>
    <t>puketapu@kindergartentaranaki.co.nz</t>
  </si>
  <si>
    <t>Dillon Drive</t>
  </si>
  <si>
    <t>Bell Block Central</t>
  </si>
  <si>
    <t>Ngamotu Kindergarten</t>
  </si>
  <si>
    <t>06-7510298</t>
  </si>
  <si>
    <t>ngamotu@kindergartentaranaki.co.nz</t>
  </si>
  <si>
    <t>39A Marama Crescent</t>
  </si>
  <si>
    <t>Spotswood</t>
  </si>
  <si>
    <t>Waitara Central Kindergarten</t>
  </si>
  <si>
    <t>06-754 7190</t>
  </si>
  <si>
    <t>waitaracentral@kindergartentaranaki.co.nz</t>
  </si>
  <si>
    <t>18 Browne Street</t>
  </si>
  <si>
    <t>Waitara</t>
  </si>
  <si>
    <t>Waitara West</t>
  </si>
  <si>
    <t>North General Ward</t>
  </si>
  <si>
    <t>Orapa Kindergarten</t>
  </si>
  <si>
    <t>06-7547829</t>
  </si>
  <si>
    <t>orapa@kindergartentaranaki.co.nz</t>
  </si>
  <si>
    <t>10 Wood Street</t>
  </si>
  <si>
    <t>Westown Kindergarten</t>
  </si>
  <si>
    <t>06-7533151</t>
  </si>
  <si>
    <t>westown@kindergartentaranaki.co.nz</t>
  </si>
  <si>
    <t>116 Clawton Street</t>
  </si>
  <si>
    <t>Westown</t>
  </si>
  <si>
    <t>Avon Kindergarten</t>
  </si>
  <si>
    <t>06-765 7360</t>
  </si>
  <si>
    <t>avon@kindergartentaranaki.co.nz</t>
  </si>
  <si>
    <t>Avon Street</t>
  </si>
  <si>
    <t>Stratford</t>
  </si>
  <si>
    <t>Stratford District</t>
  </si>
  <si>
    <t>Whanganui</t>
  </si>
  <si>
    <t>Stratford South</t>
  </si>
  <si>
    <t>Stratford Urban General Ward</t>
  </si>
  <si>
    <t>Te Kāhui Ako o Taranaki Mohoao</t>
  </si>
  <si>
    <t>Eltham Kindergarten</t>
  </si>
  <si>
    <t>06-7648463</t>
  </si>
  <si>
    <t>eltham@kindergartentaranaki.co.nz</t>
  </si>
  <si>
    <t>14 York Street</t>
  </si>
  <si>
    <t>Eltham</t>
  </si>
  <si>
    <t>South Taranaki District</t>
  </si>
  <si>
    <t>Eltham-Kaponga General Ward</t>
  </si>
  <si>
    <t>Hawera Kindergarten</t>
  </si>
  <si>
    <t>06-2787310</t>
  </si>
  <si>
    <t>hawera@kindergartentaranaki.co.nz</t>
  </si>
  <si>
    <t>Kauri Crescent</t>
  </si>
  <si>
    <t>Hāwera</t>
  </si>
  <si>
    <t>Ramanui</t>
  </si>
  <si>
    <t>Te Hāwera General Ward</t>
  </si>
  <si>
    <t>South Taranaki - Hāwera Community of Learning</t>
  </si>
  <si>
    <t>Koromiko Kindergarten</t>
  </si>
  <si>
    <t>06-2783028</t>
  </si>
  <si>
    <t>koromiko@kindergartentaranaki.co.nz</t>
  </si>
  <si>
    <t>Koromiko Avenue</t>
  </si>
  <si>
    <t>Turuturu</t>
  </si>
  <si>
    <t>Patea Kindergarten</t>
  </si>
  <si>
    <t>06-2738373</t>
  </si>
  <si>
    <t>patea@kindergartentaranaki.co.nz</t>
  </si>
  <si>
    <t>4 Derby Street</t>
  </si>
  <si>
    <t>Patea</t>
  </si>
  <si>
    <t>Pātea</t>
  </si>
  <si>
    <t>Pātea General Ward</t>
  </si>
  <si>
    <t>Stratford Central Kindergarten</t>
  </si>
  <si>
    <t>06-7657847</t>
  </si>
  <si>
    <t>central@kindergartentaranaki.co.nz</t>
  </si>
  <si>
    <t>50 Cordelia Street</t>
  </si>
  <si>
    <t>Stratford Central</t>
  </si>
  <si>
    <t>Tawhiti Kindergarten</t>
  </si>
  <si>
    <t>06-2786085</t>
  </si>
  <si>
    <t>tawhiti@kindergartentaranaki.co.nz</t>
  </si>
  <si>
    <t>Douglas Street Hawera</t>
  </si>
  <si>
    <t>Aramoho Kindergarten</t>
  </si>
  <si>
    <t>06-343 9798</t>
  </si>
  <si>
    <t>aramoho@wmkindergartens.org.nz</t>
  </si>
  <si>
    <t>15 Field Street</t>
  </si>
  <si>
    <t>Aramoho</t>
  </si>
  <si>
    <t>Whanganui District</t>
  </si>
  <si>
    <t>Lower Aramoho</t>
  </si>
  <si>
    <t>Amanda Coulston</t>
  </si>
  <si>
    <t>P O Box 50743</t>
  </si>
  <si>
    <t>Porirua 5240</t>
  </si>
  <si>
    <t>029-2626322</t>
  </si>
  <si>
    <t>Takitini Tahi Kāhui Ako</t>
  </si>
  <si>
    <t>Barsanti Kindergarten</t>
  </si>
  <si>
    <t>06-344 5113</t>
  </si>
  <si>
    <t>barsanti@wmkindergartens.org.nz</t>
  </si>
  <si>
    <t>19 Rogers Street</t>
  </si>
  <si>
    <t>Castlecliff</t>
  </si>
  <si>
    <t>Titoki</t>
  </si>
  <si>
    <t>Takitini Rua Kāhui Ako</t>
  </si>
  <si>
    <t>Central Kindergarten</t>
  </si>
  <si>
    <t>06-347 6448</t>
  </si>
  <si>
    <t>central@wmkindergartens.org.nz</t>
  </si>
  <si>
    <t>32 Keith Street</t>
  </si>
  <si>
    <t>Laird Park</t>
  </si>
  <si>
    <t>Takitini Toru Kāhui Ako</t>
  </si>
  <si>
    <t>Gonville Kindergarten</t>
  </si>
  <si>
    <t>06-344 4884</t>
  </si>
  <si>
    <t>gonville@wmkindergartens.org.nz</t>
  </si>
  <si>
    <t>86 Alma Road</t>
  </si>
  <si>
    <t>Gonville</t>
  </si>
  <si>
    <t>Gonville North</t>
  </si>
  <si>
    <t>Harriette Vine Kindergarten</t>
  </si>
  <si>
    <t>06-345 0483</t>
  </si>
  <si>
    <t>harrietvine@wmkindergartens.org.nz</t>
  </si>
  <si>
    <t>5 Watkin Street</t>
  </si>
  <si>
    <t>Marie McFarland Kindergarten</t>
  </si>
  <si>
    <t>06-344 4087</t>
  </si>
  <si>
    <t>mariemcfarland@wmkindergartens.org.nz</t>
  </si>
  <si>
    <t>40B Cornfoot Street</t>
  </si>
  <si>
    <t>Castlecliff East</t>
  </si>
  <si>
    <t>Ohakune Kindergarten</t>
  </si>
  <si>
    <t>06-385 8383</t>
  </si>
  <si>
    <t>ohakune@wmkindergartens.org.nz</t>
  </si>
  <si>
    <t>58 Arawa Street</t>
  </si>
  <si>
    <t>Ohakune</t>
  </si>
  <si>
    <t>Ōhakune</t>
  </si>
  <si>
    <t>Durie Hill Kindergarten</t>
  </si>
  <si>
    <t>06-345 7183</t>
  </si>
  <si>
    <t>durie@wmkindergartens.org.nz</t>
  </si>
  <si>
    <t>25 Maxwell Avenue</t>
  </si>
  <si>
    <t>Durie Hill</t>
  </si>
  <si>
    <t>Bastia-Durie Hill</t>
  </si>
  <si>
    <t>Putiki Kindergarten</t>
  </si>
  <si>
    <t>06-345 3074</t>
  </si>
  <si>
    <t>putiki@wmkindergartens.org.nz</t>
  </si>
  <si>
    <t>21 Te Anaua Street</t>
  </si>
  <si>
    <t>Putiki</t>
  </si>
  <si>
    <t>St John's Hill Kindergarten</t>
  </si>
  <si>
    <t>06-345 3876</t>
  </si>
  <si>
    <t>stjohnshill@wmkindergartens.org.nz</t>
  </si>
  <si>
    <t>19 Parsons Street</t>
  </si>
  <si>
    <t>Saint Johns Hill</t>
  </si>
  <si>
    <t>College Estate</t>
  </si>
  <si>
    <t>Wanganui East Kindergarten</t>
  </si>
  <si>
    <t>06-343 9332</t>
  </si>
  <si>
    <t>wanganuieast@wmkindergartens.org.nz</t>
  </si>
  <si>
    <t>58 Nile Street</t>
  </si>
  <si>
    <t>Whanganui East</t>
  </si>
  <si>
    <t>Whanganui East-Riverlands</t>
  </si>
  <si>
    <t>Ashhurst Kindergarten</t>
  </si>
  <si>
    <t>06-3268329</t>
  </si>
  <si>
    <t>ashhurst@ruahinekindergartens.org.nz</t>
  </si>
  <si>
    <t>48 Worcester Street</t>
  </si>
  <si>
    <t>Ashhurst</t>
  </si>
  <si>
    <t>Palmerston North City</t>
  </si>
  <si>
    <t>Te Hirawanui General Ward</t>
  </si>
  <si>
    <t>Alison Rudzki</t>
  </si>
  <si>
    <t>26 Taonui Street</t>
  </si>
  <si>
    <t>Palmerston North 4410</t>
  </si>
  <si>
    <t>06-357 8264</t>
  </si>
  <si>
    <t>Palmerston North East Community of Learning</t>
  </si>
  <si>
    <t>Bulls Kindergarten</t>
  </si>
  <si>
    <t>06-3221466</t>
  </si>
  <si>
    <t>Wilson Street</t>
  </si>
  <si>
    <t>Bulls</t>
  </si>
  <si>
    <t>Rangitikei District</t>
  </si>
  <si>
    <t>Southern General Ward</t>
  </si>
  <si>
    <t>South Rangitikei Kāhui Ako</t>
  </si>
  <si>
    <t>Campbell Street Early Learning</t>
  </si>
  <si>
    <t>06-3564078</t>
  </si>
  <si>
    <t>campbellstreet@rka.org.nz</t>
  </si>
  <si>
    <t>63 Campbell Street</t>
  </si>
  <si>
    <t>Palmerston North</t>
  </si>
  <si>
    <t>Palmerston North Central</t>
  </si>
  <si>
    <t>Te Oro Karaka Tahi Kāhui Ako</t>
  </si>
  <si>
    <t>Cloverlea Kindergarten</t>
  </si>
  <si>
    <t>06-3548671</t>
  </si>
  <si>
    <t>cloverlea@ruahinekindergartens.org.nz</t>
  </si>
  <si>
    <t>59 Herbert Avenue</t>
  </si>
  <si>
    <t>Cloverlea</t>
  </si>
  <si>
    <t>Cloverlea (Palmerston North City)</t>
  </si>
  <si>
    <t>Feilding Kindergarten</t>
  </si>
  <si>
    <t>06-3237483</t>
  </si>
  <si>
    <t>feilding@ruahinekindergartens.org.nz</t>
  </si>
  <si>
    <t>10 Montgomery Street</t>
  </si>
  <si>
    <t>Feilding</t>
  </si>
  <si>
    <t>Manawatu District</t>
  </si>
  <si>
    <t>Kimbolton South</t>
  </si>
  <si>
    <t>Feilding General Ward</t>
  </si>
  <si>
    <t>Te Kāhui Ako o Kawakawa</t>
  </si>
  <si>
    <t>Somerset Kindergarten</t>
  </si>
  <si>
    <t>06-3543585</t>
  </si>
  <si>
    <t>somerset@ruahinekindergartens.org.nz</t>
  </si>
  <si>
    <t>46 Somerset Crescent</t>
  </si>
  <si>
    <t>Highbury</t>
  </si>
  <si>
    <t>Westbrook</t>
  </si>
  <si>
    <t>Te Oro Karaka Rua Kāhui Ako</t>
  </si>
  <si>
    <t>Hokowhitu Kindergarten</t>
  </si>
  <si>
    <t>06-3578816</t>
  </si>
  <si>
    <t>hokowhitu@ruahinekindergartens.org.nz</t>
  </si>
  <si>
    <t>25 Franklin Avenue</t>
  </si>
  <si>
    <t>Hokowhitu</t>
  </si>
  <si>
    <t>Hokowhitu East</t>
  </si>
  <si>
    <t>Waiouru Kindergarten and Care</t>
  </si>
  <si>
    <t>06-387 6577</t>
  </si>
  <si>
    <t>waiouru@wmkindergartens.org.nz</t>
  </si>
  <si>
    <t>25 Kenningston Street</t>
  </si>
  <si>
    <t>Waiouru</t>
  </si>
  <si>
    <t>Waiōuru</t>
  </si>
  <si>
    <t>Ruapehu Community of Learning</t>
  </si>
  <si>
    <t>Linton Kindergarten</t>
  </si>
  <si>
    <t>06-3258761</t>
  </si>
  <si>
    <t>linton@ruahinekindergartens.org.nz</t>
  </si>
  <si>
    <t>Puttick Road</t>
  </si>
  <si>
    <t>Linton Camp</t>
  </si>
  <si>
    <t>Milson Kindergarten</t>
  </si>
  <si>
    <t>06-3547992</t>
  </si>
  <si>
    <t>milson@ruahinekindergartens.org.nz</t>
  </si>
  <si>
    <t>69 Abraham Crescent</t>
  </si>
  <si>
    <t>Milson</t>
  </si>
  <si>
    <t>Milson North</t>
  </si>
  <si>
    <t>Manchester Kindergarten</t>
  </si>
  <si>
    <t>06-3234106</t>
  </si>
  <si>
    <t>manchester@ruahinekindergartens.org.nz</t>
  </si>
  <si>
    <t>111 Warwick Street</t>
  </si>
  <si>
    <t>Warwick</t>
  </si>
  <si>
    <t>Mill Street Early Learning</t>
  </si>
  <si>
    <t>06-3278418</t>
  </si>
  <si>
    <t>48 Mill Street</t>
  </si>
  <si>
    <t>Marton</t>
  </si>
  <si>
    <t>Marton South</t>
  </si>
  <si>
    <t>Central General Ward</t>
  </si>
  <si>
    <t>Parkland Kindergarten</t>
  </si>
  <si>
    <t>06-3568960</t>
  </si>
  <si>
    <t>parkland@ruahinekindergartens.org.nz</t>
  </si>
  <si>
    <t>41 Parkland Crescent</t>
  </si>
  <si>
    <t>Terrace End</t>
  </si>
  <si>
    <t>Ruamahanga</t>
  </si>
  <si>
    <t>Riverdale Kindergarten (PN)</t>
  </si>
  <si>
    <t>06-3530975</t>
  </si>
  <si>
    <t>riverdale@ruahinekindergartens.org.nz</t>
  </si>
  <si>
    <t>11 Dittmer Drive</t>
  </si>
  <si>
    <t>Awapuni South</t>
  </si>
  <si>
    <t>Roslyn Kindergarten</t>
  </si>
  <si>
    <t>06-3579910</t>
  </si>
  <si>
    <t>roslyn@ruahinekindergartens.org.nz</t>
  </si>
  <si>
    <t>9 Andrew Avenue</t>
  </si>
  <si>
    <t>Roslyn</t>
  </si>
  <si>
    <t>Takaro Kindergarten</t>
  </si>
  <si>
    <t>06-3584434</t>
  </si>
  <si>
    <t>7 Radnor Place</t>
  </si>
  <si>
    <t>Takaro</t>
  </si>
  <si>
    <t>Highbury East</t>
  </si>
  <si>
    <t>West End Kindergarten</t>
  </si>
  <si>
    <t>06-3582405</t>
  </si>
  <si>
    <t>westend@ruahinekindergartens.org.nz</t>
  </si>
  <si>
    <t>5 Salford Place</t>
  </si>
  <si>
    <t>Awapuni</t>
  </si>
  <si>
    <t>Awapuni North</t>
  </si>
  <si>
    <t>Foxton District Kindergarten</t>
  </si>
  <si>
    <t>06-3637070</t>
  </si>
  <si>
    <t>foxton@ruahinekindergartens.org.nz</t>
  </si>
  <si>
    <t>54 Coley Street</t>
  </si>
  <si>
    <t>Foxton</t>
  </si>
  <si>
    <t>Horowhenua District</t>
  </si>
  <si>
    <t>Ōtaki</t>
  </si>
  <si>
    <t>Foxton South</t>
  </si>
  <si>
    <t>Kere Kere General Ward</t>
  </si>
  <si>
    <t>Taihape Kindergarten</t>
  </si>
  <si>
    <t>06-388 0368</t>
  </si>
  <si>
    <t>taihape@wmkindergartens.org.nz</t>
  </si>
  <si>
    <t>Toroa Street</t>
  </si>
  <si>
    <t>Taihape</t>
  </si>
  <si>
    <t>Northern General Ward</t>
  </si>
  <si>
    <t>Knox Street Kindergarten</t>
  </si>
  <si>
    <t>06-8676999</t>
  </si>
  <si>
    <t>knoxstreetkindergarten@xtra.co.nz</t>
  </si>
  <si>
    <t>Knox Street</t>
  </si>
  <si>
    <t>Elgin-Gisborne</t>
  </si>
  <si>
    <t>Gisborne</t>
  </si>
  <si>
    <t>Gisborne District</t>
  </si>
  <si>
    <t>Gisborne Region</t>
  </si>
  <si>
    <t>Hawke's Bay, Tairāwhiti</t>
  </si>
  <si>
    <t>Ikaroa-Rāwhiti</t>
  </si>
  <si>
    <t>Elgin</t>
  </si>
  <si>
    <t>Tairāwhiti General Ward</t>
  </si>
  <si>
    <t>David Spraggs</t>
  </si>
  <si>
    <t>P O Box 1038</t>
  </si>
  <si>
    <t>Gisborne 4040</t>
  </si>
  <si>
    <t>06-8683426</t>
  </si>
  <si>
    <t>Taha Tinana (Gisborne) Kāhui Ako</t>
  </si>
  <si>
    <t>Mangapapa Kindergarten</t>
  </si>
  <si>
    <t>06-8670798</t>
  </si>
  <si>
    <t>mangakindy@xtra.co.nz</t>
  </si>
  <si>
    <t>2 Rua Street</t>
  </si>
  <si>
    <t>Mangapapa</t>
  </si>
  <si>
    <t>Mangapapa East</t>
  </si>
  <si>
    <t>Taha Whānau (Gisborne) Kāhui Ako</t>
  </si>
  <si>
    <t>Rakakao Kindergarten</t>
  </si>
  <si>
    <t>06-8677684</t>
  </si>
  <si>
    <t>pickeringkdg@xtra.co.nz</t>
  </si>
  <si>
    <t>Pickering Street</t>
  </si>
  <si>
    <t>Kaiti</t>
  </si>
  <si>
    <t>Outer Kaiti</t>
  </si>
  <si>
    <t>Porou Ariki Kāhui Ako</t>
  </si>
  <si>
    <t>Rutene Road Kindergarten</t>
  </si>
  <si>
    <t>06-8676538</t>
  </si>
  <si>
    <t>ruteneroad.kgtn@xtra.co.nz</t>
  </si>
  <si>
    <t>Rutene Road</t>
  </si>
  <si>
    <t>Kaiti North</t>
  </si>
  <si>
    <t>Wairoa Kindergarten</t>
  </si>
  <si>
    <t>06-8387026</t>
  </si>
  <si>
    <t>wairoakgtn@napierkindergartens.co.nz</t>
  </si>
  <si>
    <t>18 Brian Avenue</t>
  </si>
  <si>
    <t>Wairoa</t>
  </si>
  <si>
    <t>Wairoa District</t>
  </si>
  <si>
    <t>Hawke's Bay Region</t>
  </si>
  <si>
    <t>Napier</t>
  </si>
  <si>
    <t>Jade  Holland</t>
  </si>
  <si>
    <t>PO Box 4298</t>
  </si>
  <si>
    <t>Marewa</t>
  </si>
  <si>
    <t>Napier 4143</t>
  </si>
  <si>
    <t>06-8357890</t>
  </si>
  <si>
    <t>Mata Nui o Kahungunu</t>
  </si>
  <si>
    <t>Bette Christie Kindergarten</t>
  </si>
  <si>
    <t>06-8435736</t>
  </si>
  <si>
    <t>bettechristiekgtn@napierkindergartens.co.nz</t>
  </si>
  <si>
    <t>10 Hurst Avenue</t>
  </si>
  <si>
    <t>Maraenui</t>
  </si>
  <si>
    <t>Napier City</t>
  </si>
  <si>
    <t>Nelson Park Ward</t>
  </si>
  <si>
    <t>Matariki Community of Learning</t>
  </si>
  <si>
    <t>Greenmeadows Kindergarten</t>
  </si>
  <si>
    <t>06-8449182</t>
  </si>
  <si>
    <t>greenmeadowskgtn@napierkindergartens.co.nz</t>
  </si>
  <si>
    <t>Osier Road</t>
  </si>
  <si>
    <t>Greenmeadows</t>
  </si>
  <si>
    <t>Greenmeadows Central</t>
  </si>
  <si>
    <t>Taradale Ward</t>
  </si>
  <si>
    <t>Ōtātara Taradale Community of Learning</t>
  </si>
  <si>
    <t>Marewa Kindergarten</t>
  </si>
  <si>
    <t>06-8439434</t>
  </si>
  <si>
    <t>marewakgtn@napierkindergartens.co.nz</t>
  </si>
  <si>
    <t>Bedford Road</t>
  </si>
  <si>
    <t>Marewa East</t>
  </si>
  <si>
    <t>Mataruahou Napier City Kāhui Ako</t>
  </si>
  <si>
    <t>Mary Richmond Kindergarten</t>
  </si>
  <si>
    <t>06-8438514</t>
  </si>
  <si>
    <t>maryrichmondkgtn@napierkindergartens.co.nz</t>
  </si>
  <si>
    <t>Lister Crescent</t>
  </si>
  <si>
    <t>Wycliffe Nga Tamariki Kindergarten</t>
  </si>
  <si>
    <t>06-8432932</t>
  </si>
  <si>
    <t>wntkgtn@napierkindergartens.co.nz</t>
  </si>
  <si>
    <t>Cranby Crescent</t>
  </si>
  <si>
    <t>Onekawa</t>
  </si>
  <si>
    <t>Onekawa East</t>
  </si>
  <si>
    <t>Onekawa Kindergarten</t>
  </si>
  <si>
    <t>06-8435577</t>
  </si>
  <si>
    <t>onekawakgtn@napierkindergartens.co.nz</t>
  </si>
  <si>
    <t>Maadi Road</t>
  </si>
  <si>
    <t>Onekawa Central</t>
  </si>
  <si>
    <t>Onekawa-Tamatea Ward</t>
  </si>
  <si>
    <t>Ahuriri Community of Learning</t>
  </si>
  <si>
    <t>Pirimai Kindergarten</t>
  </si>
  <si>
    <t>06-8435051</t>
  </si>
  <si>
    <t>pirimaikgtn@napierkindergartens.co.nz</t>
  </si>
  <si>
    <t>Allen Berry Avenue</t>
  </si>
  <si>
    <t>Pirimai</t>
  </si>
  <si>
    <t>Pirimai East</t>
  </si>
  <si>
    <t>Taradale East Kindergarten</t>
  </si>
  <si>
    <t>06-8448525</t>
  </si>
  <si>
    <t>tekgtn@napierkindergartens.co.nz</t>
  </si>
  <si>
    <t>11 Cooke Place</t>
  </si>
  <si>
    <t>Taradale</t>
  </si>
  <si>
    <t>Tareha Reserve</t>
  </si>
  <si>
    <t>Tamatea Kindergarten</t>
  </si>
  <si>
    <t>06-8434655</t>
  </si>
  <si>
    <t>tamateakgtn@napierkindergartens.co.nz</t>
  </si>
  <si>
    <t>Norfolk Street</t>
  </si>
  <si>
    <t>Tamatea</t>
  </si>
  <si>
    <t>Tamatea West</t>
  </si>
  <si>
    <t>Taradale Kindergarten</t>
  </si>
  <si>
    <t>06-8447701</t>
  </si>
  <si>
    <t>taradalekgtn@napierkindergartens.co.nz</t>
  </si>
  <si>
    <t>Puketapu Road</t>
  </si>
  <si>
    <t>Taradale Central</t>
  </si>
  <si>
    <t>Wharerangi Kindergarten</t>
  </si>
  <si>
    <t>06-8444113</t>
  </si>
  <si>
    <t>wharerangikgtn@napierkindergartens.co.nz</t>
  </si>
  <si>
    <t>13 Essex Street</t>
  </si>
  <si>
    <t>Camberley Kindergarten</t>
  </si>
  <si>
    <t>06-8769897</t>
  </si>
  <si>
    <t>camberley@hfka.co.nz</t>
  </si>
  <si>
    <t>408 Lowe Street</t>
  </si>
  <si>
    <t>Camberley</t>
  </si>
  <si>
    <t>Hastings</t>
  </si>
  <si>
    <t>Hastings District</t>
  </si>
  <si>
    <t>Tukituki</t>
  </si>
  <si>
    <t>Hastings-Havelock North General Ward</t>
  </si>
  <si>
    <t>Scott Jenyns</t>
  </si>
  <si>
    <t>P O Box 14064</t>
  </si>
  <si>
    <t>Mayfair</t>
  </si>
  <si>
    <t>Hastings 4120</t>
  </si>
  <si>
    <t>027-5243038</t>
  </si>
  <si>
    <t>Ngā Hau e Whā Kāhui Ako</t>
  </si>
  <si>
    <t>Harold Mayo Kindergarten</t>
  </si>
  <si>
    <t>06-8787274</t>
  </si>
  <si>
    <t>404 Hastings Street South</t>
  </si>
  <si>
    <t>Akina Park</t>
  </si>
  <si>
    <t>Hastings East Kāhui Ako</t>
  </si>
  <si>
    <t>Havelock North Central Kindergarten</t>
  </si>
  <si>
    <t>06-8777891</t>
  </si>
  <si>
    <t>havelockcentral@hfka.co.nz</t>
  </si>
  <si>
    <t>Napier Road</t>
  </si>
  <si>
    <t>Havelock North</t>
  </si>
  <si>
    <t>Karanema-St Hill</t>
  </si>
  <si>
    <t>Tukituki Kāhui Ako</t>
  </si>
  <si>
    <t>Ellen Stevenson Kindergarten</t>
  </si>
  <si>
    <t>06-8799356</t>
  </si>
  <si>
    <t>ellenstevenson@hfka.co.nz</t>
  </si>
  <si>
    <t>90 Chatham Road</t>
  </si>
  <si>
    <t>Flaxmere</t>
  </si>
  <si>
    <t>Lochain Park</t>
  </si>
  <si>
    <t>Flaxmere General Ward</t>
  </si>
  <si>
    <t>Te Rito o te Harakeke Kāhui Ako</t>
  </si>
  <si>
    <t>Peterhead Kindergarten</t>
  </si>
  <si>
    <t>06-8798521</t>
  </si>
  <si>
    <t>principal@tewhaihiringa.school.nz</t>
  </si>
  <si>
    <t>14 Bristol Crescent</t>
  </si>
  <si>
    <t>Flaxmere South</t>
  </si>
  <si>
    <t>Irongate Kindergarten</t>
  </si>
  <si>
    <t>06-8797903</t>
  </si>
  <si>
    <t>4 Walton Way</t>
  </si>
  <si>
    <t>Flaxmere Park</t>
  </si>
  <si>
    <t>Lucknow Kindergarten</t>
  </si>
  <si>
    <t>06-8778108</t>
  </si>
  <si>
    <t>102 Lipscombe Crescent</t>
  </si>
  <si>
    <t>Lucknow</t>
  </si>
  <si>
    <t>Mahora Kindergarten</t>
  </si>
  <si>
    <t>06-8782388</t>
  </si>
  <si>
    <t>mahora@hfka.co.nz</t>
  </si>
  <si>
    <t>818 Rangiora Street</t>
  </si>
  <si>
    <t>Mahora</t>
  </si>
  <si>
    <t>Mayfair Kindergarten</t>
  </si>
  <si>
    <t>06-8785445</t>
  </si>
  <si>
    <t>1210 Cunningham Crescent</t>
  </si>
  <si>
    <t>Parkvale Kindergarten</t>
  </si>
  <si>
    <t>06-8787995</t>
  </si>
  <si>
    <t>parkvale@hfka.co.nz</t>
  </si>
  <si>
    <t>108 A Park Road South</t>
  </si>
  <si>
    <t>Parkvale-Napier/Hastings</t>
  </si>
  <si>
    <t>Parkhaven</t>
  </si>
  <si>
    <t>Raureka Kindergarten</t>
  </si>
  <si>
    <t>06-8788216</t>
  </si>
  <si>
    <t>raureka@hfka.co.nz</t>
  </si>
  <si>
    <t>1006 Campbell Street</t>
  </si>
  <si>
    <t>Raureka</t>
  </si>
  <si>
    <t>Te Mata Kindergarten</t>
  </si>
  <si>
    <t>06-8778746</t>
  </si>
  <si>
    <t>temata@hfka.co.nz</t>
  </si>
  <si>
    <t>179 Te Mata Road</t>
  </si>
  <si>
    <t>Hunter Park Kindergarten</t>
  </si>
  <si>
    <t>06-8588205</t>
  </si>
  <si>
    <t>hunterpark@hfka.co.nz</t>
  </si>
  <si>
    <t>Nelson Street</t>
  </si>
  <si>
    <t>Waipukurau</t>
  </si>
  <si>
    <t>Central Hawke's Bay District</t>
  </si>
  <si>
    <t>Wairarapa</t>
  </si>
  <si>
    <t>Waipukurau West</t>
  </si>
  <si>
    <t>Ruataniwha Ward</t>
  </si>
  <si>
    <t>Ruahine Kāhui Ako</t>
  </si>
  <si>
    <t>Lakeview Kindergarten</t>
  </si>
  <si>
    <t>06-8589436</t>
  </si>
  <si>
    <t>Lakeview Road</t>
  </si>
  <si>
    <t>Waipawa Kindergarten</t>
  </si>
  <si>
    <t>06-8578320</t>
  </si>
  <si>
    <t>39 Kenilworth Street</t>
  </si>
  <si>
    <t>Waipawa</t>
  </si>
  <si>
    <t>Waipāwa</t>
  </si>
  <si>
    <t>Te Angi Angi Community of Learning</t>
  </si>
  <si>
    <t>Appleton Kindergarten</t>
  </si>
  <si>
    <t>06-3746056</t>
  </si>
  <si>
    <t>appleton.kindergarten@xtra.co.nz</t>
  </si>
  <si>
    <t>32 Gregg Street</t>
  </si>
  <si>
    <t>Dannevirke</t>
  </si>
  <si>
    <t>Te Tai Runga</t>
  </si>
  <si>
    <t>Tararua District</t>
  </si>
  <si>
    <t>Wellington</t>
  </si>
  <si>
    <t>Dannevirke West</t>
  </si>
  <si>
    <t>North Tararua General Ward</t>
  </si>
  <si>
    <t>Antoinette Perry</t>
  </si>
  <si>
    <t>P O Box 250</t>
  </si>
  <si>
    <t>Manawatu 4942</t>
  </si>
  <si>
    <t>06-3745880</t>
  </si>
  <si>
    <t>Dannevirke Community of Learning</t>
  </si>
  <si>
    <t>Dannevirke Central Kindergarten</t>
  </si>
  <si>
    <t>06-3746130</t>
  </si>
  <si>
    <t>manager@dvka.co.nz</t>
  </si>
  <si>
    <t>242A High Street</t>
  </si>
  <si>
    <t>Dannevirke East</t>
  </si>
  <si>
    <t>Holyoake Kindergarten</t>
  </si>
  <si>
    <t>06-3768978</t>
  </si>
  <si>
    <t>holyoake@ruahinekindergartens.org.nz</t>
  </si>
  <si>
    <t>Tui Street</t>
  </si>
  <si>
    <t>Pahiatua</t>
  </si>
  <si>
    <t>South Tararua General Ward</t>
  </si>
  <si>
    <t>Tararua Kāhui Ako</t>
  </si>
  <si>
    <t>Pahiatua Early Learning</t>
  </si>
  <si>
    <t>06-3768600</t>
  </si>
  <si>
    <t>pahiatua@ruahineearlylearning.org.nz</t>
  </si>
  <si>
    <t>28 Tyndall Street</t>
  </si>
  <si>
    <t>Lansdowne Kindergarten</t>
  </si>
  <si>
    <t>06-377 4201</t>
  </si>
  <si>
    <t>lansdowne@wmkindergartens.org.nz</t>
  </si>
  <si>
    <t>30C Totara Street</t>
  </si>
  <si>
    <t>Masterton</t>
  </si>
  <si>
    <t>Masterton District</t>
  </si>
  <si>
    <t>Wellington Region</t>
  </si>
  <si>
    <t>Lansdowne East</t>
  </si>
  <si>
    <t>Masterton/Whakaoriori General Ward</t>
  </si>
  <si>
    <t>Whakaoriori Kāhui Ako</t>
  </si>
  <si>
    <t>Masterton West Kindergarten</t>
  </si>
  <si>
    <t>06-378 7308</t>
  </si>
  <si>
    <t>west@wmkindergartens.org.nz</t>
  </si>
  <si>
    <t>159 Cole Street</t>
  </si>
  <si>
    <t>Douglas Park</t>
  </si>
  <si>
    <t>Meta Riddiford Kindergarten</t>
  </si>
  <si>
    <t>06-308 9162</t>
  </si>
  <si>
    <t>metariddiford@wmkindergartens.org.nz</t>
  </si>
  <si>
    <t>Daniell Street</t>
  </si>
  <si>
    <t>Featherston</t>
  </si>
  <si>
    <t>South Wairarapa District</t>
  </si>
  <si>
    <t>Featherston Ward</t>
  </si>
  <si>
    <t>South Wairarapa Community of Learning</t>
  </si>
  <si>
    <t>Manaia Kindergarten</t>
  </si>
  <si>
    <t>06-377 4429</t>
  </si>
  <si>
    <t>manaia@wmkindergartens.org.nz</t>
  </si>
  <si>
    <t>53 South Road</t>
  </si>
  <si>
    <t>Kuripuni</t>
  </si>
  <si>
    <t>Solway South</t>
  </si>
  <si>
    <t>Una Williams Kindergarten</t>
  </si>
  <si>
    <t>06-378 7531</t>
  </si>
  <si>
    <t>unawilliams@wmkindergartens.org.nz</t>
  </si>
  <si>
    <t>12 Macara Street</t>
  </si>
  <si>
    <t>Cameron and Soldiers Park</t>
  </si>
  <si>
    <t>York Street Kindergarten</t>
  </si>
  <si>
    <t>03-377 1483</t>
  </si>
  <si>
    <t>yorkstreet@wmkindergartens.org.nz</t>
  </si>
  <si>
    <t>2 York Street</t>
  </si>
  <si>
    <t>Solway</t>
  </si>
  <si>
    <t>Solway North</t>
  </si>
  <si>
    <t>Carterton Kindergarten</t>
  </si>
  <si>
    <t>06-379 8102</t>
  </si>
  <si>
    <t>carterton@wmkindergartens.org.nz</t>
  </si>
  <si>
    <t>3 Victoria Street</t>
  </si>
  <si>
    <t>Carterton</t>
  </si>
  <si>
    <t>Carterton District</t>
  </si>
  <si>
    <t>Carterton South</t>
  </si>
  <si>
    <t>Greytown Kindergarten</t>
  </si>
  <si>
    <t>06-304 9381</t>
  </si>
  <si>
    <t>greytown@wmkindergartens.org.nz</t>
  </si>
  <si>
    <t>16 Mc Master Street</t>
  </si>
  <si>
    <t>Greytown</t>
  </si>
  <si>
    <t>Greytown Ward</t>
  </si>
  <si>
    <t>Birchville Kindergarten</t>
  </si>
  <si>
    <t>04-526 7365</t>
  </si>
  <si>
    <t>birchville@wmkindergartens.org.nz</t>
  </si>
  <si>
    <t>Amber Grove</t>
  </si>
  <si>
    <t>Upper Hutt CBD</t>
  </si>
  <si>
    <t>Upper Hutt</t>
  </si>
  <si>
    <t>Upper Hutt City</t>
  </si>
  <si>
    <t>Remutaka</t>
  </si>
  <si>
    <t>Birchville-Brown Owl</t>
  </si>
  <si>
    <t>Brown Owl Kindergarten</t>
  </si>
  <si>
    <t>04-526 8806</t>
  </si>
  <si>
    <t>brownowl@wmkindergartens.org.nz</t>
  </si>
  <si>
    <t>5 Aniseed Grove</t>
  </si>
  <si>
    <t>Timberlea</t>
  </si>
  <si>
    <t>Maoribank</t>
  </si>
  <si>
    <t>Cottle Kindergarten</t>
  </si>
  <si>
    <t>04-528 3824</t>
  </si>
  <si>
    <t>cottle@wmkindergartens.org.nz</t>
  </si>
  <si>
    <t>117 Thackerary Street</t>
  </si>
  <si>
    <t>Poets Block</t>
  </si>
  <si>
    <t>Doris Nicholson Kindergarten</t>
  </si>
  <si>
    <t>04-526 9883</t>
  </si>
  <si>
    <t>dorisnicholson@wmkindergartens.org.nz</t>
  </si>
  <si>
    <t>1122 Fergusson Drive</t>
  </si>
  <si>
    <t>Clouston Park</t>
  </si>
  <si>
    <t>Heretaunga Kindergarten</t>
  </si>
  <si>
    <t>04-528 3418</t>
  </si>
  <si>
    <t>heretaunga@wmkindergartens.org.nz</t>
  </si>
  <si>
    <t>9 Ruru Crescent</t>
  </si>
  <si>
    <t>Heretaunga</t>
  </si>
  <si>
    <t>Irmgard Ritchie Kindergarten</t>
  </si>
  <si>
    <t>04-528 5724</t>
  </si>
  <si>
    <t>irmgardritchie@wmkindergartens.org.nz</t>
  </si>
  <si>
    <t>88 A McLeod Street</t>
  </si>
  <si>
    <t>Elderslea</t>
  </si>
  <si>
    <t>Silverstream Kindergarten</t>
  </si>
  <si>
    <t>04-528 9567</t>
  </si>
  <si>
    <t>silverstream@wmkindergartens.org.nz</t>
  </si>
  <si>
    <t>51-53 Kiln Street</t>
  </si>
  <si>
    <t>Silverstream</t>
  </si>
  <si>
    <t>Silverstream (Upper Hutt City)</t>
  </si>
  <si>
    <t>Totara Park Kindergarten</t>
  </si>
  <si>
    <t>04-526 9236</t>
  </si>
  <si>
    <t>totarapark@wmkindergartens.org.nz</t>
  </si>
  <si>
    <t>7 A Denver Grove</t>
  </si>
  <si>
    <t>Totara Park</t>
  </si>
  <si>
    <t>Trentham Kindergarten</t>
  </si>
  <si>
    <t>04-528 4944</t>
  </si>
  <si>
    <t>trentham@wmkindergartens.org.nz</t>
  </si>
  <si>
    <t>19 A Tawai Street</t>
  </si>
  <si>
    <t>Trentham</t>
  </si>
  <si>
    <t>Trentham North</t>
  </si>
  <si>
    <t>Upper Hutt Kindergarten</t>
  </si>
  <si>
    <t>04-528 4416</t>
  </si>
  <si>
    <t>14 A Mcparland Street</t>
  </si>
  <si>
    <t>Ebdentown</t>
  </si>
  <si>
    <t>Arakura Kindergarten</t>
  </si>
  <si>
    <t>04-9209806</t>
  </si>
  <si>
    <t>arakura@huttkindergartens.org.nz</t>
  </si>
  <si>
    <t>192 A Wellington Road</t>
  </si>
  <si>
    <t>Wainuiomata</t>
  </si>
  <si>
    <t>Lower Hutt</t>
  </si>
  <si>
    <t>Lower Hutt City</t>
  </si>
  <si>
    <t>Hutt South</t>
  </si>
  <si>
    <t>Arakura</t>
  </si>
  <si>
    <t>Wainuiomata Ward</t>
  </si>
  <si>
    <t>Norma Roberts</t>
  </si>
  <si>
    <t>P O Box 30552</t>
  </si>
  <si>
    <t>Lower Hutt 5040</t>
  </si>
  <si>
    <t>04-920 9805</t>
  </si>
  <si>
    <t>Wainuiomata Community of Learning</t>
  </si>
  <si>
    <t>Avalon Kindergarten</t>
  </si>
  <si>
    <t>04-9209808</t>
  </si>
  <si>
    <t>avalon@huttkindergartens.org.nz</t>
  </si>
  <si>
    <t>25 Walters Street</t>
  </si>
  <si>
    <t>Lower Hutt CBD</t>
  </si>
  <si>
    <t>Avalon East</t>
  </si>
  <si>
    <t>Central Ward</t>
  </si>
  <si>
    <t>Dyer Street Kindergarten</t>
  </si>
  <si>
    <t>04-9209812</t>
  </si>
  <si>
    <t>dyerst@huttkindergartens.org.nz</t>
  </si>
  <si>
    <t>49 Roberts Street</t>
  </si>
  <si>
    <t>Te Tai Tonga</t>
  </si>
  <si>
    <t>Epuni West</t>
  </si>
  <si>
    <t>Epuni Kindergarten</t>
  </si>
  <si>
    <t>04-9209814</t>
  </si>
  <si>
    <t>epuni@huttkindergartens.org.nz</t>
  </si>
  <si>
    <t>48 A Durham Crescent</t>
  </si>
  <si>
    <t>Epuni East</t>
  </si>
  <si>
    <t>Eastern Ward</t>
  </si>
  <si>
    <t>Kelson Kindergarten</t>
  </si>
  <si>
    <t>04-5650700</t>
  </si>
  <si>
    <t>kelson@huttkindergartens.org.nz</t>
  </si>
  <si>
    <t>50 Taieri Crescent</t>
  </si>
  <si>
    <t>Kelson</t>
  </si>
  <si>
    <t>Western Ward</t>
  </si>
  <si>
    <t>Koraunui Kindergarten</t>
  </si>
  <si>
    <t>04-9209820</t>
  </si>
  <si>
    <t>htkoraunui@huttkindergartens.org.nz</t>
  </si>
  <si>
    <t>285 Stokes Valley Road</t>
  </si>
  <si>
    <t>Stokes Valley</t>
  </si>
  <si>
    <t>Manuka</t>
  </si>
  <si>
    <t>Northern Ward</t>
  </si>
  <si>
    <t>Taita/Stokes Valley Community of Learning</t>
  </si>
  <si>
    <t>Maungaraki Kindergarten</t>
  </si>
  <si>
    <t>04-5701027</t>
  </si>
  <si>
    <t>maungaraki@huttkindergartens.org.nz</t>
  </si>
  <si>
    <t>1 A Holly Grove</t>
  </si>
  <si>
    <t>Maungaraki</t>
  </si>
  <si>
    <t>Naenae Kindergarten</t>
  </si>
  <si>
    <t>04-9209824</t>
  </si>
  <si>
    <t>admin_naenae@huttkindergartens.org.nz</t>
  </si>
  <si>
    <t>Seddon Street</t>
  </si>
  <si>
    <t>Naenae</t>
  </si>
  <si>
    <t>Naenae Central</t>
  </si>
  <si>
    <t>Parkway Kindergarten</t>
  </si>
  <si>
    <t>04-9209826</t>
  </si>
  <si>
    <t>parkway@huttkindergartens.org.nz</t>
  </si>
  <si>
    <t>Parkway</t>
  </si>
  <si>
    <t>Wainuiomata West</t>
  </si>
  <si>
    <t>Moera Kindergarten</t>
  </si>
  <si>
    <t>04-9209822</t>
  </si>
  <si>
    <t>moera@huttkindergartens.org.nz</t>
  </si>
  <si>
    <t>Randwick Crescent</t>
  </si>
  <si>
    <t>Moera</t>
  </si>
  <si>
    <t>Harbour Ward</t>
  </si>
  <si>
    <t>Stokes Valley Kindergarten</t>
  </si>
  <si>
    <t>04-9209830</t>
  </si>
  <si>
    <t>stokesvalley@huttkindergartens.org.nz</t>
  </si>
  <si>
    <t>74 Stokes Valley Road</t>
  </si>
  <si>
    <t>Stokes Valley Central</t>
  </si>
  <si>
    <t>Sun Valley Kindergarten</t>
  </si>
  <si>
    <t>04-9209832</t>
  </si>
  <si>
    <t>sunvalley@huttkindergartens.org.nz</t>
  </si>
  <si>
    <t>69 Meremere Street</t>
  </si>
  <si>
    <t>Taita Kindergarten</t>
  </si>
  <si>
    <t>04-9209834</t>
  </si>
  <si>
    <t>Admin_Taita@huttkindergartens.org.nz</t>
  </si>
  <si>
    <t>Shepherd Grove</t>
  </si>
  <si>
    <t>Taita</t>
  </si>
  <si>
    <t>Taita South</t>
  </si>
  <si>
    <t>Boulcott Kindergarten</t>
  </si>
  <si>
    <t>04-9209810</t>
  </si>
  <si>
    <t>boulcott@huttkindergartens.org.nz</t>
  </si>
  <si>
    <t>31 Boulcott Street</t>
  </si>
  <si>
    <t>Boulcott</t>
  </si>
  <si>
    <t>Pukeatua Kindergarten</t>
  </si>
  <si>
    <t>04-9209816</t>
  </si>
  <si>
    <t>pukeatua@huttkindergartens.org.nz</t>
  </si>
  <si>
    <t>Glendale</t>
  </si>
  <si>
    <t>Waterloo Kindergarten</t>
  </si>
  <si>
    <t>04-9209838</t>
  </si>
  <si>
    <t>waterloo@huttkindergartens.org.nz</t>
  </si>
  <si>
    <t>99 Trafalgar Street</t>
  </si>
  <si>
    <t>Waterloo West</t>
  </si>
  <si>
    <t>Ascot Park Kindergarten</t>
  </si>
  <si>
    <t>04-235 7146</t>
  </si>
  <si>
    <t>ascotpark@wmkindergartens.org.nz</t>
  </si>
  <si>
    <t>Conclusion Street</t>
  </si>
  <si>
    <t>Ascot Park</t>
  </si>
  <si>
    <t>Porirua</t>
  </si>
  <si>
    <t>Porirua City</t>
  </si>
  <si>
    <t>Mana</t>
  </si>
  <si>
    <t>Onepoto General Ward</t>
  </si>
  <si>
    <t>North Porirua Community of Learning</t>
  </si>
  <si>
    <t>Berhampore Kindergarten</t>
  </si>
  <si>
    <t>04-389 8471</t>
  </si>
  <si>
    <t>berhampore@wmkindergartens.org.nz</t>
  </si>
  <si>
    <t>5 Stanley Street</t>
  </si>
  <si>
    <t>Berhampore</t>
  </si>
  <si>
    <t>Wellington City</t>
  </si>
  <si>
    <t>Rongotai</t>
  </si>
  <si>
    <t>Paekawakawa/Southern General Ward</t>
  </si>
  <si>
    <t>Capital City Kāhui Ako</t>
  </si>
  <si>
    <t>Brian Webb Kindergarten</t>
  </si>
  <si>
    <t>04-232 5305</t>
  </si>
  <si>
    <t>brianwebb@wmkindergartens.org.nz</t>
  </si>
  <si>
    <t>28 Victory Crescent</t>
  </si>
  <si>
    <t>Tawa</t>
  </si>
  <si>
    <t>Ōhāriu</t>
  </si>
  <si>
    <t>Tawa North</t>
  </si>
  <si>
    <t>Takapū/Northern General Ward</t>
  </si>
  <si>
    <t>Brooklyn Kindergarten</t>
  </si>
  <si>
    <t>04-385 7313</t>
  </si>
  <si>
    <t>brooklyn@wmkindergartens.org.nz</t>
  </si>
  <si>
    <t>62 Todman Street</t>
  </si>
  <si>
    <t>Brooklyn</t>
  </si>
  <si>
    <t>Wellington Central</t>
  </si>
  <si>
    <t>Brooklyn South</t>
  </si>
  <si>
    <t>Campbell Kindergarten</t>
  </si>
  <si>
    <t>04-476 8809</t>
  </si>
  <si>
    <t>campbell@wmkindergartens.org.nz</t>
  </si>
  <si>
    <t>25 Campbell Street</t>
  </si>
  <si>
    <t>Karori</t>
  </si>
  <si>
    <t>Karori East</t>
  </si>
  <si>
    <t>Wharangi/Onslow-Western General Ward</t>
  </si>
  <si>
    <t>Churton Park Kindergarten</t>
  </si>
  <si>
    <t>04-478 5533</t>
  </si>
  <si>
    <t>churtonpark@wmkindergartens.org.nz</t>
  </si>
  <si>
    <t>86 Churton Drive</t>
  </si>
  <si>
    <t>Churton Park</t>
  </si>
  <si>
    <t>Churton Park South</t>
  </si>
  <si>
    <t>Pikopiko Clyde Quay Kindergarten</t>
  </si>
  <si>
    <t>04-385 0441</t>
  </si>
  <si>
    <t>Clyde Quay School Elizabeth Street</t>
  </si>
  <si>
    <t>Mount Victoria</t>
  </si>
  <si>
    <t>Mount Victoria North</t>
  </si>
  <si>
    <t>Pukehīnau/Lambton General Ward</t>
  </si>
  <si>
    <t>Discovery Kindergarten</t>
  </si>
  <si>
    <t>04-234 8186</t>
  </si>
  <si>
    <t>discovery@wmkindergartens.org.nz</t>
  </si>
  <si>
    <t>Pullen Lane</t>
  </si>
  <si>
    <t>Whitby</t>
  </si>
  <si>
    <t>Pāuatahanui General Ward</t>
  </si>
  <si>
    <t>East Harbour Kindergarten</t>
  </si>
  <si>
    <t>04-562 8929</t>
  </si>
  <si>
    <t>eastharbour@wmkindergartens.org.nz</t>
  </si>
  <si>
    <t>99 Muritai Road</t>
  </si>
  <si>
    <t>Eastbourne</t>
  </si>
  <si>
    <t>Hataitai Kindergarten</t>
  </si>
  <si>
    <t>04-386 2491</t>
  </si>
  <si>
    <t>hataitai@wmkindergartens.org.nz</t>
  </si>
  <si>
    <t>Taurima Street</t>
  </si>
  <si>
    <t>Hataitai</t>
  </si>
  <si>
    <t>Hataitai North West</t>
  </si>
  <si>
    <t>Motukairangi/Eastern General Ward</t>
  </si>
  <si>
    <t>Motu Kairangi Kāhui Ako</t>
  </si>
  <si>
    <t>Waitohi Kindergarten</t>
  </si>
  <si>
    <t>04-478 8722</t>
  </si>
  <si>
    <t>waitohi@wmkindergartens.org.nz</t>
  </si>
  <si>
    <t>34 Moorefield Road</t>
  </si>
  <si>
    <t>Johnsonville</t>
  </si>
  <si>
    <t>Johnsonville Central</t>
  </si>
  <si>
    <t>Johnsonville West Kindergarten</t>
  </si>
  <si>
    <t>04-477 9440</t>
  </si>
  <si>
    <t>johnsonvillewest@wmkindergartens.org.nz</t>
  </si>
  <si>
    <t>34A  Kipling Street</t>
  </si>
  <si>
    <t>Johnsonville West</t>
  </si>
  <si>
    <t>Sunshine Kindergarten</t>
  </si>
  <si>
    <t>04-476 9903</t>
  </si>
  <si>
    <t>sunshine@wmkindergartens.org.nz</t>
  </si>
  <si>
    <t>21 A Sunshine Avenue</t>
  </si>
  <si>
    <t>Karori West</t>
  </si>
  <si>
    <t>Katoa Kindergarten</t>
  </si>
  <si>
    <t>04-237 4262</t>
  </si>
  <si>
    <t>katoa@wmkindergartens.org.nz</t>
  </si>
  <si>
    <t>52 Takapuwahia Drive</t>
  </si>
  <si>
    <t>Elsdon</t>
  </si>
  <si>
    <t>Elsdon-Takapuwahia</t>
  </si>
  <si>
    <t>Te Puna Matauranga Kāhui Ako</t>
  </si>
  <si>
    <t>Khandallah Kindergarten</t>
  </si>
  <si>
    <t>04-479 3588</t>
  </si>
  <si>
    <t>khandallah@wmkindergartens.org.nz</t>
  </si>
  <si>
    <t>24 Everest Street</t>
  </si>
  <si>
    <t>Khandallah</t>
  </si>
  <si>
    <t>Khandallah North</t>
  </si>
  <si>
    <t>Lyall Bay Kindergarten</t>
  </si>
  <si>
    <t>04-387 9013</t>
  </si>
  <si>
    <t>lyallbay@wmkindergartens.org.nz</t>
  </si>
  <si>
    <t>89 Apu Crescent</t>
  </si>
  <si>
    <t>Lyall Bay</t>
  </si>
  <si>
    <t>Maraeroa Kindergarten</t>
  </si>
  <si>
    <t>04-237 4276</t>
  </si>
  <si>
    <t>36 Astrolabe Street</t>
  </si>
  <si>
    <t>Cannons Creek</t>
  </si>
  <si>
    <t>Cannons Creek East</t>
  </si>
  <si>
    <t>Porirua East Community of Learning</t>
  </si>
  <si>
    <t>Miramar Central Kindergarten</t>
  </si>
  <si>
    <t>04-388 8879</t>
  </si>
  <si>
    <t>miramarcentral@wmkindergartens.org.nz</t>
  </si>
  <si>
    <t>32 Para Street</t>
  </si>
  <si>
    <t>Miramar</t>
  </si>
  <si>
    <t>Miramar East</t>
  </si>
  <si>
    <t>Miramar North Kindergarten</t>
  </si>
  <si>
    <t>04-939 0250</t>
  </si>
  <si>
    <t>miramarnorth@wmkindergartens.org.nz</t>
  </si>
  <si>
    <t>20 Whanganui Street</t>
  </si>
  <si>
    <t>Miramar North</t>
  </si>
  <si>
    <t>Moira Gallagher Kindergarten</t>
  </si>
  <si>
    <t>04-237 8929</t>
  </si>
  <si>
    <t>moiragallagher@wmkindergartens.org.nz</t>
  </si>
  <si>
    <t>24 Hampshire Street</t>
  </si>
  <si>
    <t>Porirua East</t>
  </si>
  <si>
    <t>Cannons Creek South</t>
  </si>
  <si>
    <t>Awatea Kindergarten</t>
  </si>
  <si>
    <t>04-237 7290</t>
  </si>
  <si>
    <t>19 Awatea Street</t>
  </si>
  <si>
    <t>Newlands Kindergarten</t>
  </si>
  <si>
    <t>04-939 0281</t>
  </si>
  <si>
    <t>newlands@wmkindergartens.org.nz</t>
  </si>
  <si>
    <t>13 Horokiwi Road</t>
  </si>
  <si>
    <t>Newlands</t>
  </si>
  <si>
    <t>Newlands North</t>
  </si>
  <si>
    <t>Bellevue Kindergarten</t>
  </si>
  <si>
    <t>04-477 6764</t>
  </si>
  <si>
    <t>bellevue@wmkindergartens.org.nz</t>
  </si>
  <si>
    <t>50 Link Road</t>
  </si>
  <si>
    <t>Newlands East</t>
  </si>
  <si>
    <t>Te Ō Newtown Kindergarten</t>
  </si>
  <si>
    <t>04-389 8245</t>
  </si>
  <si>
    <t>teonewtown@wmkindergartens.org.nz</t>
  </si>
  <si>
    <t>Hospital Road</t>
  </si>
  <si>
    <t>Newtown</t>
  </si>
  <si>
    <t>Newtown North</t>
  </si>
  <si>
    <t>Ngahina Kindergarten</t>
  </si>
  <si>
    <t>04-904 6298</t>
  </si>
  <si>
    <t>ngahina@wmkindergartens.org.nz</t>
  </si>
  <si>
    <t>Ngahina Street</t>
  </si>
  <si>
    <t>Paraparaumu</t>
  </si>
  <si>
    <t>Kapiti Coast District</t>
  </si>
  <si>
    <t>Paraparaumu Central</t>
  </si>
  <si>
    <t>Paraparaumu Ward</t>
  </si>
  <si>
    <t>Kapiti North Community of Learning</t>
  </si>
  <si>
    <t>Ngaio Kindergarten</t>
  </si>
  <si>
    <t>04-479 3892</t>
  </si>
  <si>
    <t>ngaio@wmkindergartens.org.nz</t>
  </si>
  <si>
    <t>65 Ottawa Road</t>
  </si>
  <si>
    <t>Ngaio</t>
  </si>
  <si>
    <t>Ngaio South</t>
  </si>
  <si>
    <t>Northland Kindergarten</t>
  </si>
  <si>
    <t>04-475 9298</t>
  </si>
  <si>
    <t>northland@wmkindergartens.org.nz</t>
  </si>
  <si>
    <t>22 Albemarle Road</t>
  </si>
  <si>
    <t>Northland (Wellington City)</t>
  </si>
  <si>
    <t>Onslow Kindergarten</t>
  </si>
  <si>
    <t>04-479 1063</t>
  </si>
  <si>
    <t>onslow@wmkindergartens.org.nz</t>
  </si>
  <si>
    <t>1 A Delhi Crescent</t>
  </si>
  <si>
    <t>Ōtaki Kindergarten</t>
  </si>
  <si>
    <t>06-364 8553</t>
  </si>
  <si>
    <t>otaki@wmkindergartens.org.nz</t>
  </si>
  <si>
    <t>68 Waerenga Road</t>
  </si>
  <si>
    <t>Ōtaki Ward</t>
  </si>
  <si>
    <t>Papakōwhai Kindergarten</t>
  </si>
  <si>
    <t>04-237 8634</t>
  </si>
  <si>
    <t>papakowhai@wmkindergartens.org.nz</t>
  </si>
  <si>
    <t>5 Yarrow Place</t>
  </si>
  <si>
    <t>Papakowhai</t>
  </si>
  <si>
    <t>Papakōwhai</t>
  </si>
  <si>
    <t>Paparārangi Kindergarten</t>
  </si>
  <si>
    <t>04-920 5672</t>
  </si>
  <si>
    <t>paparangi@wmkindergartens.org.nz</t>
  </si>
  <si>
    <t>10 Mark Avenue</t>
  </si>
  <si>
    <t>Paparangi</t>
  </si>
  <si>
    <t>Paraparaumu Kindergarten</t>
  </si>
  <si>
    <t>04-298 6798</t>
  </si>
  <si>
    <t>paraparaumu@wmkindergartens.org.nz</t>
  </si>
  <si>
    <t>Donovan Road</t>
  </si>
  <si>
    <t>Paraparaumu Beach</t>
  </si>
  <si>
    <t>Paraparaumu Beach North</t>
  </si>
  <si>
    <t>Paremata Kindergarten</t>
  </si>
  <si>
    <t>04-233 8662</t>
  </si>
  <si>
    <t>paremata@wmkindergartens.org.nz</t>
  </si>
  <si>
    <t>51 Paremata Road</t>
  </si>
  <si>
    <t>Paremata</t>
  </si>
  <si>
    <t>Parsons Avenue Kindergarten</t>
  </si>
  <si>
    <t>06-368 9808</t>
  </si>
  <si>
    <t>parsonsavenue@wmkindergartens.org.nz</t>
  </si>
  <si>
    <t>20 Parsons Avenue</t>
  </si>
  <si>
    <t>Levin</t>
  </si>
  <si>
    <t>Waiopehu</t>
  </si>
  <si>
    <t>Levin General Ward</t>
  </si>
  <si>
    <t>Taitoko Kāhui Ako</t>
  </si>
  <si>
    <t>Petone Kindergarten</t>
  </si>
  <si>
    <t>04-568 5507</t>
  </si>
  <si>
    <t>petone@wmkindergartens.org.nz</t>
  </si>
  <si>
    <t>10 A Tennyson Street</t>
  </si>
  <si>
    <t>Petone</t>
  </si>
  <si>
    <t>Petone East</t>
  </si>
  <si>
    <t>Plimmerton Kindergarten</t>
  </si>
  <si>
    <t>04-233 1027</t>
  </si>
  <si>
    <t>plimmerton@wmkindergartens.org.nz</t>
  </si>
  <si>
    <t>Beach Road</t>
  </si>
  <si>
    <t>Plimmerton</t>
  </si>
  <si>
    <t>Pukerua Bay Kindergarten</t>
  </si>
  <si>
    <t>04-239 9442</t>
  </si>
  <si>
    <t>pukeruabay@wmkindergartens.org.nz</t>
  </si>
  <si>
    <t>1 Wairaka Road</t>
  </si>
  <si>
    <t>Pukerua Bay</t>
  </si>
  <si>
    <t>Raumati Beach Kindergarten</t>
  </si>
  <si>
    <t>04-902 8807</t>
  </si>
  <si>
    <t>raumatibeach@wmkindergartens.org.nz</t>
  </si>
  <si>
    <t>32 Raumati Road</t>
  </si>
  <si>
    <t>Raumati Beach</t>
  </si>
  <si>
    <t>Raumati Beach West</t>
  </si>
  <si>
    <t>Paekākāriki-Raumati Ward</t>
  </si>
  <si>
    <t>Seatoun Kindergarten</t>
  </si>
  <si>
    <t>04-380 8933</t>
  </si>
  <si>
    <t>seatoun@wmkindergartens.org.nz</t>
  </si>
  <si>
    <t>14 Gore Street</t>
  </si>
  <si>
    <t>Seatoun</t>
  </si>
  <si>
    <t>Strathmore Park Kindergarten</t>
  </si>
  <si>
    <t>04-388 7180</t>
  </si>
  <si>
    <t>strathmorepark@wmkindergartens.org.nz</t>
  </si>
  <si>
    <t>50 A Strathmore Avenue</t>
  </si>
  <si>
    <t>Strathmore Park-Wellington</t>
  </si>
  <si>
    <t>Strathmore (Wellington City)</t>
  </si>
  <si>
    <t>Tairangi Kindergarten</t>
  </si>
  <si>
    <t>04-235 8388</t>
  </si>
  <si>
    <t>tairangi@wmkindergartens.org.nz</t>
  </si>
  <si>
    <t>Omapere Street</t>
  </si>
  <si>
    <t>Waitangirua</t>
  </si>
  <si>
    <t>Waitangirua Tairangi</t>
  </si>
  <si>
    <t>Taitoko Kindergarten</t>
  </si>
  <si>
    <t>06-368 8149</t>
  </si>
  <si>
    <t>taitoko@wmkindergartens.org.nz</t>
  </si>
  <si>
    <t>36 Kinross Street</t>
  </si>
  <si>
    <t>Taitoko</t>
  </si>
  <si>
    <t>Tawa Central Kindergarten</t>
  </si>
  <si>
    <t>04-232 6416</t>
  </si>
  <si>
    <t>tawacentral@wmkindergartens.org.nz</t>
  </si>
  <si>
    <t>Coronation Park Oxford Street</t>
  </si>
  <si>
    <t>Tawa Central</t>
  </si>
  <si>
    <t>Titahi Bay Kindergarten</t>
  </si>
  <si>
    <t>04-236 7224</t>
  </si>
  <si>
    <t>titahibay@wmkindergartens.org.nz</t>
  </si>
  <si>
    <t>48 Herewini Street</t>
  </si>
  <si>
    <t>Titahi Bay</t>
  </si>
  <si>
    <t>Titahi Bay North</t>
  </si>
  <si>
    <t>Tui Park Kindergarten</t>
  </si>
  <si>
    <t>04-232 7254</t>
  </si>
  <si>
    <t>tuipark@wmkindergartens.org.nz</t>
  </si>
  <si>
    <t>Mexted Terrace</t>
  </si>
  <si>
    <t>Linden</t>
  </si>
  <si>
    <t>Wadestown Kindergarten</t>
  </si>
  <si>
    <t>04-472 2227</t>
  </si>
  <si>
    <t>wadestown@wmkindergartens.org.nz</t>
  </si>
  <si>
    <t>45 Oban Street</t>
  </si>
  <si>
    <t>Wadestown</t>
  </si>
  <si>
    <t>Waikanae Kindergarten</t>
  </si>
  <si>
    <t>04-904 3302</t>
  </si>
  <si>
    <t>waikanae@wmkindergartens.org.nz</t>
  </si>
  <si>
    <t>Ngaio Road</t>
  </si>
  <si>
    <t>Waikanae</t>
  </si>
  <si>
    <t>Waikanae West</t>
  </si>
  <si>
    <t>Waikanae Ward</t>
  </si>
  <si>
    <t>Waitangirua Kindergarten</t>
  </si>
  <si>
    <t>04-235 9438</t>
  </si>
  <si>
    <t>waitangirua@wmkindergartens.org.nz</t>
  </si>
  <si>
    <t>4 Kalingo Street</t>
  </si>
  <si>
    <t>Waitangirua Corinna</t>
  </si>
  <si>
    <t>Wellington South Kindergarten</t>
  </si>
  <si>
    <t>04-389 9919</t>
  </si>
  <si>
    <t>wellingtonsouth@wmkindergartens.org.nz</t>
  </si>
  <si>
    <t>103 Owen Street</t>
  </si>
  <si>
    <t>Newtown South</t>
  </si>
  <si>
    <t>Petone Beach Kindergarten</t>
  </si>
  <si>
    <t>04-568 5871</t>
  </si>
  <si>
    <t>20 King Street</t>
  </si>
  <si>
    <t>Petone Esplanade</t>
  </si>
  <si>
    <t>Mayfield Kindergarten (Blenheim)</t>
  </si>
  <si>
    <t>03-5783758</t>
  </si>
  <si>
    <t>mayfield@mka.org.nz</t>
  </si>
  <si>
    <t>36 Girling Avenue</t>
  </si>
  <si>
    <t>Mayfield</t>
  </si>
  <si>
    <t>Blenheim</t>
  </si>
  <si>
    <t>Marlborough District</t>
  </si>
  <si>
    <t>Marlborough Region</t>
  </si>
  <si>
    <t>Nelson, Marlborough, West Coast</t>
  </si>
  <si>
    <t>Kaikōura</t>
  </si>
  <si>
    <t>Blenheim General Ward</t>
  </si>
  <si>
    <t>Corina Naus</t>
  </si>
  <si>
    <t>82 Seymour Street</t>
  </si>
  <si>
    <t>Blenheim 7201</t>
  </si>
  <si>
    <t>03-578 4800</t>
  </si>
  <si>
    <t>Piritahi Kāhui Ako</t>
  </si>
  <si>
    <t>Redwoodtown Kindergarten</t>
  </si>
  <si>
    <t>03-5784756</t>
  </si>
  <si>
    <t>redwoodtown@mka.org.nz</t>
  </si>
  <si>
    <t>101 Weld Street</t>
  </si>
  <si>
    <t>Redwoodtown</t>
  </si>
  <si>
    <t>Redwoodtown East</t>
  </si>
  <si>
    <t>Seymour Kindergarten</t>
  </si>
  <si>
    <t>03-5784669</t>
  </si>
  <si>
    <t>seymour@mka.org.nz</t>
  </si>
  <si>
    <t>50 Redwood Street</t>
  </si>
  <si>
    <t>Whitney East</t>
  </si>
  <si>
    <t>Witherlea Kindergarten</t>
  </si>
  <si>
    <t>03-5793383</t>
  </si>
  <si>
    <t>witherlea@mka.org.nz</t>
  </si>
  <si>
    <t>18 Alana Place</t>
  </si>
  <si>
    <t>Witherlea</t>
  </si>
  <si>
    <t>Witherlea East</t>
  </si>
  <si>
    <t>Birchwood Kindergarten</t>
  </si>
  <si>
    <t>03-547 9637</t>
  </si>
  <si>
    <t>311 Seaview Road</t>
  </si>
  <si>
    <t>Stoke</t>
  </si>
  <si>
    <t>Nelson</t>
  </si>
  <si>
    <t>Nelson City</t>
  </si>
  <si>
    <t>Nelson Region</t>
  </si>
  <si>
    <t>Broadgreen-Monaco</t>
  </si>
  <si>
    <t>Stoke-Tāhunanui General Ward</t>
  </si>
  <si>
    <t>Craig Vercoe</t>
  </si>
  <si>
    <t>P O Box 360</t>
  </si>
  <si>
    <t>Nelson 7040</t>
  </si>
  <si>
    <t>03-5467683</t>
  </si>
  <si>
    <t>Te Kāhui Ako o Omaio ki Tahunanui</t>
  </si>
  <si>
    <t>Greenwood Kindergarten</t>
  </si>
  <si>
    <t>03-5288385</t>
  </si>
  <si>
    <t>Craig.Vercoe@ntk.org.nz</t>
  </si>
  <si>
    <t>51 Greenwood Street</t>
  </si>
  <si>
    <t>Motueka</t>
  </si>
  <si>
    <t>Tasman District</t>
  </si>
  <si>
    <t>Tasman Region</t>
  </si>
  <si>
    <t>West Coast-Tasman</t>
  </si>
  <si>
    <t>Motueka East</t>
  </si>
  <si>
    <t>Motueka Ward</t>
  </si>
  <si>
    <t>Motueka Community of Learning</t>
  </si>
  <si>
    <t>Grove Street Kindergarten</t>
  </si>
  <si>
    <t>03-548 8600</t>
  </si>
  <si>
    <t>50 A Grove Street</t>
  </si>
  <si>
    <t>The Wood</t>
  </si>
  <si>
    <t>Nelson City Community of Learning</t>
  </si>
  <si>
    <t>Waimea Kindergarten</t>
  </si>
  <si>
    <t>waimeakindergarten@ntk.org.nz</t>
  </si>
  <si>
    <t>11 A Gilbert Street</t>
  </si>
  <si>
    <t>Richmond</t>
  </si>
  <si>
    <t>Templemore</t>
  </si>
  <si>
    <t>Richmond Ward</t>
  </si>
  <si>
    <t>Waimea Community of Learning</t>
  </si>
  <si>
    <t>Motueka South Kindergarten</t>
  </si>
  <si>
    <t>03-528 8363</t>
  </si>
  <si>
    <t>lauraingramkindergarten@ntk.org.nz</t>
  </si>
  <si>
    <t>12 Courtney Street</t>
  </si>
  <si>
    <t>Motueka West</t>
  </si>
  <si>
    <t>Nayland Kindergarten</t>
  </si>
  <si>
    <t>03-547 6313</t>
  </si>
  <si>
    <t>naylandkindergarten@ntk.org.nz</t>
  </si>
  <si>
    <t>175 Nayland Road</t>
  </si>
  <si>
    <t>Nayland</t>
  </si>
  <si>
    <t>Nelson South Kindergarten</t>
  </si>
  <si>
    <t>03-548 9970</t>
  </si>
  <si>
    <t>nelsonsouthkindergarten@ntk.org.nz</t>
  </si>
  <si>
    <t>150 A Waimea Road</t>
  </si>
  <si>
    <t>Grampians</t>
  </si>
  <si>
    <t>Nelson Central Kindergarten</t>
  </si>
  <si>
    <t>03-548 9936</t>
  </si>
  <si>
    <t>nelsoncentralkindergarten@ntk.org.nz</t>
  </si>
  <si>
    <t>51 B Brook Street</t>
  </si>
  <si>
    <t>The Brook</t>
  </si>
  <si>
    <t>Richmond Kindergarten</t>
  </si>
  <si>
    <t>03-544 5588</t>
  </si>
  <si>
    <t>richmondkindergarten@ntk.org.nz</t>
  </si>
  <si>
    <t>24 Florence Street</t>
  </si>
  <si>
    <t>Richmond Central (Tasman District)</t>
  </si>
  <si>
    <t>Stoke Kindergarten</t>
  </si>
  <si>
    <t>03-547 7441</t>
  </si>
  <si>
    <t>stokekindergarten@ntk.org.nz</t>
  </si>
  <si>
    <t>21 Ranui Road</t>
  </si>
  <si>
    <t>Omaio</t>
  </si>
  <si>
    <t>Tahunanui Kindergarten</t>
  </si>
  <si>
    <t>03-548 5345</t>
  </si>
  <si>
    <t>tahunanuikindergarten@ntk.org.nz</t>
  </si>
  <si>
    <t>53 Muritai Street</t>
  </si>
  <si>
    <t>Tahunanui</t>
  </si>
  <si>
    <t>Tāhunanui</t>
  </si>
  <si>
    <t>Westport Kindergarten</t>
  </si>
  <si>
    <t>03-7898232</t>
  </si>
  <si>
    <t>office@westportkindergarten.nz</t>
  </si>
  <si>
    <t>48 A Russell Street</t>
  </si>
  <si>
    <t>Westport</t>
  </si>
  <si>
    <t>Buller District</t>
  </si>
  <si>
    <t>West Coast Region</t>
  </si>
  <si>
    <t>Westport North</t>
  </si>
  <si>
    <t>Westport Ward</t>
  </si>
  <si>
    <t>Cate Barry</t>
  </si>
  <si>
    <t>48a Russell Street</t>
  </si>
  <si>
    <t>Westport 7825</t>
  </si>
  <si>
    <t>03-7898237</t>
  </si>
  <si>
    <t>Buller Community of Learning</t>
  </si>
  <si>
    <t>Kidsfirst Kindergartens Avonhead</t>
  </si>
  <si>
    <t>03-3486803</t>
  </si>
  <si>
    <t>questions@kidsfirst.org.nz</t>
  </si>
  <si>
    <t>49 Staveley Street</t>
  </si>
  <si>
    <t>Avonhead</t>
  </si>
  <si>
    <t>Christchurch</t>
  </si>
  <si>
    <t>Christchurch City</t>
  </si>
  <si>
    <t>Canterbury Region</t>
  </si>
  <si>
    <t>Canterbury, Chatham Islands</t>
  </si>
  <si>
    <t>Ilam</t>
  </si>
  <si>
    <t>Avonhead South</t>
  </si>
  <si>
    <t>Waimairi Ward</t>
  </si>
  <si>
    <t>Sherryll Wilson</t>
  </si>
  <si>
    <t>P O Box 8089</t>
  </si>
  <si>
    <t>Riccarton</t>
  </si>
  <si>
    <t>Christchurch 8440</t>
  </si>
  <si>
    <t>03-3381303</t>
  </si>
  <si>
    <t>Kidsfirst Kindergartens Beckenham</t>
  </si>
  <si>
    <t>03-3322647</t>
  </si>
  <si>
    <t>119 A Fisher Avenue</t>
  </si>
  <si>
    <t>Beckenham</t>
  </si>
  <si>
    <t>Christchurch Central</t>
  </si>
  <si>
    <t>Cashmere Ward</t>
  </si>
  <si>
    <t>Te Mana Raupō Kāhui Ako</t>
  </si>
  <si>
    <t>Kidsfirst Kindergartens Bush Street</t>
  </si>
  <si>
    <t>03-3135010</t>
  </si>
  <si>
    <t>27 Bush Street</t>
  </si>
  <si>
    <t>Rangiora</t>
  </si>
  <si>
    <t>Waimakariri District</t>
  </si>
  <si>
    <t>Waimakariri</t>
  </si>
  <si>
    <t>Rangiora South West</t>
  </si>
  <si>
    <t>Rangiora-Ashley Ward</t>
  </si>
  <si>
    <t>Puketeraki Community of Learning</t>
  </si>
  <si>
    <t>Kidsfirst Kindergartens Parklands</t>
  </si>
  <si>
    <t>03-3830777</t>
  </si>
  <si>
    <t>20 Chadbury Street</t>
  </si>
  <si>
    <t>Parklands</t>
  </si>
  <si>
    <t>Christchurch East</t>
  </si>
  <si>
    <t>Coastal Ward</t>
  </si>
  <si>
    <t>Kidsfirst Kindergartens Cashmere</t>
  </si>
  <si>
    <t>03-3327173</t>
  </si>
  <si>
    <t>106 Hackthorne Rd</t>
  </si>
  <si>
    <t>Cashmere</t>
  </si>
  <si>
    <t>Banks Peninsula</t>
  </si>
  <si>
    <t>Cashmere West</t>
  </si>
  <si>
    <t>Kidsfirst Kindergartens Cotswold Avenue</t>
  </si>
  <si>
    <t>03-359 7169</t>
  </si>
  <si>
    <t>62 Cotswold Avenue</t>
  </si>
  <si>
    <t>Bishopdale</t>
  </si>
  <si>
    <t>Bishopdale North</t>
  </si>
  <si>
    <t>Harewood Ward</t>
  </si>
  <si>
    <t>Tōtaranui Kāhui Ako</t>
  </si>
  <si>
    <t>Kidsfirst Kindergartens Edmonds Smith St</t>
  </si>
  <si>
    <t>03-3899995</t>
  </si>
  <si>
    <t>21 Smith Street</t>
  </si>
  <si>
    <t>Woolston</t>
  </si>
  <si>
    <t>Woolston North</t>
  </si>
  <si>
    <t>Linwood Ward</t>
  </si>
  <si>
    <t>Tamai Community of Learning</t>
  </si>
  <si>
    <t>Kidsfirst Kindergartens Ilam</t>
  </si>
  <si>
    <t>03-3517189</t>
  </si>
  <si>
    <t>6 Ryeland Ave</t>
  </si>
  <si>
    <t>Jellie Park</t>
  </si>
  <si>
    <t>Fendalton Ward</t>
  </si>
  <si>
    <t>Waimairi-iri Kāhui Ako</t>
  </si>
  <si>
    <t>Kidsfirst Kindergartens Greymouth</t>
  </si>
  <si>
    <t>021-743757</t>
  </si>
  <si>
    <t>greymouth@kidsfirst.org.nz</t>
  </si>
  <si>
    <t>85A Shakespeare Street</t>
  </si>
  <si>
    <t>Greymouth</t>
  </si>
  <si>
    <t>Grey District</t>
  </si>
  <si>
    <t>King Park</t>
  </si>
  <si>
    <t>Māwhera Kāhui Ako</t>
  </si>
  <si>
    <t>Kidsfirst Kindergartens Hargest Crescent</t>
  </si>
  <si>
    <t>03-3790136</t>
  </si>
  <si>
    <t>33 Hargest Crescent</t>
  </si>
  <si>
    <t>Waltham</t>
  </si>
  <si>
    <t>Sydenham North</t>
  </si>
  <si>
    <t>Heathcote Ward</t>
  </si>
  <si>
    <t>Kidsfirst Kindergartens Hei Hei</t>
  </si>
  <si>
    <t>03-3496265</t>
  </si>
  <si>
    <t>10 Wycola Avenue</t>
  </si>
  <si>
    <t>Hei Hei</t>
  </si>
  <si>
    <t>Wigram</t>
  </si>
  <si>
    <t>Hornby Ward</t>
  </si>
  <si>
    <t>Uru Mānuka Kāhui Ako</t>
  </si>
  <si>
    <t>Kidsfirst Kindergartens Hokitika</t>
  </si>
  <si>
    <t>021-917643</t>
  </si>
  <si>
    <t>hokitika@kidsfirst.org.nz</t>
  </si>
  <si>
    <t>77 Hall Street</t>
  </si>
  <si>
    <t>Hokitika</t>
  </si>
  <si>
    <t>Westland District</t>
  </si>
  <si>
    <t>Hokitika Ward</t>
  </si>
  <si>
    <t>Westland Community of Learning</t>
  </si>
  <si>
    <t>Kidsfirst Kindergartens Hornby</t>
  </si>
  <si>
    <t>03-3497977</t>
  </si>
  <si>
    <t>17 Brynley Street</t>
  </si>
  <si>
    <t>Hornby</t>
  </si>
  <si>
    <t>Hornby South</t>
  </si>
  <si>
    <t>Kidsfirst Kindergartens Karoro</t>
  </si>
  <si>
    <t>021-944038</t>
  </si>
  <si>
    <t>karoro@kidsfirst.org.nz</t>
  </si>
  <si>
    <t>20 Loris Place</t>
  </si>
  <si>
    <t>Karoro</t>
  </si>
  <si>
    <t>Southern Ward</t>
  </si>
  <si>
    <t>Kidsfirst Kindergartens Bromley</t>
  </si>
  <si>
    <t>03-3890359</t>
  </si>
  <si>
    <t>33 Keighleys Road</t>
  </si>
  <si>
    <t>Bromley</t>
  </si>
  <si>
    <t>Bromley South</t>
  </si>
  <si>
    <t>Kidsfirst Kindergartens Kendal Avenue</t>
  </si>
  <si>
    <t>03-3588632</t>
  </si>
  <si>
    <t>55 Kendal Avenue</t>
  </si>
  <si>
    <t>Burnside</t>
  </si>
  <si>
    <t>Kidsfirst Kindergartens King Street</t>
  </si>
  <si>
    <t>03-3137827</t>
  </si>
  <si>
    <t>203 King Street</t>
  </si>
  <si>
    <t>Rangiora North East</t>
  </si>
  <si>
    <t>Kidsfirst Kindergartens Linwood</t>
  </si>
  <si>
    <t>03-3899772</t>
  </si>
  <si>
    <t>24 Rochester Street</t>
  </si>
  <si>
    <t>Linwood</t>
  </si>
  <si>
    <t>Linwood North</t>
  </si>
  <si>
    <t>Kidsfirst Kindergartens Lyttelton</t>
  </si>
  <si>
    <t>03-3288689</t>
  </si>
  <si>
    <t>33 Winchester Street</t>
  </si>
  <si>
    <t>Lyttelton</t>
  </si>
  <si>
    <t>Banks Peninsula Ward</t>
  </si>
  <si>
    <t>Aupaki Kāhui Ako</t>
  </si>
  <si>
    <t>Kidsfirst Kindergartens MacFarlane Park</t>
  </si>
  <si>
    <t>03-3859696</t>
  </si>
  <si>
    <t>19 Acheson Avenue</t>
  </si>
  <si>
    <t>Shirley</t>
  </si>
  <si>
    <t>Shirley West</t>
  </si>
  <si>
    <t>Innes Ward</t>
  </si>
  <si>
    <t>Ōtākaro Community of Learning</t>
  </si>
  <si>
    <t>Kidsfirst Kindergartens McKenzie</t>
  </si>
  <si>
    <t>03-3484326</t>
  </si>
  <si>
    <t>107 Rattray Street</t>
  </si>
  <si>
    <t>Riccarton West</t>
  </si>
  <si>
    <t>Riccarton Ward</t>
  </si>
  <si>
    <t>Pūtaringamotu Kāhui Ako</t>
  </si>
  <si>
    <t>Kidsfirst Kindergartens Mairehau</t>
  </si>
  <si>
    <t>03-3852716</t>
  </si>
  <si>
    <t>23 Fergusson Avenue</t>
  </si>
  <si>
    <t>Mairehau</t>
  </si>
  <si>
    <t>Mairehau South</t>
  </si>
  <si>
    <t>Kidsfirst Kindergartens Mathers Road</t>
  </si>
  <si>
    <t>03-3384035</t>
  </si>
  <si>
    <t>109 Mathers Road</t>
  </si>
  <si>
    <t>Hoon Hay</t>
  </si>
  <si>
    <t>Hoon Hay West</t>
  </si>
  <si>
    <t>Spreydon Ward</t>
  </si>
  <si>
    <t>Kidsfirst Kindergartens The Bays</t>
  </si>
  <si>
    <t>03-3841065</t>
  </si>
  <si>
    <t>1 McCormacks Road</t>
  </si>
  <si>
    <t>Mt Pleasant</t>
  </si>
  <si>
    <t>Mount Pleasant</t>
  </si>
  <si>
    <t>Kidsfirst Kindergartens Northcote</t>
  </si>
  <si>
    <t>03-3528869</t>
  </si>
  <si>
    <t>121 Northcote Road</t>
  </si>
  <si>
    <t>Papanui North</t>
  </si>
  <si>
    <t>Papanui Ward</t>
  </si>
  <si>
    <t>Kidsfirst Kindergartens Nth New Brighton</t>
  </si>
  <si>
    <t>03-3888996</t>
  </si>
  <si>
    <t>177 Bowhill Road</t>
  </si>
  <si>
    <t>North New Brighton</t>
  </si>
  <si>
    <t>Rawhiti</t>
  </si>
  <si>
    <t>Kidsfirst Kindergartens Nuffield</t>
  </si>
  <si>
    <t>03-3888694</t>
  </si>
  <si>
    <t>171 Seaview Road</t>
  </si>
  <si>
    <t>New Brighton</t>
  </si>
  <si>
    <t>Kidsfirst Kindergartens Opawa St Martins</t>
  </si>
  <si>
    <t>03-3322866</t>
  </si>
  <si>
    <t>8 Butler Street</t>
  </si>
  <si>
    <t>Opawa</t>
  </si>
  <si>
    <t>Kidsfirst Kindergartens Papanui</t>
  </si>
  <si>
    <t>03-3529484</t>
  </si>
  <si>
    <t>57 Bellvue Avenue</t>
  </si>
  <si>
    <t>Papanui</t>
  </si>
  <si>
    <t>Northlands (Christchurch City)</t>
  </si>
  <si>
    <t>Kidsfirst Kindergartens Phillipstown</t>
  </si>
  <si>
    <t>03-3667233</t>
  </si>
  <si>
    <t>533 St Asaph Street</t>
  </si>
  <si>
    <t>Phillipstown</t>
  </si>
  <si>
    <t>Kidsfirst Kindergartens Portsmouth Street</t>
  </si>
  <si>
    <t>03-3885347</t>
  </si>
  <si>
    <t>36 Portsmouth Street</t>
  </si>
  <si>
    <t>Wainoni</t>
  </si>
  <si>
    <t>Aranui</t>
  </si>
  <si>
    <t>Burwood Ward</t>
  </si>
  <si>
    <t>Kidsfirst Kindergartens Queenspark</t>
  </si>
  <si>
    <t>03-3830170</t>
  </si>
  <si>
    <t>228 Queenspark Drive</t>
  </si>
  <si>
    <t>Burwood</t>
  </si>
  <si>
    <t>Queenspark</t>
  </si>
  <si>
    <t>Kidsfirst Kindergartens Redwood</t>
  </si>
  <si>
    <t>03-3527778</t>
  </si>
  <si>
    <t>345 A Main North Road</t>
  </si>
  <si>
    <t>Redwood</t>
  </si>
  <si>
    <t>Redwood West</t>
  </si>
  <si>
    <t>Kidsfirst Kindergartens Riccarton</t>
  </si>
  <si>
    <t>03-3483485</t>
  </si>
  <si>
    <t>19 Harakeke Street</t>
  </si>
  <si>
    <t>Mona Vale</t>
  </si>
  <si>
    <t>Kidsfirst Kindergartens Richmond</t>
  </si>
  <si>
    <t>03-3895236</t>
  </si>
  <si>
    <t>41 North Avon Road</t>
  </si>
  <si>
    <t>Closed Service</t>
  </si>
  <si>
    <t>Richmond North (Christchurch City)</t>
  </si>
  <si>
    <t>Kidsfirst Kindergartens Hoon Hay</t>
  </si>
  <si>
    <t>03-3382292</t>
  </si>
  <si>
    <t>60 Rowley Avenue</t>
  </si>
  <si>
    <t>Kidsfirst Kindergartens Rutland Street</t>
  </si>
  <si>
    <t>03-3525101</t>
  </si>
  <si>
    <t>188 Rutland Street</t>
  </si>
  <si>
    <t>Malvern</t>
  </si>
  <si>
    <t>Kidsfirst Kindergartens Selwyn Street</t>
  </si>
  <si>
    <t>03-3663472</t>
  </si>
  <si>
    <t>366 Selwyn Street</t>
  </si>
  <si>
    <t>Spreydon</t>
  </si>
  <si>
    <t>Addington East</t>
  </si>
  <si>
    <t>Kidsfirst Kindergartens Shirley</t>
  </si>
  <si>
    <t>03-3851598</t>
  </si>
  <si>
    <t>3 Ajax Street</t>
  </si>
  <si>
    <t>Dallington</t>
  </si>
  <si>
    <t>Kidsfirst Kindergartens South Brighton</t>
  </si>
  <si>
    <t>03-3887957</t>
  </si>
  <si>
    <t>39 Bridge Street</t>
  </si>
  <si>
    <t>South New Brighton</t>
  </si>
  <si>
    <t>Kidsfirst Kindergartens Sumner</t>
  </si>
  <si>
    <t>03-3266718</t>
  </si>
  <si>
    <t>25 Dryden Street</t>
  </si>
  <si>
    <t>Sumner</t>
  </si>
  <si>
    <t>Kidsfirst Kindergartens Sunbeam</t>
  </si>
  <si>
    <t>03-3667157</t>
  </si>
  <si>
    <t>13 Cornwall Street</t>
  </si>
  <si>
    <t>St Albans</t>
  </si>
  <si>
    <t>St Albans North</t>
  </si>
  <si>
    <t>Kidsfirst Kindergartens Templeton</t>
  </si>
  <si>
    <t>03-3498206</t>
  </si>
  <si>
    <t>19 Banks Street</t>
  </si>
  <si>
    <t>Templeton</t>
  </si>
  <si>
    <t>Selwyn</t>
  </si>
  <si>
    <t>Kidsfirst Kindergartens Trengrove</t>
  </si>
  <si>
    <t>03-3517874</t>
  </si>
  <si>
    <t>243 Clyde Road</t>
  </si>
  <si>
    <t>Fendalton</t>
  </si>
  <si>
    <t>Kidsfirst Kindergartens Vickery Street</t>
  </si>
  <si>
    <t>03-3277783</t>
  </si>
  <si>
    <t>22 Vickery Street</t>
  </si>
  <si>
    <t>Kaiapoi</t>
  </si>
  <si>
    <t>Kaiapoi South</t>
  </si>
  <si>
    <t>Kaiapoi-Woodend Ward</t>
  </si>
  <si>
    <t>Katote (Christchurch) Community of Learning</t>
  </si>
  <si>
    <t>Kidsfirst Kindergartens Wales Street</t>
  </si>
  <si>
    <t>03-3228046</t>
  </si>
  <si>
    <t>134 Wales Street</t>
  </si>
  <si>
    <t>Halswell</t>
  </si>
  <si>
    <t>Oaklands East</t>
  </si>
  <si>
    <t>Halswell Ward</t>
  </si>
  <si>
    <t>Kidsfirst Kindergartens Wigram</t>
  </si>
  <si>
    <t>03-3497982</t>
  </si>
  <si>
    <t>56 Springs Road</t>
  </si>
  <si>
    <t>Kidsfirst Kindergartens Woolley Street</t>
  </si>
  <si>
    <t>03-3882109</t>
  </si>
  <si>
    <t>63 Woolley Street</t>
  </si>
  <si>
    <t>Avondale (Christchurch City)</t>
  </si>
  <si>
    <t>Kidsfirst Kindergartens Burnham</t>
  </si>
  <si>
    <t>03-347 6707</t>
  </si>
  <si>
    <t>16 Ruru Street</t>
  </si>
  <si>
    <t>Burnham</t>
  </si>
  <si>
    <t>Selwyn District</t>
  </si>
  <si>
    <t>Burnham Camp</t>
  </si>
  <si>
    <t>Ellesmere Ward</t>
  </si>
  <si>
    <t>Ngā Peka o Tauwharekākaho (Rolleston) Kāhui Ako</t>
  </si>
  <si>
    <t>Allenton Free Kindergarten</t>
  </si>
  <si>
    <t>03-3087896</t>
  </si>
  <si>
    <t>association@ashkindy.co.nz</t>
  </si>
  <si>
    <t>46 Allens Road</t>
  </si>
  <si>
    <t>Allenton</t>
  </si>
  <si>
    <t>Ashburton</t>
  </si>
  <si>
    <t>Ashburton District</t>
  </si>
  <si>
    <t>Rangitata</t>
  </si>
  <si>
    <t>Allenton South</t>
  </si>
  <si>
    <t>Ashburton Ward</t>
  </si>
  <si>
    <t>Kalena Hirst</t>
  </si>
  <si>
    <t>42 Cambridge Street</t>
  </si>
  <si>
    <t>Ashburton 7700</t>
  </si>
  <si>
    <t>021-636677</t>
  </si>
  <si>
    <t>Hakatere Kāhui Ako</t>
  </si>
  <si>
    <t>Aubrey Mason Free Kindergarten</t>
  </si>
  <si>
    <t>03-3084379</t>
  </si>
  <si>
    <t>Thomson Street</t>
  </si>
  <si>
    <t>Tinwald</t>
  </si>
  <si>
    <t>Tinwald South</t>
  </si>
  <si>
    <t>Hampstead Free Kindergarten</t>
  </si>
  <si>
    <t>03-3083954</t>
  </si>
  <si>
    <t>Cambridge Street</t>
  </si>
  <si>
    <t>Hampstead</t>
  </si>
  <si>
    <t>Merle Leask Free Kindergarten</t>
  </si>
  <si>
    <t>03-3083337</t>
  </si>
  <si>
    <t>34 Davis Crescent</t>
  </si>
  <si>
    <t>Netherby</t>
  </si>
  <si>
    <t>Thomas Street Kindergarten</t>
  </si>
  <si>
    <t>03-3089587</t>
  </si>
  <si>
    <t>Thomas Street</t>
  </si>
  <si>
    <t>Allenton East</t>
  </si>
  <si>
    <t>Geraldine Kindergarten</t>
  </si>
  <si>
    <t>03-6938888</t>
  </si>
  <si>
    <t>gm.gdfka@xtra.co.nz</t>
  </si>
  <si>
    <t>25 Wilson Street</t>
  </si>
  <si>
    <t>Geraldine</t>
  </si>
  <si>
    <t>Timaru District</t>
  </si>
  <si>
    <t>Waitaki</t>
  </si>
  <si>
    <t>Geraldine Ward</t>
  </si>
  <si>
    <t>Helen May</t>
  </si>
  <si>
    <t>P O Box 82</t>
  </si>
  <si>
    <t>Geraldine 7956</t>
  </si>
  <si>
    <t>03-6937161</t>
  </si>
  <si>
    <t>Ka Awa Whiria</t>
  </si>
  <si>
    <t>Glenview Free Kindergarten</t>
  </si>
  <si>
    <t>03-6860726</t>
  </si>
  <si>
    <t>glenview.kindergarten@sck.nz</t>
  </si>
  <si>
    <t>69 Gleniti Road</t>
  </si>
  <si>
    <t>Timaru</t>
  </si>
  <si>
    <t>Gleniti South</t>
  </si>
  <si>
    <t>Timaru Ward</t>
  </si>
  <si>
    <t>Tania Rose</t>
  </si>
  <si>
    <t>P O Box 61</t>
  </si>
  <si>
    <t>Timaru 7940</t>
  </si>
  <si>
    <t>03-6883098</t>
  </si>
  <si>
    <t>North Timaru Community of Learning</t>
  </si>
  <si>
    <t>Hanan Free Kindergarten</t>
  </si>
  <si>
    <t>03-6845470</t>
  </si>
  <si>
    <t>22 B College Road</t>
  </si>
  <si>
    <t>Kensington (Timaru District)</t>
  </si>
  <si>
    <t>South Timaru Community of Learning</t>
  </si>
  <si>
    <t>Kowhai Free Kindergarten</t>
  </si>
  <si>
    <t>03-6880285</t>
  </si>
  <si>
    <t>kowhai.kindergarten@sck.nz</t>
  </si>
  <si>
    <t>16 Coonoor Road</t>
  </si>
  <si>
    <t>Watlington</t>
  </si>
  <si>
    <t>Fairlie Area Kindergarten</t>
  </si>
  <si>
    <t>03-6858505</t>
  </si>
  <si>
    <t>fairliearea.kindergarten@sck.nz</t>
  </si>
  <si>
    <t>12 Sloane Street</t>
  </si>
  <si>
    <t>Fairlie</t>
  </si>
  <si>
    <t>Mackenzie District</t>
  </si>
  <si>
    <t>Opuha Ward</t>
  </si>
  <si>
    <t>Te Kāhui Ako ō Te Manahuna</t>
  </si>
  <si>
    <t>Ranui Free Kindergarten (Timaru)</t>
  </si>
  <si>
    <t>03-684 4469</t>
  </si>
  <si>
    <t>ranui.kindergarten@sck.nz</t>
  </si>
  <si>
    <t>253 Selwyn Street</t>
  </si>
  <si>
    <t>Marchwiel East</t>
  </si>
  <si>
    <t>Rata Free Kindergarten</t>
  </si>
  <si>
    <t>03-688 1991</t>
  </si>
  <si>
    <t>rata.kindergarten@sck.nz</t>
  </si>
  <si>
    <t>53 Cass Street</t>
  </si>
  <si>
    <t>Temuka</t>
  </si>
  <si>
    <t>Temuka West</t>
  </si>
  <si>
    <t>Pleasant Point-Temuka Ward</t>
  </si>
  <si>
    <t>Rhona Day Free Kindergarten</t>
  </si>
  <si>
    <t>03-688 0850</t>
  </si>
  <si>
    <t>2 Hamilton Street</t>
  </si>
  <si>
    <t>Twizel Free Kindergarten</t>
  </si>
  <si>
    <t>03-435 0433</t>
  </si>
  <si>
    <t>office@sck.nz</t>
  </si>
  <si>
    <t>135 Mackenzie Drive</t>
  </si>
  <si>
    <t>Twizel</t>
  </si>
  <si>
    <t>Pukaki Ward</t>
  </si>
  <si>
    <t>Waimataitai Kindergarten</t>
  </si>
  <si>
    <t>03-6843419</t>
  </si>
  <si>
    <t>waimataitai.kindergarten@sck.nz</t>
  </si>
  <si>
    <t>69 Evans Street</t>
  </si>
  <si>
    <t>Waimataitai-Maori Hill</t>
  </si>
  <si>
    <t>West End Kindergarten (Timaru)</t>
  </si>
  <si>
    <t>03-6843996</t>
  </si>
  <si>
    <t>westend.kindergarten@sck.nz</t>
  </si>
  <si>
    <t>34 Kiwi Drive</t>
  </si>
  <si>
    <t>Highfield South</t>
  </si>
  <si>
    <t>Esk Valley Kindergarten</t>
  </si>
  <si>
    <t>03-6898951</t>
  </si>
  <si>
    <t>waimatewfka@xtra.co.nz</t>
  </si>
  <si>
    <t>279 Esk Valley</t>
  </si>
  <si>
    <t>St Andrews</t>
  </si>
  <si>
    <t>Waimate District</t>
  </si>
  <si>
    <t>Maungati</t>
  </si>
  <si>
    <t>Pareora-Otaio-Makikihi Ward</t>
  </si>
  <si>
    <t>Terina Eade</t>
  </si>
  <si>
    <t>13 John Street</t>
  </si>
  <si>
    <t>Waimate 7924</t>
  </si>
  <si>
    <t>03-689 8961</t>
  </si>
  <si>
    <t>Waimate Community of Learning</t>
  </si>
  <si>
    <t>Casa Nova Kindergarten</t>
  </si>
  <si>
    <t>03-4370250</t>
  </si>
  <si>
    <t>ht.casan@oamarukindergarten.co.nz</t>
  </si>
  <si>
    <t>Raglan Street</t>
  </si>
  <si>
    <t>Oamaru</t>
  </si>
  <si>
    <t>Waitaki District</t>
  </si>
  <si>
    <t>Otago Region</t>
  </si>
  <si>
    <t>Otago, Southland</t>
  </si>
  <si>
    <t>Oamaru North Orana Park</t>
  </si>
  <si>
    <t>Oamaru Ward</t>
  </si>
  <si>
    <t>Julie Craig</t>
  </si>
  <si>
    <t>209-211 Thames St</t>
  </si>
  <si>
    <t>Oamaru 9400</t>
  </si>
  <si>
    <t>03-4342422</t>
  </si>
  <si>
    <t>Holmes Kindergarten</t>
  </si>
  <si>
    <t>03-4346437</t>
  </si>
  <si>
    <t>ht.holmes@oamarukindergarten.co.nz</t>
  </si>
  <si>
    <t>34 A Stuart Street</t>
  </si>
  <si>
    <t>Holmes Hill</t>
  </si>
  <si>
    <t>Edna McCulloch Kindergarten</t>
  </si>
  <si>
    <t>03-4348343</t>
  </si>
  <si>
    <t>ht.ednam@oamarukindergarten.co.nz</t>
  </si>
  <si>
    <t>12 Arun Street</t>
  </si>
  <si>
    <t>South Hill</t>
  </si>
  <si>
    <t>Kidsfirst Kindergartens Alexandra</t>
  </si>
  <si>
    <t>03-4488655</t>
  </si>
  <si>
    <t>alexandra@kidsfirst.org.nz</t>
  </si>
  <si>
    <t>3 Ventry Street</t>
  </si>
  <si>
    <t>Alexandra</t>
  </si>
  <si>
    <t>Central Otago District</t>
  </si>
  <si>
    <t>Southland</t>
  </si>
  <si>
    <t>Alexandra South</t>
  </si>
  <si>
    <t>Vincent Ward</t>
  </si>
  <si>
    <t>Dunstan Community of Learning</t>
  </si>
  <si>
    <t>Kidsfirst Kindergartens Cromwell</t>
  </si>
  <si>
    <t>03-4450530</t>
  </si>
  <si>
    <t>cromwell@kidsfirst.org.nz</t>
  </si>
  <si>
    <t>25 Gilling Place</t>
  </si>
  <si>
    <t>Cromwell</t>
  </si>
  <si>
    <t>Cromwell West</t>
  </si>
  <si>
    <t>Cromwell Ward</t>
  </si>
  <si>
    <t>Te Kāhui Ako o Ngā Awanui</t>
  </si>
  <si>
    <t>Kidsfirst Kindergartens Terrace</t>
  </si>
  <si>
    <t>03-4487291</t>
  </si>
  <si>
    <t>terrace@kidsfirst.org.nz</t>
  </si>
  <si>
    <t>74 Russell Street</t>
  </si>
  <si>
    <t>Alexandra North</t>
  </si>
  <si>
    <t>Abbotsford Kindergarten</t>
  </si>
  <si>
    <t>03-4882021</t>
  </si>
  <si>
    <t>13 Neill Street</t>
  </si>
  <si>
    <t>Abbotsford</t>
  </si>
  <si>
    <t>Dunedin</t>
  </si>
  <si>
    <t>Dunedin City</t>
  </si>
  <si>
    <t>Taieri</t>
  </si>
  <si>
    <t>Nicola Hogg</t>
  </si>
  <si>
    <t>81 Forbury Road</t>
  </si>
  <si>
    <t>Saint Clair</t>
  </si>
  <si>
    <t>Dunedin 9012</t>
  </si>
  <si>
    <t>027-2248540</t>
  </si>
  <si>
    <t>Bayfield Kindergarten</t>
  </si>
  <si>
    <t>03-4550038</t>
  </si>
  <si>
    <t>2 Bayfield Road</t>
  </si>
  <si>
    <t>Andersons Bay</t>
  </si>
  <si>
    <t>Musselburgh</t>
  </si>
  <si>
    <t>Brockville Kindergarten</t>
  </si>
  <si>
    <t>03-4762201</t>
  </si>
  <si>
    <t>255 Brockville Road</t>
  </si>
  <si>
    <t>Brockville</t>
  </si>
  <si>
    <t>Concord Kindergarten</t>
  </si>
  <si>
    <t>03-4876704</t>
  </si>
  <si>
    <t>93 Mulford Street</t>
  </si>
  <si>
    <t>Concord</t>
  </si>
  <si>
    <t>Corstorphine Kindergarten</t>
  </si>
  <si>
    <t>03-4878295</t>
  </si>
  <si>
    <t>10 Lockerbie Street</t>
  </si>
  <si>
    <t>Corstorphine</t>
  </si>
  <si>
    <t>Grants Braes Kindergarten</t>
  </si>
  <si>
    <t>03-4543407</t>
  </si>
  <si>
    <t>100 Belford Street</t>
  </si>
  <si>
    <t>Waverley (Dunedin City)</t>
  </si>
  <si>
    <t>Green Island Kindergarten</t>
  </si>
  <si>
    <t>03-4883094</t>
  </si>
  <si>
    <t>20 Howden Street</t>
  </si>
  <si>
    <t>Green Island</t>
  </si>
  <si>
    <t>Halfway Bush Kindergarten</t>
  </si>
  <si>
    <t>03-4764544</t>
  </si>
  <si>
    <t>41 Salmond Street</t>
  </si>
  <si>
    <t>Halfway Bush</t>
  </si>
  <si>
    <t>Helen Deem Kindergarten</t>
  </si>
  <si>
    <t>03-4557093</t>
  </si>
  <si>
    <t>St Clair</t>
  </si>
  <si>
    <t>Forbury</t>
  </si>
  <si>
    <t>Jonathan Rhodes Kindergarten</t>
  </si>
  <si>
    <t>03-4739107</t>
  </si>
  <si>
    <t>336 North Road</t>
  </si>
  <si>
    <t>North East Valley</t>
  </si>
  <si>
    <t>North East Valley Chingford</t>
  </si>
  <si>
    <t>Otepoti ki Te Raki - Community of Learning Dunedin</t>
  </si>
  <si>
    <t>Kaikorai Kindergarten</t>
  </si>
  <si>
    <t>03-4764496</t>
  </si>
  <si>
    <t>7 Greenock Street</t>
  </si>
  <si>
    <t>Kaikorai</t>
  </si>
  <si>
    <t>Wakari</t>
  </si>
  <si>
    <t>Kelsey-Yaralla Kindergarten</t>
  </si>
  <si>
    <t>03-4776674</t>
  </si>
  <si>
    <t>4 Trent Avenue</t>
  </si>
  <si>
    <t>Dunedin North</t>
  </si>
  <si>
    <t>Campus South</t>
  </si>
  <si>
    <t>Port Chalmers Kindergarten</t>
  </si>
  <si>
    <t>03-4728696</t>
  </si>
  <si>
    <t>30 b Albertson Avenue</t>
  </si>
  <si>
    <t>Port Chalmers</t>
  </si>
  <si>
    <t>Rachel Reynolds Kindergarten</t>
  </si>
  <si>
    <t>03-4551226</t>
  </si>
  <si>
    <t>175 Macandrew Road</t>
  </si>
  <si>
    <t>South Dunedin</t>
  </si>
  <si>
    <t>Richard Hudson Kindergarten</t>
  </si>
  <si>
    <t>03-4558565</t>
  </si>
  <si>
    <t>42 Rutherford  Street</t>
  </si>
  <si>
    <t>Caversham</t>
  </si>
  <si>
    <t>Roslyn Kindergarten (Dunedin)</t>
  </si>
  <si>
    <t>03-4774409</t>
  </si>
  <si>
    <t>69 Highgate</t>
  </si>
  <si>
    <t>Belleknowes</t>
  </si>
  <si>
    <t>Rotary Park Kindergarten</t>
  </si>
  <si>
    <t>03-4544238</t>
  </si>
  <si>
    <t>289 Highcliff Road</t>
  </si>
  <si>
    <t>Shiel Hill</t>
  </si>
  <si>
    <t>St Kilda Kindergarten</t>
  </si>
  <si>
    <t>03-4554442</t>
  </si>
  <si>
    <t>47 Victoria Road</t>
  </si>
  <si>
    <t>St Kilda</t>
  </si>
  <si>
    <t>St Kilda North</t>
  </si>
  <si>
    <t>Wakari Kindergarten</t>
  </si>
  <si>
    <t>03-4667677</t>
  </si>
  <si>
    <t>136 Lynn Street</t>
  </si>
  <si>
    <t>Mosgiel Central Kindergarten</t>
  </si>
  <si>
    <t>03-4897134</t>
  </si>
  <si>
    <t>3 Irvine Street</t>
  </si>
  <si>
    <t>Mosgiel</t>
  </si>
  <si>
    <t>Mosgiel Central</t>
  </si>
  <si>
    <t>Reid Park Kindergarten</t>
  </si>
  <si>
    <t>03-4895515</t>
  </si>
  <si>
    <t>63 Murray Street</t>
  </si>
  <si>
    <t>Seddon Park</t>
  </si>
  <si>
    <t>Balclutha Kindergarten</t>
  </si>
  <si>
    <t>03-418 0330</t>
  </si>
  <si>
    <t>balclutha@wmkindergartens.org.nz</t>
  </si>
  <si>
    <t>1 Lanark Street</t>
  </si>
  <si>
    <t>Balclutha</t>
  </si>
  <si>
    <t>Clutha District</t>
  </si>
  <si>
    <t>Balclutha South</t>
  </si>
  <si>
    <t>Balclutha Ward</t>
  </si>
  <si>
    <t>Gillian Crawford</t>
  </si>
  <si>
    <t>03-4182043</t>
  </si>
  <si>
    <t>Big River Kāhui Ako</t>
  </si>
  <si>
    <t>Rosebank Kindergarten</t>
  </si>
  <si>
    <t>03-418 2670</t>
  </si>
  <si>
    <t>rosebank@wmkindergartens.org.nz</t>
  </si>
  <si>
    <t>14 Naish Street</t>
  </si>
  <si>
    <t>Bluff Kindergarten</t>
  </si>
  <si>
    <t>03-2128674</t>
  </si>
  <si>
    <t>bluffk@ska.co.nz</t>
  </si>
  <si>
    <t>144 Foyle Street</t>
  </si>
  <si>
    <t>Bluff</t>
  </si>
  <si>
    <t>Invercargill City</t>
  </si>
  <si>
    <t>Southland Region</t>
  </si>
  <si>
    <t>Invercargill</t>
  </si>
  <si>
    <t>Patrick Edwards</t>
  </si>
  <si>
    <t>P O Box 1362</t>
  </si>
  <si>
    <t>Invercargill 9840</t>
  </si>
  <si>
    <t>03-2140237</t>
  </si>
  <si>
    <t>Clarendon Kindergarten</t>
  </si>
  <si>
    <t>03-2169664</t>
  </si>
  <si>
    <t>clarendonk@ska.co.nz</t>
  </si>
  <si>
    <t>30 Waiau Place</t>
  </si>
  <si>
    <t>Kingswell</t>
  </si>
  <si>
    <t>Invercargill Community of Learning</t>
  </si>
  <si>
    <t>Elsie Street Kindergarten</t>
  </si>
  <si>
    <t>03-2086575</t>
  </si>
  <si>
    <t>elsiestreet@ska.co.nz</t>
  </si>
  <si>
    <t>6 Elsie Street</t>
  </si>
  <si>
    <t>Gore</t>
  </si>
  <si>
    <t>Gore District</t>
  </si>
  <si>
    <t>Gore Main</t>
  </si>
  <si>
    <t>Gore Ward</t>
  </si>
  <si>
    <t>Eastern Southland Kāhui Ako</t>
  </si>
  <si>
    <t>Elston Lea Kindergarten</t>
  </si>
  <si>
    <t>03-2168801</t>
  </si>
  <si>
    <t>elstonleak@ska.co.nz</t>
  </si>
  <si>
    <t>40 Iona Court</t>
  </si>
  <si>
    <t>Strathern</t>
  </si>
  <si>
    <t>Fiordland Kindergarten</t>
  </si>
  <si>
    <t>03-2497585</t>
  </si>
  <si>
    <t>9 Gunn Street</t>
  </si>
  <si>
    <t>Te Anau</t>
  </si>
  <si>
    <t>Southland District</t>
  </si>
  <si>
    <t>Te Ānau</t>
  </si>
  <si>
    <t>Mararoa Waimea Ward</t>
  </si>
  <si>
    <t>FINS CoL</t>
  </si>
  <si>
    <t>Glengarry Kindergarten</t>
  </si>
  <si>
    <t>03-2174461</t>
  </si>
  <si>
    <t>glengarryk@ska.co.nz</t>
  </si>
  <si>
    <t>116 Derwent Crescent</t>
  </si>
  <si>
    <t>Glengarry</t>
  </si>
  <si>
    <t>Grasmere Kindergarten</t>
  </si>
  <si>
    <t>03-2159292</t>
  </si>
  <si>
    <t>grasmerek@ska.co.nz</t>
  </si>
  <si>
    <t>90 Heywood Street</t>
  </si>
  <si>
    <t>Prestonville-Grasmere</t>
  </si>
  <si>
    <t>Kew Kindergarten</t>
  </si>
  <si>
    <t>03-2184243</t>
  </si>
  <si>
    <t>kewk@ska.co.nz</t>
  </si>
  <si>
    <t>51 Selwyn Street</t>
  </si>
  <si>
    <t>Appleby South (Invercargill City)</t>
  </si>
  <si>
    <t>Lindisfarne Kindergarten</t>
  </si>
  <si>
    <t>03-2179467</t>
  </si>
  <si>
    <t>lindis@ska.co.nz</t>
  </si>
  <si>
    <t>34 Mitchell Street</t>
  </si>
  <si>
    <t>Richmond (Invercargill City)</t>
  </si>
  <si>
    <t>Newfield Kindergarten</t>
  </si>
  <si>
    <t>03-2168743</t>
  </si>
  <si>
    <t>newfieldk@ska.co.nz</t>
  </si>
  <si>
    <t>150 Centre Street</t>
  </si>
  <si>
    <t>Newfield</t>
  </si>
  <si>
    <t>Otatara Kindergarten</t>
  </si>
  <si>
    <t>03-2130737</t>
  </si>
  <si>
    <t>otatarak@ska.co.nz</t>
  </si>
  <si>
    <t>140 Dunns Road</t>
  </si>
  <si>
    <t>Otatara</t>
  </si>
  <si>
    <t>Oxford Kindergarten</t>
  </si>
  <si>
    <t>03-2084147</t>
  </si>
  <si>
    <t>oxford.kindy@ska.co.nz</t>
  </si>
  <si>
    <t>16 Oxford Street</t>
  </si>
  <si>
    <t>East Gore</t>
  </si>
  <si>
    <t>Ranui Kindergarten (Invercargill)</t>
  </si>
  <si>
    <t>03-2169355</t>
  </si>
  <si>
    <t>ranuik@ska.co.nz</t>
  </si>
  <si>
    <t>288 Nelson Street</t>
  </si>
  <si>
    <t>Riverton Kindergarten</t>
  </si>
  <si>
    <t>03-2348224</t>
  </si>
  <si>
    <t>rivertonkindy@ska.co.nz</t>
  </si>
  <si>
    <t>120 Havelock Street</t>
  </si>
  <si>
    <t>Riverton</t>
  </si>
  <si>
    <t>Waiau Aparima Ward</t>
  </si>
  <si>
    <t>Waikiwi Kindergarten</t>
  </si>
  <si>
    <t>03-2158297</t>
  </si>
  <si>
    <t>waikiwi@ska.co.nz</t>
  </si>
  <si>
    <t>Durham Street</t>
  </si>
  <si>
    <t>Waikiwi</t>
  </si>
  <si>
    <t>Waverley Kindergarten</t>
  </si>
  <si>
    <t>03-2177080</t>
  </si>
  <si>
    <t>waverley@ska.co.nz</t>
  </si>
  <si>
    <t>195 George Street</t>
  </si>
  <si>
    <t>Windsor</t>
  </si>
  <si>
    <t>Winton Kindergarten</t>
  </si>
  <si>
    <t>03-2368058</t>
  </si>
  <si>
    <t>wintonk@ska.co.nz</t>
  </si>
  <si>
    <t>183 Park Street</t>
  </si>
  <si>
    <t>Winton</t>
  </si>
  <si>
    <t>Oreti Ward</t>
  </si>
  <si>
    <t>South End Kindergarten</t>
  </si>
  <si>
    <t>06-379 7723</t>
  </si>
  <si>
    <t>High Street South</t>
  </si>
  <si>
    <t>Follett Street Kindergarten</t>
  </si>
  <si>
    <t>06-3277370</t>
  </si>
  <si>
    <t>follettstreet@ruahinekindergartens.org.nz</t>
  </si>
  <si>
    <t>Follett Street</t>
  </si>
  <si>
    <t>Marton North</t>
  </si>
  <si>
    <t>Milverton Kindergarten</t>
  </si>
  <si>
    <t>06-3578523</t>
  </si>
  <si>
    <t>milverton@ruahinekindergartens.org.nz</t>
  </si>
  <si>
    <t>120 Victoria Avenue</t>
  </si>
  <si>
    <t>Milverton</t>
  </si>
  <si>
    <t>Kidsfirst Kindergartens Belfast</t>
  </si>
  <si>
    <t>03-3237027</t>
  </si>
  <si>
    <t>672 Main North Road</t>
  </si>
  <si>
    <t>Belfast</t>
  </si>
  <si>
    <t>Belfast East</t>
  </si>
  <si>
    <t>Lees Street Kindergarten</t>
  </si>
  <si>
    <t>03-2186680</t>
  </si>
  <si>
    <t>leesstreet@ska.co.nz</t>
  </si>
  <si>
    <t>75 Lees Street</t>
  </si>
  <si>
    <t>Gladstone (Invercargill City)</t>
  </si>
  <si>
    <t>Adventure Kindergarten</t>
  </si>
  <si>
    <t>04-234 8022</t>
  </si>
  <si>
    <t>adventure@wmkindergartens.org.nz</t>
  </si>
  <si>
    <t>18 Longitude Place</t>
  </si>
  <si>
    <t>Whangaparaoa Kindergarten</t>
  </si>
  <si>
    <t>09-424 5130</t>
  </si>
  <si>
    <t>whangaparaoa@kaitiakikindergartens.org.nz</t>
  </si>
  <si>
    <t>7 Motutapu Avenue</t>
  </si>
  <si>
    <t>Whangaparaoa</t>
  </si>
  <si>
    <t>Manly East</t>
  </si>
  <si>
    <t>Carlyle Kindergarten</t>
  </si>
  <si>
    <t>06-8353952</t>
  </si>
  <si>
    <t>carlylekgtn@napierkindergartens.co.nz</t>
  </si>
  <si>
    <t>113 Thackeray Street</t>
  </si>
  <si>
    <t>Napier South</t>
  </si>
  <si>
    <t>Nelson Park</t>
  </si>
  <si>
    <t>Frankleigh Park Kindergarten</t>
  </si>
  <si>
    <t>06-7536373</t>
  </si>
  <si>
    <t>frankleighpark@kindergartentaranaki.co.nz</t>
  </si>
  <si>
    <t>147A Govett Avenue</t>
  </si>
  <si>
    <t>Frankleigh Park</t>
  </si>
  <si>
    <t>John Street Kindergarten</t>
  </si>
  <si>
    <t>Waimate</t>
  </si>
  <si>
    <t>Waimate East</t>
  </si>
  <si>
    <t>Waimate Ward</t>
  </si>
  <si>
    <t>Fanau Pasifika</t>
  </si>
  <si>
    <t>06-368 5041</t>
  </si>
  <si>
    <t>fanaupasifika@wmkindergartens.org.nz</t>
  </si>
  <si>
    <t>76 A Cambridge Street</t>
  </si>
  <si>
    <t>Pacific ECE Service centre</t>
  </si>
  <si>
    <t>Levin Central</t>
  </si>
  <si>
    <t>Kidsfirst Kindergartens Halswell</t>
  </si>
  <si>
    <t>03-3228546</t>
  </si>
  <si>
    <t>Halswell Domain Halswell Road</t>
  </si>
  <si>
    <t>Halswell North</t>
  </si>
  <si>
    <t>Holborn Kindergarten</t>
  </si>
  <si>
    <t>04-9209818</t>
  </si>
  <si>
    <t>holborn@huttkindergartens.org.nz</t>
  </si>
  <si>
    <t>158 Holborn Drive</t>
  </si>
  <si>
    <t>Oaktree Kindergarten</t>
  </si>
  <si>
    <t>09-4795979</t>
  </si>
  <si>
    <t>oaktree@kaitiakikindergartens.org.nz</t>
  </si>
  <si>
    <t>1 Palliser Lane</t>
  </si>
  <si>
    <t>Browns Bay South West</t>
  </si>
  <si>
    <t>Kidsfirst Kindergartens Lincoln</t>
  </si>
  <si>
    <t>03-325 2700</t>
  </si>
  <si>
    <t>Boundary Road</t>
  </si>
  <si>
    <t>Lincoln</t>
  </si>
  <si>
    <t>Lincoln West</t>
  </si>
  <si>
    <t>Springs Ward</t>
  </si>
  <si>
    <t>Ngā Mātāpuna o Ngā Pakihi Community of Learning</t>
  </si>
  <si>
    <t>Kidsfirst Kindergartens Broomfield</t>
  </si>
  <si>
    <t>03-3427136</t>
  </si>
  <si>
    <t>15 Pensacola Crescent</t>
  </si>
  <si>
    <t>Broomfield</t>
  </si>
  <si>
    <t>Kerikeri Kindergarten</t>
  </si>
  <si>
    <t>09-4079639</t>
  </si>
  <si>
    <t>Hone Heke Road</t>
  </si>
  <si>
    <t>Kerikeri</t>
  </si>
  <si>
    <t>Kerikeri Central</t>
  </si>
  <si>
    <t>Grasslands Kindergarten</t>
  </si>
  <si>
    <t>07-8472908</t>
  </si>
  <si>
    <t>17 Karen Crescent</t>
  </si>
  <si>
    <t>Kahikatea</t>
  </si>
  <si>
    <t>Waihi Kindergarten</t>
  </si>
  <si>
    <t>07-8637117</t>
  </si>
  <si>
    <t>waihi@ikindergartens.nz</t>
  </si>
  <si>
    <t>Gladstone Road</t>
  </si>
  <si>
    <t>Waihi</t>
  </si>
  <si>
    <t>Waihī East</t>
  </si>
  <si>
    <t>Waihi Ward</t>
  </si>
  <si>
    <t>Waihi Kāhui Ako</t>
  </si>
  <si>
    <t>Betty Montford Kindergarten</t>
  </si>
  <si>
    <t>06-368 8405</t>
  </si>
  <si>
    <t>bettymontford@wmkindergartens.org.nz</t>
  </si>
  <si>
    <t>46 York Street</t>
  </si>
  <si>
    <t>Kawiu South</t>
  </si>
  <si>
    <t>Oranga Kindergarten</t>
  </si>
  <si>
    <t>09-5797654</t>
  </si>
  <si>
    <t>oranga@aka.org.nz</t>
  </si>
  <si>
    <t>48 A Waitangi Road</t>
  </si>
  <si>
    <t>Oranga</t>
  </si>
  <si>
    <t>Springlands Kindergarten</t>
  </si>
  <si>
    <t>03-579 3362</t>
  </si>
  <si>
    <t>springlands@mka.org.nz</t>
  </si>
  <si>
    <t xml:space="preserve"> 12 Murphys Road</t>
  </si>
  <si>
    <t>Springlands</t>
  </si>
  <si>
    <t>Albany Kindergarten</t>
  </si>
  <si>
    <t>09-415 9517</t>
  </si>
  <si>
    <t>albany@kaitiakikindergartens.org.nz</t>
  </si>
  <si>
    <t>4 Bass Road</t>
  </si>
  <si>
    <t>Albany</t>
  </si>
  <si>
    <t>Albany West</t>
  </si>
  <si>
    <t>Laingholm Kindergarten</t>
  </si>
  <si>
    <t>09-8174372</t>
  </si>
  <si>
    <t>laingholm@aka.org.nz</t>
  </si>
  <si>
    <t>436 A Huia Road</t>
  </si>
  <si>
    <t>Laingholm</t>
  </si>
  <si>
    <t>Taupaki Kindergarten</t>
  </si>
  <si>
    <t>09-8109005</t>
  </si>
  <si>
    <t>taupaki@aka.org.nz</t>
  </si>
  <si>
    <t>20 Cottles Road</t>
  </si>
  <si>
    <t>Taupaki</t>
  </si>
  <si>
    <t>Avenues Kindergarten</t>
  </si>
  <si>
    <t>07-5784481</t>
  </si>
  <si>
    <t>avenues@ikindergartens.nz</t>
  </si>
  <si>
    <t>27 Botanical Road</t>
  </si>
  <si>
    <t>Tauranga South</t>
  </si>
  <si>
    <t>Fraser Cove</t>
  </si>
  <si>
    <t>Te Papa General Ward</t>
  </si>
  <si>
    <t>Riverdale Kindergarten (Gisborne)</t>
  </si>
  <si>
    <t>06-8676948</t>
  </si>
  <si>
    <t>river.dale@xtra.co.nz</t>
  </si>
  <si>
    <t>Stout Street</t>
  </si>
  <si>
    <t>Riverdale</t>
  </si>
  <si>
    <t>Eskview Kindergarten</t>
  </si>
  <si>
    <t>06-8366256</t>
  </si>
  <si>
    <t>eskviewkgtn@napierkindergartens.co.nz</t>
  </si>
  <si>
    <t>11 Petane Road</t>
  </si>
  <si>
    <t>Bay View-Napier/Hastings</t>
  </si>
  <si>
    <t>Bay View (Napier City)</t>
  </si>
  <si>
    <t>Ahuriri Ward</t>
  </si>
  <si>
    <t>Bream Bay Kindergarten</t>
  </si>
  <si>
    <t>09-4328096</t>
  </si>
  <si>
    <t>Peter Snell Road</t>
  </si>
  <si>
    <t>Ruakaka-Whangarei</t>
  </si>
  <si>
    <t>Ruakākā</t>
  </si>
  <si>
    <t>Bream Bay Kāhui Ako</t>
  </si>
  <si>
    <t>Victory Square Kindergarten</t>
  </si>
  <si>
    <t>03-546 9633</t>
  </si>
  <si>
    <t>victorysquarekindergarten@ntk.org.nz</t>
  </si>
  <si>
    <t>166 St Vincent Street</t>
  </si>
  <si>
    <t>Washington</t>
  </si>
  <si>
    <t>Birdwood Kindergarten</t>
  </si>
  <si>
    <t>09-8325700</t>
  </si>
  <si>
    <t>birdwood@aka.org.nz</t>
  </si>
  <si>
    <t>21 Karepo Crescent</t>
  </si>
  <si>
    <t>Rānui North</t>
  </si>
  <si>
    <t>Chelsea Kindergarten</t>
  </si>
  <si>
    <t>09-480 7332</t>
  </si>
  <si>
    <t>chelsea@aka.org.nz</t>
  </si>
  <si>
    <t>62 Balmain Road</t>
  </si>
  <si>
    <t>Chatswood</t>
  </si>
  <si>
    <t>Waiheke Island Kindergarten</t>
  </si>
  <si>
    <t>09-372 8478</t>
  </si>
  <si>
    <t>waiheke@aka.org.nz</t>
  </si>
  <si>
    <t>Donald Bruce Road</t>
  </si>
  <si>
    <t>Surfdale</t>
  </si>
  <si>
    <t>Waiheke Island</t>
  </si>
  <si>
    <t>Auckland - Waiheke</t>
  </si>
  <si>
    <t>Waiheke Kāhui Ako</t>
  </si>
  <si>
    <t>Papamoa Free Kindergarten</t>
  </si>
  <si>
    <t>07-5421865</t>
  </si>
  <si>
    <t>papamoa@ikindergartens.nz</t>
  </si>
  <si>
    <t>27 Doncaster Drive</t>
  </si>
  <si>
    <t>Papamoa</t>
  </si>
  <si>
    <t>Doncaster</t>
  </si>
  <si>
    <t>Pāpāmoa General Ward</t>
  </si>
  <si>
    <t>Te Waka Hourua o Pāpāmoa</t>
  </si>
  <si>
    <t>Waitakere Kindergarten</t>
  </si>
  <si>
    <t>09-8108180</t>
  </si>
  <si>
    <t>waitakere@aka.org.nz</t>
  </si>
  <si>
    <t>12 Township Road</t>
  </si>
  <si>
    <t>Waitākere</t>
  </si>
  <si>
    <t>Crawshaw Kindergarten</t>
  </si>
  <si>
    <t>07-8495656</t>
  </si>
  <si>
    <t>Crawshaw Drive</t>
  </si>
  <si>
    <t>Crawshaw</t>
  </si>
  <si>
    <t>Katikati Free Kindergarten</t>
  </si>
  <si>
    <t>07-5490084</t>
  </si>
  <si>
    <t>katikati@ikindergartens.nz</t>
  </si>
  <si>
    <t>Fairview Road</t>
  </si>
  <si>
    <t>Katikati</t>
  </si>
  <si>
    <t>Katikati South</t>
  </si>
  <si>
    <t>Katikati-Waihi Beach Ward</t>
  </si>
  <si>
    <t>Manukau Central Kindergarten</t>
  </si>
  <si>
    <t>09-2620572</t>
  </si>
  <si>
    <t>23 Inverell Avenue</t>
  </si>
  <si>
    <t>Wiri</t>
  </si>
  <si>
    <t>Wiri North</t>
  </si>
  <si>
    <t>Pencarrow Kindergarten</t>
  </si>
  <si>
    <t>04-9209828</t>
  </si>
  <si>
    <t>pencarrow@huttkindergartens.org.nz</t>
  </si>
  <si>
    <t>63 Antrim Crescent</t>
  </si>
  <si>
    <t>Makino Kindergarten</t>
  </si>
  <si>
    <t>06-3234633</t>
  </si>
  <si>
    <t>makino@ruahinekindergartens.org.nz</t>
  </si>
  <si>
    <t>58 Lethbridge Street</t>
  </si>
  <si>
    <t>Makino</t>
  </si>
  <si>
    <t>Waiwhetu Kindergarten</t>
  </si>
  <si>
    <t>04-9209836</t>
  </si>
  <si>
    <t>waiwhetu@huttkindergartens.org.nz</t>
  </si>
  <si>
    <t>2/30 Grenville Street</t>
  </si>
  <si>
    <t>Waiwhetu North</t>
  </si>
  <si>
    <t>Tuakau Kindergarten</t>
  </si>
  <si>
    <t>Buckland Road</t>
  </si>
  <si>
    <t>Tuakau</t>
  </si>
  <si>
    <t>Tuakau South</t>
  </si>
  <si>
    <t>Tuakau-Pōkeno General Ward</t>
  </si>
  <si>
    <t>Aorere Kindergarten</t>
  </si>
  <si>
    <t>09-2794 269</t>
  </si>
  <si>
    <t>aorere@aka.org.nz</t>
  </si>
  <si>
    <t>43 Chantelle Place</t>
  </si>
  <si>
    <t>Aorere South East</t>
  </si>
  <si>
    <t>Central Kids Kindergartens - Rushton Road</t>
  </si>
  <si>
    <t>rushtonrd@centralkids.org.nz</t>
  </si>
  <si>
    <t>20 Rushton Road</t>
  </si>
  <si>
    <t>Morrinsville West</t>
  </si>
  <si>
    <t>Central Kids Kindergartens - Mercury Bay</t>
  </si>
  <si>
    <t>mercurybay@centralkids.org.nz</t>
  </si>
  <si>
    <t>Eyre Street</t>
  </si>
  <si>
    <t>Whitianga</t>
  </si>
  <si>
    <t>Whitianga South</t>
  </si>
  <si>
    <t>Mercury Bay Ward</t>
  </si>
  <si>
    <t>Coromandel Community of Learning</t>
  </si>
  <si>
    <t>Kidsfirst Kindergartens Wakatipu</t>
  </si>
  <si>
    <t>03-4426236</t>
  </si>
  <si>
    <t>wakatipu@kidsfirst.org.nz</t>
  </si>
  <si>
    <t>Brecon Street</t>
  </si>
  <si>
    <t>Queenstown</t>
  </si>
  <si>
    <t>Queenstown-Lakes District</t>
  </si>
  <si>
    <t>Warren Park</t>
  </si>
  <si>
    <t>Queenstown-Whakatipu Ward</t>
  </si>
  <si>
    <t>Rockdale Park Kindergarten</t>
  </si>
  <si>
    <t>03-2160011</t>
  </si>
  <si>
    <t>rockdale@ska.co.nz</t>
  </si>
  <si>
    <t>18 Farrar Street</t>
  </si>
  <si>
    <t>Heidelberg</t>
  </si>
  <si>
    <t>Kaiti Kindergarten</t>
  </si>
  <si>
    <t>06-8676597</t>
  </si>
  <si>
    <t>kaiti.kgtn@xtra.co.nz</t>
  </si>
  <si>
    <t>517 Wainui Road</t>
  </si>
  <si>
    <t>Kaiti South</t>
  </si>
  <si>
    <t>Kidsfirst Kindergartens Hawthornden Road</t>
  </si>
  <si>
    <t>03-3582915</t>
  </si>
  <si>
    <t>146 Hawthornden Road</t>
  </si>
  <si>
    <t>Avonhead West</t>
  </si>
  <si>
    <t>Central Kids Kindergartens - Ngātea</t>
  </si>
  <si>
    <t>ngatea@centralkids.org.nz</t>
  </si>
  <si>
    <t>27 River Road</t>
  </si>
  <si>
    <t>Ngatea</t>
  </si>
  <si>
    <t>Plains Ward</t>
  </si>
  <si>
    <t>Hauraki Community of Learning</t>
  </si>
  <si>
    <t>Pigeon Mountain Kindergarten</t>
  </si>
  <si>
    <t>09-537 0083</t>
  </si>
  <si>
    <t>pigeonmountain@aka.org.nz</t>
  </si>
  <si>
    <t>64 Pigeon Mountain Road</t>
  </si>
  <si>
    <t>Half Moon Bay North East</t>
  </si>
  <si>
    <t>Renwick Kindergarten</t>
  </si>
  <si>
    <t>03-5729888</t>
  </si>
  <si>
    <t>renwick@mka.org.nz</t>
  </si>
  <si>
    <t>11 Clyde Street</t>
  </si>
  <si>
    <t>Renwick</t>
  </si>
  <si>
    <t>Wairau-Awatere General Ward</t>
  </si>
  <si>
    <t>Welcome Bay Free Kindergarten</t>
  </si>
  <si>
    <t>07-5441959</t>
  </si>
  <si>
    <t>welcomebay@ikindergartens.nz</t>
  </si>
  <si>
    <t>15 Portland Street</t>
  </si>
  <si>
    <t>Welcome Bay</t>
  </si>
  <si>
    <t>Welcome Bay West</t>
  </si>
  <si>
    <t>Milton Kindergarten</t>
  </si>
  <si>
    <t>03-417 4290</t>
  </si>
  <si>
    <t>milton@wmkindergartens.org.nz</t>
  </si>
  <si>
    <t>20A Coronation Court</t>
  </si>
  <si>
    <t>Milton</t>
  </si>
  <si>
    <t>Bruce Ward</t>
  </si>
  <si>
    <t>Tokomairiro Kāhui Ako</t>
  </si>
  <si>
    <t>Conifer Grove Kindergarten</t>
  </si>
  <si>
    <t>09-2997941</t>
  </si>
  <si>
    <t>70 Walter Strevens Drive</t>
  </si>
  <si>
    <t>Conifer Grove</t>
  </si>
  <si>
    <t>Conifer Grove West</t>
  </si>
  <si>
    <t>Maraetai Beachlands Kindergarten</t>
  </si>
  <si>
    <t>09-536 6934</t>
  </si>
  <si>
    <t>maraetaibeachlands@aka.org.nz</t>
  </si>
  <si>
    <t>39 A Craig Road</t>
  </si>
  <si>
    <t>Maraetai</t>
  </si>
  <si>
    <t>Kaitake Kindergarten</t>
  </si>
  <si>
    <t>06-7527016</t>
  </si>
  <si>
    <t>kaitake@kindergartentaranaki.co.nz</t>
  </si>
  <si>
    <t>2 Mckellar Street</t>
  </si>
  <si>
    <t>Oakura</t>
  </si>
  <si>
    <t>Ōakura</t>
  </si>
  <si>
    <t>Greenhithe Kindergarten</t>
  </si>
  <si>
    <t>09-413 9171</t>
  </si>
  <si>
    <t>greenhithe@aka.org.nz</t>
  </si>
  <si>
    <t>10 Isobel Road</t>
  </si>
  <si>
    <t>Greenhithe</t>
  </si>
  <si>
    <t>Greenhithe West</t>
  </si>
  <si>
    <t>Wesley Kindergarten</t>
  </si>
  <si>
    <t>09-620 0702</t>
  </si>
  <si>
    <t>wesley@aka.org.nz</t>
  </si>
  <si>
    <t>26 A O'Donnell Avenue</t>
  </si>
  <si>
    <t>Wesley West</t>
  </si>
  <si>
    <t>Epsom North Kindergarten</t>
  </si>
  <si>
    <t>09-630 7539</t>
  </si>
  <si>
    <t>epsomnorth@aka.org.nz</t>
  </si>
  <si>
    <t>33 Kimberley Road</t>
  </si>
  <si>
    <t>Waiau Pa Kindergarten</t>
  </si>
  <si>
    <t>563 Waiau Pa Road</t>
  </si>
  <si>
    <t>Waiau Pa</t>
  </si>
  <si>
    <t>Karaka Creek</t>
  </si>
  <si>
    <t>Parakai Kindergarten</t>
  </si>
  <si>
    <t>09-420 8737</t>
  </si>
  <si>
    <t>parakai@kaitiakikindergartens.org.nz</t>
  </si>
  <si>
    <t>8 Fordyce Road</t>
  </si>
  <si>
    <t>Parakai</t>
  </si>
  <si>
    <t>Kidsfirst Kindergartens Frankton</t>
  </si>
  <si>
    <t>03-4422744</t>
  </si>
  <si>
    <t>frankton@kidsfirst.org.nz</t>
  </si>
  <si>
    <t>13 Robertson Street</t>
  </si>
  <si>
    <t>Frankton-Queenstown</t>
  </si>
  <si>
    <t>Karori Kindergarten</t>
  </si>
  <si>
    <t>04-476 3986</t>
  </si>
  <si>
    <t>karori@wmkindergartens.org.nz</t>
  </si>
  <si>
    <t>155 Campbell Street</t>
  </si>
  <si>
    <t>Somerville Kindergarten</t>
  </si>
  <si>
    <t>09-535 1675</t>
  </si>
  <si>
    <t>somerville@aka.org.nz</t>
  </si>
  <si>
    <t>84 A Clydesdale Avenue</t>
  </si>
  <si>
    <t>Somerville</t>
  </si>
  <si>
    <t>Waipaparoa Kāhui Ako</t>
  </si>
  <si>
    <t>BestStart Botany Road</t>
  </si>
  <si>
    <t>09-2738882</t>
  </si>
  <si>
    <t>botany@best-start.org</t>
  </si>
  <si>
    <t>293 Botany Road</t>
  </si>
  <si>
    <t>Golflands</t>
  </si>
  <si>
    <t>Education &amp; Care Service</t>
  </si>
  <si>
    <t>Jane  Burke</t>
  </si>
  <si>
    <t>P O Box 276177</t>
  </si>
  <si>
    <t>Manukau City</t>
  </si>
  <si>
    <t>South Auckland 2241</t>
  </si>
  <si>
    <t>09-2504136</t>
  </si>
  <si>
    <t>Hidden Treasures Early Learning Centre</t>
  </si>
  <si>
    <t>09-4441906</t>
  </si>
  <si>
    <t>richardhoek@westminster.school.nz</t>
  </si>
  <si>
    <t>31 Westminster Gardens</t>
  </si>
  <si>
    <t>Unsworth Heights</t>
  </si>
  <si>
    <t>Non-denominational</t>
  </si>
  <si>
    <t>Unsworth Heights West</t>
  </si>
  <si>
    <t>Richard Hoek</t>
  </si>
  <si>
    <t>North Shore City 0632</t>
  </si>
  <si>
    <t>Ki Atua hei te Kororia Kāhui Ako</t>
  </si>
  <si>
    <t>The Learning Lane</t>
  </si>
  <si>
    <t>09-8378992</t>
  </si>
  <si>
    <t>thelearninglane@xtra.co.nz</t>
  </si>
  <si>
    <t>96 Sturges Road</t>
  </si>
  <si>
    <t>Privately owned</t>
  </si>
  <si>
    <t>Jackie Peden</t>
  </si>
  <si>
    <t>Auckland 0612</t>
  </si>
  <si>
    <t>09-8333413</t>
  </si>
  <si>
    <t>Farm Friends Early Childhood Centre</t>
  </si>
  <si>
    <t>09-832 3602</t>
  </si>
  <si>
    <t>rhiannon.farmfriends@gmail.com</t>
  </si>
  <si>
    <t>51 Coulter Road</t>
  </si>
  <si>
    <t>Swanson</t>
  </si>
  <si>
    <t xml:space="preserve">Nature Education </t>
  </si>
  <si>
    <t>Swanson Rural</t>
  </si>
  <si>
    <t>Glynis Hibbott</t>
  </si>
  <si>
    <t>c/- Farm Friends ECC 51 Coulter Road</t>
  </si>
  <si>
    <t>Waitakere 0614</t>
  </si>
  <si>
    <t>09-8323 600</t>
  </si>
  <si>
    <t>Busy Bees Kerikeri Preschool</t>
  </si>
  <si>
    <t>09-4077700</t>
  </si>
  <si>
    <t>9 Lanark Road</t>
  </si>
  <si>
    <t>Karyn Connelly</t>
  </si>
  <si>
    <t>P O Box 628</t>
  </si>
  <si>
    <t>Whangaparaoa 0949</t>
  </si>
  <si>
    <t>Lambs Preschool Pukekohe</t>
  </si>
  <si>
    <t>09-238 4401</t>
  </si>
  <si>
    <t>leanne@lambspreschool.co.nz</t>
  </si>
  <si>
    <t>101 Victoria Street</t>
  </si>
  <si>
    <t>Pukekohe West</t>
  </si>
  <si>
    <t>Leanne Kirkham</t>
  </si>
  <si>
    <t>4 Willowbank Close</t>
  </si>
  <si>
    <t>East Tamaki</t>
  </si>
  <si>
    <t>Auckland 2016</t>
  </si>
  <si>
    <t>09-2384401</t>
  </si>
  <si>
    <t>City Impact Church Care and Education</t>
  </si>
  <si>
    <t>09-477 0300</t>
  </si>
  <si>
    <t>fran.bunting@cityimpactchurch.com</t>
  </si>
  <si>
    <t>794 East Coast Road</t>
  </si>
  <si>
    <t>Oteha East</t>
  </si>
  <si>
    <t>Francesca Bunting</t>
  </si>
  <si>
    <t>P O Box 35211</t>
  </si>
  <si>
    <t>Te Akonga Early Learning Centre</t>
  </si>
  <si>
    <t>09-2388 366</t>
  </si>
  <si>
    <t>admin@teakonga.org.nz</t>
  </si>
  <si>
    <t>71 Franklin Road</t>
  </si>
  <si>
    <t>Rooseville Park</t>
  </si>
  <si>
    <t xml:space="preserve">Vanessa Moloney </t>
  </si>
  <si>
    <t>South Auckland 2120</t>
  </si>
  <si>
    <t>09-238 8366</t>
  </si>
  <si>
    <t>Summerfield Early Learning Centre</t>
  </si>
  <si>
    <t>09-4156867</t>
  </si>
  <si>
    <t>info@summerfield.co.nz</t>
  </si>
  <si>
    <t>319 Rosedale Road</t>
  </si>
  <si>
    <t>North Harbour</t>
  </si>
  <si>
    <t>Angela Webb</t>
  </si>
  <si>
    <t>P O Box 65235</t>
  </si>
  <si>
    <t>Auckland 0754</t>
  </si>
  <si>
    <t>Clevedon Kindergarten</t>
  </si>
  <si>
    <t>09-2928378</t>
  </si>
  <si>
    <t>14 Monument Road</t>
  </si>
  <si>
    <t>Clevedon</t>
  </si>
  <si>
    <t>Play And Learn (King Street)</t>
  </si>
  <si>
    <t>09-2777872</t>
  </si>
  <si>
    <t>jan@playandlearn.net.nz</t>
  </si>
  <si>
    <t>4 King Street</t>
  </si>
  <si>
    <t>Puhinui North</t>
  </si>
  <si>
    <t>Janet Mary Beatson</t>
  </si>
  <si>
    <t>P O Box 203002</t>
  </si>
  <si>
    <t>South Auckland 2345</t>
  </si>
  <si>
    <t>09-2321981</t>
  </si>
  <si>
    <t>Starship Play Services: Outpatients</t>
  </si>
  <si>
    <t>Level 11, Support Building Auckland City Hospital, Park Road</t>
  </si>
  <si>
    <t>Grafton</t>
  </si>
  <si>
    <t>Hospital Based</t>
  </si>
  <si>
    <t>Hospital Play, Recreation Programme</t>
  </si>
  <si>
    <t>Nicola Woollaston</t>
  </si>
  <si>
    <t>Attn: Nicola Woollaston, Starship Play Sevices Outpatients, Level 11 Allied Health, Support building</t>
  </si>
  <si>
    <t>Auckland Hospital</t>
  </si>
  <si>
    <t>Auckland 1142</t>
  </si>
  <si>
    <t>09-3078987 Ext 25960</t>
  </si>
  <si>
    <t>Starship Play Service Day Stay and Intensive Care</t>
  </si>
  <si>
    <t>BestStart Marne Road Kindy</t>
  </si>
  <si>
    <t>09-2996696</t>
  </si>
  <si>
    <t>marne.kindy@best-start.org</t>
  </si>
  <si>
    <t>35 Marne Road</t>
  </si>
  <si>
    <t>Papakura Central</t>
  </si>
  <si>
    <t>BestStart Manuroa Road 1</t>
  </si>
  <si>
    <t>09-2961441</t>
  </si>
  <si>
    <t>manuroa@best-start.org</t>
  </si>
  <si>
    <t>14-18 Manuroa Road</t>
  </si>
  <si>
    <t>Takanini West</t>
  </si>
  <si>
    <t>Smoochie McGill Early Learning</t>
  </si>
  <si>
    <t>09-410 8803</t>
  </si>
  <si>
    <t>enquiries@smoochiemcgill.co.nz</t>
  </si>
  <si>
    <t>2 Santa Rosa Terrace</t>
  </si>
  <si>
    <t>Forrest Hill</t>
  </si>
  <si>
    <t>Forrest Hill North</t>
  </si>
  <si>
    <t>Tina Smith</t>
  </si>
  <si>
    <t>P O Box 404304</t>
  </si>
  <si>
    <t>Puhoi</t>
  </si>
  <si>
    <t>Auckland 0951</t>
  </si>
  <si>
    <t>Wee Wisdom Montessori Drury</t>
  </si>
  <si>
    <t>09-294 7978</t>
  </si>
  <si>
    <t>admindrury@weewisdommontessori.co.nz</t>
  </si>
  <si>
    <t>159 Great South Road</t>
  </si>
  <si>
    <t>Drury</t>
  </si>
  <si>
    <t>Montessori</t>
  </si>
  <si>
    <t>Drury East</t>
  </si>
  <si>
    <t xml:space="preserve">Maxine  Bannan </t>
  </si>
  <si>
    <t>279 Remuera Road</t>
  </si>
  <si>
    <t>Auckland 1050</t>
  </si>
  <si>
    <t>021-647 897</t>
  </si>
  <si>
    <t>Gladstone Park Early Childhood Centre</t>
  </si>
  <si>
    <t>09-3771150</t>
  </si>
  <si>
    <t>lyn@parnell.org.nz</t>
  </si>
  <si>
    <t>27 Balfour Road</t>
  </si>
  <si>
    <t xml:space="preserve">Linda Fox </t>
  </si>
  <si>
    <t>P O Box 37682</t>
  </si>
  <si>
    <t>Auckland 1151</t>
  </si>
  <si>
    <t>Oak Tree The Early Childhood Learning Centre</t>
  </si>
  <si>
    <t>09-425 9508</t>
  </si>
  <si>
    <t>oaktree_learningcentre@xtra.co.nz</t>
  </si>
  <si>
    <t>10B Clegg Place</t>
  </si>
  <si>
    <t>Ingrid  Burke</t>
  </si>
  <si>
    <t>289 East Coast Road</t>
  </si>
  <si>
    <t>Auckland 0630</t>
  </si>
  <si>
    <t>Mahurangi Community of Learning</t>
  </si>
  <si>
    <t>BestStart Papatoetoe</t>
  </si>
  <si>
    <t>09-2792922</t>
  </si>
  <si>
    <t>papatoetoe@best-start.org</t>
  </si>
  <si>
    <t>472 Great South Road</t>
  </si>
  <si>
    <t>Papatoetoe South</t>
  </si>
  <si>
    <t>Kindercare Learning Centres Botany Downs</t>
  </si>
  <si>
    <t>09-273 3088</t>
  </si>
  <si>
    <t>botanydowns@kindercare.co.nz</t>
  </si>
  <si>
    <t>138 Golfland Drive</t>
  </si>
  <si>
    <t>Botany Downs</t>
  </si>
  <si>
    <t>Roseanne Way</t>
  </si>
  <si>
    <t>60 Greville Road</t>
  </si>
  <si>
    <t>Pinehill</t>
  </si>
  <si>
    <t>Auckland 0632</t>
  </si>
  <si>
    <t>09-479 9922</t>
  </si>
  <si>
    <t>Busy Bees Otahuhu</t>
  </si>
  <si>
    <t>09-2766 210</t>
  </si>
  <si>
    <t>manager@otahuhu.busybees.org.nz</t>
  </si>
  <si>
    <t>37-41 Mason Avenue</t>
  </si>
  <si>
    <t>Ōtāhuhu Central</t>
  </si>
  <si>
    <t>Sarah Moemausu</t>
  </si>
  <si>
    <t>PO Box 628</t>
  </si>
  <si>
    <t xml:space="preserve">09-276 6210 </t>
  </si>
  <si>
    <t>Ko Taku Reo Preschool, Auckland</t>
  </si>
  <si>
    <t>0800-332 369</t>
  </si>
  <si>
    <t>info@kotakureo.school.nz</t>
  </si>
  <si>
    <t>3 Archibald Road</t>
  </si>
  <si>
    <t>Early Intervention EC service</t>
  </si>
  <si>
    <t>Kelston South</t>
  </si>
  <si>
    <t>Krista Clifford</t>
  </si>
  <si>
    <t>38 Truro Street</t>
  </si>
  <si>
    <t>Christchurch 8081</t>
  </si>
  <si>
    <t>Rockabye Early Learning Centre</t>
  </si>
  <si>
    <t>09-5330218</t>
  </si>
  <si>
    <t>caryn@rockabye.school.nz</t>
  </si>
  <si>
    <t>122 Aviemore Drive</t>
  </si>
  <si>
    <t>Highland Park-Auckland</t>
  </si>
  <si>
    <t>Highland Park (Auckland)</t>
  </si>
  <si>
    <t>Caryn Mawkes</t>
  </si>
  <si>
    <t>Highland Park</t>
  </si>
  <si>
    <t>Manukau 2010</t>
  </si>
  <si>
    <t>09-6221355</t>
  </si>
  <si>
    <t>Red Beach Early Learning Centre</t>
  </si>
  <si>
    <t>09-426 6217</t>
  </si>
  <si>
    <t>info@redbeachelc.co.nz</t>
  </si>
  <si>
    <t>88 Bay Street</t>
  </si>
  <si>
    <t>Red Beach</t>
  </si>
  <si>
    <t>Red Beach East</t>
  </si>
  <si>
    <t>Catherine Zuill</t>
  </si>
  <si>
    <t>North Shore City 0932</t>
  </si>
  <si>
    <t>Kahu Kiwi</t>
  </si>
  <si>
    <t>09-406 7650</t>
  </si>
  <si>
    <t>info@kahukiwi.nz</t>
  </si>
  <si>
    <t>174 Far North Road</t>
  </si>
  <si>
    <t>Awanui</t>
  </si>
  <si>
    <t>Rangaunu Harbour</t>
  </si>
  <si>
    <t>Reona Lanigan</t>
  </si>
  <si>
    <t>P O Box 161</t>
  </si>
  <si>
    <t>Awanui 0451</t>
  </si>
  <si>
    <t>09-405 0976</t>
  </si>
  <si>
    <t>Next Generation Infant Care</t>
  </si>
  <si>
    <t>09-4836382</t>
  </si>
  <si>
    <t>jes@nextgenerationchildcare.co.nz</t>
  </si>
  <si>
    <t>12 Westglade Crescent</t>
  </si>
  <si>
    <t>Birkenhead West</t>
  </si>
  <si>
    <t>Jessica Dodd</t>
  </si>
  <si>
    <t>2 Rarere Road</t>
  </si>
  <si>
    <t>Hauraki</t>
  </si>
  <si>
    <t>North Shore City 0622</t>
  </si>
  <si>
    <t>BestStart Te Atatu Peninsula</t>
  </si>
  <si>
    <t>09-8349669</t>
  </si>
  <si>
    <t>teatatupeninsula@best-start.org</t>
  </si>
  <si>
    <t>5 Cellarmans Street</t>
  </si>
  <si>
    <t>Te Atatū Peninsula East</t>
  </si>
  <si>
    <t>Taulapapa Leata Su'a Aoga Amata</t>
  </si>
  <si>
    <t>09-8385090</t>
  </si>
  <si>
    <t>taulapapaleatasua@xtra.co.nz</t>
  </si>
  <si>
    <t>24 Garelja Road</t>
  </si>
  <si>
    <t>Leo o Fanau Moana Immersion</t>
  </si>
  <si>
    <t>Samoan ECE Service</t>
  </si>
  <si>
    <t>Henderson Valley Park</t>
  </si>
  <si>
    <t>Karen Su'a</t>
  </si>
  <si>
    <t>P O Box 121016</t>
  </si>
  <si>
    <t>Auckland 0650</t>
  </si>
  <si>
    <t>BestStart Puni Road</t>
  </si>
  <si>
    <t>09-2381633</t>
  </si>
  <si>
    <t>puni@best-start.org</t>
  </si>
  <si>
    <t>42-44 Puni Road</t>
  </si>
  <si>
    <t>Cloverlea (Auckland)</t>
  </si>
  <si>
    <t>Ponderosa Kids Preschool</t>
  </si>
  <si>
    <t>09-476 1240</t>
  </si>
  <si>
    <t>pratimatewary@gmail.com</t>
  </si>
  <si>
    <t>3 Ponderosa Drive</t>
  </si>
  <si>
    <t>Pratima Tewary</t>
  </si>
  <si>
    <t xml:space="preserve">10A John Brian Drive </t>
  </si>
  <si>
    <t>Oteha</t>
  </si>
  <si>
    <t>Auckland 0932</t>
  </si>
  <si>
    <t>022-0506910</t>
  </si>
  <si>
    <t>Helensville Montessori</t>
  </si>
  <si>
    <t>09-420 7181</t>
  </si>
  <si>
    <t>helensvillemontessori@xtra.co.nz</t>
  </si>
  <si>
    <t>58 Garfield Road</t>
  </si>
  <si>
    <t>Helensville</t>
  </si>
  <si>
    <t>Heather Durham</t>
  </si>
  <si>
    <t>Auckland 0800</t>
  </si>
  <si>
    <t>09-4207181</t>
  </si>
  <si>
    <t>Kereru Kids Kaukapakapa</t>
  </si>
  <si>
    <t>09-947 3343</t>
  </si>
  <si>
    <t>kiaora@kererukids.com</t>
  </si>
  <si>
    <t>979 Kaipara Coast Highway</t>
  </si>
  <si>
    <t>Kaukapakapa</t>
  </si>
  <si>
    <t>Kimberley Hutchison</t>
  </si>
  <si>
    <t>38 Quail Road RD 4</t>
  </si>
  <si>
    <t>Warkworth 0984</t>
  </si>
  <si>
    <t>Te Kōhanga Reo o Tahuri Mai</t>
  </si>
  <si>
    <t>09-267 6818</t>
  </si>
  <si>
    <t>77 R Sykes Road</t>
  </si>
  <si>
    <t>Weymouth</t>
  </si>
  <si>
    <t>Manukau</t>
  </si>
  <si>
    <t>Te Kōhanga Reo National Trust</t>
  </si>
  <si>
    <t>Weymouth East</t>
  </si>
  <si>
    <t>Marino Hau</t>
  </si>
  <si>
    <t>P O Box 38741</t>
  </si>
  <si>
    <t>Wellington Mail Centre</t>
  </si>
  <si>
    <t>Lower Hutt 5045</t>
  </si>
  <si>
    <t>Kamo Childcare Centre Ltd 1</t>
  </si>
  <si>
    <t>09-435 3855</t>
  </si>
  <si>
    <t>7-9 Clark Road</t>
  </si>
  <si>
    <t>Granfield Reserve</t>
  </si>
  <si>
    <t>Sandra North</t>
  </si>
  <si>
    <t>P O Box 4362</t>
  </si>
  <si>
    <t>09-435 3342</t>
  </si>
  <si>
    <t>Nukutukulea Aoga Niue Incorp.</t>
  </si>
  <si>
    <t>09-275 7881</t>
  </si>
  <si>
    <t>299R Kirkbride Road</t>
  </si>
  <si>
    <t>Leo o Fanau Moana Bilingual</t>
  </si>
  <si>
    <t>Niue ECE Service</t>
  </si>
  <si>
    <t>Māngere South</t>
  </si>
  <si>
    <t>Tapulaaia Ah Hao</t>
  </si>
  <si>
    <t>P O Box 61170</t>
  </si>
  <si>
    <t>Auckland 2153</t>
  </si>
  <si>
    <t>Michael Park Kindergarten</t>
  </si>
  <si>
    <t>09-5793083 Ext 701</t>
  </si>
  <si>
    <t>reception@michaelpark.school.nz</t>
  </si>
  <si>
    <t>55 Amy Street</t>
  </si>
  <si>
    <t>Rudolf Steiner</t>
  </si>
  <si>
    <t>Ellerslie Central</t>
  </si>
  <si>
    <t>Stacey  McManus</t>
  </si>
  <si>
    <t>P O Box 11224</t>
  </si>
  <si>
    <t>Auckland 1542</t>
  </si>
  <si>
    <t>09-5258996</t>
  </si>
  <si>
    <t>Steiner Waldorf Community of Learning</t>
  </si>
  <si>
    <t>Hurupaki Kindergarten</t>
  </si>
  <si>
    <t>09-4353015</t>
  </si>
  <si>
    <t>101 Three Mile Bush Road</t>
  </si>
  <si>
    <t>Kamo West</t>
  </si>
  <si>
    <t>Tole Park Community Preschool</t>
  </si>
  <si>
    <t>09-3760896</t>
  </si>
  <si>
    <t>admin@ponsonbypreschool.org.nz</t>
  </si>
  <si>
    <t>20 Ponsonby Terrace</t>
  </si>
  <si>
    <t>Maymoona  Benfayed</t>
  </si>
  <si>
    <t>Auckland 1011</t>
  </si>
  <si>
    <t>09-3735734</t>
  </si>
  <si>
    <t>Ako Tokamu'a Falemasiva Preschool</t>
  </si>
  <si>
    <t>09-2750860</t>
  </si>
  <si>
    <t>aisakepouvalu@hotmail.com</t>
  </si>
  <si>
    <t>28 Cardrona Place</t>
  </si>
  <si>
    <t>Tongan ECE Service</t>
  </si>
  <si>
    <t>Aisake Pouvalu</t>
  </si>
  <si>
    <t>South Auckland 2024</t>
  </si>
  <si>
    <t>Meadowood Community Creche</t>
  </si>
  <si>
    <t>09-4434357</t>
  </si>
  <si>
    <t>creche@meadowood.co.nz</t>
  </si>
  <si>
    <t>55 Meadowood Drive</t>
  </si>
  <si>
    <t>Unsworth Heights East</t>
  </si>
  <si>
    <t xml:space="preserve">Lissa  Burton Burn </t>
  </si>
  <si>
    <t>09-4768384</t>
  </si>
  <si>
    <t>Te Kōhanga Reo o Te Huinga Reo</t>
  </si>
  <si>
    <t>09-274 9236</t>
  </si>
  <si>
    <t>52-S Ōtara Road</t>
  </si>
  <si>
    <t>Li'l Champs Early Learning Centre</t>
  </si>
  <si>
    <t>09-5254365</t>
  </si>
  <si>
    <t>kkumar02220@gmail.com</t>
  </si>
  <si>
    <t>73 Aranui Road</t>
  </si>
  <si>
    <t>Mount Wellington West</t>
  </si>
  <si>
    <t>Kunal Kumar</t>
  </si>
  <si>
    <t xml:space="preserve">11 Corrofin Drive </t>
  </si>
  <si>
    <t>Auckland 2013</t>
  </si>
  <si>
    <t>021-2809532</t>
  </si>
  <si>
    <t>Naval ECE - Tamariki House</t>
  </si>
  <si>
    <t>09-445 2484</t>
  </si>
  <si>
    <t>navycc@xtra.co.nz</t>
  </si>
  <si>
    <t>59 Calliope Road</t>
  </si>
  <si>
    <t>Stanley Point</t>
  </si>
  <si>
    <t>Linda Retimana</t>
  </si>
  <si>
    <t>65 Calliope Road</t>
  </si>
  <si>
    <t>Auckland 0624</t>
  </si>
  <si>
    <t>09-445 2608</t>
  </si>
  <si>
    <t>Growing Minds Early Learning Centre</t>
  </si>
  <si>
    <t>09-444 6060</t>
  </si>
  <si>
    <t>72 Sunset Road</t>
  </si>
  <si>
    <t>Jenny Le Noel</t>
  </si>
  <si>
    <t>5 Marine Terrace</t>
  </si>
  <si>
    <t>Auckland 0622</t>
  </si>
  <si>
    <t>BestStart Tironui Road</t>
  </si>
  <si>
    <t>09-2966991</t>
  </si>
  <si>
    <t>tironui@best-start.org</t>
  </si>
  <si>
    <t>42 Tironui Road</t>
  </si>
  <si>
    <t>Papakura West</t>
  </si>
  <si>
    <t>Kindercare Learning Centre - Papatoetoe</t>
  </si>
  <si>
    <t>09-2783020</t>
  </si>
  <si>
    <t>papatoetoe@kindercare.co.nz</t>
  </si>
  <si>
    <t>7/533 Great South Road</t>
  </si>
  <si>
    <t>Puhinui East</t>
  </si>
  <si>
    <t>Lovingcare Kindergarten</t>
  </si>
  <si>
    <t>09-8371600</t>
  </si>
  <si>
    <t>lovingcare.kindy@gmail.com</t>
  </si>
  <si>
    <t>78 Central Park Drive</t>
  </si>
  <si>
    <t>Chinese ECE Service</t>
  </si>
  <si>
    <t>Henderson Lincoln East</t>
  </si>
  <si>
    <t>Tsui-Lin Ku</t>
  </si>
  <si>
    <t>Auckland 0610</t>
  </si>
  <si>
    <t>Te Atatu Village Kindergarten</t>
  </si>
  <si>
    <t>09-8346012</t>
  </si>
  <si>
    <t>teatatuvillage@aka.org.nz</t>
  </si>
  <si>
    <t>580 Te Atatu Road</t>
  </si>
  <si>
    <t>Kaha Kids Childcare Centre</t>
  </si>
  <si>
    <t>09-411 7266</t>
  </si>
  <si>
    <t>falguni.bhansari@gmail.com</t>
  </si>
  <si>
    <t>42 Taha Road</t>
  </si>
  <si>
    <t>Waimauku</t>
  </si>
  <si>
    <t>Waipatukahu</t>
  </si>
  <si>
    <t>Falguni Bhansari</t>
  </si>
  <si>
    <t>15 Pendlebury St</t>
  </si>
  <si>
    <t>Auckland 0604</t>
  </si>
  <si>
    <t>09-9482147</t>
  </si>
  <si>
    <t>BestStart Albany 1</t>
  </si>
  <si>
    <t>09-415 1917</t>
  </si>
  <si>
    <t>albany@best-start.org</t>
  </si>
  <si>
    <t>1 Fearnley Grove</t>
  </si>
  <si>
    <t>North Shore City</t>
  </si>
  <si>
    <t>Curious Kids Early Learning Centre</t>
  </si>
  <si>
    <t>09-827 4015</t>
  </si>
  <si>
    <t>Lynnmall Shopping Centre 3058 Great North Road</t>
  </si>
  <si>
    <t>New Lynn Central</t>
  </si>
  <si>
    <t>Ya Jun  Han</t>
  </si>
  <si>
    <t xml:space="preserve">3058 Great North Rd </t>
  </si>
  <si>
    <t>Auckland 0600</t>
  </si>
  <si>
    <t>BestStart Lambie Drive 1</t>
  </si>
  <si>
    <t>09-2611 048</t>
  </si>
  <si>
    <t>lambie@best-start.org</t>
  </si>
  <si>
    <t>11 Lambie Drive</t>
  </si>
  <si>
    <t>Manukau Central</t>
  </si>
  <si>
    <t>Kindercare Learning Centres - Henderson</t>
  </si>
  <si>
    <t>09-8373111</t>
  </si>
  <si>
    <t>henderson@kindercare.co.nz</t>
  </si>
  <si>
    <t>105 Central Park Drive</t>
  </si>
  <si>
    <t>Fatugatiti Preschool</t>
  </si>
  <si>
    <t>09-277 8347</t>
  </si>
  <si>
    <t>managerfatugatiti@yahoo.com</t>
  </si>
  <si>
    <t>80-82 Wyllie Road</t>
  </si>
  <si>
    <t>Papatoetoe West</t>
  </si>
  <si>
    <t>Fa'alele Fai'ai</t>
  </si>
  <si>
    <t>P O Box 200036</t>
  </si>
  <si>
    <t>Auckland 2156</t>
  </si>
  <si>
    <t>Akoteu Toonga Fungani</t>
  </si>
  <si>
    <t>09-574 5863</t>
  </si>
  <si>
    <t>71 Maybury Road</t>
  </si>
  <si>
    <t>Etuini Talakai</t>
  </si>
  <si>
    <t>71 Maybury St</t>
  </si>
  <si>
    <t>Auckland 1072</t>
  </si>
  <si>
    <t>09-638 6644</t>
  </si>
  <si>
    <t>Expressions EEC</t>
  </si>
  <si>
    <t>020-41398828</t>
  </si>
  <si>
    <t>karmenliang0716@gmail.com</t>
  </si>
  <si>
    <t>34 Sunnyside Crescent</t>
  </si>
  <si>
    <t>Dingwall</t>
  </si>
  <si>
    <t>Jiawen Liang</t>
  </si>
  <si>
    <t>122C Lancaster Road</t>
  </si>
  <si>
    <t>Auckland 0626</t>
  </si>
  <si>
    <t>Akoteu To'o Lelei</t>
  </si>
  <si>
    <t>09-480 0841</t>
  </si>
  <si>
    <t>toolelei@xtra.co.nz</t>
  </si>
  <si>
    <t>139 Queen Street</t>
  </si>
  <si>
    <t>Northcote Point</t>
  </si>
  <si>
    <t>Northcote Point (Auckland)</t>
  </si>
  <si>
    <t>Kamipeli Tuitahi</t>
  </si>
  <si>
    <t>P O Box 36450</t>
  </si>
  <si>
    <t>Auckland 0748</t>
  </si>
  <si>
    <t>Natural Steps Early Childhood Centre (Ellerslie Village)</t>
  </si>
  <si>
    <t>09-5797019</t>
  </si>
  <si>
    <t>ellerslievillage@naturalsteps.co.nz</t>
  </si>
  <si>
    <t>163/165 Main Highway</t>
  </si>
  <si>
    <t>Ellerslie South</t>
  </si>
  <si>
    <t>Natasha Bankier</t>
  </si>
  <si>
    <t>33 Carlton Gore Road</t>
  </si>
  <si>
    <t>Auckland 1023</t>
  </si>
  <si>
    <t>Heart and Soul Early Learning Centre</t>
  </si>
  <si>
    <t>09-412 5355</t>
  </si>
  <si>
    <t>m.laurie@outlook.co.nz</t>
  </si>
  <si>
    <t>489 State Highway, 16</t>
  </si>
  <si>
    <t>Kumeu</t>
  </si>
  <si>
    <t>Kumeū Rural East</t>
  </si>
  <si>
    <t>Melanie Laurie</t>
  </si>
  <si>
    <t>96A Trig Road</t>
  </si>
  <si>
    <t>Auckland 0618</t>
  </si>
  <si>
    <t>09-4166314</t>
  </si>
  <si>
    <t>BestStart Dilworth Avenue</t>
  </si>
  <si>
    <t>09-522 2122</t>
  </si>
  <si>
    <t>dilworth@best-start.org</t>
  </si>
  <si>
    <t>7 Dilworth Avenue</t>
  </si>
  <si>
    <t>Remuera West</t>
  </si>
  <si>
    <t>Educare City</t>
  </si>
  <si>
    <t>09-4307378</t>
  </si>
  <si>
    <t>city@educare.co.nz</t>
  </si>
  <si>
    <t>11 Hunt Street</t>
  </si>
  <si>
    <t>Whangārei Central</t>
  </si>
  <si>
    <t>Alan Lints</t>
  </si>
  <si>
    <t>3 Grey Street</t>
  </si>
  <si>
    <t>Regent</t>
  </si>
  <si>
    <t>Whangarei 0110</t>
  </si>
  <si>
    <t>09-4328540</t>
  </si>
  <si>
    <t>Mata'aga A'oga Amata</t>
  </si>
  <si>
    <t>09-360 1481</t>
  </si>
  <si>
    <t>mataagaaogaamata@gmail.com</t>
  </si>
  <si>
    <t>25 Murdoch Road</t>
  </si>
  <si>
    <t>Grey Lynn Central</t>
  </si>
  <si>
    <t>Sinatala Leota</t>
  </si>
  <si>
    <t>Auckland 1021</t>
  </si>
  <si>
    <t>09-360 2877</t>
  </si>
  <si>
    <t>Whangarei Hospital Play &amp; Recreation</t>
  </si>
  <si>
    <t>09-430 4101 Ext 8160</t>
  </si>
  <si>
    <t>yvonne.hunter@northlanddhb.org.nz</t>
  </si>
  <si>
    <t>Horahora</t>
  </si>
  <si>
    <t>Yvonne Hunter</t>
  </si>
  <si>
    <t>Attn: Playroom Ward 2 Whangarei Hospital Private Bag 9742</t>
  </si>
  <si>
    <t>Whangarei 0148</t>
  </si>
  <si>
    <t>09-4300010 Ext 8153</t>
  </si>
  <si>
    <t>Japanese Kindergarten</t>
  </si>
  <si>
    <t>09-5752693</t>
  </si>
  <si>
    <t>naomijapanesekindergarten@hotmail.com</t>
  </si>
  <si>
    <t>38 Pembroke Crescent</t>
  </si>
  <si>
    <t>Glendowie</t>
  </si>
  <si>
    <t>Japanese ECE Service</t>
  </si>
  <si>
    <t>Naomi Brown</t>
  </si>
  <si>
    <t>Auckland 1071</t>
  </si>
  <si>
    <t>BestStart Pipiwai Kindy</t>
  </si>
  <si>
    <t>09-4353231</t>
  </si>
  <si>
    <t>pipiwai.kindy@best-start.org</t>
  </si>
  <si>
    <t>2 Pipiwai Road</t>
  </si>
  <si>
    <t>Audrey Kirk</t>
  </si>
  <si>
    <t>Marian Early Childhood Centre</t>
  </si>
  <si>
    <t>09-5705690</t>
  </si>
  <si>
    <t>marianecc@xtra.co.nz</t>
  </si>
  <si>
    <t>19A Sunset View Road</t>
  </si>
  <si>
    <t>Panmure</t>
  </si>
  <si>
    <t>Panmure East</t>
  </si>
  <si>
    <t>Abigail Tigley</t>
  </si>
  <si>
    <t>P O Box 14251</t>
  </si>
  <si>
    <t>Auckland 1741</t>
  </si>
  <si>
    <t>09-570 5690</t>
  </si>
  <si>
    <t>South East Christian Kāhui Ako</t>
  </si>
  <si>
    <t>Te Kōhanga Reo o Pou Kara Ariki Rawene</t>
  </si>
  <si>
    <t>09-405 7454</t>
  </si>
  <si>
    <t>51 Clendon Esplande</t>
  </si>
  <si>
    <t>Rawene</t>
  </si>
  <si>
    <t>Hokianga South</t>
  </si>
  <si>
    <t>Katerina  Hepi</t>
  </si>
  <si>
    <t>09-435 9090</t>
  </si>
  <si>
    <t>Bright Bears Early Childhood Centre</t>
  </si>
  <si>
    <t>09-4283366</t>
  </si>
  <si>
    <t>brightbearselc@gmail.com</t>
  </si>
  <si>
    <t>857 Whangaparaoa Road</t>
  </si>
  <si>
    <t>Whangaparaoa-Auckland</t>
  </si>
  <si>
    <t>Herbert Sima</t>
  </si>
  <si>
    <t>Whangaparaoa 0930</t>
  </si>
  <si>
    <t>09-4788098</t>
  </si>
  <si>
    <t>Learning Steps Childcare Centre</t>
  </si>
  <si>
    <t>09-836 1985</t>
  </si>
  <si>
    <t>4170 Great North Road</t>
  </si>
  <si>
    <t>Glendene</t>
  </si>
  <si>
    <t>Ashmeeta Sharma</t>
  </si>
  <si>
    <t>5 Ribblesdale Road</t>
  </si>
  <si>
    <t>09-8361985</t>
  </si>
  <si>
    <t>Rising Stars Early Childhood Centre</t>
  </si>
  <si>
    <t>09-8372311</t>
  </si>
  <si>
    <t>info@risingstarschildcare.co.nz</t>
  </si>
  <si>
    <t>168 Lincoln Road</t>
  </si>
  <si>
    <t>Leah Boonzaaier</t>
  </si>
  <si>
    <t>P O Box 104235</t>
  </si>
  <si>
    <t>Lincoln North</t>
  </si>
  <si>
    <t>Auckland 0645</t>
  </si>
  <si>
    <t>09-837 2311</t>
  </si>
  <si>
    <t>Olive Tree Early Learning Centre</t>
  </si>
  <si>
    <t>09-218 9896</t>
  </si>
  <si>
    <t>hello@olivetreeelc.co.nz</t>
  </si>
  <si>
    <t>45 Cascades Road</t>
  </si>
  <si>
    <t>Carli Hill</t>
  </si>
  <si>
    <t>Auckland 2010</t>
  </si>
  <si>
    <t>Rising Stars Lynfield Early Childhood Centre</t>
  </si>
  <si>
    <t>09-627 4004</t>
  </si>
  <si>
    <t>jonna@risingstarschildcare.co.nz</t>
  </si>
  <si>
    <t>210 White Swan Road</t>
  </si>
  <si>
    <t>Mount Roskill West</t>
  </si>
  <si>
    <t>Jonna Ramirez</t>
  </si>
  <si>
    <t>278 Victoria Ave</t>
  </si>
  <si>
    <t>Kenese Aoga Niue</t>
  </si>
  <si>
    <t>09-2636768</t>
  </si>
  <si>
    <t>16 Israel Avenue</t>
  </si>
  <si>
    <t>Clover Park North</t>
  </si>
  <si>
    <t>Chelsea-Jill Atasani Kauie</t>
  </si>
  <si>
    <t>16 B Israel Avenue</t>
  </si>
  <si>
    <t>South Auckland 2023</t>
  </si>
  <si>
    <t>Vintage Kids</t>
  </si>
  <si>
    <t>09-524 5574</t>
  </si>
  <si>
    <t>20 Ranfurly Road</t>
  </si>
  <si>
    <t>Mount St John</t>
  </si>
  <si>
    <t>Sheree Thomason</t>
  </si>
  <si>
    <t>09-5245574</t>
  </si>
  <si>
    <t>Fantails Childcare - Country</t>
  </si>
  <si>
    <t>09-427 4060</t>
  </si>
  <si>
    <t>info@fantailschildcare.co.nz</t>
  </si>
  <si>
    <t>411 Wainui Road, RD2</t>
  </si>
  <si>
    <t>Silverdale</t>
  </si>
  <si>
    <t>Milldale</t>
  </si>
  <si>
    <t>Johanna Kiers</t>
  </si>
  <si>
    <t>P O Box 5</t>
  </si>
  <si>
    <t>Silverdale 0944</t>
  </si>
  <si>
    <t>09-2804656</t>
  </si>
  <si>
    <t>Sara Petesa A'oga Amata</t>
  </si>
  <si>
    <t>09-274 6533</t>
  </si>
  <si>
    <t>sarapetesa@xtra.co.nz</t>
  </si>
  <si>
    <t>C/- 32 Kerwyn Avenue</t>
  </si>
  <si>
    <t>Not Applicable / Unknown</t>
  </si>
  <si>
    <t>Maselino Namulauulu</t>
  </si>
  <si>
    <t>P O Box 61089</t>
  </si>
  <si>
    <t>Auckland City</t>
  </si>
  <si>
    <t>Auckland 2159</t>
  </si>
  <si>
    <t>09-265 2945</t>
  </si>
  <si>
    <t>Educare Bream Bay</t>
  </si>
  <si>
    <t>09-432 8540</t>
  </si>
  <si>
    <t>breambay@educare.co.nz</t>
  </si>
  <si>
    <t>Shop 32 386 Marsden Point Road</t>
  </si>
  <si>
    <t>Whangarei 0112</t>
  </si>
  <si>
    <t>Country Kids</t>
  </si>
  <si>
    <t>027-8931108</t>
  </si>
  <si>
    <t>liuyushan1108@gmail.com</t>
  </si>
  <si>
    <t>302 Henderson Valley Road</t>
  </si>
  <si>
    <t>Henderson Valley</t>
  </si>
  <si>
    <t>Liu Yushan</t>
  </si>
  <si>
    <t>3 Banff Avenue</t>
  </si>
  <si>
    <t xml:space="preserve">Auckland </t>
  </si>
  <si>
    <t>Tuakau's Little Stars Early Childhood Centre</t>
  </si>
  <si>
    <t>09-236 8195</t>
  </si>
  <si>
    <t>office@tuakauslittlestars.co.nz</t>
  </si>
  <si>
    <t>1 A Madill Street</t>
  </si>
  <si>
    <t>Tuakau North</t>
  </si>
  <si>
    <t>Sharon Strang</t>
  </si>
  <si>
    <t>Tuakau 2121</t>
  </si>
  <si>
    <t>Te Kōhanga Reo o Te Piringa ki Ōtara</t>
  </si>
  <si>
    <t>09-273 2994</t>
  </si>
  <si>
    <t>10 Pearl Baker Drive</t>
  </si>
  <si>
    <t>Kidz Matter 2 Us</t>
  </si>
  <si>
    <t>09-8374471</t>
  </si>
  <si>
    <t>kidzmatter2us.ecec@salvationarmy.org.nz</t>
  </si>
  <si>
    <t>7 View Road</t>
  </si>
  <si>
    <t>Henderson Central</t>
  </si>
  <si>
    <t>Sarah Barry</t>
  </si>
  <si>
    <t>P O Box 6015</t>
  </si>
  <si>
    <t>Marion Square</t>
  </si>
  <si>
    <t>Wellington 6141</t>
  </si>
  <si>
    <t>Trinity Kindergarten</t>
  </si>
  <si>
    <t>09-577 4959</t>
  </si>
  <si>
    <t>info@trinitykindy.co.nz</t>
  </si>
  <si>
    <t>474 Pakuranga Road</t>
  </si>
  <si>
    <t>Half Moon Bay South East</t>
  </si>
  <si>
    <t>Engela Nel</t>
  </si>
  <si>
    <t>P O Box 82172</t>
  </si>
  <si>
    <t>Auckland 2143</t>
  </si>
  <si>
    <t>Tikipunga Educare</t>
  </si>
  <si>
    <t>09-4375331</t>
  </si>
  <si>
    <t>al@educare.co.nz</t>
  </si>
  <si>
    <t>113 Kiripaka Road</t>
  </si>
  <si>
    <t>Tikipunga South</t>
  </si>
  <si>
    <t>3 Grey Street, Regent</t>
  </si>
  <si>
    <t>Kia Orana Punanga Reo ECE Limited</t>
  </si>
  <si>
    <t>09-257 0184</t>
  </si>
  <si>
    <t>kiaoranapr15@gmail.com</t>
  </si>
  <si>
    <t>29 Wickman Way</t>
  </si>
  <si>
    <t>Cook Island ECE Service</t>
  </si>
  <si>
    <t>Harania South</t>
  </si>
  <si>
    <t>William Greig</t>
  </si>
  <si>
    <t>P O Box 43182</t>
  </si>
  <si>
    <t>Whakatipu Akoranga Kāhui Ako</t>
  </si>
  <si>
    <t>AoKids/Puna O le Atamai</t>
  </si>
  <si>
    <t>09-2650846</t>
  </si>
  <si>
    <t>sue@pasifika.school.nz</t>
  </si>
  <si>
    <t>Sulu Ah-Young</t>
  </si>
  <si>
    <t>P O Box 76107</t>
  </si>
  <si>
    <t>Auckland 2241</t>
  </si>
  <si>
    <t>Fetu Taiala Aoga Amata</t>
  </si>
  <si>
    <t>09-2570182</t>
  </si>
  <si>
    <t>director@tavaesina.co.nz</t>
  </si>
  <si>
    <t>3/29 Wickman Way</t>
  </si>
  <si>
    <t>Letelemalanuola Moe-Penn</t>
  </si>
  <si>
    <t>73 Flathbush Road</t>
  </si>
  <si>
    <t>09-2570218</t>
  </si>
  <si>
    <t>Kerikeri Preschool</t>
  </si>
  <si>
    <t>09-407 1200</t>
  </si>
  <si>
    <t>kerikeripreschool@outlook.co.nz</t>
  </si>
  <si>
    <t>35 Hobson Avenue</t>
  </si>
  <si>
    <t>Joffi .</t>
  </si>
  <si>
    <t>22 Provisional Drive</t>
  </si>
  <si>
    <t>021-0253 1900</t>
  </si>
  <si>
    <t>YMCA Early Learning Centre Ellerslie</t>
  </si>
  <si>
    <t>09-525 4753</t>
  </si>
  <si>
    <t>46 Michaels Avenue</t>
  </si>
  <si>
    <t>Priscilla  Dougall</t>
  </si>
  <si>
    <t>Victoria Street West Private Bag 92150</t>
  </si>
  <si>
    <t>021-424937</t>
  </si>
  <si>
    <t>Akaiti Mangarongaro</t>
  </si>
  <si>
    <t>09-2753217</t>
  </si>
  <si>
    <t>akaiti.m@xtra.co.nz</t>
  </si>
  <si>
    <t>1/29 Wickman Way</t>
  </si>
  <si>
    <t>Temaria Tengange</t>
  </si>
  <si>
    <t>P O Box 86027</t>
  </si>
  <si>
    <t>Auckland 2158</t>
  </si>
  <si>
    <t>022-189133</t>
  </si>
  <si>
    <t>Mana Tama Aoga Niue</t>
  </si>
  <si>
    <t>09-257 0181</t>
  </si>
  <si>
    <t>niueducate@gmail.com</t>
  </si>
  <si>
    <t>Building 4 29 Wickman Way</t>
  </si>
  <si>
    <t>Elviso Togiamua</t>
  </si>
  <si>
    <t xml:space="preserve">8 Juvena Place </t>
  </si>
  <si>
    <t>Auckland 2023</t>
  </si>
  <si>
    <t>Horizons Montessori Preschool</t>
  </si>
  <si>
    <t>09-8272525</t>
  </si>
  <si>
    <t>horizonsmontessoripreschool@xtra.co.nz</t>
  </si>
  <si>
    <t>1 Arahoe Road</t>
  </si>
  <si>
    <t>New Lynn South</t>
  </si>
  <si>
    <t>Helen Emberson</t>
  </si>
  <si>
    <t>09-818 1198</t>
  </si>
  <si>
    <t>All about children - Avondale</t>
  </si>
  <si>
    <t>09-8203933</t>
  </si>
  <si>
    <t>manjot@kweg.co.nz</t>
  </si>
  <si>
    <t>2 Sandy Lane</t>
  </si>
  <si>
    <t>Avondale West (Auckland)</t>
  </si>
  <si>
    <t>Manjot Juneja</t>
  </si>
  <si>
    <t>PO Box 72002</t>
  </si>
  <si>
    <t>Papakura 2244</t>
  </si>
  <si>
    <t>027-504 6194</t>
  </si>
  <si>
    <t>Glow Kids</t>
  </si>
  <si>
    <t>09-8458070</t>
  </si>
  <si>
    <t>info@glowkids.org.nz</t>
  </si>
  <si>
    <t>13 Coyle Street</t>
  </si>
  <si>
    <t>Sandringham Central</t>
  </si>
  <si>
    <t>Sonya Sinclair</t>
  </si>
  <si>
    <t>P O Box 16291</t>
  </si>
  <si>
    <t>Auckland 1351</t>
  </si>
  <si>
    <t>Sathya Sai Preschool - Rongomai</t>
  </si>
  <si>
    <t>09-2724354</t>
  </si>
  <si>
    <t>office@sathyasaipreschoolrongomai.org.nz</t>
  </si>
  <si>
    <t>Rongomai Road</t>
  </si>
  <si>
    <t>Rongomai West</t>
  </si>
  <si>
    <t>Mohini Misaghian</t>
  </si>
  <si>
    <t>C/- Rongomai School for Sathya Sai Preschool 20 Rongomai Road</t>
  </si>
  <si>
    <t>Pascals Herne Bay</t>
  </si>
  <si>
    <t>09-3788106</t>
  </si>
  <si>
    <t>272 Jervois Road</t>
  </si>
  <si>
    <t>Herne Bay</t>
  </si>
  <si>
    <t>Ponsonby West</t>
  </si>
  <si>
    <t xml:space="preserve">Catherine  Jones </t>
  </si>
  <si>
    <t>Level 15 16 Kingston Street</t>
  </si>
  <si>
    <t>Auckland 1010</t>
  </si>
  <si>
    <t>Open Spaces Preschool Limited</t>
  </si>
  <si>
    <t>09-437 5718</t>
  </si>
  <si>
    <t>info@openspaces.net.nz</t>
  </si>
  <si>
    <t>590 Ngunguru Road</t>
  </si>
  <si>
    <t>Kiripaka</t>
  </si>
  <si>
    <t>Whangārei Heads General Ward</t>
  </si>
  <si>
    <t>Katie Beecroft</t>
  </si>
  <si>
    <t>426 Ngunguru Road RD 3</t>
  </si>
  <si>
    <t>Whangarei 0173</t>
  </si>
  <si>
    <t>Starship Play Service Ward 24A &amp; 24B</t>
  </si>
  <si>
    <t>Park Road</t>
  </si>
  <si>
    <t>Starship Play Service Ward 26A &amp; 26B</t>
  </si>
  <si>
    <t>nwoollaston@adhb.govt.nz</t>
  </si>
  <si>
    <t>Auckland Hospital Park Road</t>
  </si>
  <si>
    <t>Creative Minds (Kaeo) Ltd</t>
  </si>
  <si>
    <t>09-405 0850</t>
  </si>
  <si>
    <t>creativemindskaeo@gmail.com</t>
  </si>
  <si>
    <t>73 Omaunu Road</t>
  </si>
  <si>
    <t>Kaeo</t>
  </si>
  <si>
    <t>Kāeo</t>
  </si>
  <si>
    <t>Hillary Sheard</t>
  </si>
  <si>
    <t>71A Totara North Road RD 2</t>
  </si>
  <si>
    <t>Kaeo 0479</t>
  </si>
  <si>
    <t>Bear Park Mt Eden</t>
  </si>
  <si>
    <t>09-623 5150</t>
  </si>
  <si>
    <t>mteden@bearpark.co.nz</t>
  </si>
  <si>
    <t>32 Akiraho Street</t>
  </si>
  <si>
    <t>Mount Eden North</t>
  </si>
  <si>
    <t>Sue Stevely-Cole</t>
  </si>
  <si>
    <t>P O Box 99696</t>
  </si>
  <si>
    <t>Newmarket</t>
  </si>
  <si>
    <t>Auckland 1149</t>
  </si>
  <si>
    <t>03-4561010</t>
  </si>
  <si>
    <t>Kowhai Corner</t>
  </si>
  <si>
    <t>09-4010114</t>
  </si>
  <si>
    <t>29 Purdy Street</t>
  </si>
  <si>
    <t>Lance Whiu</t>
  </si>
  <si>
    <t>P O Box 24</t>
  </si>
  <si>
    <t>Kaikohe 0440</t>
  </si>
  <si>
    <t>09-401 0114</t>
  </si>
  <si>
    <t>Feathers Early Learning Centre</t>
  </si>
  <si>
    <t>09-8327986</t>
  </si>
  <si>
    <t>admin@featherschildcare.co.nz</t>
  </si>
  <si>
    <t>64 Lincoln Park</t>
  </si>
  <si>
    <t>Massey Keegan</t>
  </si>
  <si>
    <t>Rebecca Young</t>
  </si>
  <si>
    <t xml:space="preserve">64 Lincoln Park Avenue </t>
  </si>
  <si>
    <t>Auckland 0614</t>
  </si>
  <si>
    <t>021-2962323</t>
  </si>
  <si>
    <t>Busy Bees Kerikeri Nursery</t>
  </si>
  <si>
    <t>09-4078460</t>
  </si>
  <si>
    <t>19 Hone Heke Road</t>
  </si>
  <si>
    <t>Jemmas Homebased Childcare Auckland</t>
  </si>
  <si>
    <t>09-836 6204</t>
  </si>
  <si>
    <t>kelly@jemmas.co.nz</t>
  </si>
  <si>
    <t>31 Arabian Drive</t>
  </si>
  <si>
    <t>Homebased Network</t>
  </si>
  <si>
    <t>Palm Beach North</t>
  </si>
  <si>
    <t>Kelly Kingi</t>
  </si>
  <si>
    <t>Tauranga 3118</t>
  </si>
  <si>
    <t>Glendowie Kindergarten</t>
  </si>
  <si>
    <t>09-585 1991</t>
  </si>
  <si>
    <t>glendowie@aka.org.nz</t>
  </si>
  <si>
    <t>225 Riddell Road</t>
  </si>
  <si>
    <t>Glendowie South East</t>
  </si>
  <si>
    <t>Kindercare Learning Centres - Silverdale</t>
  </si>
  <si>
    <t>09-427 4001</t>
  </si>
  <si>
    <t>hilltop@kindercare.co.nz</t>
  </si>
  <si>
    <t>71 Hibiscus Coast Highway</t>
  </si>
  <si>
    <t>Red Beach West</t>
  </si>
  <si>
    <t>Kindercare Learning Centre - Albany</t>
  </si>
  <si>
    <t>09-4792828</t>
  </si>
  <si>
    <t>albany@kindercare.co.nz</t>
  </si>
  <si>
    <t>141 Oteha Valley Road</t>
  </si>
  <si>
    <t>Fairview Heights</t>
  </si>
  <si>
    <t>Rise &amp; Shine Childcare Centre</t>
  </si>
  <si>
    <t>021-986 748</t>
  </si>
  <si>
    <t>mangere@riseshine.co.nz</t>
  </si>
  <si>
    <t>77 Aintree Avenue</t>
  </si>
  <si>
    <t>Auckland Airport</t>
  </si>
  <si>
    <t>Kristie Crawford</t>
  </si>
  <si>
    <t>2 Oakmont Grove</t>
  </si>
  <si>
    <t>Upper Hutt 5018</t>
  </si>
  <si>
    <t>Learning Edge Montessori Preschool</t>
  </si>
  <si>
    <t>09-8171170</t>
  </si>
  <si>
    <t>learning_edge@hotmail.com</t>
  </si>
  <si>
    <t>2 Sunray Avenue</t>
  </si>
  <si>
    <t>Titirangi</t>
  </si>
  <si>
    <t>Kaurilands</t>
  </si>
  <si>
    <t>Annette Suter</t>
  </si>
  <si>
    <t>BestStart Epsom</t>
  </si>
  <si>
    <t>09-5227011</t>
  </si>
  <si>
    <t>epsom@best-start.org</t>
  </si>
  <si>
    <t>120 Great South Road</t>
  </si>
  <si>
    <t>Kidz First Surgicalcare</t>
  </si>
  <si>
    <t>09-2760044 Ext 7236</t>
  </si>
  <si>
    <t>Middlemore Hospital  Hospital Road</t>
  </si>
  <si>
    <t>Middlemore</t>
  </si>
  <si>
    <t>Denise Skeen</t>
  </si>
  <si>
    <t>Kidz First Children's Hospital Private Bag 93311</t>
  </si>
  <si>
    <t>Auckland 1640</t>
  </si>
  <si>
    <t>Kimberley Childcare Greenlane</t>
  </si>
  <si>
    <t>09-5201252</t>
  </si>
  <si>
    <t>greenlane@kimberleychildcare.co.nz</t>
  </si>
  <si>
    <t>27 Marewa Road</t>
  </si>
  <si>
    <t>Greenlane</t>
  </si>
  <si>
    <t>Greenlane North</t>
  </si>
  <si>
    <t>Anthony Cluley</t>
  </si>
  <si>
    <t>Auckland 1051</t>
  </si>
  <si>
    <t>Teuila Kids Early Learning Centre</t>
  </si>
  <si>
    <t>09-527 1314</t>
  </si>
  <si>
    <t>35 - 37 Pt England Road</t>
  </si>
  <si>
    <t>Glen Tuala</t>
  </si>
  <si>
    <t>P O Box 18424</t>
  </si>
  <si>
    <t>Auckland 1743</t>
  </si>
  <si>
    <t>09-5707457</t>
  </si>
  <si>
    <t>Busy Bees Rosedale</t>
  </si>
  <si>
    <t>09-444 1979</t>
  </si>
  <si>
    <t>manager@rosedale.busybees.org.nz</t>
  </si>
  <si>
    <t>15-17 Saturn Place</t>
  </si>
  <si>
    <t>Lei Xu</t>
  </si>
  <si>
    <t>Kindercare Learning Centres - Manurewa</t>
  </si>
  <si>
    <t>09-2688005</t>
  </si>
  <si>
    <t>randwick@kindercare.co.nz</t>
  </si>
  <si>
    <t>68 Riverton Drive</t>
  </si>
  <si>
    <t>Randwick Park</t>
  </si>
  <si>
    <t>Randwick Park East</t>
  </si>
  <si>
    <t>Treetops ELC Botany</t>
  </si>
  <si>
    <t>09-2724448</t>
  </si>
  <si>
    <t>natasha@treetopslearning.co.nz</t>
  </si>
  <si>
    <t>Sunset Terrace 588 Chapel Road</t>
  </si>
  <si>
    <t>Botany Central</t>
  </si>
  <si>
    <t>Natasha Rawiri</t>
  </si>
  <si>
    <t>P O Box 64015</t>
  </si>
  <si>
    <t>Botany Downs North</t>
  </si>
  <si>
    <t>South Auckland 2142</t>
  </si>
  <si>
    <t>09-5367031</t>
  </si>
  <si>
    <t>Akoteu Lotofale'ia</t>
  </si>
  <si>
    <t>akoteulotofaleia.manager@xtra.co.nz</t>
  </si>
  <si>
    <t>5 Killington Crescent</t>
  </si>
  <si>
    <t>Little Climbers Early Learning Centre - Dannemora</t>
  </si>
  <si>
    <t>09-274 2928</t>
  </si>
  <si>
    <t>Manager_Dannemora@littleclimbers.co.nz</t>
  </si>
  <si>
    <t>1 Willowbank Close</t>
  </si>
  <si>
    <t>Dannemora</t>
  </si>
  <si>
    <t>Middlefield</t>
  </si>
  <si>
    <t>Ritu Jain</t>
  </si>
  <si>
    <t>Bayview Early Learning Centre</t>
  </si>
  <si>
    <t>09-443 8144</t>
  </si>
  <si>
    <t>manager@bayviewcentre.org.nz</t>
  </si>
  <si>
    <t>72 Bayview Road</t>
  </si>
  <si>
    <t>Elisiva Paumolevuka</t>
  </si>
  <si>
    <t>P O Box 40391</t>
  </si>
  <si>
    <t>North Shore City 0747</t>
  </si>
  <si>
    <t>1 + 1 Preschool</t>
  </si>
  <si>
    <t>09-271 2321</t>
  </si>
  <si>
    <t>1plus1preschool@gmail.com</t>
  </si>
  <si>
    <t>32 Feeny Crescent</t>
  </si>
  <si>
    <t>Redcastle</t>
  </si>
  <si>
    <t>Yufan Jiang</t>
  </si>
  <si>
    <t>South Auckland 2013</t>
  </si>
  <si>
    <t>09-2712321</t>
  </si>
  <si>
    <t>Tongan Tamaki Fe'ofa'aki Preschool</t>
  </si>
  <si>
    <t>09-528 5980</t>
  </si>
  <si>
    <t>feofaaki.preschool@gmail.com</t>
  </si>
  <si>
    <t>183 A Taniwha Street</t>
  </si>
  <si>
    <t>Glen Innes West</t>
  </si>
  <si>
    <t>Goretti Kalolo</t>
  </si>
  <si>
    <t>183A Taniwha Street</t>
  </si>
  <si>
    <t>09-528 8280</t>
  </si>
  <si>
    <t>YMCA Early Learning Centre Massey</t>
  </si>
  <si>
    <t>09-832 7324</t>
  </si>
  <si>
    <t>earlylearning.massey@ymcaauckland.org.nz</t>
  </si>
  <si>
    <t>Cnr Don Buck Road &amp; Westgate Drive 545 Don Buck Road</t>
  </si>
  <si>
    <t>Westgate South</t>
  </si>
  <si>
    <t>Tiny Stars</t>
  </si>
  <si>
    <t>09-2736942</t>
  </si>
  <si>
    <t>managerotara@mykindy.nz</t>
  </si>
  <si>
    <t>208 A Preston Road</t>
  </si>
  <si>
    <t>Emma Norrie</t>
  </si>
  <si>
    <t>2/11 Regia Close</t>
  </si>
  <si>
    <t>Half Moon Bay</t>
  </si>
  <si>
    <t>Kidd Inn Early Learning Centre Ltd</t>
  </si>
  <si>
    <t>09-818 9398</t>
  </si>
  <si>
    <t>kiddinn@xtra.co.nz</t>
  </si>
  <si>
    <t>49 Kaurilands Road</t>
  </si>
  <si>
    <t>Konini Road</t>
  </si>
  <si>
    <t>Kerry Leonard</t>
  </si>
  <si>
    <t>49 Kaurilands Rd</t>
  </si>
  <si>
    <t>Waitakere 0602</t>
  </si>
  <si>
    <t>Arohanui Early Childhood Learning Centre</t>
  </si>
  <si>
    <t>09-407 5955</t>
  </si>
  <si>
    <t>140 Waipapa Road</t>
  </si>
  <si>
    <t>Riverview</t>
  </si>
  <si>
    <t>Fiona Thomson</t>
  </si>
  <si>
    <t>P O Box 579</t>
  </si>
  <si>
    <t>Kerikeri 0245</t>
  </si>
  <si>
    <t>Kindy Cottage Childcare</t>
  </si>
  <si>
    <t>09-4784784</t>
  </si>
  <si>
    <t>17 Graham Collins Drive</t>
  </si>
  <si>
    <t>Windsor Park</t>
  </si>
  <si>
    <t>Xiaocen Chen</t>
  </si>
  <si>
    <t>544 Beach Road</t>
  </si>
  <si>
    <t>Murrays Bay</t>
  </si>
  <si>
    <t>Mataliki Tokelau Akoga Kamata</t>
  </si>
  <si>
    <t>09-275 5804</t>
  </si>
  <si>
    <t>administration@mataliki.co.nz</t>
  </si>
  <si>
    <t>53 R Raglan Street</t>
  </si>
  <si>
    <t>Tokelauan ECE Service</t>
  </si>
  <si>
    <t>Aorere Central</t>
  </si>
  <si>
    <t>Sulata Foai-Amiatu</t>
  </si>
  <si>
    <t>P O Box 43107</t>
  </si>
  <si>
    <t>Red Kite Preschool Mt Albert</t>
  </si>
  <si>
    <t>09-846 8436</t>
  </si>
  <si>
    <t>22B Willcott Street</t>
  </si>
  <si>
    <t xml:space="preserve">Anita Neal </t>
  </si>
  <si>
    <t>Auckland 1025</t>
  </si>
  <si>
    <t>Little Dinosaurs</t>
  </si>
  <si>
    <t>margarita@littledinosaurs.co.nz</t>
  </si>
  <si>
    <t>87 Onslow Avenue</t>
  </si>
  <si>
    <t>Epsom Central-South</t>
  </si>
  <si>
    <t>Margarita Sampayo</t>
  </si>
  <si>
    <t>27 Hendon Avenue</t>
  </si>
  <si>
    <t>Akoteu Kenani</t>
  </si>
  <si>
    <t>09-270 2721</t>
  </si>
  <si>
    <t>89 Fairburn Road</t>
  </si>
  <si>
    <t>Auckland 1062</t>
  </si>
  <si>
    <t>09-4361262</t>
  </si>
  <si>
    <t>Kiteone Road</t>
  </si>
  <si>
    <t>Parua Bay</t>
  </si>
  <si>
    <t>Pārua Bay</t>
  </si>
  <si>
    <t>Ngā Kura mo te ako o Whangarei Kāhui Ako Group 1</t>
  </si>
  <si>
    <t>Magic Garden Early Education Limiited</t>
  </si>
  <si>
    <t>09-479 1240</t>
  </si>
  <si>
    <t>manager@magicgarden.co.nz</t>
  </si>
  <si>
    <t>170-174 Carlisle Road</t>
  </si>
  <si>
    <t>Northcross</t>
  </si>
  <si>
    <t>Paul Blair</t>
  </si>
  <si>
    <t>470/174 Carlisle Road</t>
  </si>
  <si>
    <t>021-902436</t>
  </si>
  <si>
    <t>Kindercare Learning Centres (18) Dannemora</t>
  </si>
  <si>
    <t>09-2733 799</t>
  </si>
  <si>
    <t>dannemora@kindercare.co.nz</t>
  </si>
  <si>
    <t>Cratloe Lane</t>
  </si>
  <si>
    <t>Armoy</t>
  </si>
  <si>
    <t>Wonder Bees Early Learning Centre</t>
  </si>
  <si>
    <t>09-4797 420</t>
  </si>
  <si>
    <t>info@wonderbees.co.nz</t>
  </si>
  <si>
    <t>3 Whetu Place</t>
  </si>
  <si>
    <t>Ying Li</t>
  </si>
  <si>
    <t xml:space="preserve">3 Whetu Place </t>
  </si>
  <si>
    <t>Auckland 0620</t>
  </si>
  <si>
    <t>BestStart Grey Lynn</t>
  </si>
  <si>
    <t>09-376 5431</t>
  </si>
  <si>
    <t>greylynn@best-start.org</t>
  </si>
  <si>
    <t>38 Sackville Street</t>
  </si>
  <si>
    <t>Grey Lynn North</t>
  </si>
  <si>
    <t>KiNZ Myers Park</t>
  </si>
  <si>
    <t>09-3732709</t>
  </si>
  <si>
    <t>myerspark@kinz.org.nz</t>
  </si>
  <si>
    <t>381 Queen Street</t>
  </si>
  <si>
    <t>Auckland CBD</t>
  </si>
  <si>
    <t>Queen Street South West</t>
  </si>
  <si>
    <t>Leataata O Tupulaga O Le Pasefika</t>
  </si>
  <si>
    <t>09-8323616</t>
  </si>
  <si>
    <t>Leataata@leataatapreschool.co.nz</t>
  </si>
  <si>
    <t>91 Moire Road</t>
  </si>
  <si>
    <t>Fa'amalua Tipi</t>
  </si>
  <si>
    <t>P O Box 84075</t>
  </si>
  <si>
    <t>Westgate</t>
  </si>
  <si>
    <t>Sandcastles Matakana</t>
  </si>
  <si>
    <t>09-422 9401</t>
  </si>
  <si>
    <t>enquiries@sandcastles.net.nz</t>
  </si>
  <si>
    <t>984 Matakana Road, RD5,</t>
  </si>
  <si>
    <t>Dome Valley-Matakana</t>
  </si>
  <si>
    <t>Carol Mills</t>
  </si>
  <si>
    <t>984 Matakana Road, RD5</t>
  </si>
  <si>
    <t>Warkworth 0948</t>
  </si>
  <si>
    <t>09-425 5502</t>
  </si>
  <si>
    <t>Small Kauri Early Childhood Education  Centre</t>
  </si>
  <si>
    <t>09-6360644</t>
  </si>
  <si>
    <t>petrenkos@gmail.com</t>
  </si>
  <si>
    <t>39 Coronation Road</t>
  </si>
  <si>
    <t>Māngere Bridge</t>
  </si>
  <si>
    <t>Andrij Petrenko</t>
  </si>
  <si>
    <t>62 Sonia Avenue</t>
  </si>
  <si>
    <t>09-6001200</t>
  </si>
  <si>
    <t>Mokopuna Early C E and Care Centre</t>
  </si>
  <si>
    <t>09-4388422</t>
  </si>
  <si>
    <t>78 Tarewa Road</t>
  </si>
  <si>
    <t>Morningside</t>
  </si>
  <si>
    <t>Māori ECE Service (excluding TKR)</t>
  </si>
  <si>
    <t>Morningside (Whangarei District)</t>
  </si>
  <si>
    <t>Kaye Taylor</t>
  </si>
  <si>
    <t>P O Box 6020</t>
  </si>
  <si>
    <t>Otaika</t>
  </si>
  <si>
    <t>Whangarei 0147</t>
  </si>
  <si>
    <t>09-438 7989</t>
  </si>
  <si>
    <t>The Treasure Cove Early Learning Centre</t>
  </si>
  <si>
    <t>09-2680890</t>
  </si>
  <si>
    <t>9-11 Boon Street</t>
  </si>
  <si>
    <t>Manurewa West</t>
  </si>
  <si>
    <t>Peter Green</t>
  </si>
  <si>
    <t>32 St Vincent Avenue</t>
  </si>
  <si>
    <t>09-266 5727</t>
  </si>
  <si>
    <t>Kiddos Childcare Takapuna</t>
  </si>
  <si>
    <t>09-488 9220</t>
  </si>
  <si>
    <t>Carla@ledu.co.nz</t>
  </si>
  <si>
    <t>1 Tennyson Avenue</t>
  </si>
  <si>
    <t>Jasim Din</t>
  </si>
  <si>
    <t>58 Onetaunga Road</t>
  </si>
  <si>
    <t>09-4803006</t>
  </si>
  <si>
    <t>BestStart Lambie Drive</t>
  </si>
  <si>
    <t>09-2611048</t>
  </si>
  <si>
    <t>BestStart Newton</t>
  </si>
  <si>
    <t>09-302 3701</t>
  </si>
  <si>
    <t>newton@best-Start.org</t>
  </si>
  <si>
    <t>13-17 Virginia Avenue</t>
  </si>
  <si>
    <t>Eden Terrace</t>
  </si>
  <si>
    <t>Kiwi Kapers Care and Education Centre</t>
  </si>
  <si>
    <t>09-8187741</t>
  </si>
  <si>
    <t>kiwikaperspreschool@outlook.com</t>
  </si>
  <si>
    <t>51 Rosier Road</t>
  </si>
  <si>
    <t>Glen Eden Rosier</t>
  </si>
  <si>
    <t>Gail Lasenby</t>
  </si>
  <si>
    <t>Auckland 0602</t>
  </si>
  <si>
    <t>Kindercare Learning Centres - Lincoln</t>
  </si>
  <si>
    <t>09-8373113</t>
  </si>
  <si>
    <t>lincoln@kindercare.co.nz</t>
  </si>
  <si>
    <t>285 Lincoln Road</t>
  </si>
  <si>
    <t>The Treasure Cove ELC - Tawa</t>
  </si>
  <si>
    <t>021-926584</t>
  </si>
  <si>
    <t>48 Tawa Crescent</t>
  </si>
  <si>
    <t>St Peter Chanel Preschool</t>
  </si>
  <si>
    <t>09-2635756</t>
  </si>
  <si>
    <t>stpchaa@xtra.co.nz</t>
  </si>
  <si>
    <t>42A Boundary Road</t>
  </si>
  <si>
    <t>Samoan ECE Service, Catholic</t>
  </si>
  <si>
    <t>Suhad Lirato</t>
  </si>
  <si>
    <t>42a Boundary Road</t>
  </si>
  <si>
    <t>Auckland 2019</t>
  </si>
  <si>
    <t>Immanuel Preschool</t>
  </si>
  <si>
    <t>09-2711 412</t>
  </si>
  <si>
    <t>rachel@immanuelpreschool.ac.nz</t>
  </si>
  <si>
    <t>55 Clayton Avenue</t>
  </si>
  <si>
    <t>Ōtara South West</t>
  </si>
  <si>
    <t>Rachel Talapati</t>
  </si>
  <si>
    <t>103A Terry Street</t>
  </si>
  <si>
    <t>09-627 4325</t>
  </si>
  <si>
    <t>Summerland Kindergarten</t>
  </si>
  <si>
    <t>09-835 0909</t>
  </si>
  <si>
    <t>summerland@aka.org.nz</t>
  </si>
  <si>
    <t>62A Summerland Drive</t>
  </si>
  <si>
    <t>Summerland North</t>
  </si>
  <si>
    <t>ACG Strathallan Preschool Centre</t>
  </si>
  <si>
    <t>09-2950830</t>
  </si>
  <si>
    <t>angela.lunam@acgedu.com</t>
  </si>
  <si>
    <t>Hayfield Way</t>
  </si>
  <si>
    <t>Karaka</t>
  </si>
  <si>
    <t>Hingaia</t>
  </si>
  <si>
    <t>Angela Lunam</t>
  </si>
  <si>
    <t>Hayfield Way RD 1</t>
  </si>
  <si>
    <t>South Auckland 2580</t>
  </si>
  <si>
    <t>09-2135418</t>
  </si>
  <si>
    <t>Kindercare Learning Centres - Auckland CBD (Babies &amp; Toddlers)</t>
  </si>
  <si>
    <t>09-359 9979</t>
  </si>
  <si>
    <t>customs@kindercare.co.nz</t>
  </si>
  <si>
    <t>29 Customs Street West</t>
  </si>
  <si>
    <t>Quay Street-Customs Street</t>
  </si>
  <si>
    <t>Kensington Educare</t>
  </si>
  <si>
    <t>09-4376082</t>
  </si>
  <si>
    <t>kensington@educare.co.nz</t>
  </si>
  <si>
    <t>Western Hills Drive</t>
  </si>
  <si>
    <t>Kensington-Whangarei</t>
  </si>
  <si>
    <t>Kensington (Whangarei District)</t>
  </si>
  <si>
    <t>Pineapples Early Learning Centre</t>
  </si>
  <si>
    <t>09-8324740</t>
  </si>
  <si>
    <t>amy@pineapplesearlylearning.co.nz</t>
  </si>
  <si>
    <t>6 O'Neills Road</t>
  </si>
  <si>
    <t>Amy  Fraser</t>
  </si>
  <si>
    <t xml:space="preserve">207 Woodlands Park Road </t>
  </si>
  <si>
    <t>09-8342320</t>
  </si>
  <si>
    <t>Tautua Aoga Amata</t>
  </si>
  <si>
    <t>09-274 5625</t>
  </si>
  <si>
    <t>Tapu@pasifikaece.co.nz</t>
  </si>
  <si>
    <t>17 Haumia Way</t>
  </si>
  <si>
    <t>Rongomai East</t>
  </si>
  <si>
    <t>Treasure Hunt Montessori Preschool</t>
  </si>
  <si>
    <t>09-828 5440</t>
  </si>
  <si>
    <t>treasurehuntmontessorischool@gmail.com</t>
  </si>
  <si>
    <t>1217-1219 New North Road</t>
  </si>
  <si>
    <t>Michelle Ashika Chand</t>
  </si>
  <si>
    <t>100 Babich Road North</t>
  </si>
  <si>
    <t>Little Kiwis Early Learning Centre</t>
  </si>
  <si>
    <t>09-278 9833</t>
  </si>
  <si>
    <t>dxapoon@hotmail.com</t>
  </si>
  <si>
    <t>20 Norman Spencer Drive</t>
  </si>
  <si>
    <t>Daniel Poon</t>
  </si>
  <si>
    <t>P O Box 76287</t>
  </si>
  <si>
    <t>The Junction Early Learning Centre</t>
  </si>
  <si>
    <t>09-479 5432</t>
  </si>
  <si>
    <t>4 Oteha Valley Road</t>
  </si>
  <si>
    <t>Amanda Pipe</t>
  </si>
  <si>
    <t>11 Islington Street</t>
  </si>
  <si>
    <t>Fame Preschool</t>
  </si>
  <si>
    <t>09-428 5048</t>
  </si>
  <si>
    <t>lana@fame.net.nz</t>
  </si>
  <si>
    <t>6 Karepiro Drive</t>
  </si>
  <si>
    <t>Whangaparāoa Central</t>
  </si>
  <si>
    <t>Lana van der Harst</t>
  </si>
  <si>
    <t>P O Box 79</t>
  </si>
  <si>
    <t>North Shore City 0943</t>
  </si>
  <si>
    <t>Over the Rainbow Early Learning Centre</t>
  </si>
  <si>
    <t>09-2389544</t>
  </si>
  <si>
    <t>12 Victoria Street</t>
  </si>
  <si>
    <t>Pukekohe North West</t>
  </si>
  <si>
    <t>Danielle Twiss</t>
  </si>
  <si>
    <t>66 Ward Street</t>
  </si>
  <si>
    <t>Pukekohe 2120</t>
  </si>
  <si>
    <t>09-2386079</t>
  </si>
  <si>
    <t>Kindercare Learning Centre (19) Greville</t>
  </si>
  <si>
    <t>09-4799933</t>
  </si>
  <si>
    <t>greville@kindercare.co.nz</t>
  </si>
  <si>
    <t>Pinehill South</t>
  </si>
  <si>
    <t>Peekaboo Childcare Centre</t>
  </si>
  <si>
    <t>info@peekaboo.nz</t>
  </si>
  <si>
    <t>115-117 Hugh Green Drive</t>
  </si>
  <si>
    <t>Michelle Bosch</t>
  </si>
  <si>
    <t>37 Churchill Road</t>
  </si>
  <si>
    <t>Fun Kids Learning Centre</t>
  </si>
  <si>
    <t>09-2622742</t>
  </si>
  <si>
    <t>funkidslearningcentre@live.com</t>
  </si>
  <si>
    <t>23 Hollyford Drive</t>
  </si>
  <si>
    <t>Hilltop (Auckland)</t>
  </si>
  <si>
    <t>Anna Chiu</t>
  </si>
  <si>
    <t>Auckland 2105</t>
  </si>
  <si>
    <t>09-262 2742</t>
  </si>
  <si>
    <t>Covenant Kids Preschool</t>
  </si>
  <si>
    <t>09-269 1048</t>
  </si>
  <si>
    <t>covenantkids@mcctrust.nz</t>
  </si>
  <si>
    <t>61 Beaumonts Way</t>
  </si>
  <si>
    <t>Manurewa South</t>
  </si>
  <si>
    <t>Anthony Bracefield</t>
  </si>
  <si>
    <t>30 Hilltop Road</t>
  </si>
  <si>
    <t>Flat Bush</t>
  </si>
  <si>
    <t>Manukau 2023</t>
  </si>
  <si>
    <t>09-2173837</t>
  </si>
  <si>
    <t>Kelston Community Early Childhood Centre</t>
  </si>
  <si>
    <t>09-813 4980</t>
  </si>
  <si>
    <t>9 St Leonards Road</t>
  </si>
  <si>
    <t>Kelston North</t>
  </si>
  <si>
    <t>Lynda Durbin</t>
  </si>
  <si>
    <t>09-813 4949</t>
  </si>
  <si>
    <t>BestStart Albany 2</t>
  </si>
  <si>
    <t>09-415 1918</t>
  </si>
  <si>
    <t>6 Appleby Road</t>
  </si>
  <si>
    <t>Small Sprouts Limited</t>
  </si>
  <si>
    <t>020-4039 2545</t>
  </si>
  <si>
    <t>elysia@smallsprouts.co.nz</t>
  </si>
  <si>
    <t>3 Blue Heron Rise</t>
  </si>
  <si>
    <t>Vipond</t>
  </si>
  <si>
    <t>Elysia Leeming</t>
  </si>
  <si>
    <t xml:space="preserve">3 Blue Heron Rise </t>
  </si>
  <si>
    <t>Mt Royal Early Learning Centre</t>
  </si>
  <si>
    <t>09-8497440</t>
  </si>
  <si>
    <t>88 Mt Royal Avenue</t>
  </si>
  <si>
    <t>Ōwairaka East</t>
  </si>
  <si>
    <t>Iuliana Rodinciuc</t>
  </si>
  <si>
    <t>32 Bradnor Meadows Drive, Swanson</t>
  </si>
  <si>
    <t>Waimauku Kindergarten</t>
  </si>
  <si>
    <t>09-4118890</t>
  </si>
  <si>
    <t>waimauku@kaitiakikindergartens.org.nz</t>
  </si>
  <si>
    <t>18 Freshfields Road</t>
  </si>
  <si>
    <t>Dannemora Kindergarten</t>
  </si>
  <si>
    <t>09-2712 397</t>
  </si>
  <si>
    <t>dannemora@aka.org.nz</t>
  </si>
  <si>
    <t>141 Kilkenny Drive</t>
  </si>
  <si>
    <t>The Gardens ECE</t>
  </si>
  <si>
    <t>09-2660600</t>
  </si>
  <si>
    <t>charlesprevost@thegardens.co.nz</t>
  </si>
  <si>
    <t>85 Charles Prevost Drive</t>
  </si>
  <si>
    <t>The Gardens (Auckland)</t>
  </si>
  <si>
    <t>Micheline Brown</t>
  </si>
  <si>
    <t>153 Hill Road</t>
  </si>
  <si>
    <t>South Auckland 2105</t>
  </si>
  <si>
    <t>09-2777855</t>
  </si>
  <si>
    <t>Fiti Lagakali Aoga Niue</t>
  </si>
  <si>
    <t>09-257 0358</t>
  </si>
  <si>
    <t>Fitilagakali@outlook.com</t>
  </si>
  <si>
    <t>36 Lyncroft Street</t>
  </si>
  <si>
    <t>Foumana Alene-Tumataiki</t>
  </si>
  <si>
    <t>P O Box 200181</t>
  </si>
  <si>
    <t>Papatoetoe Central</t>
  </si>
  <si>
    <t>South Auckland 2156</t>
  </si>
  <si>
    <t>Kiwi Supertots Learning Centre Royal Oak</t>
  </si>
  <si>
    <t>09-625 0050</t>
  </si>
  <si>
    <t>kiwisupertotsbotany@gmail.com</t>
  </si>
  <si>
    <t>15 Mt Smart Road</t>
  </si>
  <si>
    <t>Royal Oak</t>
  </si>
  <si>
    <t>Royal Oak East (Auckland)</t>
  </si>
  <si>
    <t>Ronika Prasad</t>
  </si>
  <si>
    <t>P O Box 72311</t>
  </si>
  <si>
    <t>Auckland 2244</t>
  </si>
  <si>
    <t>09-296 7193</t>
  </si>
  <si>
    <t>Kids Crafty Clubs Learning Centre</t>
  </si>
  <si>
    <t>09-5355522</t>
  </si>
  <si>
    <t>kidscraftyclubs@xtra.co.nz</t>
  </si>
  <si>
    <t>110 Moore Street</t>
  </si>
  <si>
    <t>Howick East</t>
  </si>
  <si>
    <t>Leesa Hill</t>
  </si>
  <si>
    <t>50 Baird Street</t>
  </si>
  <si>
    <t>Auckland 2014</t>
  </si>
  <si>
    <t>Carol White Family Centre</t>
  </si>
  <si>
    <t>09-521 9643</t>
  </si>
  <si>
    <t>creche@selwyn.school.nz</t>
  </si>
  <si>
    <t>c/- Selwyn College Campus 203-245 Kohimarama Road</t>
  </si>
  <si>
    <t>Kohimarama</t>
  </si>
  <si>
    <t>Kohimarama Stadium</t>
  </si>
  <si>
    <t>Laadan Mohajeri</t>
  </si>
  <si>
    <t>09-5219634</t>
  </si>
  <si>
    <t>Te Kopuru Playcentre</t>
  </si>
  <si>
    <t>09-941 4364</t>
  </si>
  <si>
    <t>keri.squires@playcentre.org.nz</t>
  </si>
  <si>
    <t>Norton Street</t>
  </si>
  <si>
    <t>Te Kopuru</t>
  </si>
  <si>
    <t>Kaipara Coastal</t>
  </si>
  <si>
    <t>Keri Squires</t>
  </si>
  <si>
    <t>P O Box 57217</t>
  </si>
  <si>
    <t>Porirua 5026</t>
  </si>
  <si>
    <t>Apples Childcare and Learning Centre</t>
  </si>
  <si>
    <t>09-6348000</t>
  </si>
  <si>
    <t>22 Cameron Street</t>
  </si>
  <si>
    <t>Steven Tan</t>
  </si>
  <si>
    <t>P O Box 26095</t>
  </si>
  <si>
    <t>Auckland 1344</t>
  </si>
  <si>
    <t>Little Moas Early Learning Centre</t>
  </si>
  <si>
    <t>09-525 0548</t>
  </si>
  <si>
    <t>info@littlemoas.co.nz</t>
  </si>
  <si>
    <t>4 Thompson Park Road</t>
  </si>
  <si>
    <t>Mount Wellington Ferndale</t>
  </si>
  <si>
    <t>Meys Mohammed</t>
  </si>
  <si>
    <t>282 Great South Road</t>
  </si>
  <si>
    <t>Auckland 2102</t>
  </si>
  <si>
    <t>City Preschool</t>
  </si>
  <si>
    <t>09-308 9798</t>
  </si>
  <si>
    <t>admin@citypreschool.co.nz</t>
  </si>
  <si>
    <t>68 Upper Queen Street</t>
  </si>
  <si>
    <t>Newton</t>
  </si>
  <si>
    <t>Arafat Husain</t>
  </si>
  <si>
    <t>7 Geordie Street</t>
  </si>
  <si>
    <t>Little Wonders Glendowie</t>
  </si>
  <si>
    <t>09-5752130</t>
  </si>
  <si>
    <t>cm.glendowie@littlewonders.nz</t>
  </si>
  <si>
    <t>54 Sierra Street</t>
  </si>
  <si>
    <t>Michelle  Ryan</t>
  </si>
  <si>
    <t>Busy Bees Whau Valley</t>
  </si>
  <si>
    <t>09-459 4255</t>
  </si>
  <si>
    <t>manager@whauvalley.busybees.org.nz</t>
  </si>
  <si>
    <t>25 Moody Avenue</t>
  </si>
  <si>
    <t>Whau Valley</t>
  </si>
  <si>
    <t>Kidz Unlimited (Learning Centre) Ltd</t>
  </si>
  <si>
    <t>09-8202253</t>
  </si>
  <si>
    <t>admin@kidzunlimited.net.nz</t>
  </si>
  <si>
    <t>4 Ennismore Road</t>
  </si>
  <si>
    <t>Karen Sears</t>
  </si>
  <si>
    <t>The Childrens Corner Howick</t>
  </si>
  <si>
    <t>09-533 0397</t>
  </si>
  <si>
    <t>30 Cook Street</t>
  </si>
  <si>
    <t>Diane Cornelius</t>
  </si>
  <si>
    <t>663 Whitford Road RD 1</t>
  </si>
  <si>
    <t>Auckland 2571</t>
  </si>
  <si>
    <t>09-530 9457</t>
  </si>
  <si>
    <t>Bear Park Henderson</t>
  </si>
  <si>
    <t>09-8377300</t>
  </si>
  <si>
    <t>henderson@bearpark.co.nz</t>
  </si>
  <si>
    <t>64-68 Summerland Drive</t>
  </si>
  <si>
    <t>Leigh Reddish</t>
  </si>
  <si>
    <t>09-5204060</t>
  </si>
  <si>
    <t>BestStart Remuera Road</t>
  </si>
  <si>
    <t>09-5230300</t>
  </si>
  <si>
    <t>remuera@best-start.org</t>
  </si>
  <si>
    <t>97 Remuera Road</t>
  </si>
  <si>
    <t>Newmarket Park</t>
  </si>
  <si>
    <t>Eden Campus Early Learning Centre</t>
  </si>
  <si>
    <t>09-6383413</t>
  </si>
  <si>
    <t>admin@taonga.org.nz</t>
  </si>
  <si>
    <t>16 Ngauruhoe Street</t>
  </si>
  <si>
    <t>Mount Eden East</t>
  </si>
  <si>
    <t>Charlene Watene</t>
  </si>
  <si>
    <t>P O Box 75644</t>
  </si>
  <si>
    <t>South Auckland 2243</t>
  </si>
  <si>
    <t>09-2692861</t>
  </si>
  <si>
    <t>Busy Bees Pakuranga 1</t>
  </si>
  <si>
    <t>09-576 8201</t>
  </si>
  <si>
    <t>Jolene.Stadler@busybees.org.nz</t>
  </si>
  <si>
    <t>67 Reeves Road</t>
  </si>
  <si>
    <t>Pakuranga Central</t>
  </si>
  <si>
    <t>Jolene Stadler</t>
  </si>
  <si>
    <t>Little Pukeko's Preschool</t>
  </si>
  <si>
    <t>09-2392272</t>
  </si>
  <si>
    <t>verenaliu62@gmail.com</t>
  </si>
  <si>
    <t>7 Graham Street</t>
  </si>
  <si>
    <t>Yilin Zhang</t>
  </si>
  <si>
    <t>7 Graham Street Pukekohe</t>
  </si>
  <si>
    <t>Auckland 2120</t>
  </si>
  <si>
    <t>Te Hononga Puna Reo</t>
  </si>
  <si>
    <t>09-239 1150</t>
  </si>
  <si>
    <t>jan@tenuinga.co.nz</t>
  </si>
  <si>
    <t>19 Beatty Road</t>
  </si>
  <si>
    <t>January Albert</t>
  </si>
  <si>
    <t>25 Heather Green ave</t>
  </si>
  <si>
    <t>Waikato 2474</t>
  </si>
  <si>
    <t>Smiling Stars Childcare</t>
  </si>
  <si>
    <t>021-268 9079</t>
  </si>
  <si>
    <t>103 Queen Street</t>
  </si>
  <si>
    <t>Somna  Chaudhary</t>
  </si>
  <si>
    <t>09-974 2060</t>
  </si>
  <si>
    <t>Te Ōhonga Reo o Matangirau</t>
  </si>
  <si>
    <t>09-405 0955</t>
  </si>
  <si>
    <t>495 Wainui Road</t>
  </si>
  <si>
    <t>Whakarara</t>
  </si>
  <si>
    <t>Te Timatatanga o te Matauranga</t>
  </si>
  <si>
    <t>09-4372515</t>
  </si>
  <si>
    <t>189 William Jones Drive</t>
  </si>
  <si>
    <t>Otangarei</t>
  </si>
  <si>
    <t>Te Kōhanga Reo o Te kotahitanga</t>
  </si>
  <si>
    <t>09-401 2191</t>
  </si>
  <si>
    <t>30 Rangihamama Road</t>
  </si>
  <si>
    <t>Ngapuhi</t>
  </si>
  <si>
    <t>He Kaakano Early Learning Centre</t>
  </si>
  <si>
    <t>09-438 1840</t>
  </si>
  <si>
    <t>hekakano@teorahou.org.nz</t>
  </si>
  <si>
    <t>55 Raumanga Valley Road</t>
  </si>
  <si>
    <t>Tarewa</t>
  </si>
  <si>
    <t>Louis Davis</t>
  </si>
  <si>
    <t>P O Box 1136</t>
  </si>
  <si>
    <t>Whangarei 0140</t>
  </si>
  <si>
    <t>09-4385556</t>
  </si>
  <si>
    <t>Titoki Playcentre</t>
  </si>
  <si>
    <t>09-433 1702</t>
  </si>
  <si>
    <t>Mangakahia Road</t>
  </si>
  <si>
    <t>Mangakahia-Hūkerenui</t>
  </si>
  <si>
    <t>Mangakahia-Maungatapere General Ward</t>
  </si>
  <si>
    <t>Harinui Early Childhood Learning Centre</t>
  </si>
  <si>
    <t>09-407 6155</t>
  </si>
  <si>
    <t>Before Six Early Educational Childhood Centre</t>
  </si>
  <si>
    <t>09-431 4012</t>
  </si>
  <si>
    <t>admin@beforesixchildcare.co.nz</t>
  </si>
  <si>
    <t>2 Pearson Street</t>
  </si>
  <si>
    <t>Mangawhai</t>
  </si>
  <si>
    <t>Kaiwaka-Mangawhai General Ward</t>
  </si>
  <si>
    <t>Shelley Paddock</t>
  </si>
  <si>
    <t>P O Box 2175</t>
  </si>
  <si>
    <t>Shortland Street</t>
  </si>
  <si>
    <t>Auckland 1140</t>
  </si>
  <si>
    <t>Twin Coast Community of Learning</t>
  </si>
  <si>
    <t>BestStart Kamo Central</t>
  </si>
  <si>
    <t>09-4355454</t>
  </si>
  <si>
    <t>kamocentral@best-start.org</t>
  </si>
  <si>
    <t>2a Lilian Street</t>
  </si>
  <si>
    <t>Springbank Pre School</t>
  </si>
  <si>
    <t>09-4079898</t>
  </si>
  <si>
    <t>preschool@springbank.school.nz</t>
  </si>
  <si>
    <t>72 Waimate North Road</t>
  </si>
  <si>
    <t>Puketotara</t>
  </si>
  <si>
    <t>Michael Warren</t>
  </si>
  <si>
    <t>P O Box 404</t>
  </si>
  <si>
    <t>09-407 5236</t>
  </si>
  <si>
    <t>Stepping Stones Preschool</t>
  </si>
  <si>
    <t>09-4303523</t>
  </si>
  <si>
    <t>info@steppingstonespreschool.co.nz</t>
  </si>
  <si>
    <t>153a Bank Street</t>
  </si>
  <si>
    <t>Kingdom Kidz</t>
  </si>
  <si>
    <t>09-4595552</t>
  </si>
  <si>
    <t>office@kingdomkidz.co.nz</t>
  </si>
  <si>
    <t>22 Ngunguru Road</t>
  </si>
  <si>
    <t>Glenbervie</t>
  </si>
  <si>
    <t>Abbey Caves-Glenbervie</t>
  </si>
  <si>
    <t>Lisa Burton</t>
  </si>
  <si>
    <t>22 Ngunguru Rd RD 3</t>
  </si>
  <si>
    <t>Smart Start Preschool</t>
  </si>
  <si>
    <t>09-4357304</t>
  </si>
  <si>
    <t>smartstart@xtra.co.nz</t>
  </si>
  <si>
    <t>63 Station Road</t>
  </si>
  <si>
    <t>Kamo East</t>
  </si>
  <si>
    <t>Moira McKay</t>
  </si>
  <si>
    <t>09-433 2782</t>
  </si>
  <si>
    <t>Mokopuna O Moerewa Early Childhood Centre</t>
  </si>
  <si>
    <t>09-404 1116</t>
  </si>
  <si>
    <t>1-15 Station Road</t>
  </si>
  <si>
    <t>Moerewa</t>
  </si>
  <si>
    <t>Kids 1st Childcare &amp; Learning Centre Ltd</t>
  </si>
  <si>
    <t>09-432 1411</t>
  </si>
  <si>
    <t>kids1st@xtra.co.nz</t>
  </si>
  <si>
    <t>44 The Braigh</t>
  </si>
  <si>
    <t>Waipu</t>
  </si>
  <si>
    <t>Waipū</t>
  </si>
  <si>
    <t>Noela Duffus</t>
  </si>
  <si>
    <t>P O Box 14</t>
  </si>
  <si>
    <t>Waipu 0545</t>
  </si>
  <si>
    <t>Hikurangi Educare</t>
  </si>
  <si>
    <t>09-4337980</t>
  </si>
  <si>
    <t>hikurangi@educare.co.nz</t>
  </si>
  <si>
    <t>18A Park Street</t>
  </si>
  <si>
    <t>Awhi Early Learning Centre</t>
  </si>
  <si>
    <t>09-430 4280</t>
  </si>
  <si>
    <t>lainecveitch@gmail.com</t>
  </si>
  <si>
    <t>16 Porowini Avenue</t>
  </si>
  <si>
    <t>Delaine Veitch</t>
  </si>
  <si>
    <t>963 Cove Road, Langs Beach</t>
  </si>
  <si>
    <t>Waipu 0582</t>
  </si>
  <si>
    <t>Kereru Kindy</t>
  </si>
  <si>
    <t>09-430 8804</t>
  </si>
  <si>
    <t>support@kererukindy.co.nz</t>
  </si>
  <si>
    <t>152 Bank Street</t>
  </si>
  <si>
    <t>Carol Cook</t>
  </si>
  <si>
    <t>152A Bank Street</t>
  </si>
  <si>
    <t xml:space="preserve">Whangarei </t>
  </si>
  <si>
    <t>Footprints Educare</t>
  </si>
  <si>
    <t>09-408 2489</t>
  </si>
  <si>
    <t>office@footprintseducare.co.nz</t>
  </si>
  <si>
    <t>13 North Road</t>
  </si>
  <si>
    <t>Anna-Marie Toia</t>
  </si>
  <si>
    <t>Kaitaia 0410</t>
  </si>
  <si>
    <t>Kerikeri Community Childcare Trust</t>
  </si>
  <si>
    <t>09-4077153</t>
  </si>
  <si>
    <t>kkcct@xtra.co.nz</t>
  </si>
  <si>
    <t>Norfolk Place</t>
  </si>
  <si>
    <t>Daniela Cook</t>
  </si>
  <si>
    <t>4 Norfolk Place</t>
  </si>
  <si>
    <t>Kerikeri 0230</t>
  </si>
  <si>
    <t>09-407 7153</t>
  </si>
  <si>
    <t>Family Link Childcare</t>
  </si>
  <si>
    <t>09-4396685</t>
  </si>
  <si>
    <t>familylinkdargaville@gmail.com</t>
  </si>
  <si>
    <t>38 Parore Street</t>
  </si>
  <si>
    <t>Susanne Green</t>
  </si>
  <si>
    <t>Whangarei 0310</t>
  </si>
  <si>
    <t>09-9465007</t>
  </si>
  <si>
    <t>He Waka Eke Noa Early Learning Centre</t>
  </si>
  <si>
    <t>09-4388366</t>
  </si>
  <si>
    <t>hewakaekenoa@xtra.co.nz</t>
  </si>
  <si>
    <t>60 Riverside Drive</t>
  </si>
  <si>
    <t>Rebbeca Joyce</t>
  </si>
  <si>
    <t>Avenues EduCare</t>
  </si>
  <si>
    <t>09-4387194</t>
  </si>
  <si>
    <t>avenues.educare@xtra.co.nz</t>
  </si>
  <si>
    <t>83 Fourth Avenue</t>
  </si>
  <si>
    <t>Deborah Beardsell</t>
  </si>
  <si>
    <t>P O Box 230</t>
  </si>
  <si>
    <t>St John's Progressive Childcare</t>
  </si>
  <si>
    <t>09-437 2746</t>
  </si>
  <si>
    <t>info@stjohnscc.org.nz</t>
  </si>
  <si>
    <t>149 Kamo Road</t>
  </si>
  <si>
    <t>John Overton</t>
  </si>
  <si>
    <t>P O Box 8111</t>
  </si>
  <si>
    <t>Kensington</t>
  </si>
  <si>
    <t>Whangarei 0145</t>
  </si>
  <si>
    <t>Impact Childcare Ltd</t>
  </si>
  <si>
    <t>09-438 5030</t>
  </si>
  <si>
    <t>cjbudgen@gmail.com</t>
  </si>
  <si>
    <t>208 Maunu Road</t>
  </si>
  <si>
    <t>Angela Budgen</t>
  </si>
  <si>
    <t>021-438 5030</t>
  </si>
  <si>
    <t>Te Kōhanga Reo o Wharepunga</t>
  </si>
  <si>
    <t>09-401 4773</t>
  </si>
  <si>
    <t>Wharepunga Road</t>
  </si>
  <si>
    <t>Waimā Forest</t>
  </si>
  <si>
    <t>Te Kōhanga Reo o Raumanga Kōhungahunga</t>
  </si>
  <si>
    <t>09-438 8900</t>
  </si>
  <si>
    <t>Raumanga Valley Road</t>
  </si>
  <si>
    <t>Totara North Early Childhood Centre</t>
  </si>
  <si>
    <t>09-4051057</t>
  </si>
  <si>
    <t>tnecc@xtra.co.nz</t>
  </si>
  <si>
    <t>32 Totara School Road</t>
  </si>
  <si>
    <t>Totara North</t>
  </si>
  <si>
    <t>Whakapaku</t>
  </si>
  <si>
    <t>Colleen Sherwin</t>
  </si>
  <si>
    <t>32 Totara School Road RD 2</t>
  </si>
  <si>
    <t>09-4051007</t>
  </si>
  <si>
    <t>Whangaroa Kāhui Ako</t>
  </si>
  <si>
    <t>Ahipara Sandhoppers Early Childhood</t>
  </si>
  <si>
    <t>09-4094662</t>
  </si>
  <si>
    <t>sandhoppers@xtra.co.nz</t>
  </si>
  <si>
    <t>Main Road</t>
  </si>
  <si>
    <t>Ahipara</t>
  </si>
  <si>
    <t>Tangonge</t>
  </si>
  <si>
    <t>Mary Graham</t>
  </si>
  <si>
    <t>P O Box 72</t>
  </si>
  <si>
    <t>Ahipara 0449</t>
  </si>
  <si>
    <t>Te Kōhanga Reo o Raurimu</t>
  </si>
  <si>
    <t>09-436 2704</t>
  </si>
  <si>
    <t>36 Raurimu Avenue</t>
  </si>
  <si>
    <t>Te Kōhanga Reo o Papatahi</t>
  </si>
  <si>
    <t>09-404 0041</t>
  </si>
  <si>
    <t>21 Otiria Road</t>
  </si>
  <si>
    <t>Te Kōhanga Reo o Ngā Toa Iwi Whenua</t>
  </si>
  <si>
    <t>09-401 0856</t>
  </si>
  <si>
    <t>16 Heke Street</t>
  </si>
  <si>
    <t>Te Kōhanga Reo o Te Reo</t>
  </si>
  <si>
    <t>09-437 1579</t>
  </si>
  <si>
    <t>31 Taraire Crescent</t>
  </si>
  <si>
    <t>Te Kōhanga Reo o Okaihau</t>
  </si>
  <si>
    <t>09-401 9193</t>
  </si>
  <si>
    <t>10 Lawn Street</t>
  </si>
  <si>
    <t>Okaihau</t>
  </si>
  <si>
    <t>Ōkaihau</t>
  </si>
  <si>
    <t>Te Kōhanga Reo o Moerewa</t>
  </si>
  <si>
    <t>09-404 1684</t>
  </si>
  <si>
    <t>233 Taumatamakuku Settlement Road</t>
  </si>
  <si>
    <t>BestStart Kaikohe</t>
  </si>
  <si>
    <t>09-4012806</t>
  </si>
  <si>
    <t>kaikohe@best-start.org</t>
  </si>
  <si>
    <t>15-17 Park Road</t>
  </si>
  <si>
    <t>Te Kōhanga Reo o Motatau</t>
  </si>
  <si>
    <t>09-404 0204</t>
  </si>
  <si>
    <t>Motatau Marae Henare Road</t>
  </si>
  <si>
    <t>Motatau</t>
  </si>
  <si>
    <t>Maromaku</t>
  </si>
  <si>
    <t>Paihia Early Childhood Centre</t>
  </si>
  <si>
    <t>09-4027324</t>
  </si>
  <si>
    <t>paihiaecc@xtra.co.nz</t>
  </si>
  <si>
    <t>40 Yorke Road</t>
  </si>
  <si>
    <t>Haruru Falls</t>
  </si>
  <si>
    <t>Haruru</t>
  </si>
  <si>
    <t>Samantha Caldwell</t>
  </si>
  <si>
    <t>203 Forest Hill Road</t>
  </si>
  <si>
    <t>Waitakere 0612</t>
  </si>
  <si>
    <t>Te Kōhanga Reo o Te Puna o Te Reo o Takiwira</t>
  </si>
  <si>
    <t>09-439 0545</t>
  </si>
  <si>
    <t>38 Finlayson Park Road</t>
  </si>
  <si>
    <t>Te Kōhanga Reo o Kororipo</t>
  </si>
  <si>
    <t>09-407 6665</t>
  </si>
  <si>
    <t>20 Lanark Road</t>
  </si>
  <si>
    <t>Kamo Kids Educational Childcare Centre</t>
  </si>
  <si>
    <t>Taipa Treasures</t>
  </si>
  <si>
    <t>09-406 1189</t>
  </si>
  <si>
    <t>taipa@treasureschildcare.com</t>
  </si>
  <si>
    <t>23 Oruru Road</t>
  </si>
  <si>
    <t>Nikki Foster</t>
  </si>
  <si>
    <t>23 Oruru Road, RD 3</t>
  </si>
  <si>
    <t>Taipa 0483</t>
  </si>
  <si>
    <t>Parklands Playcentre</t>
  </si>
  <si>
    <t>26 Tait Street</t>
  </si>
  <si>
    <t>BestStart Pipiwai Road</t>
  </si>
  <si>
    <t>09-4353234</t>
  </si>
  <si>
    <t>pipiwai@best-start.org</t>
  </si>
  <si>
    <t>Pipiwai Road</t>
  </si>
  <si>
    <t>Te Kōhanga Reo o Mokau</t>
  </si>
  <si>
    <t>09-433 6647</t>
  </si>
  <si>
    <t>2355 Old Russell Road</t>
  </si>
  <si>
    <t>Whangaruru</t>
  </si>
  <si>
    <t>Mangawhai Kindergarten</t>
  </si>
  <si>
    <t>09-4314333</t>
  </si>
  <si>
    <t>mangawhai@aka.org.nz</t>
  </si>
  <si>
    <t>Insley Street</t>
  </si>
  <si>
    <t>Kaitaia Playcentre</t>
  </si>
  <si>
    <t>09-408 0913</t>
  </si>
  <si>
    <t>Matthews Park, North Road</t>
  </si>
  <si>
    <t>Rawene Playcentre</t>
  </si>
  <si>
    <t>09-401 0368</t>
  </si>
  <si>
    <t>19A Marmon Street</t>
  </si>
  <si>
    <t>Kerikeri Playcentre</t>
  </si>
  <si>
    <t>09-407 9502</t>
  </si>
  <si>
    <t>Landing Road</t>
  </si>
  <si>
    <t>Russell Playcentre</t>
  </si>
  <si>
    <t>09-403 7636</t>
  </si>
  <si>
    <t>Church Street</t>
  </si>
  <si>
    <t>Russell</t>
  </si>
  <si>
    <t>Kawakawa Playcentre</t>
  </si>
  <si>
    <t>09-404 0114</t>
  </si>
  <si>
    <t>Albert Street</t>
  </si>
  <si>
    <t>Kawakawa</t>
  </si>
  <si>
    <t>Dargaville Playcentre</t>
  </si>
  <si>
    <t>Ranfurly Street</t>
  </si>
  <si>
    <t>Onerahi Playcentre</t>
  </si>
  <si>
    <t>09-436 1001</t>
  </si>
  <si>
    <t>1B Church Street</t>
  </si>
  <si>
    <t>Totara Grove Playcentre</t>
  </si>
  <si>
    <t>38 Corks Road</t>
  </si>
  <si>
    <t>Marsden Playcentre</t>
  </si>
  <si>
    <t>McEwan Road</t>
  </si>
  <si>
    <t>Ruakaka</t>
  </si>
  <si>
    <t>Bream Bay</t>
  </si>
  <si>
    <t>Waipu Playcentre</t>
  </si>
  <si>
    <t>St Marys Road</t>
  </si>
  <si>
    <t>Kaiwaka Playcentre</t>
  </si>
  <si>
    <t>09-431 2286</t>
  </si>
  <si>
    <t>Hastie Lane</t>
  </si>
  <si>
    <t>Kaiwaka</t>
  </si>
  <si>
    <t>Horahora Playcentre</t>
  </si>
  <si>
    <t>Te Mai Road</t>
  </si>
  <si>
    <t>Woodhill</t>
  </si>
  <si>
    <t>Awanui Playcentre</t>
  </si>
  <si>
    <t>172 Far North Road, State Highway 1</t>
  </si>
  <si>
    <t>Pamapuria Playcentre</t>
  </si>
  <si>
    <t>09-408 0237</t>
  </si>
  <si>
    <t>6964 State Highway 1, RD 2</t>
  </si>
  <si>
    <t>Pamapuria</t>
  </si>
  <si>
    <t>Rangitihi</t>
  </si>
  <si>
    <t>Peria Playcentre</t>
  </si>
  <si>
    <t>Peria Primary School Oruru Road</t>
  </si>
  <si>
    <t>Peria</t>
  </si>
  <si>
    <t>Kohukohu Playcentre</t>
  </si>
  <si>
    <t>Cnr Kohukohu Road and Beach Road</t>
  </si>
  <si>
    <t>Kohukohu</t>
  </si>
  <si>
    <t>Kohukohu-Broadwood</t>
  </si>
  <si>
    <t>Karatia Bilingual Playcentre</t>
  </si>
  <si>
    <t>09-405 7570</t>
  </si>
  <si>
    <t>Omanaia Road</t>
  </si>
  <si>
    <t>Omanaia</t>
  </si>
  <si>
    <t>Ohaeawai Playcentre</t>
  </si>
  <si>
    <t>021-02422154</t>
  </si>
  <si>
    <t>Hobson Street</t>
  </si>
  <si>
    <t>Ohaeawai</t>
  </si>
  <si>
    <t>Ōhaeawai-Waimate North</t>
  </si>
  <si>
    <t>Waimamaku Playcentre</t>
  </si>
  <si>
    <t>09-405 4566</t>
  </si>
  <si>
    <t>State Highway 12</t>
  </si>
  <si>
    <t>Waimamaku</t>
  </si>
  <si>
    <t>Waipoua Forest</t>
  </si>
  <si>
    <t>Kaeo Playcentre</t>
  </si>
  <si>
    <t>09-405 1288</t>
  </si>
  <si>
    <t>Mamaranui Playcentre</t>
  </si>
  <si>
    <t>2098 State Highway 12</t>
  </si>
  <si>
    <t>Mamaranui</t>
  </si>
  <si>
    <t>Hukerenui Playcentre</t>
  </si>
  <si>
    <t>9 Crows Nest Road</t>
  </si>
  <si>
    <t>Hukerenui</t>
  </si>
  <si>
    <t>Maungakaramea Playcentre</t>
  </si>
  <si>
    <t>Tauraroa Road</t>
  </si>
  <si>
    <t>Maungakaramea</t>
  </si>
  <si>
    <t>Oakleigh-Mangapai</t>
  </si>
  <si>
    <t>Maungatapere Playcentre</t>
  </si>
  <si>
    <t>Maungatapere</t>
  </si>
  <si>
    <t>Maungatāpere</t>
  </si>
  <si>
    <t>Parua Bay Playcentre</t>
  </si>
  <si>
    <t>Whangarei Heads Road</t>
  </si>
  <si>
    <t>Tutukaka Coast Playcentre</t>
  </si>
  <si>
    <t>Waiotoi Road</t>
  </si>
  <si>
    <t>Ngunguru</t>
  </si>
  <si>
    <t>Maungaturoto Playcentre</t>
  </si>
  <si>
    <t>Hurndal Street</t>
  </si>
  <si>
    <t>Maungaturoto</t>
  </si>
  <si>
    <t>Maungatūroto</t>
  </si>
  <si>
    <t>Paparoa Playcentre</t>
  </si>
  <si>
    <t>09-431 6653</t>
  </si>
  <si>
    <t>Franklin Road</t>
  </si>
  <si>
    <t>Paparoa</t>
  </si>
  <si>
    <t>Otamatea (Kaipara District)</t>
  </si>
  <si>
    <t>Te Kōhanga Reo o Manaakitia</t>
  </si>
  <si>
    <t>09-435 3004</t>
  </si>
  <si>
    <t>11 Balmoral Road</t>
  </si>
  <si>
    <t>Te Kōhanga Reo o Ngā Tau E Toru</t>
  </si>
  <si>
    <t>09-430 0082</t>
  </si>
  <si>
    <t>3239 Pipiwai Road</t>
  </si>
  <si>
    <t>Te Kōhanga Reo o Takahiwai</t>
  </si>
  <si>
    <t>09-432 8514</t>
  </si>
  <si>
    <t>Te Whare 3 - Takahiwai Marae RD1</t>
  </si>
  <si>
    <t>Te Kōhanga Reo o Kamo</t>
  </si>
  <si>
    <t>09-435 3379</t>
  </si>
  <si>
    <t>Clarke Road</t>
  </si>
  <si>
    <t>Te Kōhanga Reo o Rewarewa</t>
  </si>
  <si>
    <t>09-438 9948</t>
  </si>
  <si>
    <t>Community House Smeaton Drive</t>
  </si>
  <si>
    <t>Te Kōhanga Reo o Matawaia</t>
  </si>
  <si>
    <t>09-974 6749</t>
  </si>
  <si>
    <t>Matawaia Marae</t>
  </si>
  <si>
    <t>Matawaia</t>
  </si>
  <si>
    <t>Matawaia-Taumarere</t>
  </si>
  <si>
    <t>Te Kōhanga Reo o Kawakawa</t>
  </si>
  <si>
    <t>09-404 1283</t>
  </si>
  <si>
    <t>10 Derrick Road</t>
  </si>
  <si>
    <t>Te Kōhanga Reo o Waikare</t>
  </si>
  <si>
    <t>09-403 7419</t>
  </si>
  <si>
    <t>Waikare Road</t>
  </si>
  <si>
    <t>Waikare</t>
  </si>
  <si>
    <t>Russell Forest-Rawhiti</t>
  </si>
  <si>
    <t>Te Kōhanga Reo o Kaikohe</t>
  </si>
  <si>
    <t>09-405 2170</t>
  </si>
  <si>
    <t>7 Recreation Road</t>
  </si>
  <si>
    <t>Te Kōhanga Reo o Whirinaki</t>
  </si>
  <si>
    <t>09-405 8102</t>
  </si>
  <si>
    <t>Whirinaki School Road</t>
  </si>
  <si>
    <t>Whirinaki</t>
  </si>
  <si>
    <t>Te Kōhanga Reo o Pa Arapeta</t>
  </si>
  <si>
    <t>09-409 5714</t>
  </si>
  <si>
    <t>Ngatimanawa Marae 340 West Coast Road</t>
  </si>
  <si>
    <t>Panguru</t>
  </si>
  <si>
    <t>Te Kōhanga Reo o Maungataniwha</t>
  </si>
  <si>
    <t>09-401 8942</t>
  </si>
  <si>
    <t>State Highway One</t>
  </si>
  <si>
    <t>Mangamuka</t>
  </si>
  <si>
    <t>Omahuta Forest-Horeke</t>
  </si>
  <si>
    <t>Te Kōhanga Reo o Te Ohaki</t>
  </si>
  <si>
    <t>09-409 4535</t>
  </si>
  <si>
    <t>Roma Road</t>
  </si>
  <si>
    <t>Te Kōhanga Reo o Te Paatu</t>
  </si>
  <si>
    <t>09-408 4183</t>
  </si>
  <si>
    <t>Te Paatu Marae State Highway 1</t>
  </si>
  <si>
    <t>Te Kōhanga Reo o Te Roopu Whanau</t>
  </si>
  <si>
    <t>09-408 1285</t>
  </si>
  <si>
    <t>198 Pukepoto Road</t>
  </si>
  <si>
    <t>Te Kōhanga Reo o Rangaunu</t>
  </si>
  <si>
    <t>09-406 7064</t>
  </si>
  <si>
    <t>212 State Highway 1, Awanui</t>
  </si>
  <si>
    <t>Waimanoni</t>
  </si>
  <si>
    <t>Te Kōhanga Reo o Te Kotahitanga o Whangape</t>
  </si>
  <si>
    <t>09-409 5010</t>
  </si>
  <si>
    <t>996 Whangape Road, RD1</t>
  </si>
  <si>
    <t>Herekino</t>
  </si>
  <si>
    <t>Herekino-Takahue</t>
  </si>
  <si>
    <t>Te Kōhanga Reo o Kareponia</t>
  </si>
  <si>
    <t>09-406 7487</t>
  </si>
  <si>
    <t>State Highway 10</t>
  </si>
  <si>
    <t>Te Kōhanga Reo o Te Hiku o Te Ika</t>
  </si>
  <si>
    <t>09-409 7798</t>
  </si>
  <si>
    <t>Te Rero Mihi Marae Waharua Road</t>
  </si>
  <si>
    <t>Te Hapua</t>
  </si>
  <si>
    <t>North Cape</t>
  </si>
  <si>
    <t>Te Kōhanga Reo o Te Piri o Waimirirangi</t>
  </si>
  <si>
    <t>09-409 7713</t>
  </si>
  <si>
    <t>24 Te Ahu Road</t>
  </si>
  <si>
    <t>Te Kao</t>
  </si>
  <si>
    <t>Belmont Montessori Preschool</t>
  </si>
  <si>
    <t>09-445 4500</t>
  </si>
  <si>
    <t>7 Kawerau Avenue</t>
  </si>
  <si>
    <t>Narrow Neck</t>
  </si>
  <si>
    <t>Renata Cabral Mcllory</t>
  </si>
  <si>
    <t>1730A Great North Road</t>
  </si>
  <si>
    <t>Auckland 1026</t>
  </si>
  <si>
    <t>Akoranga Childcare Centre</t>
  </si>
  <si>
    <t>09-4897916</t>
  </si>
  <si>
    <t>office@akorangachildcare.co.nz</t>
  </si>
  <si>
    <t>AUT Campus, Gate 3 Akoranga Drive</t>
  </si>
  <si>
    <t>Akoranga</t>
  </si>
  <si>
    <t>Maree Wilson</t>
  </si>
  <si>
    <t>c/- AUT (Akoranga Childcare Centre) Private Bag 92006</t>
  </si>
  <si>
    <t>027-4960415</t>
  </si>
  <si>
    <t>Albany Community Preschool</t>
  </si>
  <si>
    <t>09-4159690</t>
  </si>
  <si>
    <t>manager@albanypreschool.co.nz</t>
  </si>
  <si>
    <t>575 Albany Highway</t>
  </si>
  <si>
    <t>Albany Central</t>
  </si>
  <si>
    <t>Catherine Bucher</t>
  </si>
  <si>
    <t>P O Box 300312</t>
  </si>
  <si>
    <t>North Shore City 0752</t>
  </si>
  <si>
    <t>09-415 9690</t>
  </si>
  <si>
    <t>Nurture by Nature Early Childhood Centre</t>
  </si>
  <si>
    <t>09-4074042</t>
  </si>
  <si>
    <t>info@nurture.co.nz</t>
  </si>
  <si>
    <t>324 Kapiro Road</t>
  </si>
  <si>
    <t>Lake Manuwai-Kapiro</t>
  </si>
  <si>
    <t>Christine Kira</t>
  </si>
  <si>
    <t>P O Box 303</t>
  </si>
  <si>
    <t>09-407 4042</t>
  </si>
  <si>
    <t>Kids Domain Early Learning Centre</t>
  </si>
  <si>
    <t>09-3074949 Ext 25100</t>
  </si>
  <si>
    <t>kidsdomain@adhb.govt.nz</t>
  </si>
  <si>
    <t>Building 15, Auckland City Hospital Park Road</t>
  </si>
  <si>
    <t>Bridgette Towle</t>
  </si>
  <si>
    <t>. Private Bag 92024</t>
  </si>
  <si>
    <t>Symonds Street Early Childhood Centre</t>
  </si>
  <si>
    <t>09-923 8377</t>
  </si>
  <si>
    <t>joelene.waugh@auckland.ac.nz</t>
  </si>
  <si>
    <t>26 A Symonds Street</t>
  </si>
  <si>
    <t>Auckland-University</t>
  </si>
  <si>
    <t>Joelene  Waugh</t>
  </si>
  <si>
    <t>THE UNIVERSITY OF AUCKLAND LEVEL 9, 49 SYMONDS STREET</t>
  </si>
  <si>
    <t>Avondale Christian Kindergarten</t>
  </si>
  <si>
    <t>09-8283 222</t>
  </si>
  <si>
    <t>admin@ackindy.org</t>
  </si>
  <si>
    <t>63 St Georges Road</t>
  </si>
  <si>
    <t>Avondale South (Auckland)</t>
  </si>
  <si>
    <t>Ann Hunt</t>
  </si>
  <si>
    <t>63 St Georges Rd</t>
  </si>
  <si>
    <t>09-8283222</t>
  </si>
  <si>
    <t>Royal Oak Childcare Centre</t>
  </si>
  <si>
    <t>09-624 4462</t>
  </si>
  <si>
    <t>6 Crown Street</t>
  </si>
  <si>
    <t>Royal Oak West (Auckland)</t>
  </si>
  <si>
    <t>Grace Sun</t>
  </si>
  <si>
    <t>09-6244462</t>
  </si>
  <si>
    <t>The Y Early Learning Centre Beach Haven</t>
  </si>
  <si>
    <t>09-482 1209</t>
  </si>
  <si>
    <t>130 Beach Haven Road</t>
  </si>
  <si>
    <t>Beach Haven West</t>
  </si>
  <si>
    <t>Lancaster Learning Centre</t>
  </si>
  <si>
    <t>09-4836645</t>
  </si>
  <si>
    <t>admin@lancasterlearning.co.nz</t>
  </si>
  <si>
    <t>1 Lancaster Road</t>
  </si>
  <si>
    <t>Colin Barrett</t>
  </si>
  <si>
    <t>North Shore City 0626</t>
  </si>
  <si>
    <t>Bear Park St Heliers</t>
  </si>
  <si>
    <t>09-5757 295</t>
  </si>
  <si>
    <t>stheliers@bearpark.co.nz</t>
  </si>
  <si>
    <t>114-116 Maskell Street</t>
  </si>
  <si>
    <t>Saint Heliers North</t>
  </si>
  <si>
    <t>Rachael Snell</t>
  </si>
  <si>
    <t>P O Box 54065</t>
  </si>
  <si>
    <t>The Marina</t>
  </si>
  <si>
    <t>Manukau 2144</t>
  </si>
  <si>
    <t>09-5757295</t>
  </si>
  <si>
    <t>The Y Early Learning Centre Birkdale</t>
  </si>
  <si>
    <t>09-483 7659</t>
  </si>
  <si>
    <t>134 Birkdale Road</t>
  </si>
  <si>
    <t>Birkdale</t>
  </si>
  <si>
    <t>Birkdale Central</t>
  </si>
  <si>
    <t>Blockhouse Bay Baptist Kindergarten</t>
  </si>
  <si>
    <t>09-6266655</t>
  </si>
  <si>
    <t>managerbhbbaptistkindy@gmail.com</t>
  </si>
  <si>
    <t>506 Blockhouse Bay Road</t>
  </si>
  <si>
    <t>Baptist</t>
  </si>
  <si>
    <t>Jingwen Shi</t>
  </si>
  <si>
    <t>Browns Bay Preschool</t>
  </si>
  <si>
    <t>09-479 3008</t>
  </si>
  <si>
    <t>brownsbaypreschool@gmail.com</t>
  </si>
  <si>
    <t>55 Browns Bay Road</t>
  </si>
  <si>
    <t>Browns Bay South East</t>
  </si>
  <si>
    <t>Yvonne Haviland</t>
  </si>
  <si>
    <t>55 Browns Bay Rd</t>
  </si>
  <si>
    <t>Busby Street Early Learning Childcare Centre</t>
  </si>
  <si>
    <t>09-828 7653</t>
  </si>
  <si>
    <t>info@busbychildcare.co.nz</t>
  </si>
  <si>
    <t>19 Busby Street</t>
  </si>
  <si>
    <t>Blockhouse Bay North</t>
  </si>
  <si>
    <t>Althea Andrade</t>
  </si>
  <si>
    <t>09-4458557</t>
  </si>
  <si>
    <t>Rainbow Bears Preschool</t>
  </si>
  <si>
    <t>09-8386713</t>
  </si>
  <si>
    <t>rbpreschool@xtra.co.nz</t>
  </si>
  <si>
    <t>181 Swanson Road</t>
  </si>
  <si>
    <t>Henderson Lincoln South</t>
  </si>
  <si>
    <t>Pritanjali Nand</t>
  </si>
  <si>
    <t>09-8387770</t>
  </si>
  <si>
    <t>Childspace Preschool</t>
  </si>
  <si>
    <t>09-418 1466</t>
  </si>
  <si>
    <t>office@childspacepreschool.co.nz</t>
  </si>
  <si>
    <t>208 Onewa Road</t>
  </si>
  <si>
    <t>Birkenhead North</t>
  </si>
  <si>
    <t>Fraser Thomas</t>
  </si>
  <si>
    <t>P O Box 34801</t>
  </si>
  <si>
    <t>Auckland 0746</t>
  </si>
  <si>
    <t>Mariposa Kids</t>
  </si>
  <si>
    <t>09-418 2813</t>
  </si>
  <si>
    <t>info@mariposakids.co.nz</t>
  </si>
  <si>
    <t>17 Mariposa Crescent</t>
  </si>
  <si>
    <t>Gail Menkin</t>
  </si>
  <si>
    <t>c/- Mariposa Kids 17 Mariposa Crescent</t>
  </si>
  <si>
    <t>09-479 1365</t>
  </si>
  <si>
    <t>Christopher Robin Childcare</t>
  </si>
  <si>
    <t>09-378 0748</t>
  </si>
  <si>
    <t>c.robin@xtra.co.nz</t>
  </si>
  <si>
    <t>4 Sherwood Avenue</t>
  </si>
  <si>
    <t>Grey Lynn West</t>
  </si>
  <si>
    <t>Patricia Jones</t>
  </si>
  <si>
    <t>4 Sherwood Ave</t>
  </si>
  <si>
    <t>Daystar Early Learning Centre</t>
  </si>
  <si>
    <t>09-630 5571</t>
  </si>
  <si>
    <t>daystar@xtra.co.nz</t>
  </si>
  <si>
    <t>76 View Road</t>
  </si>
  <si>
    <t>Open Brethren</t>
  </si>
  <si>
    <t>Eden Valley</t>
  </si>
  <si>
    <t>Deepshikha Sharma</t>
  </si>
  <si>
    <t>Auckland 1024</t>
  </si>
  <si>
    <t>Little Forest</t>
  </si>
  <si>
    <t>09-4440709</t>
  </si>
  <si>
    <t>info@shorekids.co.nz</t>
  </si>
  <si>
    <t>9 Barbados Drive</t>
  </si>
  <si>
    <t>Glenfield North</t>
  </si>
  <si>
    <t>Jung Min Cho</t>
  </si>
  <si>
    <t>Devonport Community Creche</t>
  </si>
  <si>
    <t>027-526 2634</t>
  </si>
  <si>
    <t>devonportcreche@xtra.co.nz</t>
  </si>
  <si>
    <t>32 a Clarence Street</t>
  </si>
  <si>
    <t>Therese Dunleavy</t>
  </si>
  <si>
    <t>32 a Clarence St</t>
  </si>
  <si>
    <t>09-4456778</t>
  </si>
  <si>
    <t>East Coast Bays Community Creche</t>
  </si>
  <si>
    <t>09-4791241</t>
  </si>
  <si>
    <t>5 Inverness Road</t>
  </si>
  <si>
    <t>Penelope Harding</t>
  </si>
  <si>
    <t>P O Box 35348</t>
  </si>
  <si>
    <t>Edmonton Community Kindergarten</t>
  </si>
  <si>
    <t>09-836 3566</t>
  </si>
  <si>
    <t>info@edmontonkindy.co.nz</t>
  </si>
  <si>
    <t>247 Edmonton Road</t>
  </si>
  <si>
    <t>Te Atatū South-Edmonton</t>
  </si>
  <si>
    <t>Caitlin Logan</t>
  </si>
  <si>
    <t>P O Box 83089</t>
  </si>
  <si>
    <t>Auckland 0652</t>
  </si>
  <si>
    <t>Epsom Community Creche</t>
  </si>
  <si>
    <t>09-623 2200</t>
  </si>
  <si>
    <t>hello@epsomcommunitycreche.co.nz</t>
  </si>
  <si>
    <t>200 Gillies Avenue</t>
  </si>
  <si>
    <t>Hanna Schmidt</t>
  </si>
  <si>
    <t>Our Family Early Learning Ltd</t>
  </si>
  <si>
    <t>09-410 1261</t>
  </si>
  <si>
    <t>debby@ourfamilyearlylearning.co.nz</t>
  </si>
  <si>
    <t>1 Jonathan Place</t>
  </si>
  <si>
    <t>Sunnynook</t>
  </si>
  <si>
    <t>Deborah Evans</t>
  </si>
  <si>
    <t>09-4101261</t>
  </si>
  <si>
    <t>Oma Rāpeti Early Learning Centre</t>
  </si>
  <si>
    <t>09-376 7282</t>
  </si>
  <si>
    <t>3 Pratt Street</t>
  </si>
  <si>
    <t>Dean Barker</t>
  </si>
  <si>
    <t xml:space="preserve">19B Masons Avenue </t>
  </si>
  <si>
    <t>Gardner Road Kindergarten</t>
  </si>
  <si>
    <t>09-638 8760</t>
  </si>
  <si>
    <t>gardner.rd.kindy@xtra.co.nz</t>
  </si>
  <si>
    <t>10 Gardner Road</t>
  </si>
  <si>
    <t>Epsom East</t>
  </si>
  <si>
    <t>Gaylene Brownlie</t>
  </si>
  <si>
    <t>09-636 3295</t>
  </si>
  <si>
    <t>Auckland Central Community of Schools</t>
  </si>
  <si>
    <t>Our Kids Early Learning Centre</t>
  </si>
  <si>
    <t>09-8366495</t>
  </si>
  <si>
    <t>glendene@ourkidsearlylearning.co.nz</t>
  </si>
  <si>
    <t>3 Beazley Place</t>
  </si>
  <si>
    <t>Glendene North East</t>
  </si>
  <si>
    <t>Anita  Kumar</t>
  </si>
  <si>
    <t>15 Matau Rise</t>
  </si>
  <si>
    <t>09-8343447</t>
  </si>
  <si>
    <t>Eden Cottage</t>
  </si>
  <si>
    <t>09-8180768</t>
  </si>
  <si>
    <t>edencottage@visionwest.org.nz</t>
  </si>
  <si>
    <t>97 Glendale Road</t>
  </si>
  <si>
    <t>Crystal Lynch</t>
  </si>
  <si>
    <t>P O Box 20406</t>
  </si>
  <si>
    <t>Waitakere 0641</t>
  </si>
  <si>
    <t>09-818 0768</t>
  </si>
  <si>
    <t>Stellar Kids Early Learning Centre Birkenhead</t>
  </si>
  <si>
    <t>020-41259483</t>
  </si>
  <si>
    <t>mika@stellarkids.nz</t>
  </si>
  <si>
    <t>156 Glenfield Road</t>
  </si>
  <si>
    <t>Birkenhead North West</t>
  </si>
  <si>
    <t>Monika Hawkes</t>
  </si>
  <si>
    <t>15 Fairfax Avenue</t>
  </si>
  <si>
    <t>Auckland 0627</t>
  </si>
  <si>
    <t>Greenlane Childcare Centre</t>
  </si>
  <si>
    <t>09-524 8414</t>
  </si>
  <si>
    <t>admin@greenlanechildcare.co.nz</t>
  </si>
  <si>
    <t>4 Atarangi Road</t>
  </si>
  <si>
    <t>Greenlane Central</t>
  </si>
  <si>
    <t>Jayhindra Rama</t>
  </si>
  <si>
    <t xml:space="preserve">4 Atarangi Road </t>
  </si>
  <si>
    <t>09-5248414</t>
  </si>
  <si>
    <t>Aro Arataki Children's Centre</t>
  </si>
  <si>
    <t>09-6309943 Ext 28731</t>
  </si>
  <si>
    <t>elliec@adhb.govt.nz</t>
  </si>
  <si>
    <t>Building 29, Greenlane Clinical Centre 212 Greenlane West</t>
  </si>
  <si>
    <t>Ellie Chung</t>
  </si>
  <si>
    <t>Aro Arataki Childcare Centre Private Bag 92189</t>
  </si>
  <si>
    <t>09-630 9943 Ext 28731</t>
  </si>
  <si>
    <t>Totara Hill Montessori</t>
  </si>
  <si>
    <t>09-422 9981</t>
  </si>
  <si>
    <t>admin@totarahillmontessori.co.nz</t>
  </si>
  <si>
    <t>8 Smith Road</t>
  </si>
  <si>
    <t>Matakana-Auckland</t>
  </si>
  <si>
    <t>Cindy Buchs</t>
  </si>
  <si>
    <t>Auckland 0985</t>
  </si>
  <si>
    <t>021-02499332</t>
  </si>
  <si>
    <t>Harbour View Kindergarten</t>
  </si>
  <si>
    <t>09-4167714</t>
  </si>
  <si>
    <t>harbourviewkindy@hotmail.coM</t>
  </si>
  <si>
    <t>9 Williams Road</t>
  </si>
  <si>
    <t>Chenxiao (James) Wang</t>
  </si>
  <si>
    <t>BestStart Montessori The Children's House</t>
  </si>
  <si>
    <t>09-8337119</t>
  </si>
  <si>
    <t>mont.childrenshouse@best-start.org</t>
  </si>
  <si>
    <t>1 Clover Drive</t>
  </si>
  <si>
    <t>Henderson Larnoch</t>
  </si>
  <si>
    <t>Sunny Days Community Preschool</t>
  </si>
  <si>
    <t>09-420 7253</t>
  </si>
  <si>
    <t>sunnydays102@yahoo.com</t>
  </si>
  <si>
    <t>130 Commercial Road</t>
  </si>
  <si>
    <t>Gillian Carter</t>
  </si>
  <si>
    <t>Hannah's House ECE</t>
  </si>
  <si>
    <t>09-4269237</t>
  </si>
  <si>
    <t>hannahshouse@xtra.co.nz</t>
  </si>
  <si>
    <t>31 Thorburn Avenue</t>
  </si>
  <si>
    <t xml:space="preserve">Lynnette McCall </t>
  </si>
  <si>
    <t xml:space="preserve">31 Thorburn Avenue </t>
  </si>
  <si>
    <t xml:space="preserve">Red Beach </t>
  </si>
  <si>
    <t>Highbury House Early Learning Centre</t>
  </si>
  <si>
    <t>09-4805239</t>
  </si>
  <si>
    <t>admin@highburyhouse.org.nz</t>
  </si>
  <si>
    <t>110 Hinemoa Street</t>
  </si>
  <si>
    <t>Adele Hall</t>
  </si>
  <si>
    <t>09-4274400</t>
  </si>
  <si>
    <t>Te Kōhanga Reo o Hoani Waititi Marae</t>
  </si>
  <si>
    <t>09-818 8915</t>
  </si>
  <si>
    <t>451 A West Coast Road</t>
  </si>
  <si>
    <t>Sunnyvale West-Parrs Park</t>
  </si>
  <si>
    <t>Little Dudes Childcare Centre</t>
  </si>
  <si>
    <t>09-846 9915</t>
  </si>
  <si>
    <t>163rimustreet@gmail.com</t>
  </si>
  <si>
    <t>14 Stewart Road</t>
  </si>
  <si>
    <t>Mona Mascarenhas</t>
  </si>
  <si>
    <t>Kaurilands Kindergarten</t>
  </si>
  <si>
    <t>09-817 5249</t>
  </si>
  <si>
    <t>hello@kaurilandskindy.nz</t>
  </si>
  <si>
    <t>65 Atkinson Road</t>
  </si>
  <si>
    <t>Mary Day</t>
  </si>
  <si>
    <t>65 Atkinson Rd</t>
  </si>
  <si>
    <t>Takapuna Kids Early Childhood Centre</t>
  </si>
  <si>
    <t>09-489 8263</t>
  </si>
  <si>
    <t>director@takapunakids.co.nz</t>
  </si>
  <si>
    <t>2 Tennyson Avenue</t>
  </si>
  <si>
    <t>Takapuna South</t>
  </si>
  <si>
    <t>Diane Toal</t>
  </si>
  <si>
    <t>09-5291088</t>
  </si>
  <si>
    <t>Hedgehog House Early Learning Centre</t>
  </si>
  <si>
    <t>09-8497259</t>
  </si>
  <si>
    <t>90 Point Chevalier Road</t>
  </si>
  <si>
    <t>Point Chevalier</t>
  </si>
  <si>
    <t>Point Chevalier West</t>
  </si>
  <si>
    <t>Kiri-Anne Brokenshire</t>
  </si>
  <si>
    <t>34 Island Bay Road</t>
  </si>
  <si>
    <t>09-4837152</t>
  </si>
  <si>
    <t>Kids' Kampus (2000) Ltd</t>
  </si>
  <si>
    <t>09-6301454</t>
  </si>
  <si>
    <t>kidskampus@xtra.co.nz</t>
  </si>
  <si>
    <t>50 &amp; 52 Shackleton Road</t>
  </si>
  <si>
    <t>Mount Eden South</t>
  </si>
  <si>
    <t>Margaret Blackwood</t>
  </si>
  <si>
    <t>52 Shackleton Road</t>
  </si>
  <si>
    <t>Kindercare Learning Centres Belmont</t>
  </si>
  <si>
    <t>09-4451201</t>
  </si>
  <si>
    <t>belmont@kindercare.co.nz</t>
  </si>
  <si>
    <t>194 Bayswater Avenue</t>
  </si>
  <si>
    <t>Belmont</t>
  </si>
  <si>
    <t>Belmont (Auckland)</t>
  </si>
  <si>
    <t>Kindercare Learning Centres - Grey Lynn</t>
  </si>
  <si>
    <t>09-3765198</t>
  </si>
  <si>
    <t>greylynn@kindercare.co.nz</t>
  </si>
  <si>
    <t>7 King Street</t>
  </si>
  <si>
    <t>Kindercare Learning Centres (Milford)</t>
  </si>
  <si>
    <t>09-4861338</t>
  </si>
  <si>
    <t>milford@kindercare.co.nz</t>
  </si>
  <si>
    <t>103 Shakespeare Road</t>
  </si>
  <si>
    <t>Milford West</t>
  </si>
  <si>
    <t>Kindercare Learning Centres Milford P</t>
  </si>
  <si>
    <t>09-4862626</t>
  </si>
  <si>
    <t>91 Shakespeare Road</t>
  </si>
  <si>
    <t>Kindercare Learning Centres (8) Pakuranga</t>
  </si>
  <si>
    <t>09-535 8942</t>
  </si>
  <si>
    <t>pakuranga@kindercare.co.nz</t>
  </si>
  <si>
    <t>163 Pigeon Mountain Road</t>
  </si>
  <si>
    <t>Little Sunbeams Christian Early Childhood Centre</t>
  </si>
  <si>
    <t>09-2991910</t>
  </si>
  <si>
    <t>little.sunbeams@xtra.co.nz</t>
  </si>
  <si>
    <t>163 Dominion Road</t>
  </si>
  <si>
    <t>Papakura East</t>
  </si>
  <si>
    <t>Papakura Industrial</t>
  </si>
  <si>
    <t>Genelyn Reyes</t>
  </si>
  <si>
    <t>P O Box 72225</t>
  </si>
  <si>
    <t>South Auckland 2244</t>
  </si>
  <si>
    <t>09-299 1910</t>
  </si>
  <si>
    <t>Kindercare Learning Centres -Three Kings</t>
  </si>
  <si>
    <t>09-6302795</t>
  </si>
  <si>
    <t>threekings@kindercare.co.nz</t>
  </si>
  <si>
    <t>2 Shackeleton Road</t>
  </si>
  <si>
    <t>Kohimarama Montessori Pre-School 2</t>
  </si>
  <si>
    <t>09-528 7970</t>
  </si>
  <si>
    <t>kohimontessori@xtra.co.nz</t>
  </si>
  <si>
    <t>36 Allum Street</t>
  </si>
  <si>
    <t>Saint Heliers West</t>
  </si>
  <si>
    <t>Hayley French</t>
  </si>
  <si>
    <t>6 Walker RD</t>
  </si>
  <si>
    <t>09-5287970</t>
  </si>
  <si>
    <t>Lakeview Private Kindergarten</t>
  </si>
  <si>
    <t>09-489 2823</t>
  </si>
  <si>
    <t>michelle@lakeviewkindy.co.nz</t>
  </si>
  <si>
    <t>11 Killarney Street</t>
  </si>
  <si>
    <t>297 Beach Road</t>
  </si>
  <si>
    <t>Campbells Bay</t>
  </si>
  <si>
    <t>North Shore City 0630</t>
  </si>
  <si>
    <t>The Learning Corner Early Learning Centre</t>
  </si>
  <si>
    <t>09-849 2923</t>
  </si>
  <si>
    <t>admin@thelearningcorner.co.nz</t>
  </si>
  <si>
    <t>222 Carrington Road</t>
  </si>
  <si>
    <t>Mount Albert North</t>
  </si>
  <si>
    <t>Naturally Kids Early Learning</t>
  </si>
  <si>
    <t>09-445 9739</t>
  </si>
  <si>
    <t>krystallochan@gmail.com</t>
  </si>
  <si>
    <t>47 Old Lake Road</t>
  </si>
  <si>
    <t>Krystal Lochan</t>
  </si>
  <si>
    <t xml:space="preserve">86 Tarapuka Road </t>
  </si>
  <si>
    <t>Auckland 0814</t>
  </si>
  <si>
    <t>022-340 1712</t>
  </si>
  <si>
    <t>Lincoln Road Childcare &amp; Kindergarten</t>
  </si>
  <si>
    <t>09-837 4168</t>
  </si>
  <si>
    <t>officemanager@lrchildcare.org.nz</t>
  </si>
  <si>
    <t>66-68 Lincoln Road</t>
  </si>
  <si>
    <t>Peter Brookes</t>
  </si>
  <si>
    <t>P O Box 21192</t>
  </si>
  <si>
    <t>Lynfield College Community Childcare Centre</t>
  </si>
  <si>
    <t>09-626 2464</t>
  </si>
  <si>
    <t>lynfieldcollegechildcare@xtra.co.nz</t>
  </si>
  <si>
    <t>100 Boundary Road</t>
  </si>
  <si>
    <t>Denise Tolliday</t>
  </si>
  <si>
    <t>191 White Swan Road</t>
  </si>
  <si>
    <t>Auckland 1041</t>
  </si>
  <si>
    <t>09-6262464</t>
  </si>
  <si>
    <t>BestStart Ponsonby</t>
  </si>
  <si>
    <t>09-376 2410</t>
  </si>
  <si>
    <t>ponsonby@best-start.org</t>
  </si>
  <si>
    <t>62-68 Vermont Street</t>
  </si>
  <si>
    <t>Milford Baptist Kindergarten</t>
  </si>
  <si>
    <t>09-489 9746</t>
  </si>
  <si>
    <t>milbapkindy@xtra.co.nz</t>
  </si>
  <si>
    <t>3 Dodson Avenue</t>
  </si>
  <si>
    <t>Susan McIntosh</t>
  </si>
  <si>
    <t>P O Box 31679</t>
  </si>
  <si>
    <t>North Shore City 0741</t>
  </si>
  <si>
    <t>09-4806997</t>
  </si>
  <si>
    <t>Silverdale Kindergarten</t>
  </si>
  <si>
    <t>09-426 9600</t>
  </si>
  <si>
    <t>silverdale@kaitiakikindergartens.org.nz</t>
  </si>
  <si>
    <t>2 Longmore Lane</t>
  </si>
  <si>
    <t>Millwater South</t>
  </si>
  <si>
    <t>Mt Roskill Baptist Kindergarten</t>
  </si>
  <si>
    <t>09-626 7250</t>
  </si>
  <si>
    <t>485 Richardson Road</t>
  </si>
  <si>
    <t>Mount Roskill White Swan</t>
  </si>
  <si>
    <t>Meribha Dammala</t>
  </si>
  <si>
    <t>485 Richardson Rd</t>
  </si>
  <si>
    <t>09-625 5991</t>
  </si>
  <si>
    <t>Puketāpapa Community of Learning</t>
  </si>
  <si>
    <t>Murrays Bay Childcare Centre</t>
  </si>
  <si>
    <t>09-4786693</t>
  </si>
  <si>
    <t>info@mbcc.co.nz</t>
  </si>
  <si>
    <t>23 Seaton Road</t>
  </si>
  <si>
    <t>Murrays Bay East</t>
  </si>
  <si>
    <t>Sherene Newby</t>
  </si>
  <si>
    <t>15 Selby Square</t>
  </si>
  <si>
    <t>Roots Montessori Early Learning Centre</t>
  </si>
  <si>
    <t>09-480 4527</t>
  </si>
  <si>
    <t>admin@rootsmontessori.co.nz</t>
  </si>
  <si>
    <t>5 Gladstone Road</t>
  </si>
  <si>
    <t>Faye Gronberg</t>
  </si>
  <si>
    <t>6 Celestial Crescent</t>
  </si>
  <si>
    <t>Auckland 0931</t>
  </si>
  <si>
    <t>021-2810089</t>
  </si>
  <si>
    <t>Naval Community Daycare - Calliope House</t>
  </si>
  <si>
    <t>Northcote Baptist Community Preschool</t>
  </si>
  <si>
    <t>09-418 0710</t>
  </si>
  <si>
    <t>office@nbcp.org.nz</t>
  </si>
  <si>
    <t>67 Eban Avenue</t>
  </si>
  <si>
    <t>Hillcrest East (Auckland)</t>
  </si>
  <si>
    <t>Elizabeth Lupton</t>
  </si>
  <si>
    <t>09-475 9903</t>
  </si>
  <si>
    <t>Northcote Community of Learning</t>
  </si>
  <si>
    <t>Northcote Point Community Creche</t>
  </si>
  <si>
    <t>09-480 1280</t>
  </si>
  <si>
    <t>hello@northcotecreche.org.nz</t>
  </si>
  <si>
    <t>152 Queen Street</t>
  </si>
  <si>
    <t>Julie Peal</t>
  </si>
  <si>
    <t>North Shore City 0627</t>
  </si>
  <si>
    <t>Northcote Pre-School Community Trust (Kete Wananga)</t>
  </si>
  <si>
    <t>027-3067040</t>
  </si>
  <si>
    <t>Lindisfarne Hall at Lindisfarne Reserve Cnr Lake Road &amp; Tonar Street</t>
  </si>
  <si>
    <t>P O Box 35834</t>
  </si>
  <si>
    <t>Auckland 0753</t>
  </si>
  <si>
    <t>Takapuna Learning Space</t>
  </si>
  <si>
    <t>09-488 0417</t>
  </si>
  <si>
    <t>yvegroot@xtra.co.nz</t>
  </si>
  <si>
    <t>Building 19, North Shore Hospital Site 124 Shakespeare Road</t>
  </si>
  <si>
    <t>Takapuna West</t>
  </si>
  <si>
    <t>Yvonne Groot</t>
  </si>
  <si>
    <t>20 Northboro Road</t>
  </si>
  <si>
    <t>09-4840051</t>
  </si>
  <si>
    <t>Nurserydale Childcare Centre</t>
  </si>
  <si>
    <t>09-483 8273</t>
  </si>
  <si>
    <t>262 Birkdale Road</t>
  </si>
  <si>
    <t>Birkdale North</t>
  </si>
  <si>
    <t>Elizabeth Hunt</t>
  </si>
  <si>
    <t>19 Rockwood Place</t>
  </si>
  <si>
    <t>09-630 2421</t>
  </si>
  <si>
    <t>One Tree Hill Community Kindergarten</t>
  </si>
  <si>
    <t>09-579 8382</t>
  </si>
  <si>
    <t>ht@othkindy.co.nz</t>
  </si>
  <si>
    <t>21 Massey Avenue</t>
  </si>
  <si>
    <t>One Tree Hill</t>
  </si>
  <si>
    <t>Greenlane South</t>
  </si>
  <si>
    <t>Jennifer Skerritt</t>
  </si>
  <si>
    <t>P O Box 17312</t>
  </si>
  <si>
    <t>Auckland 1546</t>
  </si>
  <si>
    <t>09-6348144</t>
  </si>
  <si>
    <t>BestStart Mount Eden</t>
  </si>
  <si>
    <t>09-846 3900</t>
  </si>
  <si>
    <t>mteden@best-start.org</t>
  </si>
  <si>
    <t>25 Walters Road</t>
  </si>
  <si>
    <t>Eden Park</t>
  </si>
  <si>
    <t>Kohi Learning Centre</t>
  </si>
  <si>
    <t>09-5210051</t>
  </si>
  <si>
    <t>237 Kohimarama Road</t>
  </si>
  <si>
    <t>Brian Tomlinson</t>
  </si>
  <si>
    <t>P O Box 25120</t>
  </si>
  <si>
    <t>Saint Heliers</t>
  </si>
  <si>
    <t>Auckland 1740</t>
  </si>
  <si>
    <t>09-5210009</t>
  </si>
  <si>
    <t>Poppies Kindergarten</t>
  </si>
  <si>
    <t>09-520 3424</t>
  </si>
  <si>
    <t>rhiannon@poppies.co.nz</t>
  </si>
  <si>
    <t>1 Hapua Street</t>
  </si>
  <si>
    <t>Megan Davies</t>
  </si>
  <si>
    <t>26b Wiles Avenue</t>
  </si>
  <si>
    <t>09-5244080</t>
  </si>
  <si>
    <t>Rainbow Cottage Kindergarten</t>
  </si>
  <si>
    <t>09-817 6504</t>
  </si>
  <si>
    <t>joan@rainbowcottage.co.nz</t>
  </si>
  <si>
    <t>53 Seabrook Ave</t>
  </si>
  <si>
    <t>New Lynn Seabrook</t>
  </si>
  <si>
    <t>Joan Kluge</t>
  </si>
  <si>
    <t>66 Park Road</t>
  </si>
  <si>
    <t>09-8176504</t>
  </si>
  <si>
    <t>Kingsway Pre-School - Red Beach</t>
  </si>
  <si>
    <t>09-426 5619</t>
  </si>
  <si>
    <t>manager@kwp.nz</t>
  </si>
  <si>
    <t>76 Red Beach Road</t>
  </si>
  <si>
    <t>Methodist</t>
  </si>
  <si>
    <t>Randy Alingalan</t>
  </si>
  <si>
    <t>P O Box 13</t>
  </si>
  <si>
    <t>Redhills Community Kindergarten Inc</t>
  </si>
  <si>
    <t>09-8336401</t>
  </si>
  <si>
    <t>372 Don Buck Road</t>
  </si>
  <si>
    <t>Pauline Stratful</t>
  </si>
  <si>
    <t>P O Box 84013</t>
  </si>
  <si>
    <t>Waitakere 0657</t>
  </si>
  <si>
    <t>07-8320299</t>
  </si>
  <si>
    <t>Remuera Baptist Kindergarten</t>
  </si>
  <si>
    <t>09-529 2354</t>
  </si>
  <si>
    <t>643 A Remuera Road</t>
  </si>
  <si>
    <t>Remuera Abbotts Park</t>
  </si>
  <si>
    <t>Michelle Bishop</t>
  </si>
  <si>
    <t>Remuera Montessori Ltd</t>
  </si>
  <si>
    <t>09-5202805</t>
  </si>
  <si>
    <t>2 Armadale Road</t>
  </si>
  <si>
    <t>Chandula Kumarasiri</t>
  </si>
  <si>
    <t>52 Brian Slater Way</t>
  </si>
  <si>
    <t>Stonefields</t>
  </si>
  <si>
    <t>09-520 2805</t>
  </si>
  <si>
    <t>Gumboots Early Learning Centre</t>
  </si>
  <si>
    <t>09-411 9038</t>
  </si>
  <si>
    <t>Lucy.gumboots@gmail.com</t>
  </si>
  <si>
    <t>1157 Peak Road, RD 2</t>
  </si>
  <si>
    <t>Waikoukou Valley</t>
  </si>
  <si>
    <t>Lucy-jane Scott</t>
  </si>
  <si>
    <t>35 Oaia Rd, Muriwai Beach RD 1</t>
  </si>
  <si>
    <t>Waimauku 0881</t>
  </si>
  <si>
    <t>Te Kāhui Ako o Kaipara</t>
  </si>
  <si>
    <t>Te Puna Reo o Ritimana</t>
  </si>
  <si>
    <t>09-376 3076</t>
  </si>
  <si>
    <t>pouwhakahaere@ritimanapunareo.co.nz</t>
  </si>
  <si>
    <t>Richmond Road School 113 Richmond Road</t>
  </si>
  <si>
    <t>Puna Reo</t>
  </si>
  <si>
    <t>Ngatangiwaiatahuri Afemata</t>
  </si>
  <si>
    <t>113 Richmond Road</t>
  </si>
  <si>
    <t>Rutherford Preschool</t>
  </si>
  <si>
    <t>09-834 8844</t>
  </si>
  <si>
    <t>r.preschool@xtra.co.nz</t>
  </si>
  <si>
    <t>16 Kotuku Street</t>
  </si>
  <si>
    <t>Te Atatū Peninsula West</t>
  </si>
  <si>
    <t>Carey Bartlett</t>
  </si>
  <si>
    <t>St Pauls Kindergarten</t>
  </si>
  <si>
    <t>09-8336634</t>
  </si>
  <si>
    <t>st.pauls.kindy@xtra.co.nz</t>
  </si>
  <si>
    <t>162 A Waimumu Road</t>
  </si>
  <si>
    <t>Catholic</t>
  </si>
  <si>
    <t>Kim Jones</t>
  </si>
  <si>
    <t>St Pauls Baptist Church 162 A Waimumu Road</t>
  </si>
  <si>
    <t>09-833 6634</t>
  </si>
  <si>
    <t>Little Treehouse Kindergaten</t>
  </si>
  <si>
    <t>09-520 0114</t>
  </si>
  <si>
    <t>attwoodnz@gmail.com</t>
  </si>
  <si>
    <t>130 Remuera Road</t>
  </si>
  <si>
    <t>Allanah  Attwood</t>
  </si>
  <si>
    <t>354 Riddell Rd</t>
  </si>
  <si>
    <t>09-5757220</t>
  </si>
  <si>
    <t>Pīwaka Early Learning Centre</t>
  </si>
  <si>
    <t>09-8182416</t>
  </si>
  <si>
    <t>ginny@piwaka.nz</t>
  </si>
  <si>
    <t>4 - 6 Wilson Road</t>
  </si>
  <si>
    <t>Glen Eden Central</t>
  </si>
  <si>
    <t>Virginia Trethwey</t>
  </si>
  <si>
    <t>P O Box 20594</t>
  </si>
  <si>
    <t>Auckland 0641</t>
  </si>
  <si>
    <t>Lollipops Birkenhead</t>
  </si>
  <si>
    <t>09-4196826</t>
  </si>
  <si>
    <t>71 Roseberry Avenue</t>
  </si>
  <si>
    <t>C NAIDOO</t>
  </si>
  <si>
    <t>BestStart Ascot Avenue</t>
  </si>
  <si>
    <t>09-524 0753</t>
  </si>
  <si>
    <t>ascot@best-start.org</t>
  </si>
  <si>
    <t>44 Ascot Avenue</t>
  </si>
  <si>
    <t>Sunnynook Pre-School</t>
  </si>
  <si>
    <t>09-4109606</t>
  </si>
  <si>
    <t>sunnynookpreschool@xtra.co.nz</t>
  </si>
  <si>
    <t>34 Tonkin Drive</t>
  </si>
  <si>
    <t>Sharon Bush</t>
  </si>
  <si>
    <t>P O Box 18066</t>
  </si>
  <si>
    <t>07-8889920</t>
  </si>
  <si>
    <t>Kia ora Kids at Home Childcare 4</t>
  </si>
  <si>
    <t>0800-277 537</t>
  </si>
  <si>
    <t>Unit D2 17 Corinthian Drive</t>
  </si>
  <si>
    <t>Brett Morris</t>
  </si>
  <si>
    <t>P O Box 300688</t>
  </si>
  <si>
    <t>Auckland 0752</t>
  </si>
  <si>
    <t>09-4150 535</t>
  </si>
  <si>
    <t>Rocket Kids Early Learning Centre</t>
  </si>
  <si>
    <t>09-820 3110</t>
  </si>
  <si>
    <t>admin@rocketkids.co.nz</t>
  </si>
  <si>
    <t>36 Blockhouse Road</t>
  </si>
  <si>
    <t>Avondale North East (Auckland)</t>
  </si>
  <si>
    <t>Kirsten  Matthews</t>
  </si>
  <si>
    <t>27 Inverary Avenue</t>
  </si>
  <si>
    <t>Little Nest Early Learning Centre</t>
  </si>
  <si>
    <t>09-4409394</t>
  </si>
  <si>
    <t>info@littlenestelc.co.nz</t>
  </si>
  <si>
    <t>46 James Street</t>
  </si>
  <si>
    <t>Bayview East (Auckland)</t>
  </si>
  <si>
    <t>Chang Li</t>
  </si>
  <si>
    <t xml:space="preserve">46 James Street </t>
  </si>
  <si>
    <t>Nurturing Hearts Early Learning Centre</t>
  </si>
  <si>
    <t>09-827 0074</t>
  </si>
  <si>
    <t>hello@nurturinghearts.co.nz</t>
  </si>
  <si>
    <t>3 Gardner Avenue</t>
  </si>
  <si>
    <t>Su Costa</t>
  </si>
  <si>
    <t>Titoki Montessori Pre-School</t>
  </si>
  <si>
    <t>09-4730362</t>
  </si>
  <si>
    <t>headofschool@titokimontessori.school.nz</t>
  </si>
  <si>
    <t>70 A Stredwick Drive</t>
  </si>
  <si>
    <t>Tracie Phua</t>
  </si>
  <si>
    <t>P O Box 89142</t>
  </si>
  <si>
    <t>North Shore City 0742</t>
  </si>
  <si>
    <t>Titirangi Private Kindergarten</t>
  </si>
  <si>
    <t>09-817 4304</t>
  </si>
  <si>
    <t>walnorm@hotmail.com</t>
  </si>
  <si>
    <t>16 Hilling Street</t>
  </si>
  <si>
    <t>Titirangi East</t>
  </si>
  <si>
    <t>Norman Wallace</t>
  </si>
  <si>
    <t>Waitakere 0604</t>
  </si>
  <si>
    <t>Uplands Kindergarten</t>
  </si>
  <si>
    <t>09-524 5839</t>
  </si>
  <si>
    <t>497 Remuera Road</t>
  </si>
  <si>
    <t>David Anderson</t>
  </si>
  <si>
    <t>027-567 7403</t>
  </si>
  <si>
    <t>Waiheke Community Childcare Centre</t>
  </si>
  <si>
    <t>09-3726115</t>
  </si>
  <si>
    <t>waicomcentre@xtra.co.nz</t>
  </si>
  <si>
    <t>3a Donald Bruce Road</t>
  </si>
  <si>
    <t>Tanya Marshall-Smith</t>
  </si>
  <si>
    <t>Auckland 1081</t>
  </si>
  <si>
    <t>09-372 6115</t>
  </si>
  <si>
    <t>Tiny Tots Childcare Centre</t>
  </si>
  <si>
    <t>09-441 0044</t>
  </si>
  <si>
    <t>sheree@tiny-tots.co.nz</t>
  </si>
  <si>
    <t>18 Raleigh Road</t>
  </si>
  <si>
    <t>Sheree Wilkins</t>
  </si>
  <si>
    <t>Walbrook Early Childhood Centre-Butterfly's Garden</t>
  </si>
  <si>
    <t>09-424 8669</t>
  </si>
  <si>
    <t>walbrook.elc@gmail.com</t>
  </si>
  <si>
    <t>9 Walbrook Road</t>
  </si>
  <si>
    <t>Manly</t>
  </si>
  <si>
    <t>Eileen Cowie</t>
  </si>
  <si>
    <t>Bunny Childcare Warkworth</t>
  </si>
  <si>
    <t>evajiang66@gmail.com</t>
  </si>
  <si>
    <t>23 - 25 Campbell Drive</t>
  </si>
  <si>
    <t>Liping Jiang</t>
  </si>
  <si>
    <t xml:space="preserve">17 Aplin Place </t>
  </si>
  <si>
    <t>09-4258730</t>
  </si>
  <si>
    <t>Our Kids Early Learning Centre - Glen Eden</t>
  </si>
  <si>
    <t>09-8189913</t>
  </si>
  <si>
    <t>gleneden@ourkidsearlylearning.co.nz</t>
  </si>
  <si>
    <t>23 Glendale Road</t>
  </si>
  <si>
    <t>Creative Kids</t>
  </si>
  <si>
    <t>09-483 7489</t>
  </si>
  <si>
    <t>creativekidsece@gmail.com</t>
  </si>
  <si>
    <t>46 Mayall Avenue</t>
  </si>
  <si>
    <t>Sophie Harper</t>
  </si>
  <si>
    <t>P O Box 594</t>
  </si>
  <si>
    <t>Whangaparaoa 0943</t>
  </si>
  <si>
    <t>09-4281215</t>
  </si>
  <si>
    <t>Kids at Play Childcare Centre</t>
  </si>
  <si>
    <t>09-6305800</t>
  </si>
  <si>
    <t>6 Bellwood Avenue</t>
  </si>
  <si>
    <t>Ella Harper</t>
  </si>
  <si>
    <t>Coast Kindy</t>
  </si>
  <si>
    <t>09-4282 037</t>
  </si>
  <si>
    <t>coastkindy@gmail.com</t>
  </si>
  <si>
    <t>733-735 Whangaparaoa Road</t>
  </si>
  <si>
    <t>Wade Heads-Arkles Bay</t>
  </si>
  <si>
    <t>Raewyn Meikle</t>
  </si>
  <si>
    <t>P O Box 98</t>
  </si>
  <si>
    <t>Woodlands Park Community Kindergarten</t>
  </si>
  <si>
    <t>09-8178782</t>
  </si>
  <si>
    <t>woodlandskindy@xtra.co.nz</t>
  </si>
  <si>
    <t>22A Minnehaha Avenue</t>
  </si>
  <si>
    <t>Waima-Woodlands Park</t>
  </si>
  <si>
    <t>Michelle Fouche</t>
  </si>
  <si>
    <t>22 A Minnehaha Avenue</t>
  </si>
  <si>
    <t>Barnardos Early Learning Home Based Auckland Tahi</t>
  </si>
  <si>
    <t>09-625 0560</t>
  </si>
  <si>
    <t>beckie.bews@barnardos.org.nz</t>
  </si>
  <si>
    <t>33 Cape Road</t>
  </si>
  <si>
    <t>Rebecca   Bews</t>
  </si>
  <si>
    <t>P O Box 6434</t>
  </si>
  <si>
    <t>09-62550560</t>
  </si>
  <si>
    <t>A'oga Fa'a Samoa Incorporated</t>
  </si>
  <si>
    <t>09-3780403</t>
  </si>
  <si>
    <t>italia@aogafaasamoa.school.nz</t>
  </si>
  <si>
    <t>Richmond Road Primary School</t>
  </si>
  <si>
    <t xml:space="preserve">Italia  Taouma </t>
  </si>
  <si>
    <t>Kindercare - Greenhithe</t>
  </si>
  <si>
    <t>09-413 9041</t>
  </si>
  <si>
    <t>roseanne@kindercare.co.nz</t>
  </si>
  <si>
    <t>4 Greenhithe Road</t>
  </si>
  <si>
    <t>09-4799922</t>
  </si>
  <si>
    <t>Riverhead Montessori Learning Centre</t>
  </si>
  <si>
    <t>09-4127171</t>
  </si>
  <si>
    <t>admin@riverheadmontessori.co.nz</t>
  </si>
  <si>
    <t>280E Riverhead Road , RD2</t>
  </si>
  <si>
    <t>Riverhead</t>
  </si>
  <si>
    <t>Kelli Booth</t>
  </si>
  <si>
    <t>17 Elliot St</t>
  </si>
  <si>
    <t>Auckland 0820</t>
  </si>
  <si>
    <t>09-4125302</t>
  </si>
  <si>
    <t>Kindercare Learning Centres - Mount Wellington (20204)</t>
  </si>
  <si>
    <t>09-5255896</t>
  </si>
  <si>
    <t>mt.wellington@kindercare.co.nz</t>
  </si>
  <si>
    <t>140 Aranui Road</t>
  </si>
  <si>
    <t>Howe Street Early Learning Centre</t>
  </si>
  <si>
    <t>cheryl@howestreetelc.co.nz</t>
  </si>
  <si>
    <t>70 Howe Street</t>
  </si>
  <si>
    <t>Chang Zhou</t>
  </si>
  <si>
    <t>11 Ki Roto Way</t>
  </si>
  <si>
    <t>026-4953186</t>
  </si>
  <si>
    <t>Barnardos Early Learning Home Based Waitakere Two</t>
  </si>
  <si>
    <t>09-625 3677</t>
  </si>
  <si>
    <t>Beckie.bews@barnardos.org.nz</t>
  </si>
  <si>
    <t>Treetops ELC Botany Junction</t>
  </si>
  <si>
    <t>09-2711550</t>
  </si>
  <si>
    <t>Unit K  277 Te Irirangi Drive</t>
  </si>
  <si>
    <t>Chapel Downs</t>
  </si>
  <si>
    <t>P O Box 217039</t>
  </si>
  <si>
    <t>Botany Junction</t>
  </si>
  <si>
    <t>Auckland 2164</t>
  </si>
  <si>
    <t>Busy Bees Ruakaka</t>
  </si>
  <si>
    <t>09-4327396</t>
  </si>
  <si>
    <t>17 Marsden Point Road</t>
  </si>
  <si>
    <t>Elizabeth Jones</t>
  </si>
  <si>
    <t>09-4390220</t>
  </si>
  <si>
    <t>Caterpillars to Butterflies Childcare</t>
  </si>
  <si>
    <t>09-480 5827</t>
  </si>
  <si>
    <t>office@caterpillarstobutterflies.co.nz</t>
  </si>
  <si>
    <t>62 Coronation Road</t>
  </si>
  <si>
    <t>Hillcrest North (Auckland)</t>
  </si>
  <si>
    <t>Helen  Wood</t>
  </si>
  <si>
    <t>10 Corregidor Place</t>
  </si>
  <si>
    <t>027-2500129</t>
  </si>
  <si>
    <t>Folkestone Street Infant &amp; Childcare</t>
  </si>
  <si>
    <t>09-4101982</t>
  </si>
  <si>
    <t>folkestoneinfantcare@xtra.co.nz</t>
  </si>
  <si>
    <t>6 Folkestone Street</t>
  </si>
  <si>
    <t>Miranda Howden-Waugh</t>
  </si>
  <si>
    <t>2/84 Kowhai Road</t>
  </si>
  <si>
    <t>09-4101 982</t>
  </si>
  <si>
    <t>Starship Play Service Ward 27A &amp; 27B</t>
  </si>
  <si>
    <t>Grafton Road</t>
  </si>
  <si>
    <t>Kia ora Kids at Home Childcare 5</t>
  </si>
  <si>
    <t>Lollipops North Harbour Fantails</t>
  </si>
  <si>
    <t>09-444 9248</t>
  </si>
  <si>
    <t>cm.northharbourkakapo@ledu.co.nz</t>
  </si>
  <si>
    <t>33-35 Cheval Drive</t>
  </si>
  <si>
    <t>Totara Vale South</t>
  </si>
  <si>
    <t>Elise  Dawson</t>
  </si>
  <si>
    <t>09-4449248</t>
  </si>
  <si>
    <t>BestStart North Harbour</t>
  </si>
  <si>
    <t>09-4416382</t>
  </si>
  <si>
    <t>Shop 109, Westfield Mall Civic Crescent</t>
  </si>
  <si>
    <t>BestStart Glenfield</t>
  </si>
  <si>
    <t>09-4433023</t>
  </si>
  <si>
    <t>glenfield@best-start.org</t>
  </si>
  <si>
    <t>26 Manuka Road</t>
  </si>
  <si>
    <t>Bayview South (Auckland)</t>
  </si>
  <si>
    <t>Little Palms Early Learning Center</t>
  </si>
  <si>
    <t>09-4409942</t>
  </si>
  <si>
    <t>info@littlepalms.co.nz</t>
  </si>
  <si>
    <t>40 Caribbean Drive</t>
  </si>
  <si>
    <t>Chufan Zhang</t>
  </si>
  <si>
    <t>24 Catlins Place</t>
  </si>
  <si>
    <t>021-02896612</t>
  </si>
  <si>
    <t>Lollipops Albany</t>
  </si>
  <si>
    <t>09-4471955</t>
  </si>
  <si>
    <t>cm.albany@ledu.co.nz</t>
  </si>
  <si>
    <t>406 Rosedale Road</t>
  </si>
  <si>
    <t>Tiffany Shi</t>
  </si>
  <si>
    <t>Reach for the Stars Early Learning Centre</t>
  </si>
  <si>
    <t>09-476 3950</t>
  </si>
  <si>
    <t>albanychildcare@reachforthestars.co.nz</t>
  </si>
  <si>
    <t>19 Canaveral Drive</t>
  </si>
  <si>
    <t>Carole Liang</t>
  </si>
  <si>
    <t>Kingsway Pre-School - Silverdale</t>
  </si>
  <si>
    <t>Bonair Crescent</t>
  </si>
  <si>
    <t>Active Explorers Swanson</t>
  </si>
  <si>
    <t>09-837 2881</t>
  </si>
  <si>
    <t>cm.swanson@activeexplorers.co.nz</t>
  </si>
  <si>
    <t>220 Swanson Road</t>
  </si>
  <si>
    <t>Sheetal Dhyani</t>
  </si>
  <si>
    <t>09-8372881</t>
  </si>
  <si>
    <t>Birkenhead Point Montessori Pre-school</t>
  </si>
  <si>
    <t>09-550 3443</t>
  </si>
  <si>
    <t>108 Hinemoa Street</t>
  </si>
  <si>
    <t>Fraser Hubbard</t>
  </si>
  <si>
    <t>Krafty Kidz</t>
  </si>
  <si>
    <t>09-8338457</t>
  </si>
  <si>
    <t>kraftykidz.nz@gmail.com</t>
  </si>
  <si>
    <t>11 Metcalfe Road</t>
  </si>
  <si>
    <t>Janine Raper</t>
  </si>
  <si>
    <t>Pupuke Early Education Centre</t>
  </si>
  <si>
    <t>09-489 8666</t>
  </si>
  <si>
    <t>pupukeearlyed@xtra.co.nz</t>
  </si>
  <si>
    <t>20-22 Lake Pupuke Drive</t>
  </si>
  <si>
    <t>Carol Crighton</t>
  </si>
  <si>
    <t>P O Box 25204</t>
  </si>
  <si>
    <t>09-378 8106</t>
  </si>
  <si>
    <t>Kiwi Kids Early Learning Centre</t>
  </si>
  <si>
    <t>09-4864695</t>
  </si>
  <si>
    <t>angelstaka@angelschildcare.co.nz</t>
  </si>
  <si>
    <t>31 Anzac St</t>
  </si>
  <si>
    <t>Maria Sargant</t>
  </si>
  <si>
    <t>09-424 5888</t>
  </si>
  <si>
    <t>Little Poppy's Preschool</t>
  </si>
  <si>
    <t>09-4246003</t>
  </si>
  <si>
    <t>3 Poplar Road</t>
  </si>
  <si>
    <t>Jessamy Outwin</t>
  </si>
  <si>
    <t>32 Deerness Crescent</t>
  </si>
  <si>
    <t>Warkworth 0920</t>
  </si>
  <si>
    <t>Kindercare Learning Centres Kohimarama</t>
  </si>
  <si>
    <t>09-528 6671</t>
  </si>
  <si>
    <t>kohimarama@kindercare.co.nz</t>
  </si>
  <si>
    <t>24 Melanesia Road</t>
  </si>
  <si>
    <t>Kohimarama Bay</t>
  </si>
  <si>
    <t>Snells Beach Kindergarten</t>
  </si>
  <si>
    <t>09-4256330</t>
  </si>
  <si>
    <t>snellsbeach@aka.org.nz</t>
  </si>
  <si>
    <t>15 Hamatana Road</t>
  </si>
  <si>
    <t>Snells Beach</t>
  </si>
  <si>
    <t>BestStart Gillies Avenue</t>
  </si>
  <si>
    <t>09-623 2785</t>
  </si>
  <si>
    <t>gillies@best-start.org</t>
  </si>
  <si>
    <t>181 Gillies Avenue</t>
  </si>
  <si>
    <t>Epsom North</t>
  </si>
  <si>
    <t>Learning at the Point Comm. Kindergarten</t>
  </si>
  <si>
    <t>09-846 9897</t>
  </si>
  <si>
    <t>learningpoint@xtra.co.nz</t>
  </si>
  <si>
    <t>20 Huia Road</t>
  </si>
  <si>
    <t>Point Chevalier East</t>
  </si>
  <si>
    <t>Kristina Walkley</t>
  </si>
  <si>
    <t>Auckland 1022</t>
  </si>
  <si>
    <t>MARC Early Learning Centre</t>
  </si>
  <si>
    <t>09-815 1690</t>
  </si>
  <si>
    <t>meg@marcelc.co.nz</t>
  </si>
  <si>
    <t>122 Mt Albert Road</t>
  </si>
  <si>
    <t>Margaret Moss</t>
  </si>
  <si>
    <t>Starship Play Service Ward 23B/Clinic</t>
  </si>
  <si>
    <t>Aiga Salevalasi Charitable Trust</t>
  </si>
  <si>
    <t>09-818 2504</t>
  </si>
  <si>
    <t>salevalasi@xtra.co.nz</t>
  </si>
  <si>
    <t>2 Clayburn Road</t>
  </si>
  <si>
    <t>Paulo Ieriko</t>
  </si>
  <si>
    <t>28 Binstead Road</t>
  </si>
  <si>
    <t>09-827 2087</t>
  </si>
  <si>
    <t>BestStart Avondale</t>
  </si>
  <si>
    <t>09-828 9083</t>
  </si>
  <si>
    <t>avondale@best-start.org</t>
  </si>
  <si>
    <t>18-20 Wolverton Street</t>
  </si>
  <si>
    <t>Glenavon</t>
  </si>
  <si>
    <t>Learning Stars Preschool</t>
  </si>
  <si>
    <t>09-828 5587</t>
  </si>
  <si>
    <t>learningstarspreschool@outlook.com</t>
  </si>
  <si>
    <t>113 Canal Road</t>
  </si>
  <si>
    <t>Farhana Husaini</t>
  </si>
  <si>
    <t>8C Crows Road</t>
  </si>
  <si>
    <t>09-8374680</t>
  </si>
  <si>
    <t>Freyberg Community Pre-School</t>
  </si>
  <si>
    <t>09-836 5889</t>
  </si>
  <si>
    <t>freybergcommunitypreschool@xtra.co.nz</t>
  </si>
  <si>
    <t>60 Roberts Road</t>
  </si>
  <si>
    <t>Te Atatū South-McLeod North</t>
  </si>
  <si>
    <t>Karen Wyatt</t>
  </si>
  <si>
    <t>Te Atatu</t>
  </si>
  <si>
    <t>BestStart Seymour Road Kindy</t>
  </si>
  <si>
    <t>09-8130964</t>
  </si>
  <si>
    <t>seymour.kindy@best-start.org</t>
  </si>
  <si>
    <t>74 Seymour Road</t>
  </si>
  <si>
    <t>Sunnyvale-Auckland</t>
  </si>
  <si>
    <t>Barnardos Early Learning Home Based Auckland Toru</t>
  </si>
  <si>
    <t>09-624 5961</t>
  </si>
  <si>
    <t>The Rose Centre Community Pre-School</t>
  </si>
  <si>
    <t>09-445 9900 Ext 2</t>
  </si>
  <si>
    <t>manager.preschool@rosecentre.co.nz</t>
  </si>
  <si>
    <t>School Road</t>
  </si>
  <si>
    <t>Siobhan Yurak</t>
  </si>
  <si>
    <t>4 School Road, Belmont</t>
  </si>
  <si>
    <t>027-5215667</t>
  </si>
  <si>
    <t>Koru Montessori</t>
  </si>
  <si>
    <t>09-4109535</t>
  </si>
  <si>
    <t>korumontessori@xtra.co.nz</t>
  </si>
  <si>
    <t>21 Kapiti Place</t>
  </si>
  <si>
    <t>Sunnynook South</t>
  </si>
  <si>
    <t>Kristle Lochan</t>
  </si>
  <si>
    <t>Precious Pipis Childcare Brixton Road</t>
  </si>
  <si>
    <t>09-424 2315</t>
  </si>
  <si>
    <t>coast@preciouspipis.co.nz</t>
  </si>
  <si>
    <t>26 Brixton Road</t>
  </si>
  <si>
    <t>Jessica  May</t>
  </si>
  <si>
    <t>69 Commercial Road</t>
  </si>
  <si>
    <t>Helensville 0800</t>
  </si>
  <si>
    <t>09-4117516</t>
  </si>
  <si>
    <t>Living &amp; Learning Family Centre Mangere</t>
  </si>
  <si>
    <t>09-275 3666</t>
  </si>
  <si>
    <t>mangere@livingandlearning.org.nz</t>
  </si>
  <si>
    <t>6 Bicknell Road</t>
  </si>
  <si>
    <t>Favona East</t>
  </si>
  <si>
    <t>Glenda Wendelborn</t>
  </si>
  <si>
    <t>Confident Learners Early Learning Centre</t>
  </si>
  <si>
    <t>09-826 0644</t>
  </si>
  <si>
    <t>91 Portage Road</t>
  </si>
  <si>
    <t>New Lynn Central South</t>
  </si>
  <si>
    <t>Harsimrat Kaur</t>
  </si>
  <si>
    <t>Flanshaw Early Childhood Centre</t>
  </si>
  <si>
    <t>09-8347132</t>
  </si>
  <si>
    <t>flanshawpreschool@gmail.com</t>
  </si>
  <si>
    <t>51 Flanshaw Road</t>
  </si>
  <si>
    <t>Te Atatū South-North</t>
  </si>
  <si>
    <t>Purdey Redfearn</t>
  </si>
  <si>
    <t>P O Box 186</t>
  </si>
  <si>
    <t>West Harbour</t>
  </si>
  <si>
    <t>Auckland 0661</t>
  </si>
  <si>
    <t>09-8347142</t>
  </si>
  <si>
    <t>Te Kōhanga Reo o Te Hau Kapua</t>
  </si>
  <si>
    <t>09-445 8641</t>
  </si>
  <si>
    <t>16 Roberts Avenue</t>
  </si>
  <si>
    <t>Kerry Jones</t>
  </si>
  <si>
    <t>04-381 8750</t>
  </si>
  <si>
    <t>The Grange Early Learning Centre</t>
  </si>
  <si>
    <t>021-483869</t>
  </si>
  <si>
    <t>childcare@thegrangecentre.co.nz</t>
  </si>
  <si>
    <t>48 Awaroa Road</t>
  </si>
  <si>
    <t>Sunnyvale East</t>
  </si>
  <si>
    <t xml:space="preserve">Evelyne Louarduzzi </t>
  </si>
  <si>
    <t>5 Mildnay Road</t>
  </si>
  <si>
    <t>09-837 2007</t>
  </si>
  <si>
    <t>Te Kōhanga Reo o Te Arapeta</t>
  </si>
  <si>
    <t>09-570 4156</t>
  </si>
  <si>
    <t>49 Court Crescent</t>
  </si>
  <si>
    <t>Tamaki West</t>
  </si>
  <si>
    <t>Te Kōhanga Reo o Ngā Tikanga Pono</t>
  </si>
  <si>
    <t>09-4440818</t>
  </si>
  <si>
    <t>96 Bentley Avenue</t>
  </si>
  <si>
    <t>Headstart Early Learning</t>
  </si>
  <si>
    <t>09-4164300</t>
  </si>
  <si>
    <t>admin@headstartchildcare.nz</t>
  </si>
  <si>
    <t>193 Hobsonville Road</t>
  </si>
  <si>
    <t>West Harbour Clearwater Cove</t>
  </si>
  <si>
    <t>Christine Diprose</t>
  </si>
  <si>
    <t>Lollipops Grey Lynn</t>
  </si>
  <si>
    <t>09-376 2486</t>
  </si>
  <si>
    <t>admin.greylynn@ledu.co.nz</t>
  </si>
  <si>
    <t>120 Surrey Crescent</t>
  </si>
  <si>
    <t>Cherie  Bell</t>
  </si>
  <si>
    <t>09-3762486</t>
  </si>
  <si>
    <t>Kiddos Childcare Birkdale</t>
  </si>
  <si>
    <t>09-482 0840</t>
  </si>
  <si>
    <t>koruearlylearningcentre@xtra.co.nz</t>
  </si>
  <si>
    <t>167 Birkdale Road</t>
  </si>
  <si>
    <t>58 Onetaunga Road, Chatswood</t>
  </si>
  <si>
    <t>09-480 3006</t>
  </si>
  <si>
    <t>Olive Shoots Early Childhood Centre</t>
  </si>
  <si>
    <t>09-836 7838</t>
  </si>
  <si>
    <t>oliveshoots@laidlaw.ac.nz</t>
  </si>
  <si>
    <t>80 Central Park Drive</t>
  </si>
  <si>
    <t>Allan Officer</t>
  </si>
  <si>
    <t>Olive Shoots ECC c/- Laidlaw College Private Bag 93104</t>
  </si>
  <si>
    <t>Devonport Methodist Childcare Centre</t>
  </si>
  <si>
    <t>09-446 0003</t>
  </si>
  <si>
    <t>admin@dmcc.live</t>
  </si>
  <si>
    <t>18 Owens Road</t>
  </si>
  <si>
    <t>Robyn Holt</t>
  </si>
  <si>
    <t>North Shore City 0624</t>
  </si>
  <si>
    <t>Three Bears Titirangi Childcare</t>
  </si>
  <si>
    <t>09-817 7576</t>
  </si>
  <si>
    <t>halford.jen20@gmail.com</t>
  </si>
  <si>
    <t>99 B Atkinson Road</t>
  </si>
  <si>
    <t>Jennifer Halford</t>
  </si>
  <si>
    <t>3 Urlich Drive</t>
  </si>
  <si>
    <t>Country Bears Early Childhood Centre</t>
  </si>
  <si>
    <t>09-4128055</t>
  </si>
  <si>
    <t>info@countrybears.co.nz</t>
  </si>
  <si>
    <t>79 Oraha Road, RD 2</t>
  </si>
  <si>
    <t>Kumeū-Huapai North</t>
  </si>
  <si>
    <t>Nikky Tauranga</t>
  </si>
  <si>
    <t>79 Oraha Road RD 2</t>
  </si>
  <si>
    <t>Auckland 0892</t>
  </si>
  <si>
    <t>Bear Park Childcare Mairangi Bay</t>
  </si>
  <si>
    <t>09-479 3795</t>
  </si>
  <si>
    <t>18 Apollo Drive</t>
  </si>
  <si>
    <t>Diane Bradshaw</t>
  </si>
  <si>
    <t>P O Box 303397</t>
  </si>
  <si>
    <t>North Shore City 0751</t>
  </si>
  <si>
    <t>09-4792982</t>
  </si>
  <si>
    <t>Leigh Community Pre-School Inc</t>
  </si>
  <si>
    <t>09-422 6516</t>
  </si>
  <si>
    <t>centremanager@leighpreschool.co.nz</t>
  </si>
  <si>
    <t>5 Seatoun Avenue</t>
  </si>
  <si>
    <t>Leigh</t>
  </si>
  <si>
    <t>Cape Rodney</t>
  </si>
  <si>
    <t>Crystal MacGregor</t>
  </si>
  <si>
    <t>P O Box 85</t>
  </si>
  <si>
    <t>Auckland 0947</t>
  </si>
  <si>
    <t>Piha Community Preschool</t>
  </si>
  <si>
    <t>09-8128013</t>
  </si>
  <si>
    <t>pihapreschool@xtra.co.nz</t>
  </si>
  <si>
    <t>2 North Piha Road</t>
  </si>
  <si>
    <t>Piha</t>
  </si>
  <si>
    <t>Susan Fraser</t>
  </si>
  <si>
    <t>PO Box 92</t>
  </si>
  <si>
    <t>Auckland 0772</t>
  </si>
  <si>
    <t>Barnardos Early Learning Home Based Auckland Rua</t>
  </si>
  <si>
    <t>Te Kōhanga Reo o Te Kōtuku</t>
  </si>
  <si>
    <t>09-834 4182</t>
  </si>
  <si>
    <t>16-20 Kotuku Street</t>
  </si>
  <si>
    <t>Smart Start Montessori (Grange Rd) Pre-School</t>
  </si>
  <si>
    <t>09-623 0097</t>
  </si>
  <si>
    <t>info@smartstart.school.nz</t>
  </si>
  <si>
    <t>99 Grange Road</t>
  </si>
  <si>
    <t>Rebecca Lee-Houtwipper</t>
  </si>
  <si>
    <t>09-623 2550</t>
  </si>
  <si>
    <t>Next Generation Childcare</t>
  </si>
  <si>
    <t>09-483 6087</t>
  </si>
  <si>
    <t>19 Gatman Street</t>
  </si>
  <si>
    <t>Birkdale South</t>
  </si>
  <si>
    <t>Rainbow Adventurers Childcare</t>
  </si>
  <si>
    <t>09-479 2922</t>
  </si>
  <si>
    <t>12 Laurina Road</t>
  </si>
  <si>
    <t>Lynley Bendall</t>
  </si>
  <si>
    <t>14 Rifleman Rise</t>
  </si>
  <si>
    <t>09-4182813</t>
  </si>
  <si>
    <t>Kindercare Learning Centre (5) Remuera</t>
  </si>
  <si>
    <t>09-5201825</t>
  </si>
  <si>
    <t>remuera@kindercare.co.nz</t>
  </si>
  <si>
    <t>36 Greenlane Road East</t>
  </si>
  <si>
    <t>Lil Seeds Ltd</t>
  </si>
  <si>
    <t>86 Kaurilands Road</t>
  </si>
  <si>
    <t>Ponsonby Montessori Kindergarten</t>
  </si>
  <si>
    <t>09-376 0021</t>
  </si>
  <si>
    <t>montessori.ponsonby@xtra.co.nz</t>
  </si>
  <si>
    <t>244 Richmond Road</t>
  </si>
  <si>
    <t>Canaan Quinlivan-Vega Ron</t>
  </si>
  <si>
    <t>c/- Ponsonby Montessori Kindergarten 244 Richmond Road</t>
  </si>
  <si>
    <t>The No 1 Kindy Limited</t>
  </si>
  <si>
    <t>09-489 6797</t>
  </si>
  <si>
    <t>theno1kindy@gmail.com</t>
  </si>
  <si>
    <t>4 Dominion Street</t>
  </si>
  <si>
    <t>Ruth Hancock</t>
  </si>
  <si>
    <t>Ōrākei Montessori Pre-School</t>
  </si>
  <si>
    <t>azaria@omp.school.nz</t>
  </si>
  <si>
    <t>16 Sudeley Street</t>
  </si>
  <si>
    <t>Azaria Muldoon</t>
  </si>
  <si>
    <t>42 Takitimu Street</t>
  </si>
  <si>
    <t>021-0242535</t>
  </si>
  <si>
    <t>Lollipops Green Bay</t>
  </si>
  <si>
    <t>09-8277 608</t>
  </si>
  <si>
    <t>cm.greenbay@ledu.co.nz</t>
  </si>
  <si>
    <t>200 Portage Road</t>
  </si>
  <si>
    <t>Green Bay South</t>
  </si>
  <si>
    <t>Crystal Fowler</t>
  </si>
  <si>
    <t>09-827 7608</t>
  </si>
  <si>
    <t>Te Atatu South Childcare Centre</t>
  </si>
  <si>
    <t>09-834 3018</t>
  </si>
  <si>
    <t>info@teatatusouthchildcare.co.nz</t>
  </si>
  <si>
    <t>1 Vera Road</t>
  </si>
  <si>
    <t>Stephanie Hickman</t>
  </si>
  <si>
    <t>68 Tiroroa Avenue</t>
  </si>
  <si>
    <t>Jolly Stars Early Learning Centre</t>
  </si>
  <si>
    <t>09-833 7319</t>
  </si>
  <si>
    <t>jollystars.elc@gmail.com</t>
  </si>
  <si>
    <t>36 Reynella Drive</t>
  </si>
  <si>
    <t>Massey Central</t>
  </si>
  <si>
    <t>Liyan Zhen</t>
  </si>
  <si>
    <t>Kindercare Learning Centres (10 B, T &amp; P) Constellation</t>
  </si>
  <si>
    <t>09-4799 922</t>
  </si>
  <si>
    <t>constellation@kindercare.co.nz</t>
  </si>
  <si>
    <t>5 Vega Place</t>
  </si>
  <si>
    <t>Stepping Stones Daycare Ltd</t>
  </si>
  <si>
    <t>09-6310300</t>
  </si>
  <si>
    <t>70 Wairiki Road</t>
  </si>
  <si>
    <t>Maungawhau</t>
  </si>
  <si>
    <t>Xueli (Shirley) Sun</t>
  </si>
  <si>
    <t>63 Magma Cres</t>
  </si>
  <si>
    <t>09-5746627</t>
  </si>
  <si>
    <t>BestStart Meadowbank</t>
  </si>
  <si>
    <t>09-523 1450</t>
  </si>
  <si>
    <t>meadowbank@best-start.org</t>
  </si>
  <si>
    <t>31 Kelvin Road</t>
  </si>
  <si>
    <t>Remuera East</t>
  </si>
  <si>
    <t>Babies &amp; Buddies Early Childhood Centre</t>
  </si>
  <si>
    <t>09-837 4023</t>
  </si>
  <si>
    <t>141 Universal Drive</t>
  </si>
  <si>
    <t>Cuizhen Chen Zhen</t>
  </si>
  <si>
    <t>9 Titchener Street</t>
  </si>
  <si>
    <t>021-363644</t>
  </si>
  <si>
    <t>Sunnynook Community Early Learning</t>
  </si>
  <si>
    <t xml:space="preserve">021-02750384 </t>
  </si>
  <si>
    <t>scc.creche@xtra.co.nz</t>
  </si>
  <si>
    <t>148 Sycamore Drive</t>
  </si>
  <si>
    <t>Bronwyn Bound</t>
  </si>
  <si>
    <t>North Shore City 0620</t>
  </si>
  <si>
    <t>09-410 4902</t>
  </si>
  <si>
    <t>Collectively Kids Ltd</t>
  </si>
  <si>
    <t>09-849 5261</t>
  </si>
  <si>
    <t>collectivelykids@xtra.co.nz</t>
  </si>
  <si>
    <t>28 Carrington Road</t>
  </si>
  <si>
    <t xml:space="preserve">Soya  Thomas </t>
  </si>
  <si>
    <t>14 Potatau St</t>
  </si>
  <si>
    <t>021-1638986</t>
  </si>
  <si>
    <t>Te Kōhanga Reo o Te Ngākau Mahana</t>
  </si>
  <si>
    <t>09-836 0507</t>
  </si>
  <si>
    <t>22 A Smythe Road</t>
  </si>
  <si>
    <t>Te Kōhanga Reo ki Papatoetoe Whānau</t>
  </si>
  <si>
    <t>09-279 9772</t>
  </si>
  <si>
    <t>67 K Swaffield Road</t>
  </si>
  <si>
    <t>Tots Corner</t>
  </si>
  <si>
    <t>09-480 7025</t>
  </si>
  <si>
    <t>tots@totscorner.co.nz</t>
  </si>
  <si>
    <t>95 Onewa Road</t>
  </si>
  <si>
    <t>Imogen McBeth</t>
  </si>
  <si>
    <t>79 Glenvar Road</t>
  </si>
  <si>
    <t>All Saints Early Learning Centre</t>
  </si>
  <si>
    <t>09-376 0353</t>
  </si>
  <si>
    <t>hello@allsaintselc.co.nz</t>
  </si>
  <si>
    <t>284 Ponsonby Road</t>
  </si>
  <si>
    <t>Anglican</t>
  </si>
  <si>
    <t>Rachel Hughes</t>
  </si>
  <si>
    <t>P O Box 47625</t>
  </si>
  <si>
    <t>Auckland 1144</t>
  </si>
  <si>
    <t>09-3760353</t>
  </si>
  <si>
    <t>St Heliers-Glendowie Playcentre</t>
  </si>
  <si>
    <t>09-5758003</t>
  </si>
  <si>
    <t>kiri.mccabe@playcentre.org.nz</t>
  </si>
  <si>
    <t>16 A Kinsale Avenue</t>
  </si>
  <si>
    <t>Glendowie North</t>
  </si>
  <si>
    <t>Kiri McCabe</t>
  </si>
  <si>
    <t>09-4153321</t>
  </si>
  <si>
    <t>Fetū ole Moana Aoga amata</t>
  </si>
  <si>
    <t>0800-338 865</t>
  </si>
  <si>
    <t>office@fetuolemoana.org.nz</t>
  </si>
  <si>
    <t>35 Armada Drive</t>
  </si>
  <si>
    <t>Joyita Crichton</t>
  </si>
  <si>
    <t>PO Box 70026</t>
  </si>
  <si>
    <t>Playday (Orakei Presbyterian Church)</t>
  </si>
  <si>
    <t>09-5210302</t>
  </si>
  <si>
    <t>orakeiplayday@xtra.co.nz</t>
  </si>
  <si>
    <t>162 Coates Avenue</t>
  </si>
  <si>
    <t>Presbyterian</t>
  </si>
  <si>
    <t>Orakei East</t>
  </si>
  <si>
    <t>Ajten Ibrahimbegov</t>
  </si>
  <si>
    <t>Flying Start Kindergarten</t>
  </si>
  <si>
    <t>09-6304847</t>
  </si>
  <si>
    <t>2/22 Cromwell Street</t>
  </si>
  <si>
    <t>Jenny Fang</t>
  </si>
  <si>
    <t>51 Kerrykeel Drive</t>
  </si>
  <si>
    <t>09-963 2218</t>
  </si>
  <si>
    <t>Learning Curves Childcare Centre</t>
  </si>
  <si>
    <t xml:space="preserve">09- </t>
  </si>
  <si>
    <t>11 Kinross Street</t>
  </si>
  <si>
    <t>Blockhouse Bay South</t>
  </si>
  <si>
    <t>Gregory  Burt</t>
  </si>
  <si>
    <t>59a Empire Road</t>
  </si>
  <si>
    <t>Titirangi Rudolf Steiner Kindergarten 1</t>
  </si>
  <si>
    <t>09-8174386</t>
  </si>
  <si>
    <t>5 Helios Place</t>
  </si>
  <si>
    <t>Sheryl Mace</t>
  </si>
  <si>
    <t>P O Box 60266</t>
  </si>
  <si>
    <t>Auckland 0642</t>
  </si>
  <si>
    <t>Starfish Early Childhood  Centre</t>
  </si>
  <si>
    <t>09-424 1031</t>
  </si>
  <si>
    <t>admin@starfishpreschool.co.nz</t>
  </si>
  <si>
    <t>1 Waiora Road</t>
  </si>
  <si>
    <t>Robyn Matthewson</t>
  </si>
  <si>
    <t>9A Waiata Avenue</t>
  </si>
  <si>
    <t>Little Star Montessori House Of Children</t>
  </si>
  <si>
    <t>09-4169696</t>
  </si>
  <si>
    <t>21 Buisson Glade</t>
  </si>
  <si>
    <t>Rachel Loo</t>
  </si>
  <si>
    <t>P O Box 79295</t>
  </si>
  <si>
    <t>Royal Heights</t>
  </si>
  <si>
    <t>Auckland 0656</t>
  </si>
  <si>
    <t>Lollipops North Harbour Kakapo</t>
  </si>
  <si>
    <t>cm.northharbourkakapos@ledu.co.nz</t>
  </si>
  <si>
    <t>48 Cheval Drive</t>
  </si>
  <si>
    <t>Muddy Toes ELC Warkworth</t>
  </si>
  <si>
    <t>09-4259581</t>
  </si>
  <si>
    <t>muddytoeselc@outlook.com</t>
  </si>
  <si>
    <t>18 Percy Street</t>
  </si>
  <si>
    <t>Warkworth East</t>
  </si>
  <si>
    <t>Rochanna Weston</t>
  </si>
  <si>
    <t>42 Glenelg Road</t>
  </si>
  <si>
    <t>Whangaparoa 0932</t>
  </si>
  <si>
    <t>White Heron Learning Centre - Manurewa</t>
  </si>
  <si>
    <t>09-266 1141</t>
  </si>
  <si>
    <t>whiteheron.manurewa@xtra.co.nz</t>
  </si>
  <si>
    <t>16 Jellicoe Road</t>
  </si>
  <si>
    <t>Manurewa Central</t>
  </si>
  <si>
    <t>Jenifer Hood</t>
  </si>
  <si>
    <t>54 Normans Hill Road</t>
  </si>
  <si>
    <t>Auckland 1061</t>
  </si>
  <si>
    <t>Waterview Early Learning Center</t>
  </si>
  <si>
    <t>09-828 7872</t>
  </si>
  <si>
    <t>bhavin.dhankee@gmail.com</t>
  </si>
  <si>
    <t>24 A Fairlands Avenue</t>
  </si>
  <si>
    <t>Waterview</t>
  </si>
  <si>
    <t>Roly  Dhankee</t>
  </si>
  <si>
    <t>77 b Buscamb Ave</t>
  </si>
  <si>
    <t>Te Kōhanga Reo o Te Māungarongo</t>
  </si>
  <si>
    <t>09-416 4720</t>
  </si>
  <si>
    <t>19 Luckens Road</t>
  </si>
  <si>
    <t>Little People</t>
  </si>
  <si>
    <t>09-444 8802</t>
  </si>
  <si>
    <t>info@littlepeople.net.nz</t>
  </si>
  <si>
    <t>128 Archers Road</t>
  </si>
  <si>
    <t>Glenfield East</t>
  </si>
  <si>
    <t>Jodie Hight</t>
  </si>
  <si>
    <t>c/- Little People 128 Archers Road</t>
  </si>
  <si>
    <t>Auckland 0629</t>
  </si>
  <si>
    <t>Fossil Bay Kindergarten</t>
  </si>
  <si>
    <t>09-3722152</t>
  </si>
  <si>
    <t>info@fossilbay.co.nz</t>
  </si>
  <si>
    <t>58 Korora Road</t>
  </si>
  <si>
    <t>Oneroa</t>
  </si>
  <si>
    <t>Oneroa West</t>
  </si>
  <si>
    <t>Iris Richter</t>
  </si>
  <si>
    <t>P O Box 128</t>
  </si>
  <si>
    <t>Playhouse Early Childhood Centre</t>
  </si>
  <si>
    <t>09-8277833</t>
  </si>
  <si>
    <t>info@playhousechildcare.co.nz</t>
  </si>
  <si>
    <t>38 La Rosa Street</t>
  </si>
  <si>
    <t>Gregory Burt</t>
  </si>
  <si>
    <t>09-3616711</t>
  </si>
  <si>
    <t>Faavae Mautu Aoga Amata</t>
  </si>
  <si>
    <t>09-627 9406</t>
  </si>
  <si>
    <t>fmaa@xtra.co.nz</t>
  </si>
  <si>
    <t>504a Richardson Road</t>
  </si>
  <si>
    <t>Mount Roskill Central South</t>
  </si>
  <si>
    <t>Taelase Su'a</t>
  </si>
  <si>
    <t>5 Bridgman Avenue</t>
  </si>
  <si>
    <t>09-6279406</t>
  </si>
  <si>
    <t>Aspirations Early Learning Centre</t>
  </si>
  <si>
    <t>09-4164523</t>
  </si>
  <si>
    <t>info@aspirationselc.co.nz</t>
  </si>
  <si>
    <t>129-131 Moire Road</t>
  </si>
  <si>
    <t>Hafiza Pirani</t>
  </si>
  <si>
    <t xml:space="preserve">5 Barbarich Drive </t>
  </si>
  <si>
    <t>09-5705786</t>
  </si>
  <si>
    <t>Royal Oak Learning Centre</t>
  </si>
  <si>
    <t>684 Mt Albert Road</t>
  </si>
  <si>
    <t>Kindercare Learning Centres (10 P) Constellation</t>
  </si>
  <si>
    <t>Small Miracles Pre-School</t>
  </si>
  <si>
    <t>09-5854006</t>
  </si>
  <si>
    <t>smallmiracles@sthelierscentre.org.nz</t>
  </si>
  <si>
    <t>100 St Heliers Bay Road</t>
  </si>
  <si>
    <t>Sharon Sweeney Lauder</t>
  </si>
  <si>
    <t>P O Box 25287</t>
  </si>
  <si>
    <t>Kristin School Kindergarten</t>
  </si>
  <si>
    <t>09-415 9566</t>
  </si>
  <si>
    <t>kristin@kristin.school.nz</t>
  </si>
  <si>
    <t>360 Albany Highway</t>
  </si>
  <si>
    <t>Leila Twinn</t>
  </si>
  <si>
    <t>P O Box 300087</t>
  </si>
  <si>
    <t>09-4159566</t>
  </si>
  <si>
    <t>Mighty Minds Educare Glenfield Ltd</t>
  </si>
  <si>
    <t>09-5256868</t>
  </si>
  <si>
    <t>cheryl3@mightyminds.co.nz</t>
  </si>
  <si>
    <t>81 Stanley Road</t>
  </si>
  <si>
    <t>Chia-Chih Cheng</t>
  </si>
  <si>
    <t>13 Charles Dickens Drive, Mellons Bay</t>
  </si>
  <si>
    <t>Steps to Strides Early Learning Centre</t>
  </si>
  <si>
    <t>022-5408813</t>
  </si>
  <si>
    <t>stepstostrides@gmail.com</t>
  </si>
  <si>
    <t>50 Strong Street</t>
  </si>
  <si>
    <t>St Johns</t>
  </si>
  <si>
    <t>Tracey Brown</t>
  </si>
  <si>
    <t>11 De Quincey Terrace</t>
  </si>
  <si>
    <t>Little Earth Montessori Panmure</t>
  </si>
  <si>
    <t>09-527 0553</t>
  </si>
  <si>
    <t>cm.panmure@littleearth.co.nz</t>
  </si>
  <si>
    <t>45 Ireland Road</t>
  </si>
  <si>
    <t>Sumathy Pushpakumar</t>
  </si>
  <si>
    <t>09-5270553</t>
  </si>
  <si>
    <t>Happy Kiddy Castle Early Learning</t>
  </si>
  <si>
    <t>09-416 5580</t>
  </si>
  <si>
    <t>lena@happykiddy.co.nz</t>
  </si>
  <si>
    <t>5 Luckens Road</t>
  </si>
  <si>
    <t>Na (Lena) Li</t>
  </si>
  <si>
    <t>9 Oak Bark Drive, Schnapper Rock</t>
  </si>
  <si>
    <t>Bear Park Albany</t>
  </si>
  <si>
    <t>09-4159833</t>
  </si>
  <si>
    <t>albany@bearpark.co.nz</t>
  </si>
  <si>
    <t>31 Schnapper Rock Road</t>
  </si>
  <si>
    <t>Greenhithe East</t>
  </si>
  <si>
    <t>Bridget Gerrard</t>
  </si>
  <si>
    <t>Busy Minds Early Learning Centre</t>
  </si>
  <si>
    <t>09-478 5510</t>
  </si>
  <si>
    <t>319 Sunset Road</t>
  </si>
  <si>
    <t>Kate  Wyness</t>
  </si>
  <si>
    <t>P O Box 334082</t>
  </si>
  <si>
    <t>Auckland 0743</t>
  </si>
  <si>
    <t>09-4806408</t>
  </si>
  <si>
    <t>Kumeu Village Kindergarten</t>
  </si>
  <si>
    <t>09-412 9361</t>
  </si>
  <si>
    <t>kumeuvk@xtra.co.nz</t>
  </si>
  <si>
    <t>5 Shamrock Drive</t>
  </si>
  <si>
    <t>Kumeū-Huapai South</t>
  </si>
  <si>
    <t>Stephen Pye</t>
  </si>
  <si>
    <t>09-814 8814</t>
  </si>
  <si>
    <t>Gulf Harbour Preschool</t>
  </si>
  <si>
    <t>027-2759772</t>
  </si>
  <si>
    <t>gulfharbourpreschool@gmail.com</t>
  </si>
  <si>
    <t>79 Alec Craig Way</t>
  </si>
  <si>
    <t>Gulf Harbour</t>
  </si>
  <si>
    <t>Gulf Harbour North</t>
  </si>
  <si>
    <t>Lynda Wackrow</t>
  </si>
  <si>
    <t>23 Chelverton Terrace</t>
  </si>
  <si>
    <t>09-4240288</t>
  </si>
  <si>
    <t>Bear Park Early Childhood Centre</t>
  </si>
  <si>
    <t>09-520 6661</t>
  </si>
  <si>
    <t>patey@bearpark.co.nz</t>
  </si>
  <si>
    <t>7 Patey Street</t>
  </si>
  <si>
    <t>Blockhouse Bay Christian Kindergarten</t>
  </si>
  <si>
    <t>09-626 6284 Ext 3</t>
  </si>
  <si>
    <t>kindy@bbcc.org.nz</t>
  </si>
  <si>
    <t>76 Dundale Avenue</t>
  </si>
  <si>
    <t>New Windsor South</t>
  </si>
  <si>
    <t>David Marshall</t>
  </si>
  <si>
    <t>P O Box 48056</t>
  </si>
  <si>
    <t>Auckland 0644</t>
  </si>
  <si>
    <t>09-8465093</t>
  </si>
  <si>
    <t>Glendowie Christian Kindergarten</t>
  </si>
  <si>
    <t>09-575 2971</t>
  </si>
  <si>
    <t>kindy@gck.org.nz</t>
  </si>
  <si>
    <t>197 Riddell Road</t>
  </si>
  <si>
    <t>Karen Millar</t>
  </si>
  <si>
    <t>Andy's Educare</t>
  </si>
  <si>
    <t>09-6252480</t>
  </si>
  <si>
    <t>crane@andyseducare.co.nz</t>
  </si>
  <si>
    <t>692 Mt Albert Road</t>
  </si>
  <si>
    <t>Hequn (Crane)  Shi</t>
  </si>
  <si>
    <t>34 Rosewell Crescent</t>
  </si>
  <si>
    <t>Learning Unlimited Childcare Centre</t>
  </si>
  <si>
    <t>09-480 2732</t>
  </si>
  <si>
    <t>info@learningunlimited.co.nz</t>
  </si>
  <si>
    <t>65 - 67 Greenslade Crescent</t>
  </si>
  <si>
    <t>Lin Chen</t>
  </si>
  <si>
    <t>108 A Carrington Road</t>
  </si>
  <si>
    <t>Avondale College Early Childhood Centre</t>
  </si>
  <si>
    <t>09-828 6750</t>
  </si>
  <si>
    <t>ecec@avcol.school.nz</t>
  </si>
  <si>
    <t>Gate 2, Avondale College 47 Victor Street</t>
  </si>
  <si>
    <t>Yasmin Khan</t>
  </si>
  <si>
    <t>Avondale College Early Childhood Education Ctr 47 Victor Street, Gate 2</t>
  </si>
  <si>
    <t>Auckland 1007</t>
  </si>
  <si>
    <t>09-8287103</t>
  </si>
  <si>
    <t>BestStart Onehunga</t>
  </si>
  <si>
    <t>09-634 8161</t>
  </si>
  <si>
    <t>onehunga@best-start.org</t>
  </si>
  <si>
    <t>19 A Jordan Avenue</t>
  </si>
  <si>
    <t>ToTally Kids</t>
  </si>
  <si>
    <t>09-625 2570</t>
  </si>
  <si>
    <t>sandreddy90@hotmail.com</t>
  </si>
  <si>
    <t>25 Golf Road</t>
  </si>
  <si>
    <t>New Lynn South East</t>
  </si>
  <si>
    <t>Shobhna Reddy</t>
  </si>
  <si>
    <t xml:space="preserve">2D Aldersgate Road </t>
  </si>
  <si>
    <t>Auckland 1042</t>
  </si>
  <si>
    <t>Te Kōhanga Reo o Pōmāria</t>
  </si>
  <si>
    <t>09-835 2528</t>
  </si>
  <si>
    <t>33 A Pōmāria Road</t>
  </si>
  <si>
    <t>Te Kōhanga Reo o Puawairua</t>
  </si>
  <si>
    <t>09-832 1994</t>
  </si>
  <si>
    <t>5 Beauchamp Drive</t>
  </si>
  <si>
    <t>Marshwood Montessori Preschool</t>
  </si>
  <si>
    <t>09-521 5288</t>
  </si>
  <si>
    <t>marshwoodm@gmail.com</t>
  </si>
  <si>
    <t>20 Mt Taylor Drive</t>
  </si>
  <si>
    <t xml:space="preserve">Stuart  Palmer </t>
  </si>
  <si>
    <t>P O Box 25098</t>
  </si>
  <si>
    <t>Te Kōhanga Reo o Hineteiwaiwa</t>
  </si>
  <si>
    <t>09-923 6534</t>
  </si>
  <si>
    <t>hineteiwaiwa@auckland.ac.nz</t>
  </si>
  <si>
    <t>23A Alten Road</t>
  </si>
  <si>
    <t>Barbaras Place Learning Centre</t>
  </si>
  <si>
    <t>09-522 1022</t>
  </si>
  <si>
    <t>admin@barbarasplace.co.nz</t>
  </si>
  <si>
    <t>23 Mauranui Avenue</t>
  </si>
  <si>
    <t>Abner Chiu</t>
  </si>
  <si>
    <t>Kids Biz preschool and Daycare</t>
  </si>
  <si>
    <t>09-4793199</t>
  </si>
  <si>
    <t>kidsbizpreschool@outlook.com</t>
  </si>
  <si>
    <t>14 -16 Hebron Road</t>
  </si>
  <si>
    <t>Waiake</t>
  </si>
  <si>
    <t>Natasha Coughlan</t>
  </si>
  <si>
    <t>14-16 Hebron Road</t>
  </si>
  <si>
    <t>Creative Minds Childcare Centre</t>
  </si>
  <si>
    <t>021-2349026</t>
  </si>
  <si>
    <t>narelle.leach@gmail.com</t>
  </si>
  <si>
    <t>106 Edmonton Road</t>
  </si>
  <si>
    <t>Henderson North East</t>
  </si>
  <si>
    <t>Narelle  Leach</t>
  </si>
  <si>
    <t>52 King Edward Street</t>
  </si>
  <si>
    <t>Learning Adventures Henderson</t>
  </si>
  <si>
    <t>09-8366221</t>
  </si>
  <si>
    <t>cm.henderson@learningadventures.co.nz</t>
  </si>
  <si>
    <t>43 Norcross Avenue</t>
  </si>
  <si>
    <t>Hannah Bunce</t>
  </si>
  <si>
    <t>022-0597809</t>
  </si>
  <si>
    <t>Glendene Playcentre</t>
  </si>
  <si>
    <t>09-818 9072</t>
  </si>
  <si>
    <t>northern.csc@playcentre.org.nz</t>
  </si>
  <si>
    <t>Patts Avenue Reserve 7a Patts Avenue</t>
  </si>
  <si>
    <t>Glendene South</t>
  </si>
  <si>
    <t>Rachel Rix-Trott</t>
  </si>
  <si>
    <t>Glen Eden Playcentre</t>
  </si>
  <si>
    <t>09-818 8172</t>
  </si>
  <si>
    <t>4 Levy Road</t>
  </si>
  <si>
    <t>Helensville Playcentre</t>
  </si>
  <si>
    <t>09-420 9199</t>
  </si>
  <si>
    <t>rachel.rix-trott@playcentre.org.nz</t>
  </si>
  <si>
    <t>7 Stewart Street</t>
  </si>
  <si>
    <t>Henderson Valley Playcentre</t>
  </si>
  <si>
    <t>09-837 5847</t>
  </si>
  <si>
    <t>31 Farwood Drive</t>
  </si>
  <si>
    <t>McLaren Memorial Park</t>
  </si>
  <si>
    <t>Kumeu Playcentre</t>
  </si>
  <si>
    <t>09-412 8199</t>
  </si>
  <si>
    <t>18 Oraha Road</t>
  </si>
  <si>
    <t>Massey Playcentre</t>
  </si>
  <si>
    <t>027-8800 5396</t>
  </si>
  <si>
    <t>massey@playcentre.org.nz</t>
  </si>
  <si>
    <t>5 Sunpark Place</t>
  </si>
  <si>
    <t>Ranui Playcentre</t>
  </si>
  <si>
    <t>09-832 0669</t>
  </si>
  <si>
    <t>2 Ranui Station Road</t>
  </si>
  <si>
    <t>Swanson Playcentre</t>
  </si>
  <si>
    <t>5A Christian Road</t>
  </si>
  <si>
    <t>Waiatarua Playcentre</t>
  </si>
  <si>
    <t>09-814 8835</t>
  </si>
  <si>
    <t>911 West Coast Road</t>
  </si>
  <si>
    <t>Waiatarua</t>
  </si>
  <si>
    <t>Waimauku Playcentre</t>
  </si>
  <si>
    <t>09-411 8256</t>
  </si>
  <si>
    <t>69 Muriwai Road</t>
  </si>
  <si>
    <t>West Harbour Playcentre</t>
  </si>
  <si>
    <t>09-416 4136</t>
  </si>
  <si>
    <t>westharbour@playcentre.org.nz</t>
  </si>
  <si>
    <t>1/74 Oreil Avenue</t>
  </si>
  <si>
    <t>Freemans Bay Playcentre</t>
  </si>
  <si>
    <t>09-3761492</t>
  </si>
  <si>
    <t>Kiri.mccabe@playcentre.org.nz</t>
  </si>
  <si>
    <t>124 Wellington Street</t>
  </si>
  <si>
    <t>Blockhouse Bay Playcentre</t>
  </si>
  <si>
    <t>09-627 9882</t>
  </si>
  <si>
    <t>582 Blockhouse Bay Road</t>
  </si>
  <si>
    <t>Eden/Epsom Playcentre</t>
  </si>
  <si>
    <t>09-6389556</t>
  </si>
  <si>
    <t>25 Poronui Street</t>
  </si>
  <si>
    <t>Herne Bay Playcentre</t>
  </si>
  <si>
    <t>027-880 5398</t>
  </si>
  <si>
    <t>211 Jervois Road</t>
  </si>
  <si>
    <t>Hillsborough Playcentre</t>
  </si>
  <si>
    <t>09-8388849</t>
  </si>
  <si>
    <t>21 Currie Avenue</t>
  </si>
  <si>
    <t>Hillsborough Central (Auckland)</t>
  </si>
  <si>
    <t>Laingholm Playcentre</t>
  </si>
  <si>
    <t>shailina.arora@playcentre.org.nz</t>
  </si>
  <si>
    <t>4 Lookout Drive</t>
  </si>
  <si>
    <t>Maungawhau Playcentre</t>
  </si>
  <si>
    <t>09-638 6117</t>
  </si>
  <si>
    <t>30 Marsden Avenue</t>
  </si>
  <si>
    <t>Morningside Playcentre</t>
  </si>
  <si>
    <t>09-815 7491</t>
  </si>
  <si>
    <t>1A School Road</t>
  </si>
  <si>
    <t>Western Springs</t>
  </si>
  <si>
    <t>Kingsland</t>
  </si>
  <si>
    <t>Mt Albert Playcentre</t>
  </si>
  <si>
    <t>09-8467963</t>
  </si>
  <si>
    <t>25 Phyllis Street</t>
  </si>
  <si>
    <t>Newmarket Playcentre</t>
  </si>
  <si>
    <t>09-524 9576</t>
  </si>
  <si>
    <t>2 Hapua Street</t>
  </si>
  <si>
    <t>New Windsor Playcentre</t>
  </si>
  <si>
    <t>09-828 6290</t>
  </si>
  <si>
    <t>64 Peter Buck Road</t>
  </si>
  <si>
    <t>New Windsor</t>
  </si>
  <si>
    <t>Titirangi Playcentre</t>
  </si>
  <si>
    <t>09-8173003</t>
  </si>
  <si>
    <t>shalina.arora@playcentre.org.nz</t>
  </si>
  <si>
    <t>500 South Titirangi Road</t>
  </si>
  <si>
    <t>Titirangi South</t>
  </si>
  <si>
    <t>Shailina Arora</t>
  </si>
  <si>
    <t>Onehunga Playcentre</t>
  </si>
  <si>
    <t>09-6221396</t>
  </si>
  <si>
    <t>47 Hill Street</t>
  </si>
  <si>
    <t>Onehunga West</t>
  </si>
  <si>
    <t>Aotea Island Playcentre</t>
  </si>
  <si>
    <t>09-429 0600</t>
  </si>
  <si>
    <t>aoteaisland@playcentre.org.nz</t>
  </si>
  <si>
    <t>Kaitoke Lane</t>
  </si>
  <si>
    <t>Claris</t>
  </si>
  <si>
    <t>Great Barrier Island</t>
  </si>
  <si>
    <t>Auckland - Aotea/Great Barrier</t>
  </si>
  <si>
    <t>Barrier Islands</t>
  </si>
  <si>
    <t>Birkenhead Playcentre</t>
  </si>
  <si>
    <t>09-480 9671</t>
  </si>
  <si>
    <t>birkenhead@playcentre.org.nz</t>
  </si>
  <si>
    <t>16 Recreation Drive</t>
  </si>
  <si>
    <t>Coatesville Playcentre</t>
  </si>
  <si>
    <t>09-415 8547</t>
  </si>
  <si>
    <t>12 Mahoenui Valley Road</t>
  </si>
  <si>
    <t>Coatesville</t>
  </si>
  <si>
    <t>Greenhithe Playcentre</t>
  </si>
  <si>
    <t>09-413 5039</t>
  </si>
  <si>
    <t>15 A Greenhithe Road</t>
  </si>
  <si>
    <t>Kaukapakapa Playcentre</t>
  </si>
  <si>
    <t>09-420 5308</t>
  </si>
  <si>
    <t>Sinclair Park Macky Road</t>
  </si>
  <si>
    <t>Mairangi Bay Playcentre</t>
  </si>
  <si>
    <t>09-478 3316</t>
  </si>
  <si>
    <t>112 Kowhai Road</t>
  </si>
  <si>
    <t>Matakana Playcentre</t>
  </si>
  <si>
    <t>09-422 9070</t>
  </si>
  <si>
    <t>3 Torea Road</t>
  </si>
  <si>
    <t>Narrowneck Playcentre</t>
  </si>
  <si>
    <t>027-8802756</t>
  </si>
  <si>
    <t>narrowneck@playcentre.org.nz</t>
  </si>
  <si>
    <t>22 Handley Avenue</t>
  </si>
  <si>
    <t>Onepoto Playcentre</t>
  </si>
  <si>
    <t>09-443 6359</t>
  </si>
  <si>
    <t>onepoto@playcentre.org.nz</t>
  </si>
  <si>
    <t>51 Hillcrest Avenue</t>
  </si>
  <si>
    <t>Red Beach Playcentre</t>
  </si>
  <si>
    <t>027-880 4108</t>
  </si>
  <si>
    <t>redbeach@playcentre.org.nz</t>
  </si>
  <si>
    <t>3 Bay Vista Drive</t>
  </si>
  <si>
    <t>Silverdale Playcentre</t>
  </si>
  <si>
    <t>09-426 3282</t>
  </si>
  <si>
    <t>19 Wainui Road</t>
  </si>
  <si>
    <t>Silverdale Central (Auckland)</t>
  </si>
  <si>
    <t>Takapuna Playcentre</t>
  </si>
  <si>
    <t>09-489 8366</t>
  </si>
  <si>
    <t>takapuna@playcentre.org.nz</t>
  </si>
  <si>
    <t>4/8 Auburn Street</t>
  </si>
  <si>
    <t>Takarunga Playcentre</t>
  </si>
  <si>
    <t>027-880 2749</t>
  </si>
  <si>
    <t>takarunga@playcentre.org.nz</t>
  </si>
  <si>
    <t>1-26 Kerr Street</t>
  </si>
  <si>
    <t>Torbay Playcentre</t>
  </si>
  <si>
    <t>09-473 8077</t>
  </si>
  <si>
    <t>35 Watea Road</t>
  </si>
  <si>
    <t>Torbay West</t>
  </si>
  <si>
    <t>Waiheke Island Playcentre</t>
  </si>
  <si>
    <t>09-372 9480</t>
  </si>
  <si>
    <t>waihekeisland@playcentre.org.nz</t>
  </si>
  <si>
    <t>5A Albert Crescent</t>
  </si>
  <si>
    <t>Ostend</t>
  </si>
  <si>
    <t>Warkworth Playcentre</t>
  </si>
  <si>
    <t>09-425 8331</t>
  </si>
  <si>
    <t>Church Hill</t>
  </si>
  <si>
    <t>Whangaparaoa Playcentre</t>
  </si>
  <si>
    <t>09-424 1090</t>
  </si>
  <si>
    <t>41 A Stanmore Bay Road</t>
  </si>
  <si>
    <t>Manly West</t>
  </si>
  <si>
    <t>Windy Ridge Playcentre</t>
  </si>
  <si>
    <t>09-444 3949</t>
  </si>
  <si>
    <t>21A Tamahere Drive</t>
  </si>
  <si>
    <t>Glenfield South West</t>
  </si>
  <si>
    <t>Ellerslie Playcentre</t>
  </si>
  <si>
    <t>09-5791974</t>
  </si>
  <si>
    <t>8 Lawry Street</t>
  </si>
  <si>
    <t>Glen Innes Playcentre</t>
  </si>
  <si>
    <t>109 A Taniwha Street</t>
  </si>
  <si>
    <t>Mt Wellington Playcentre</t>
  </si>
  <si>
    <t xml:space="preserve">09-8388849 </t>
  </si>
  <si>
    <t>174 Penrose Road</t>
  </si>
  <si>
    <t>Active Explorers Central Park</t>
  </si>
  <si>
    <t>09-525 1694</t>
  </si>
  <si>
    <t>cm.centralpark@activeexplorers.co.nz</t>
  </si>
  <si>
    <t>Building 9, 666 Great South Road</t>
  </si>
  <si>
    <t>Ellerslie West</t>
  </si>
  <si>
    <t>Harpreet Kanwal</t>
  </si>
  <si>
    <t>09-5785099</t>
  </si>
  <si>
    <t>Karaka Learning Centre 4</t>
  </si>
  <si>
    <t>09-2984199</t>
  </si>
  <si>
    <t>info@karakalearning.co.nz</t>
  </si>
  <si>
    <t>113 Harbourside Drive</t>
  </si>
  <si>
    <t>Rachel Waterson</t>
  </si>
  <si>
    <t>P O Box 72916</t>
  </si>
  <si>
    <t>09-2984199 Ext 8</t>
  </si>
  <si>
    <t>The Wildlings Early Years</t>
  </si>
  <si>
    <t>09-2680017</t>
  </si>
  <si>
    <t>sam@thewildlings.co.nz</t>
  </si>
  <si>
    <t>32 McInnes Road</t>
  </si>
  <si>
    <t>Weymouth South</t>
  </si>
  <si>
    <t>Samantha Christians</t>
  </si>
  <si>
    <t>Te Korowai Kakahu o Manurewa Kāhui Ako</t>
  </si>
  <si>
    <t>Pukapuka Preschool</t>
  </si>
  <si>
    <t>09-2759630</t>
  </si>
  <si>
    <t>23 Canning Crescent</t>
  </si>
  <si>
    <t>Tupuka Tikinau</t>
  </si>
  <si>
    <t>P O Box 43247</t>
  </si>
  <si>
    <t>South Auckland 2022</t>
  </si>
  <si>
    <t>Barnardos Early Learning Centre Mangere</t>
  </si>
  <si>
    <t>09-275 5978</t>
  </si>
  <si>
    <t>deloshnee.pillay@barnardos.org.nz</t>
  </si>
  <si>
    <t>Deloshnee Pillay</t>
  </si>
  <si>
    <t>09-267 8394</t>
  </si>
  <si>
    <t>Beachcomber Early Learning Center</t>
  </si>
  <si>
    <t>09-5348058</t>
  </si>
  <si>
    <t>red9limited@gmail.com</t>
  </si>
  <si>
    <t>95 Hutchinsons Road</t>
  </si>
  <si>
    <t>Howick South</t>
  </si>
  <si>
    <t>Howick West</t>
  </si>
  <si>
    <t>Dayle Walker</t>
  </si>
  <si>
    <t>18 Stevenson Way</t>
  </si>
  <si>
    <t>09-5343567</t>
  </si>
  <si>
    <t>St Andrews Chilton Kindergarten</t>
  </si>
  <si>
    <t>09-5372282</t>
  </si>
  <si>
    <t>11 Vincent Street</t>
  </si>
  <si>
    <t>Janine Leaming</t>
  </si>
  <si>
    <t>P O Box 38590</t>
  </si>
  <si>
    <t>South Auckland 2145</t>
  </si>
  <si>
    <t>Pukeko Preschool Mangere East</t>
  </si>
  <si>
    <t>09-276 2611</t>
  </si>
  <si>
    <t>pukekopreschoolmangereeast@gmail.com</t>
  </si>
  <si>
    <t>5 Hain Avenue</t>
  </si>
  <si>
    <t>Massey Road North</t>
  </si>
  <si>
    <t>Mira Mautner</t>
  </si>
  <si>
    <t>48 Waipa Street</t>
  </si>
  <si>
    <t>09-482 2454</t>
  </si>
  <si>
    <t>Pakuranga Montessori Learning Centre</t>
  </si>
  <si>
    <t>09-2131866</t>
  </si>
  <si>
    <t>pmontessori2014@gmail.com</t>
  </si>
  <si>
    <t>71 Udys Road</t>
  </si>
  <si>
    <t>Zheng (Summer) Wei</t>
  </si>
  <si>
    <t>15 Sarah Place</t>
  </si>
  <si>
    <t>Auckland 2012</t>
  </si>
  <si>
    <t>Howick Baptist Church Kindergarten</t>
  </si>
  <si>
    <t>021-0412010</t>
  </si>
  <si>
    <t>manager@hbckindy.nz</t>
  </si>
  <si>
    <t>17 Wellington Street</t>
  </si>
  <si>
    <t>Alison Leaf</t>
  </si>
  <si>
    <t>126A Bleakhouse Road</t>
  </si>
  <si>
    <t>Mellons Bay</t>
  </si>
  <si>
    <t>09-534 7752</t>
  </si>
  <si>
    <t>Howick KIDS Early Learning Centre</t>
  </si>
  <si>
    <t>09-535 7507</t>
  </si>
  <si>
    <t>glen.tuala@communitykids.co.nz</t>
  </si>
  <si>
    <t>Kiddy Winks Kindergarten</t>
  </si>
  <si>
    <t>09-267 4933</t>
  </si>
  <si>
    <t>admin@kiddywinks.org.nz</t>
  </si>
  <si>
    <t>9 Lupton Road</t>
  </si>
  <si>
    <t>Nicole Leach</t>
  </si>
  <si>
    <t>P O Box 75964</t>
  </si>
  <si>
    <t>Auckland 2243</t>
  </si>
  <si>
    <t>09-266 8484</t>
  </si>
  <si>
    <t>Immanuel Preschool (Mangere)</t>
  </si>
  <si>
    <t>09-277 9409</t>
  </si>
  <si>
    <t>55 Hokianga Street</t>
  </si>
  <si>
    <t>Litttle Learners Childcare</t>
  </si>
  <si>
    <t>09-272 3344</t>
  </si>
  <si>
    <t>yingluyue88@gmail.com</t>
  </si>
  <si>
    <t>491 Te Irirangi Drive</t>
  </si>
  <si>
    <t>Savonna</t>
  </si>
  <si>
    <t>Luyue Ying</t>
  </si>
  <si>
    <t>Manukau Institute Of Technology Children's Education Centre</t>
  </si>
  <si>
    <t>09-9687715</t>
  </si>
  <si>
    <t>liz.keneti@manukau.ac.nz</t>
  </si>
  <si>
    <t>Manukau Institute of Technology 61 Otara Road, Gate 11</t>
  </si>
  <si>
    <t>Ōtara Central</t>
  </si>
  <si>
    <t>Liz Keneti</t>
  </si>
  <si>
    <t>PO Box 19400</t>
  </si>
  <si>
    <t>Hamilton 3244</t>
  </si>
  <si>
    <t>09-968 8642</t>
  </si>
  <si>
    <t>Te Kōhanga Reo o Manurewa</t>
  </si>
  <si>
    <t>09-267 0955</t>
  </si>
  <si>
    <t>33 Russell Road</t>
  </si>
  <si>
    <t>Manurewa West Kindergarten</t>
  </si>
  <si>
    <t>2 Crampton Place</t>
  </si>
  <si>
    <t>Rowandale East</t>
  </si>
  <si>
    <t>The Tree House</t>
  </si>
  <si>
    <t>09-276 0005</t>
  </si>
  <si>
    <t>treehouse.governance@middlemore.co.nz</t>
  </si>
  <si>
    <t>Building 9, Middlemore Hospital 100 Hospital Road</t>
  </si>
  <si>
    <t>Veronica Hamilton</t>
  </si>
  <si>
    <t>P O Box 93311</t>
  </si>
  <si>
    <t>Young Petals Early Learning Centre Drury</t>
  </si>
  <si>
    <t>09-2947125</t>
  </si>
  <si>
    <t>hello@youngpetals.co.nz</t>
  </si>
  <si>
    <t>12A Cross Street</t>
  </si>
  <si>
    <t>Sujata Patel</t>
  </si>
  <si>
    <t>15 Windoma Circle</t>
  </si>
  <si>
    <t>Auckland 2025</t>
  </si>
  <si>
    <t>09-2779730</t>
  </si>
  <si>
    <t>Pakuranga Baptist Kindergarten</t>
  </si>
  <si>
    <t>09-5767632</t>
  </si>
  <si>
    <t>pakbaptkindy@xtra.co.nz</t>
  </si>
  <si>
    <t>2 Freemantle Place</t>
  </si>
  <si>
    <t>Jacqueline  Lees</t>
  </si>
  <si>
    <t>P O Box 51538</t>
  </si>
  <si>
    <t>South Auckland 2140</t>
  </si>
  <si>
    <t>09-5330491</t>
  </si>
  <si>
    <t>Panmure Bridge Childcare Centre</t>
  </si>
  <si>
    <t>09-5271165</t>
  </si>
  <si>
    <t>candyw@panmurebridgechildcare.co.nz</t>
  </si>
  <si>
    <t>43 Caen Road</t>
  </si>
  <si>
    <t>Tsz Kan (Candy)  Wu</t>
  </si>
  <si>
    <t>P O Box 14747</t>
  </si>
  <si>
    <t>09-527 1165</t>
  </si>
  <si>
    <t>Papakura Christian Preschool</t>
  </si>
  <si>
    <t>09-298 2591</t>
  </si>
  <si>
    <t>presch@xtra.co.nz</t>
  </si>
  <si>
    <t>6-8 Coles Crescent</t>
  </si>
  <si>
    <t>Melanie Whitham</t>
  </si>
  <si>
    <t>P O Box 72978</t>
  </si>
  <si>
    <t>09-2924747</t>
  </si>
  <si>
    <t>159 A Russell Road</t>
  </si>
  <si>
    <t>Homai Central</t>
  </si>
  <si>
    <t>BestStart Maich Road</t>
  </si>
  <si>
    <t>09-269 0077</t>
  </si>
  <si>
    <t>maich@best-start.org</t>
  </si>
  <si>
    <t>78-80 Maich Road</t>
  </si>
  <si>
    <t>Amber Early Learning Centre</t>
  </si>
  <si>
    <t>09-2981185</t>
  </si>
  <si>
    <t>amberelc.takanini@gmail.com</t>
  </si>
  <si>
    <t>14 Taka Street</t>
  </si>
  <si>
    <t>Navpreet Kaur</t>
  </si>
  <si>
    <t>34 Milano Boulevard</t>
  </si>
  <si>
    <t>South Auckland 2113</t>
  </si>
  <si>
    <t>09-298 1185</t>
  </si>
  <si>
    <t>BestStart Dublin Street</t>
  </si>
  <si>
    <t>09-238 7388</t>
  </si>
  <si>
    <t>dublin@best-start.org</t>
  </si>
  <si>
    <t>30 Dublin Street</t>
  </si>
  <si>
    <t>Good Seeds Childrens Centre</t>
  </si>
  <si>
    <t>09-275 1069</t>
  </si>
  <si>
    <t>info@goodseedtrust.co.nz</t>
  </si>
  <si>
    <t>201 Buckland Road</t>
  </si>
  <si>
    <t>Massey Road West</t>
  </si>
  <si>
    <t>Helen Senior</t>
  </si>
  <si>
    <t>P O Box 86076</t>
  </si>
  <si>
    <t>BestStart Coronation Road</t>
  </si>
  <si>
    <t>09-2788 454</t>
  </si>
  <si>
    <t>coronation@best-start.org</t>
  </si>
  <si>
    <t>2 Coronation Road</t>
  </si>
  <si>
    <t>Clevedon Kidz Early Childhood Centre</t>
  </si>
  <si>
    <t>09-2928085</t>
  </si>
  <si>
    <t>office@clevedonkidz.co.nz</t>
  </si>
  <si>
    <t>Tony Sangster</t>
  </si>
  <si>
    <t>P O Box 89</t>
  </si>
  <si>
    <t>Auckland 2248</t>
  </si>
  <si>
    <t>09-292 8061</t>
  </si>
  <si>
    <t>St Andrews Christian Pre-School</t>
  </si>
  <si>
    <t>09-276 4534</t>
  </si>
  <si>
    <t>preschool@stand.org.nz</t>
  </si>
  <si>
    <t>18 Station Road</t>
  </si>
  <si>
    <t>Raewynne Dalton</t>
  </si>
  <si>
    <t>09-2666191 Ext 9018</t>
  </si>
  <si>
    <t>Pukeko Preschool Papatoetoe</t>
  </si>
  <si>
    <t>09-2776369</t>
  </si>
  <si>
    <t>pukekopreschoolpapatoetoe@gmail.com</t>
  </si>
  <si>
    <t>170 Puhinui Road</t>
  </si>
  <si>
    <t>Puhinui South</t>
  </si>
  <si>
    <t>Manurewa Early Discoveries Centre</t>
  </si>
  <si>
    <t>09-2688040</t>
  </si>
  <si>
    <t>cherie@earlydiscoveries.co.nz</t>
  </si>
  <si>
    <t>225 Weymouth Road</t>
  </si>
  <si>
    <t>Cherie Whaanga</t>
  </si>
  <si>
    <t>P O Box 75314</t>
  </si>
  <si>
    <t>Ako Tokamu'a Lou Olive Preschool</t>
  </si>
  <si>
    <t>09-5783612</t>
  </si>
  <si>
    <t>akoteu.louolive@gmail.com</t>
  </si>
  <si>
    <t>127 Taniwha Street</t>
  </si>
  <si>
    <t>34 Buckland Road</t>
  </si>
  <si>
    <t>Auckland 2024</t>
  </si>
  <si>
    <t>Te Kōhanga Reo ki Pikitia</t>
  </si>
  <si>
    <t>09-275 1326</t>
  </si>
  <si>
    <t>75 Comet Crescent</t>
  </si>
  <si>
    <t>Māngere North</t>
  </si>
  <si>
    <t>All About Children-Mt Wellington</t>
  </si>
  <si>
    <t>09-5278222</t>
  </si>
  <si>
    <t>16 Mountain Road</t>
  </si>
  <si>
    <t>Mount Wellington North East</t>
  </si>
  <si>
    <t>P O Box 72002</t>
  </si>
  <si>
    <t>Papakura 2110</t>
  </si>
  <si>
    <t>Te Kōhanga Reo o Te Kupenga</t>
  </si>
  <si>
    <t>09-274 9511</t>
  </si>
  <si>
    <t>25 Othello Drive</t>
  </si>
  <si>
    <t>Eden Early Learning Centre</t>
  </si>
  <si>
    <t>09-6292225</t>
  </si>
  <si>
    <t>adrian@landscapegroup.nz</t>
  </si>
  <si>
    <t>159 -161 Landscape Road</t>
  </si>
  <si>
    <t>Adrian Rowan</t>
  </si>
  <si>
    <t>P O Box 47806</t>
  </si>
  <si>
    <t>09-4799090</t>
  </si>
  <si>
    <t>Toddlers Turf Childcare Centre</t>
  </si>
  <si>
    <t>09-263 9680</t>
  </si>
  <si>
    <t>director@toddlersturf.co.nz</t>
  </si>
  <si>
    <t>66 Trevor Hosken Drive</t>
  </si>
  <si>
    <t>Violet Hancock</t>
  </si>
  <si>
    <t>South Auckland 2104</t>
  </si>
  <si>
    <t>St James KidsWay</t>
  </si>
  <si>
    <t>09-2392057</t>
  </si>
  <si>
    <t>admin@stjameskidsway.org.nz</t>
  </si>
  <si>
    <t>30 West Street</t>
  </si>
  <si>
    <t>Sharon Harris</t>
  </si>
  <si>
    <t>P O Box 1274</t>
  </si>
  <si>
    <t>Pukekohe 2340</t>
  </si>
  <si>
    <t>Parnell Early Childhood Centre</t>
  </si>
  <si>
    <t>09-5555198</t>
  </si>
  <si>
    <t>pecc@parnell.org.nz</t>
  </si>
  <si>
    <t>27 Glanville Terrace</t>
  </si>
  <si>
    <t>BestStart Papakura East Kindy</t>
  </si>
  <si>
    <t>09-2965420</t>
  </si>
  <si>
    <t>papakuraeast.kindy@best-start.org</t>
  </si>
  <si>
    <t>7 Winiata Terrace</t>
  </si>
  <si>
    <t>Papakura Eastburn</t>
  </si>
  <si>
    <t>Uxbridge Early Learning Centre</t>
  </si>
  <si>
    <t>09-537 0399</t>
  </si>
  <si>
    <t>35 Uxbridge Road</t>
  </si>
  <si>
    <t>Laura Payne</t>
  </si>
  <si>
    <t>P O Box 38915</t>
  </si>
  <si>
    <t>Auckland 2145</t>
  </si>
  <si>
    <t>Childsplay Unlimited - Lynfield</t>
  </si>
  <si>
    <t>09-6279041</t>
  </si>
  <si>
    <t>childsplaychildcare@hotmail.com</t>
  </si>
  <si>
    <t>456 Hillsborough Road</t>
  </si>
  <si>
    <t>Waikowhai Bay</t>
  </si>
  <si>
    <t>Sophie Wang</t>
  </si>
  <si>
    <t>P O Box 27764</t>
  </si>
  <si>
    <t>Auckland 1440</t>
  </si>
  <si>
    <t>Waiuku Early Learners</t>
  </si>
  <si>
    <t>09-235 7548</t>
  </si>
  <si>
    <t>waiukuearlylearners@xtra.co.nz</t>
  </si>
  <si>
    <t>43 Constable Road</t>
  </si>
  <si>
    <t>Tamakae</t>
  </si>
  <si>
    <t>Erin Fraser</t>
  </si>
  <si>
    <t>P O Box 418</t>
  </si>
  <si>
    <t>Waiuku 2341</t>
  </si>
  <si>
    <t>09-2357489</t>
  </si>
  <si>
    <t>Te Kōhanga Reo o Whāia Te Mātauranga</t>
  </si>
  <si>
    <t>09-276 6094</t>
  </si>
  <si>
    <t>WHANAU@K03G027.kohanga.ac.nz</t>
  </si>
  <si>
    <t>89F Vine Street</t>
  </si>
  <si>
    <t>Sutton Park</t>
  </si>
  <si>
    <t>Akoteu Falemaama Pre-school</t>
  </si>
  <si>
    <t>09-833 8087</t>
  </si>
  <si>
    <t>talakai@xtra.co.nz</t>
  </si>
  <si>
    <t>70 A Metcalfe Road</t>
  </si>
  <si>
    <t>Busy Bees Mount Wellington</t>
  </si>
  <si>
    <t>09-570 9919</t>
  </si>
  <si>
    <t>manager@mountwellington.busybees.org.nz</t>
  </si>
  <si>
    <t>41-43 Harwood Road</t>
  </si>
  <si>
    <t>Kumudu Perera</t>
  </si>
  <si>
    <t>Busy Bees Pakuranga 2</t>
  </si>
  <si>
    <t>71 Reeves Road</t>
  </si>
  <si>
    <t>St Mary's Family Pre-School</t>
  </si>
  <si>
    <t>09-276 3729 Ext 9020</t>
  </si>
  <si>
    <t>jennyw@atwc.org.nz</t>
  </si>
  <si>
    <t>10 Beatty Street</t>
  </si>
  <si>
    <t>Ōtāhuhu South West</t>
  </si>
  <si>
    <t>Jennifer Wyber</t>
  </si>
  <si>
    <t>P O Box 22363</t>
  </si>
  <si>
    <t>09-276 3729</t>
  </si>
  <si>
    <t>Potiki Early Childhood Centre</t>
  </si>
  <si>
    <t>09-269 2862</t>
  </si>
  <si>
    <t>28 Palmers Road</t>
  </si>
  <si>
    <t>Clendon</t>
  </si>
  <si>
    <t>Weymouth Central</t>
  </si>
  <si>
    <t>BestStart Onslow Road</t>
  </si>
  <si>
    <t>09-2983669</t>
  </si>
  <si>
    <t>onslow@best-start.org</t>
  </si>
  <si>
    <t>25 Onslow Road</t>
  </si>
  <si>
    <t>Papakura Massey Park</t>
  </si>
  <si>
    <t>Cuddly Kiwis Childcare Everglade</t>
  </si>
  <si>
    <t>09-263 6071</t>
  </si>
  <si>
    <t>nirmala@cuddlykiwis.co.nz</t>
  </si>
  <si>
    <t>1 Keri Anne Place</t>
  </si>
  <si>
    <t>Goodwood Heights West</t>
  </si>
  <si>
    <t>Nirmala Shiudin</t>
  </si>
  <si>
    <t>6A Kylie Court</t>
  </si>
  <si>
    <t>09-262 2604</t>
  </si>
  <si>
    <t>Riverhills Early Learning Centre</t>
  </si>
  <si>
    <t>09-5765731</t>
  </si>
  <si>
    <t>riverhillselc@xtra.co.nz</t>
  </si>
  <si>
    <t>4 Waikaremoana Place</t>
  </si>
  <si>
    <t>Haripriya Erukapati</t>
  </si>
  <si>
    <t xml:space="preserve">4 Waikaremoana Place </t>
  </si>
  <si>
    <t>09-535 5007</t>
  </si>
  <si>
    <t>Tamariki Takitumu Punanga Reo</t>
  </si>
  <si>
    <t>09-622 1083</t>
  </si>
  <si>
    <t>tamarikipr15@gmail.com</t>
  </si>
  <si>
    <t>9 Tanners Road</t>
  </si>
  <si>
    <t>Māngere Mountain View</t>
  </si>
  <si>
    <t>Elizabeth Donnelly</t>
  </si>
  <si>
    <t>P O Box 59095</t>
  </si>
  <si>
    <t>South Auckland 2151</t>
  </si>
  <si>
    <t>09-6221083</t>
  </si>
  <si>
    <t>Te Kōhanga Reo o Kiwitoa</t>
  </si>
  <si>
    <t>09-296 0911</t>
  </si>
  <si>
    <t>6 R Liddy Place</t>
  </si>
  <si>
    <t>Tu Manu Ae Le Tu Logologo Aoga Amata</t>
  </si>
  <si>
    <t>022-5108143</t>
  </si>
  <si>
    <t>admin@tumanu.school.nz</t>
  </si>
  <si>
    <t>Fetu Pupula Place</t>
  </si>
  <si>
    <t>Kenese Misiuepa</t>
  </si>
  <si>
    <t>P O Box 72240</t>
  </si>
  <si>
    <t>Glenbrook Kindergarten</t>
  </si>
  <si>
    <t>09-2353322</t>
  </si>
  <si>
    <t>1292 Glenbrook Road</t>
  </si>
  <si>
    <t>Glenbrook</t>
  </si>
  <si>
    <t>Te Kōhanga Reo o Pukeroihi</t>
  </si>
  <si>
    <t>09-298 2106</t>
  </si>
  <si>
    <t>44 A Beach Road</t>
  </si>
  <si>
    <t>Rosehill</t>
  </si>
  <si>
    <t>Te Kōhanga Reo o Te Otinga ki Tāmaki</t>
  </si>
  <si>
    <t>09-276 7360</t>
  </si>
  <si>
    <t>77 Wymondley Road</t>
  </si>
  <si>
    <t>Grange</t>
  </si>
  <si>
    <t>Active Explorers Airport</t>
  </si>
  <si>
    <t>09-2750888</t>
  </si>
  <si>
    <t>(International Airport) 6 Uenuku Way</t>
  </si>
  <si>
    <t>Rohina Janif</t>
  </si>
  <si>
    <t>09-275 0888</t>
  </si>
  <si>
    <t>Te Ao Hou Community Childcare Centre</t>
  </si>
  <si>
    <t>09-5278489</t>
  </si>
  <si>
    <t>teaohouchildcare@xtra.co.nz</t>
  </si>
  <si>
    <t>134 Elstree Avenue</t>
  </si>
  <si>
    <t>Vicky Holmes</t>
  </si>
  <si>
    <t>P O Box 18054</t>
  </si>
  <si>
    <t>Frog Puddles Childcare Centre - Half Moon Bay</t>
  </si>
  <si>
    <t>09-5375744</t>
  </si>
  <si>
    <t>frogpuddles5@gmail.com</t>
  </si>
  <si>
    <t>1 Dianne Louise Drive</t>
  </si>
  <si>
    <t>Filiata Hannemann</t>
  </si>
  <si>
    <t>P O Box 97443</t>
  </si>
  <si>
    <t>Lollipops Pukekohe</t>
  </si>
  <si>
    <t>09-239 1078</t>
  </si>
  <si>
    <t>5 Paerata Road</t>
  </si>
  <si>
    <t>Pukekohe North</t>
  </si>
  <si>
    <t>Abashia Riddles</t>
  </si>
  <si>
    <t>09-2391078</t>
  </si>
  <si>
    <t>Te Kōhanga Reo o Ngāti Ōtara Marae</t>
  </si>
  <si>
    <t>09-274 8927</t>
  </si>
  <si>
    <t>100 Gilbert Road</t>
  </si>
  <si>
    <t>Te Kōhanga Reo o Ngā Hau e Whā o Pukekohe</t>
  </si>
  <si>
    <t>09-238 7215</t>
  </si>
  <si>
    <t>92 Beattys Road</t>
  </si>
  <si>
    <t>Daniella Kaihau</t>
  </si>
  <si>
    <t>04-3818750</t>
  </si>
  <si>
    <t>Te Kōhanga Reo o Mataatua ki Mangere</t>
  </si>
  <si>
    <t>09-275 4179</t>
  </si>
  <si>
    <t>17 Killington Crescent</t>
  </si>
  <si>
    <t>Te Kōhanga Reo o Te Puāwaitanga ki Manurewa</t>
  </si>
  <si>
    <t>09-266 7506</t>
  </si>
  <si>
    <t>25 Ferguson Street</t>
  </si>
  <si>
    <t>Te Kōhanga Reo o Te Tīmatatanga</t>
  </si>
  <si>
    <t>09-266 1150</t>
  </si>
  <si>
    <t>7 Berkeley Road</t>
  </si>
  <si>
    <t>Te Kōhanga Reo o Te Wiri</t>
  </si>
  <si>
    <t>09-263 7114</t>
  </si>
  <si>
    <t>27 Kerrs Road</t>
  </si>
  <si>
    <t>Haumia Early Childhood Centre</t>
  </si>
  <si>
    <t>09-377 8700</t>
  </si>
  <si>
    <t>maxine@ecemanagement.co.nz</t>
  </si>
  <si>
    <t>11 Haumia Way</t>
  </si>
  <si>
    <t>Maxine Bannan</t>
  </si>
  <si>
    <t>Akoteu Kato Kakala</t>
  </si>
  <si>
    <t>09-2651304</t>
  </si>
  <si>
    <t>akoteukatokakala@xtra.co.nz</t>
  </si>
  <si>
    <t>210 Bairds Road</t>
  </si>
  <si>
    <t>Jeanne Teisina</t>
  </si>
  <si>
    <t>210 Bairds Rd</t>
  </si>
  <si>
    <t>09-265 1304</t>
  </si>
  <si>
    <t>Penguins School of Early Learning</t>
  </si>
  <si>
    <t>09-537 4970</t>
  </si>
  <si>
    <t>enquiries@penguinsearlylearning.co.nz</t>
  </si>
  <si>
    <t>197 Whitford Road</t>
  </si>
  <si>
    <t>Whitford</t>
  </si>
  <si>
    <t>Dannemora North-Shamrock Park</t>
  </si>
  <si>
    <t>Katie  Millar</t>
  </si>
  <si>
    <t>P O Box 6199</t>
  </si>
  <si>
    <t>09-5374970</t>
  </si>
  <si>
    <t>AUT Centre for Refugee Education Early Childhood Centre</t>
  </si>
  <si>
    <t>09-921 9999 Ext 6675</t>
  </si>
  <si>
    <t>mireille.weldschidt@aut.ac.nz</t>
  </si>
  <si>
    <t>251 Massey Road</t>
  </si>
  <si>
    <t>EC Refugee education centre</t>
  </si>
  <si>
    <t>Ōtāhuhu Industrial</t>
  </si>
  <si>
    <t>Mireille Weldschidt</t>
  </si>
  <si>
    <t>c/- AUT Ctr for Refugee Education ECC Private Bag 92006</t>
  </si>
  <si>
    <t>Te Kōhanga Reo o Te Atawhai</t>
  </si>
  <si>
    <t>09-268 0547</t>
  </si>
  <si>
    <t>59 Sharland Avenue</t>
  </si>
  <si>
    <t>Te Kōhanga Reo o Te Kāmaka Mātauranga</t>
  </si>
  <si>
    <t>09-268 1075</t>
  </si>
  <si>
    <t>94 Weymouth Road</t>
  </si>
  <si>
    <t>Leabank</t>
  </si>
  <si>
    <t>Te Kōhanga Reo o Hūmārie</t>
  </si>
  <si>
    <t>09-299 2630</t>
  </si>
  <si>
    <t>25-33 Station Road</t>
  </si>
  <si>
    <t>Te Kōhanga Reo o Ngā Puāwai o Wikitoria</t>
  </si>
  <si>
    <t>09-296 2143</t>
  </si>
  <si>
    <t>32 Old Wairoa Road</t>
  </si>
  <si>
    <t>Te Kōhanga Reo o Te Whakatupuranga ki Ōtara</t>
  </si>
  <si>
    <t>09-274 5383</t>
  </si>
  <si>
    <t>21 Waimate Street</t>
  </si>
  <si>
    <t>BestStart Everglade Babies</t>
  </si>
  <si>
    <t>09-263 6074</t>
  </si>
  <si>
    <t>evergladebabies@best-start.org</t>
  </si>
  <si>
    <t>2 Keri Anne Place</t>
  </si>
  <si>
    <t>Great Potentials Papakura Early Learning Centre</t>
  </si>
  <si>
    <t>09-2996610</t>
  </si>
  <si>
    <t>elc@greatpotentials.org.nz</t>
  </si>
  <si>
    <t>14 Maurice Street</t>
  </si>
  <si>
    <t>Deepika Sarmah</t>
  </si>
  <si>
    <t>P O Box 72499</t>
  </si>
  <si>
    <t>Te Kōhanga Reo o Ngā Mokopuna o Te Awamarahi</t>
  </si>
  <si>
    <t>09-232 8141</t>
  </si>
  <si>
    <t>529 Port Waikato Road</t>
  </si>
  <si>
    <t>Onewhero</t>
  </si>
  <si>
    <t>Awaroa-Maramarua General Ward</t>
  </si>
  <si>
    <t>Beginnings Early Learning Centre</t>
  </si>
  <si>
    <t>09-372 6206</t>
  </si>
  <si>
    <t>info@totsontherock.co.nz</t>
  </si>
  <si>
    <t>11 Waitai Road</t>
  </si>
  <si>
    <t>Hayley Farmer</t>
  </si>
  <si>
    <t>22 Kuaka Road, Oneroa</t>
  </si>
  <si>
    <t>Auckland 1240</t>
  </si>
  <si>
    <t>09-3728555</t>
  </si>
  <si>
    <t>Royal Road Pre-School</t>
  </si>
  <si>
    <t>09-8337675</t>
  </si>
  <si>
    <t>Royal Road Primary School 112 Royal Road</t>
  </si>
  <si>
    <t>Katee Waetford</t>
  </si>
  <si>
    <t>P O Box 5104</t>
  </si>
  <si>
    <t>09-4284285</t>
  </si>
  <si>
    <t>Fetu-I-Sasa'e Aoga Amata</t>
  </si>
  <si>
    <t>09-2652000</t>
  </si>
  <si>
    <t>fetuisasae@xtra.co.nz</t>
  </si>
  <si>
    <t>104A Dawson Road</t>
  </si>
  <si>
    <t>Eperone Futi</t>
  </si>
  <si>
    <t>104A  Dawson Road</t>
  </si>
  <si>
    <t>Appletree Preschool</t>
  </si>
  <si>
    <t>09-4421244</t>
  </si>
  <si>
    <t>140 Archers Road</t>
  </si>
  <si>
    <t>Ban Mutwali</t>
  </si>
  <si>
    <t>10 Chivalry Road</t>
  </si>
  <si>
    <t>North Shore City 0629</t>
  </si>
  <si>
    <t>09-443 4920</t>
  </si>
  <si>
    <t>Kiwi Supertots Learning Centre - Papakura</t>
  </si>
  <si>
    <t>09-2967193</t>
  </si>
  <si>
    <t>58 Chichester Drive</t>
  </si>
  <si>
    <t>Tiny Treasures Early Learning Centre</t>
  </si>
  <si>
    <t>09-2761679</t>
  </si>
  <si>
    <t>jaswant23455@yahoo.co.in</t>
  </si>
  <si>
    <t>67 Walmsley Road</t>
  </si>
  <si>
    <t>Rupinder Bhela</t>
  </si>
  <si>
    <t>45 Pickaberry Avenue</t>
  </si>
  <si>
    <t>Auckland 2113</t>
  </si>
  <si>
    <t>BestStart Kenderdine Road</t>
  </si>
  <si>
    <t>09-277 0994</t>
  </si>
  <si>
    <t>kenderdine@best-start.org</t>
  </si>
  <si>
    <t>19 Kenderdine Road</t>
  </si>
  <si>
    <t>BestStart Howick</t>
  </si>
  <si>
    <t>09-538 0099</t>
  </si>
  <si>
    <t>howick@best-start.org</t>
  </si>
  <si>
    <t>174 Ridge Road</t>
  </si>
  <si>
    <t>Bombay Playcentre</t>
  </si>
  <si>
    <t>09-236 0741</t>
  </si>
  <si>
    <t>33 Paparata Road</t>
  </si>
  <si>
    <t>Bombay</t>
  </si>
  <si>
    <t>Bombay Hills</t>
  </si>
  <si>
    <t>Drury Playcentre</t>
  </si>
  <si>
    <t>09-294 8094</t>
  </si>
  <si>
    <t>Young Crescent</t>
  </si>
  <si>
    <t>Hunua Playcentre</t>
  </si>
  <si>
    <t>09-292 4470</t>
  </si>
  <si>
    <t>45 Lockwood Road</t>
  </si>
  <si>
    <t>Hunua</t>
  </si>
  <si>
    <t>Karaka Playcentre</t>
  </si>
  <si>
    <t>09-292 7675</t>
  </si>
  <si>
    <t>299 Linwood Road</t>
  </si>
  <si>
    <t>Kingseat-Karaka</t>
  </si>
  <si>
    <t>Manukau Peninsula Playcentre</t>
  </si>
  <si>
    <t>09-  8388849</t>
  </si>
  <si>
    <t>2610 Awhitu Road</t>
  </si>
  <si>
    <t>Matakawau</t>
  </si>
  <si>
    <t>Āwhitu</t>
  </si>
  <si>
    <t>Maramarua/Kopuku Playcentre</t>
  </si>
  <si>
    <t>09-232 5846</t>
  </si>
  <si>
    <t>2200 State Highway 2</t>
  </si>
  <si>
    <t>Maramarua</t>
  </si>
  <si>
    <t>Otaua/Aka Aka Playcentre</t>
  </si>
  <si>
    <t>09-235 2845</t>
  </si>
  <si>
    <t>32 Factory Road</t>
  </si>
  <si>
    <t>Otaua-Auckland</t>
  </si>
  <si>
    <t>Aka Aka</t>
  </si>
  <si>
    <t>Papakura Playcentre</t>
  </si>
  <si>
    <t>09-299 5214</t>
  </si>
  <si>
    <t>15 Opaheke Road</t>
  </si>
  <si>
    <t>Patumahoe/Mauku Playcentre</t>
  </si>
  <si>
    <t>09-236 3902</t>
  </si>
  <si>
    <t>Cnr Mareretu Ave &amp; Patumahoe Rd</t>
  </si>
  <si>
    <t>Patumahoe</t>
  </si>
  <si>
    <t>Patumāhoe</t>
  </si>
  <si>
    <t>Pukekawa Playcentre</t>
  </si>
  <si>
    <t>09-233 4181</t>
  </si>
  <si>
    <t>38 Clarke And Denize Road</t>
  </si>
  <si>
    <t>Pukekawa</t>
  </si>
  <si>
    <t>Pukekohe Playcentre</t>
  </si>
  <si>
    <t>09-238 5561</t>
  </si>
  <si>
    <t>177 Victoria Street West</t>
  </si>
  <si>
    <t>Pukekohe South West</t>
  </si>
  <si>
    <t>Te Kauwhata Playcentre</t>
  </si>
  <si>
    <t>40 Mahi Road</t>
  </si>
  <si>
    <t>Te Kauwhata</t>
  </si>
  <si>
    <t>Te Kauwhata East</t>
  </si>
  <si>
    <t>Waerenga-Whitikahu General Ward</t>
  </si>
  <si>
    <t>Tō Tātou Haerenga</t>
  </si>
  <si>
    <t>Tuakau Playcentre</t>
  </si>
  <si>
    <t>09-236 8536</t>
  </si>
  <si>
    <t>Cnr Henderson &amp; Jellicoe Avenues</t>
  </si>
  <si>
    <t>Mangere Bridge Playcentre</t>
  </si>
  <si>
    <t>09-827 8649</t>
  </si>
  <si>
    <t>17 Domain Road</t>
  </si>
  <si>
    <t>Beachlands/Maraetai Playcentre</t>
  </si>
  <si>
    <t>09-5366 015</t>
  </si>
  <si>
    <t>18 Rell Road</t>
  </si>
  <si>
    <t>Beachlands</t>
  </si>
  <si>
    <t>Sunkist Bay</t>
  </si>
  <si>
    <t>Bucklands Beach Ohui-a-rangi Playcentre</t>
  </si>
  <si>
    <t>09-534 2927</t>
  </si>
  <si>
    <t>50 The Parade</t>
  </si>
  <si>
    <t>Bucklands Beach North</t>
  </si>
  <si>
    <t>Cockle Bay Playcentre</t>
  </si>
  <si>
    <t>09-534 1445</t>
  </si>
  <si>
    <t>17 Pah Road</t>
  </si>
  <si>
    <t>Cockle Bay</t>
  </si>
  <si>
    <t>Howick Playcentre</t>
  </si>
  <si>
    <t>09-5355565</t>
  </si>
  <si>
    <t>98 Nelson Street</t>
  </si>
  <si>
    <t>Manurewa Playcentre</t>
  </si>
  <si>
    <t>09-267 6938</t>
  </si>
  <si>
    <t>7 Lupton Road</t>
  </si>
  <si>
    <t>Pakuranga-Rahihi Playcentre</t>
  </si>
  <si>
    <t>09-577 4546</t>
  </si>
  <si>
    <t>6A Glenside Avenue</t>
  </si>
  <si>
    <t>Papatoetoe Playcentre</t>
  </si>
  <si>
    <t>papatoetoe@playcentre.org.nz</t>
  </si>
  <si>
    <t>4 Guide Place</t>
  </si>
  <si>
    <t>Papatoetoe Central East</t>
  </si>
  <si>
    <t>Weymouth Playcentre</t>
  </si>
  <si>
    <t>09-267 2184</t>
  </si>
  <si>
    <t>516 Weymouth Road</t>
  </si>
  <si>
    <t>Whitford Playcentre</t>
  </si>
  <si>
    <t>09-5308895</t>
  </si>
  <si>
    <t>War Memorial Pavilion Whitford-Maraetai Road</t>
  </si>
  <si>
    <t>Turanga</t>
  </si>
  <si>
    <t>Pukekohe High School Childcare Centre</t>
  </si>
  <si>
    <t>09-238 0404</t>
  </si>
  <si>
    <t>phscc@xtra.co.nz</t>
  </si>
  <si>
    <t>18 John Street</t>
  </si>
  <si>
    <t>Shannon Wharfe</t>
  </si>
  <si>
    <t>09-2380404</t>
  </si>
  <si>
    <t>Te Kōhanga Reo o Te Reo Rangatira ki Whaiora</t>
  </si>
  <si>
    <t>09-274 3860</t>
  </si>
  <si>
    <t>20 Otara Road</t>
  </si>
  <si>
    <t>Te Kōhanga Reo O Pūau Te Moananui -a- Kiwa</t>
  </si>
  <si>
    <t>09-528 7522</t>
  </si>
  <si>
    <t>26 A Farringdon Street</t>
  </si>
  <si>
    <t>Small Oaks Early Learning Centre</t>
  </si>
  <si>
    <t>09-267 3757</t>
  </si>
  <si>
    <t>smalloaks@xtra.co.nz</t>
  </si>
  <si>
    <t>1/25 Maich Road</t>
  </si>
  <si>
    <t>Quan Linda Quach</t>
  </si>
  <si>
    <t>5 Serl Place</t>
  </si>
  <si>
    <t>BestStart Everglade Preschool</t>
  </si>
  <si>
    <t>09-2636070</t>
  </si>
  <si>
    <t>evergladepreschool@best-start.org</t>
  </si>
  <si>
    <t>66 Everglade Drive</t>
  </si>
  <si>
    <t>Goodwood Heights East</t>
  </si>
  <si>
    <t>Kiddos Childcare Otahuhu</t>
  </si>
  <si>
    <t>09-276 2894</t>
  </si>
  <si>
    <t>jdin@kiddoschildcareotahuhu.co.nz</t>
  </si>
  <si>
    <t>37-39 Church Street</t>
  </si>
  <si>
    <t>Ōtāhuhu North West</t>
  </si>
  <si>
    <t>Te Kōhanga Reo o Te Maunga Kōhungahunga</t>
  </si>
  <si>
    <t>09-298 4943</t>
  </si>
  <si>
    <t>18 A Bates Street</t>
  </si>
  <si>
    <t>Barnardos Early Learning Centre Pakuranga</t>
  </si>
  <si>
    <t>09-576 8136</t>
  </si>
  <si>
    <t>pakurangaelc@barnardos.org.nz</t>
  </si>
  <si>
    <t>13 Reeves Road</t>
  </si>
  <si>
    <t>Joyce Balanag</t>
  </si>
  <si>
    <t>09-534 2328</t>
  </si>
  <si>
    <t>Wellsford Preschool Education Centre</t>
  </si>
  <si>
    <t>09-4237956</t>
  </si>
  <si>
    <t>wellsfordpreschool@hotmail.com</t>
  </si>
  <si>
    <t>107 Centennial Park Road</t>
  </si>
  <si>
    <t>Ann Sulway</t>
  </si>
  <si>
    <t>56 Elliston Crescent</t>
  </si>
  <si>
    <t>Whangaparaoa 0932</t>
  </si>
  <si>
    <t>09-4281525</t>
  </si>
  <si>
    <t>The Learning Space</t>
  </si>
  <si>
    <t>09-377 3734</t>
  </si>
  <si>
    <t>yvonne.groot@thelearningspace.co.nz</t>
  </si>
  <si>
    <t>7 Fleet Street</t>
  </si>
  <si>
    <t>P O Box 304021</t>
  </si>
  <si>
    <t>North Shore City 0750</t>
  </si>
  <si>
    <t>Te Kōhanga Reo o Te Puaha</t>
  </si>
  <si>
    <t>09-232 9789</t>
  </si>
  <si>
    <t>Stack Road, RD5</t>
  </si>
  <si>
    <t>Port Waikato-Waikaretu</t>
  </si>
  <si>
    <t>Western Districts General Ward</t>
  </si>
  <si>
    <t>Chapel Downs Early Learning Centre</t>
  </si>
  <si>
    <t>09-274 8002</t>
  </si>
  <si>
    <t>jillb@chapeldowns.school.nz</t>
  </si>
  <si>
    <t>170 Dawson Road</t>
  </si>
  <si>
    <t>Jillian Bathgate</t>
  </si>
  <si>
    <t>P O Box 217069</t>
  </si>
  <si>
    <t>Manukau 2164</t>
  </si>
  <si>
    <t>Karaka Learning Centre 2</t>
  </si>
  <si>
    <t>BestStart Wattle Downs</t>
  </si>
  <si>
    <t>09-2674731</t>
  </si>
  <si>
    <t>wattledowns@best-start.org</t>
  </si>
  <si>
    <t>134 Coxhead Road</t>
  </si>
  <si>
    <t>Wattle Downs North</t>
  </si>
  <si>
    <t>Cockle Bay Early Learning Centre</t>
  </si>
  <si>
    <t>09-5347083</t>
  </si>
  <si>
    <t>hello@cocklebayece.co.nz</t>
  </si>
  <si>
    <t>17 Cockle Bay Road</t>
  </si>
  <si>
    <t xml:space="preserve">24 Trelawn Place </t>
  </si>
  <si>
    <t>Kingsway Preschool Snells Beach</t>
  </si>
  <si>
    <t>manager@kwps.nz</t>
  </si>
  <si>
    <t>20 Goodall Road</t>
  </si>
  <si>
    <t>Otara Community Preschool</t>
  </si>
  <si>
    <t>09-273 1284</t>
  </si>
  <si>
    <t>ocpkids45c@gmail.com</t>
  </si>
  <si>
    <t>45 C Everitt Road</t>
  </si>
  <si>
    <t>Pacific ECE Service centre, Baptist</t>
  </si>
  <si>
    <t>Tapulaaia Ah-Hao</t>
  </si>
  <si>
    <t>South Auckland 2159</t>
  </si>
  <si>
    <t>Pukekohe East Playcentre</t>
  </si>
  <si>
    <t>09-238 1976</t>
  </si>
  <si>
    <t>137 Runciman Road</t>
  </si>
  <si>
    <t>Anselmi Ridge</t>
  </si>
  <si>
    <t>Highland Park Community Creche Inc.</t>
  </si>
  <si>
    <t>09-533 9500</t>
  </si>
  <si>
    <t>highlandparkcreche@xtra.co.nz</t>
  </si>
  <si>
    <t>47 Aviemore Drive</t>
  </si>
  <si>
    <t>Suzanne Ellis</t>
  </si>
  <si>
    <t>South Auckland 2010</t>
  </si>
  <si>
    <t>Kidz First Medicalcare</t>
  </si>
  <si>
    <t>Middlemore Hospital Hospital Road</t>
  </si>
  <si>
    <t>Cuddly Kiwis Childcare Papatoetoe</t>
  </si>
  <si>
    <t>09-279 4566</t>
  </si>
  <si>
    <t>315 S Great South Road</t>
  </si>
  <si>
    <t>Lighthouse Preschool</t>
  </si>
  <si>
    <t>09-5353095</t>
  </si>
  <si>
    <t>admin@lighthousepreschool.co.nz</t>
  </si>
  <si>
    <t>69 Hutchinson Road</t>
  </si>
  <si>
    <t>Sheree Clarke</t>
  </si>
  <si>
    <t>69 Hutchinsons Road</t>
  </si>
  <si>
    <t>09-5371618</t>
  </si>
  <si>
    <t>BestStart Manurewa Central</t>
  </si>
  <si>
    <t>09-2669878</t>
  </si>
  <si>
    <t>manurewacentral@best-start.org</t>
  </si>
  <si>
    <t>93 Russell Road</t>
  </si>
  <si>
    <t>Te Kōhanga Reo o ki Tāmaki Rāwhiti</t>
  </si>
  <si>
    <t>09-274 3485</t>
  </si>
  <si>
    <t>265 A East Tamaki Road</t>
  </si>
  <si>
    <t>Finlayson Park Childcare Centre</t>
  </si>
  <si>
    <t>09-267 8324</t>
  </si>
  <si>
    <t>childcareadmin@finlaysonpark.school.nz</t>
  </si>
  <si>
    <t>247 Weymouth Road</t>
  </si>
  <si>
    <t>Sumithra Naidoo</t>
  </si>
  <si>
    <t>85 John Walker Drive</t>
  </si>
  <si>
    <t>09-2665558 Ext 105</t>
  </si>
  <si>
    <t>ME Family Services - Early Childhood</t>
  </si>
  <si>
    <t>09-2560810</t>
  </si>
  <si>
    <t>ece@mefsc.org.nz</t>
  </si>
  <si>
    <t>16-18 Ferguson Street</t>
  </si>
  <si>
    <t>Karen Matata</t>
  </si>
  <si>
    <t>P O Box 86086</t>
  </si>
  <si>
    <t>South Auckland 2158</t>
  </si>
  <si>
    <t>Tomarata Playcentre</t>
  </si>
  <si>
    <t>09-423 9074</t>
  </si>
  <si>
    <t>619 School Road, RD4</t>
  </si>
  <si>
    <t>Seugagogo Aoga Amata Preschool</t>
  </si>
  <si>
    <t>09-276 6783</t>
  </si>
  <si>
    <t>sofaeapenn@hotmail.com</t>
  </si>
  <si>
    <t>4 Nikau Road</t>
  </si>
  <si>
    <t>Sofaea Penn</t>
  </si>
  <si>
    <t>P O Box 22593</t>
  </si>
  <si>
    <t>09-2693171</t>
  </si>
  <si>
    <t>Te Kōhanga  Reo o Te Paa Harakeke</t>
  </si>
  <si>
    <t>09-622 0939</t>
  </si>
  <si>
    <t>Miro Road</t>
  </si>
  <si>
    <t>Akoteu Tokaima'ananga</t>
  </si>
  <si>
    <t>09-274 1177</t>
  </si>
  <si>
    <t>tokaimaananga_03@hotmail.com</t>
  </si>
  <si>
    <t>3 Ormiston Road</t>
  </si>
  <si>
    <t>Tongan ECE Service, Methodist</t>
  </si>
  <si>
    <t xml:space="preserve">Iunisi Johansson </t>
  </si>
  <si>
    <t>3 Ormiston Rd</t>
  </si>
  <si>
    <t>09-2638740</t>
  </si>
  <si>
    <t>Peninsula Stars Early Learning Centre - Fetufa Tokelau Akoga Kamata</t>
  </si>
  <si>
    <t>09-8349055</t>
  </si>
  <si>
    <t>fetufatokelau_ece@yahoo.com</t>
  </si>
  <si>
    <t>5 Harbour View Road</t>
  </si>
  <si>
    <t>Elisapeta Pedro</t>
  </si>
  <si>
    <t>P O Box 45042</t>
  </si>
  <si>
    <t>Waitakere 0651</t>
  </si>
  <si>
    <t>Bambinos Early Childhood Centre</t>
  </si>
  <si>
    <t>09-815 1206</t>
  </si>
  <si>
    <t>stlukes@bambinos.co.nz</t>
  </si>
  <si>
    <t>123 St Lukes Road</t>
  </si>
  <si>
    <t>Keti Grgicevich</t>
  </si>
  <si>
    <t>P O Box 41007</t>
  </si>
  <si>
    <t>Saint Lukes</t>
  </si>
  <si>
    <t>09-815 8009</t>
  </si>
  <si>
    <t>KINZ Sandringham Early Learning Centre</t>
  </si>
  <si>
    <t>09-8451364</t>
  </si>
  <si>
    <t>sandringham@kinz.org.nz</t>
  </si>
  <si>
    <t>27A Shorwell Street</t>
  </si>
  <si>
    <t>Bear Park Herne Bay Early Childhood Education Centre</t>
  </si>
  <si>
    <t>09-376 0232</t>
  </si>
  <si>
    <t>42 Shelly Beach Road</t>
  </si>
  <si>
    <t>Saint Marys Bay</t>
  </si>
  <si>
    <t>Talented Tots Early Childhood Centre</t>
  </si>
  <si>
    <t>09-818 6138</t>
  </si>
  <si>
    <t>306 West Coast Road</t>
  </si>
  <si>
    <t>Colleen Aberhart</t>
  </si>
  <si>
    <t>P O Box 658</t>
  </si>
  <si>
    <t>Orewa 0946</t>
  </si>
  <si>
    <t>09-846 5480</t>
  </si>
  <si>
    <t>Play and Learn Clarks Beach</t>
  </si>
  <si>
    <t>09-232 1981</t>
  </si>
  <si>
    <t>3 Torkar Road</t>
  </si>
  <si>
    <t>Clarks Beach</t>
  </si>
  <si>
    <t>Janet Beatson</t>
  </si>
  <si>
    <t>The Learning Centre Ltd</t>
  </si>
  <si>
    <t>09-376 6857</t>
  </si>
  <si>
    <t>enquiries@thelearningcentre.co.nz</t>
  </si>
  <si>
    <t>96 Vermont Street</t>
  </si>
  <si>
    <t>Maritha Hindle</t>
  </si>
  <si>
    <t>P O Box 47755</t>
  </si>
  <si>
    <t>BestStart Manukau 1</t>
  </si>
  <si>
    <t>09-250 2658</t>
  </si>
  <si>
    <t>manukau@best-start.org</t>
  </si>
  <si>
    <t>561 Great South Road</t>
  </si>
  <si>
    <t>Blossoms Educare  Limited</t>
  </si>
  <si>
    <t>09-262 1606</t>
  </si>
  <si>
    <t>admin@blossomseducare.co.nz</t>
  </si>
  <si>
    <t>3 Iona Placce</t>
  </si>
  <si>
    <t>Sarabjit Sidhu</t>
  </si>
  <si>
    <t>22 Ryan Road RD4</t>
  </si>
  <si>
    <t>Pukekohe 2679</t>
  </si>
  <si>
    <t>09-2363160</t>
  </si>
  <si>
    <t>KiNZ Otara</t>
  </si>
  <si>
    <t>09-2748994</t>
  </si>
  <si>
    <t>otara@kinz.org.nz</t>
  </si>
  <si>
    <t>69 Otara Road</t>
  </si>
  <si>
    <t>Ōtara ō te Rererangi Kāhui Ako</t>
  </si>
  <si>
    <t>Te Puna Reo Okahukura</t>
  </si>
  <si>
    <t>09-578 1806</t>
  </si>
  <si>
    <t>melissag@ngatiwhatuaorakei.com</t>
  </si>
  <si>
    <t>222 Kupe Street</t>
  </si>
  <si>
    <t>Melissa Greenwood</t>
  </si>
  <si>
    <t>c/- Te Puna Reo Okahukura 222 Kupe Street</t>
  </si>
  <si>
    <t>BestStart St Lukes</t>
  </si>
  <si>
    <t>09-8154090</t>
  </si>
  <si>
    <t>stlukes@best-start.org</t>
  </si>
  <si>
    <t>2 Wagener Place</t>
  </si>
  <si>
    <t>St Lukes</t>
  </si>
  <si>
    <t>BestStart Waiuku</t>
  </si>
  <si>
    <t>09-2350373</t>
  </si>
  <si>
    <t>waiuku@best-start.org</t>
  </si>
  <si>
    <t>66-70 King St</t>
  </si>
  <si>
    <t>Pohutukawa Kindergarten</t>
  </si>
  <si>
    <t>09-579 5008</t>
  </si>
  <si>
    <t>melanie@pohutukawa.net.nz</t>
  </si>
  <si>
    <t>16 Arthur Street</t>
  </si>
  <si>
    <t>Melanie Metson</t>
  </si>
  <si>
    <t>Whitford Early Learning Centre</t>
  </si>
  <si>
    <t>09-530 8726</t>
  </si>
  <si>
    <t>whitfordearlylearning@xtra.co.nz</t>
  </si>
  <si>
    <t>633 Whitford Road</t>
  </si>
  <si>
    <t>Kim O'Neill</t>
  </si>
  <si>
    <t>P O Box 31</t>
  </si>
  <si>
    <t>South Auckland 2149</t>
  </si>
  <si>
    <t>09-5308726</t>
  </si>
  <si>
    <t>Central Park Early Learning Centre</t>
  </si>
  <si>
    <t>09-838 7770</t>
  </si>
  <si>
    <t>info@centralparkelc.co.nz</t>
  </si>
  <si>
    <t>Unit H 133 Central Park Drive</t>
  </si>
  <si>
    <t>Amanda Redfern</t>
  </si>
  <si>
    <t>133H Central Park Drive</t>
  </si>
  <si>
    <t>Fetu'u Moana Catholic Early Childhood Preschool</t>
  </si>
  <si>
    <t>09-277 0052</t>
  </si>
  <si>
    <t>nita@fetuumoana.org.nz</t>
  </si>
  <si>
    <t>54 Fairview Road</t>
  </si>
  <si>
    <t>Tongan ECE Service, Catholic</t>
  </si>
  <si>
    <t>Nita Takai</t>
  </si>
  <si>
    <t>P O Box 200160</t>
  </si>
  <si>
    <t>09-2770052</t>
  </si>
  <si>
    <t>Papatoetoe Footsteps Community Preschool</t>
  </si>
  <si>
    <t>09-2501067</t>
  </si>
  <si>
    <t>footstepspap@xtra.co.nz</t>
  </si>
  <si>
    <t>28 Puhinui Road</t>
  </si>
  <si>
    <t>Rebekah Wheeler</t>
  </si>
  <si>
    <t>Small Steps ECE Centre</t>
  </si>
  <si>
    <t>09-5337517</t>
  </si>
  <si>
    <t>14 Botany Road</t>
  </si>
  <si>
    <t>Angela Ledgerwood</t>
  </si>
  <si>
    <t>09-5337518</t>
  </si>
  <si>
    <t>Kimberley Childcare Te Atatu</t>
  </si>
  <si>
    <t>09-834 1219</t>
  </si>
  <si>
    <t>anthony@kimberleychildcare.co.nz</t>
  </si>
  <si>
    <t>3 Flanshaw Road</t>
  </si>
  <si>
    <t>Lollipops Millennium</t>
  </si>
  <si>
    <t>09-571 2381</t>
  </si>
  <si>
    <t>cm.millennium@ledu.co.nz</t>
  </si>
  <si>
    <t>Building C, Millennium Centre  600 Great South Road</t>
  </si>
  <si>
    <t>Wise Owl Early Learning Centre</t>
  </si>
  <si>
    <t>09-238 6370</t>
  </si>
  <si>
    <t>info@wiseowlelc.co.nz</t>
  </si>
  <si>
    <t>49 John Street</t>
  </si>
  <si>
    <t>Pukekohe Hospital</t>
  </si>
  <si>
    <t>Anette Blair</t>
  </si>
  <si>
    <t xml:space="preserve">49 John Street   </t>
  </si>
  <si>
    <t>Pukekohe 2678</t>
  </si>
  <si>
    <t>Kakano Early Childhood Centre</t>
  </si>
  <si>
    <t>09-2692868</t>
  </si>
  <si>
    <t>kakano@taonga.org.nz</t>
  </si>
  <si>
    <t>91 Palmers Road</t>
  </si>
  <si>
    <t>Clendon Park East</t>
  </si>
  <si>
    <t>Little Sparks Educare</t>
  </si>
  <si>
    <t>09-2385656</t>
  </si>
  <si>
    <t>65 Helvetia Road</t>
  </si>
  <si>
    <t>Kelly Logan</t>
  </si>
  <si>
    <t>Barnardos Early Learning Centre Clendon</t>
  </si>
  <si>
    <t>60 Finlayson Avenue</t>
  </si>
  <si>
    <t>Lou Guinares</t>
  </si>
  <si>
    <t>Learning Adventures Airport Oaks</t>
  </si>
  <si>
    <t>09-257 1144</t>
  </si>
  <si>
    <t>33 Andrew Baxter Drive</t>
  </si>
  <si>
    <t>Anne Singh</t>
  </si>
  <si>
    <t>MyKindy Henderson</t>
  </si>
  <si>
    <t>09-8362500</t>
  </si>
  <si>
    <t>emma@mykindy.nz</t>
  </si>
  <si>
    <t>40 Paramount Drive</t>
  </si>
  <si>
    <t>Aubrey Early Learning Centre</t>
  </si>
  <si>
    <t>09-421 1097</t>
  </si>
  <si>
    <t>elc.aubrey@gmail.com</t>
  </si>
  <si>
    <t>71 Aubrey Road</t>
  </si>
  <si>
    <t>Silverdale South (Auckland)</t>
  </si>
  <si>
    <t>Geoffrey Stephens</t>
  </si>
  <si>
    <t>2/199 Birdwood Road</t>
  </si>
  <si>
    <t>Blooming Stars Childcare</t>
  </si>
  <si>
    <t>09-2782 788</t>
  </si>
  <si>
    <t>admin@bloomingstars.co.nz</t>
  </si>
  <si>
    <t>14 Evelyn Street</t>
  </si>
  <si>
    <t>Gayathri Natarajan</t>
  </si>
  <si>
    <t>31 Shibata Rise</t>
  </si>
  <si>
    <t>Flanshaw Infant &amp; Toddler Centre</t>
  </si>
  <si>
    <t>flanshawinfants@gmail.com</t>
  </si>
  <si>
    <t>2 Cole Place</t>
  </si>
  <si>
    <t>BestStart Dannemora</t>
  </si>
  <si>
    <t>09-265 1530</t>
  </si>
  <si>
    <t>dannemora@best-start.org</t>
  </si>
  <si>
    <t>15-19 Siedeberg Drive</t>
  </si>
  <si>
    <t>Lollipops Waiuku</t>
  </si>
  <si>
    <t>09-235 7072</t>
  </si>
  <si>
    <t>cm.waiuku@ledu.co.nz</t>
  </si>
  <si>
    <t>82-84 Queen Street</t>
  </si>
  <si>
    <t>Michelle Wheatley</t>
  </si>
  <si>
    <t>Pitter Patter Childcare</t>
  </si>
  <si>
    <t>09-6200817</t>
  </si>
  <si>
    <t>info@pitterpatter.nz</t>
  </si>
  <si>
    <t>1438 Dominion Road</t>
  </si>
  <si>
    <t>Navneet Kaur</t>
  </si>
  <si>
    <t>52 Nacton Lane</t>
  </si>
  <si>
    <t>09-8452521</t>
  </si>
  <si>
    <t>Lollipops Britomart</t>
  </si>
  <si>
    <t>09-365 1640</t>
  </si>
  <si>
    <t>cm.britomart@ledu.co.nz</t>
  </si>
  <si>
    <t>8 Tangihua Street</t>
  </si>
  <si>
    <t>Yu-hsuan Lin</t>
  </si>
  <si>
    <t>09-3651640</t>
  </si>
  <si>
    <t>Buds and Blooms Childcare Centre</t>
  </si>
  <si>
    <t>09-257 4788</t>
  </si>
  <si>
    <t>selvigoundar@yahoo.com</t>
  </si>
  <si>
    <t>7 Penihana Place</t>
  </si>
  <si>
    <t>Selvi Goundar</t>
  </si>
  <si>
    <t>48 Hamilton Road</t>
  </si>
  <si>
    <t>Waiuku Learning space</t>
  </si>
  <si>
    <t>09-235 0904</t>
  </si>
  <si>
    <t>info@waiukulearningspace.com</t>
  </si>
  <si>
    <t>82 Kitchener Road</t>
  </si>
  <si>
    <t>Hamilton Estate</t>
  </si>
  <si>
    <t>Rukshat Singh</t>
  </si>
  <si>
    <t>Auckland 2123</t>
  </si>
  <si>
    <t>Playway</t>
  </si>
  <si>
    <t>playway.paps@gmail.com</t>
  </si>
  <si>
    <t>127-129 Gray Avenue</t>
  </si>
  <si>
    <t>Vikram Thakur</t>
  </si>
  <si>
    <t>1A Navigator Place</t>
  </si>
  <si>
    <t>BestStart Apirana Avenue</t>
  </si>
  <si>
    <t>09-5210275</t>
  </si>
  <si>
    <t>apirana@best-start.org</t>
  </si>
  <si>
    <t>119 Apirana Avenue</t>
  </si>
  <si>
    <t>Panmure Glen Innes Industrial</t>
  </si>
  <si>
    <t>Active Explorers Highbrook</t>
  </si>
  <si>
    <t>09-271 3480</t>
  </si>
  <si>
    <t>cm.highbrook@activeexplorers.co.nz</t>
  </si>
  <si>
    <t>130 Kerwyn Road</t>
  </si>
  <si>
    <t>Janine Baker</t>
  </si>
  <si>
    <t>09-2713480</t>
  </si>
  <si>
    <t>Caterpillar Kids Early Learning Centre</t>
  </si>
  <si>
    <t>09-6207822</t>
  </si>
  <si>
    <t>lixiao0417@gmail.com</t>
  </si>
  <si>
    <t>202 Mt Albert Road</t>
  </si>
  <si>
    <t>Sandringham West</t>
  </si>
  <si>
    <t>Xiao Li</t>
  </si>
  <si>
    <t>15 Cherrywood Crescent</t>
  </si>
  <si>
    <t>Rosebank Early Childhood Centre - Aoga Amata</t>
  </si>
  <si>
    <t>09-820 0782</t>
  </si>
  <si>
    <t>217 Rosebank Road</t>
  </si>
  <si>
    <t>Asofa Gafoi</t>
  </si>
  <si>
    <t>27 Waimoko Glen</t>
  </si>
  <si>
    <t>The Treehouse Children's Creche</t>
  </si>
  <si>
    <t>09-573 1120</t>
  </si>
  <si>
    <t>kdammi@yahoo.com</t>
  </si>
  <si>
    <t>Sylvia Park Shopping Centre, Level 1 286 Mt Wellington Highway</t>
  </si>
  <si>
    <t>Casual-Education and Care</t>
  </si>
  <si>
    <t>Sylvia Park</t>
  </si>
  <si>
    <t>Damayanthi Herath Mudiyanselage</t>
  </si>
  <si>
    <t>72 Ksenia Drive</t>
  </si>
  <si>
    <t>The Gardens Early Childhood Education</t>
  </si>
  <si>
    <t>09-2665800</t>
  </si>
  <si>
    <t>hillroad@thegardens.co.nz</t>
  </si>
  <si>
    <t>Alfriston</t>
  </si>
  <si>
    <t>The Playhouse Pre-School</t>
  </si>
  <si>
    <t>09-2381371</t>
  </si>
  <si>
    <t>sharmen-risha@hotmail.co.nz</t>
  </si>
  <si>
    <t>51 Twomey Drive</t>
  </si>
  <si>
    <t>Risha Kumar</t>
  </si>
  <si>
    <t>Christopher and Robin Early Childhood Centre</t>
  </si>
  <si>
    <t>09-4301020</t>
  </si>
  <si>
    <t>12 Gumdigger Place</t>
  </si>
  <si>
    <t>Port-Limeburners</t>
  </si>
  <si>
    <t>Janelle Rogers</t>
  </si>
  <si>
    <t>021-0847 5266</t>
  </si>
  <si>
    <t>Child Pre-School Education Ltd</t>
  </si>
  <si>
    <t>09-488 7766</t>
  </si>
  <si>
    <t>lee@child.co.nz</t>
  </si>
  <si>
    <t>Ground Floor Sovereign House, Smales Farm Cnr Northcote Rd &amp; Taharoto Road</t>
  </si>
  <si>
    <t>Lee  Clark</t>
  </si>
  <si>
    <t>P O Box 33843</t>
  </si>
  <si>
    <t>North Shore City 0740</t>
  </si>
  <si>
    <t>09-438 7766</t>
  </si>
  <si>
    <t>Uptown Kids Epsom Childcare Centre</t>
  </si>
  <si>
    <t>09-523 1716</t>
  </si>
  <si>
    <t>enquiries@uptownkids.co.nz</t>
  </si>
  <si>
    <t>216 Manukau Road</t>
  </si>
  <si>
    <t>Paula  Bannister</t>
  </si>
  <si>
    <t xml:space="preserve">216 Manukau Rd </t>
  </si>
  <si>
    <t>09-8150460</t>
  </si>
  <si>
    <t>Kuddles In-Home Childcare &amp; Education - 1</t>
  </si>
  <si>
    <t>09-6256621</t>
  </si>
  <si>
    <t>info@kuddles.co.nz</t>
  </si>
  <si>
    <t>6 Tarndale Grove</t>
  </si>
  <si>
    <t>Rosedale</t>
  </si>
  <si>
    <t>The Vines Early Learning</t>
  </si>
  <si>
    <t>09-8382022 Ext 0</t>
  </si>
  <si>
    <t>1 Enterprise Drive</t>
  </si>
  <si>
    <t>Nicole Bult</t>
  </si>
  <si>
    <t>85 Tapu Road</t>
  </si>
  <si>
    <t>Huapai</t>
  </si>
  <si>
    <t>Kumeu 0810</t>
  </si>
  <si>
    <t>BestStart Wolverton Street</t>
  </si>
  <si>
    <t>wolverton@best-start.org</t>
  </si>
  <si>
    <t>25 Wolverton Street</t>
  </si>
  <si>
    <t>Secret Garden ELC Limited</t>
  </si>
  <si>
    <t>418 Albany Highway</t>
  </si>
  <si>
    <t>2 Red Bluff Raise</t>
  </si>
  <si>
    <t>Bear Park Kohimarama</t>
  </si>
  <si>
    <t>09-528 0427</t>
  </si>
  <si>
    <t>kohi@bearpark.co.nz</t>
  </si>
  <si>
    <t>318 St Heliers Bay Road</t>
  </si>
  <si>
    <t>Active Explorers Ellerslie</t>
  </si>
  <si>
    <t>09-579 4991</t>
  </si>
  <si>
    <t>75 Ballarat Street</t>
  </si>
  <si>
    <t>Mount Wellington North West</t>
  </si>
  <si>
    <t>Tao Wu</t>
  </si>
  <si>
    <t>09-5794991</t>
  </si>
  <si>
    <t>Shining Starz Early Learning Centre</t>
  </si>
  <si>
    <t>09-816 8072</t>
  </si>
  <si>
    <t>info@shiningstarz.co.nz</t>
  </si>
  <si>
    <t>131 Atkinson Road</t>
  </si>
  <si>
    <t>Madhu Sondhi</t>
  </si>
  <si>
    <t>09-2762894</t>
  </si>
  <si>
    <t>Barnardos Early Learning Centre Manurewa</t>
  </si>
  <si>
    <t>09-269 2103</t>
  </si>
  <si>
    <t>manurewaeastelc@barnardos.org.nz</t>
  </si>
  <si>
    <t>14s Scotts Road</t>
  </si>
  <si>
    <t>Jen Kumar</t>
  </si>
  <si>
    <t>Learning Adventures Takanini</t>
  </si>
  <si>
    <t>09-2977678</t>
  </si>
  <si>
    <t>cm.takanini@learningadventures.co.nz</t>
  </si>
  <si>
    <t>Takanini McLennan</t>
  </si>
  <si>
    <t>Harshika Narayan</t>
  </si>
  <si>
    <t>09-266 5312</t>
  </si>
  <si>
    <t>Te Kōhanga Reo o Awaruaiti</t>
  </si>
  <si>
    <t>09-235 8004</t>
  </si>
  <si>
    <t>tekahuiitinei@gmail.com</t>
  </si>
  <si>
    <t>38 Tahuna Pa Road</t>
  </si>
  <si>
    <t>Nanaksar Education Phulwari</t>
  </si>
  <si>
    <t>09-268 9539</t>
  </si>
  <si>
    <t>aiectrust@gmail.com</t>
  </si>
  <si>
    <t>106A Great South Road</t>
  </si>
  <si>
    <t>Tarunjeet Kaur</t>
  </si>
  <si>
    <t>P O Box 75411</t>
  </si>
  <si>
    <t>09-2689539</t>
  </si>
  <si>
    <t>St Andrews Preschool</t>
  </si>
  <si>
    <t>09-267 3149</t>
  </si>
  <si>
    <t>preschool@sapc.org.nz</t>
  </si>
  <si>
    <t>150 Great South Road</t>
  </si>
  <si>
    <t>Kiwi Supertots Learning Centre, Botany</t>
  </si>
  <si>
    <t>09-2716553</t>
  </si>
  <si>
    <t>37 Bishop Dunn Place</t>
  </si>
  <si>
    <t>Akoteu Matavai Silai (Matavai Silai Preschool)</t>
  </si>
  <si>
    <t>09-275 8365</t>
  </si>
  <si>
    <t>akoteu@xtra.co.nz</t>
  </si>
  <si>
    <t>143 Favona Road</t>
  </si>
  <si>
    <t>Tasia Seleti</t>
  </si>
  <si>
    <t>Whaingaroa Childcare Center</t>
  </si>
  <si>
    <t>07-8250442</t>
  </si>
  <si>
    <t>info@whaingaroachildcare.co.nz</t>
  </si>
  <si>
    <t>5 Wallis Street</t>
  </si>
  <si>
    <t>Warnakulasuriya Fernando</t>
  </si>
  <si>
    <t>021-0683839</t>
  </si>
  <si>
    <t>Hinuera Playcentre</t>
  </si>
  <si>
    <t>07-9292123</t>
  </si>
  <si>
    <t>CNI.funding@playcentre.org.nz</t>
  </si>
  <si>
    <t>Hinuera Road</t>
  </si>
  <si>
    <t>Hinuera</t>
  </si>
  <si>
    <t>Cojana Spear</t>
  </si>
  <si>
    <t>Matamata Playcentre</t>
  </si>
  <si>
    <t>37 Farmers Road</t>
  </si>
  <si>
    <t>Tirau Playcentre</t>
  </si>
  <si>
    <t>Goodwin Street</t>
  </si>
  <si>
    <t>Tirau</t>
  </si>
  <si>
    <t>Tīrau</t>
  </si>
  <si>
    <t>Tirau Ward</t>
  </si>
  <si>
    <t>Tokoroa Playcentre</t>
  </si>
  <si>
    <t>Balmoral Drive</t>
  </si>
  <si>
    <t>Strathmore (South Waikato District)</t>
  </si>
  <si>
    <t>Happy Sprouts Educare Putaruru</t>
  </si>
  <si>
    <t>07-8833293</t>
  </si>
  <si>
    <t>happysproutseducare@gmail.com</t>
  </si>
  <si>
    <t>1 Commerce Street</t>
  </si>
  <si>
    <t>Marlene Harvey</t>
  </si>
  <si>
    <t>1287 Te Kawa Road</t>
  </si>
  <si>
    <t>Te Awamutu 3973</t>
  </si>
  <si>
    <t>021-2349022</t>
  </si>
  <si>
    <t>Te Kōhanga Reo o Te Oranga o Ngā Kaupapa</t>
  </si>
  <si>
    <t>07-847 3743</t>
  </si>
  <si>
    <t>89 Duke Street</t>
  </si>
  <si>
    <t>Frankton Junction</t>
  </si>
  <si>
    <t>Newstead Country Preschool</t>
  </si>
  <si>
    <t>07-8568366</t>
  </si>
  <si>
    <t>info@newsteadcountrypreschool.co.nz</t>
  </si>
  <si>
    <t>92 Vaile Road</t>
  </si>
  <si>
    <t>Hamilton Park</t>
  </si>
  <si>
    <t>Tamahere-Woodlands General Ward</t>
  </si>
  <si>
    <t>Tracy Trigg</t>
  </si>
  <si>
    <t>181 Reid Road RD 2, Ohaupo</t>
  </si>
  <si>
    <t>Hamilton 3882</t>
  </si>
  <si>
    <t>Waiapu Kids St Mary's Tahatai</t>
  </si>
  <si>
    <t>07-5725016</t>
  </si>
  <si>
    <t>admin.tahatai@acw.org.nz</t>
  </si>
  <si>
    <t>114 Evans Road</t>
  </si>
  <si>
    <t>Trish Parkes</t>
  </si>
  <si>
    <t>P O Box 227</t>
  </si>
  <si>
    <t>Napier 4140</t>
  </si>
  <si>
    <t>Happy Sprouts Educare Ltd</t>
  </si>
  <si>
    <t>07-8738487</t>
  </si>
  <si>
    <t>11a Kakamutu Road</t>
  </si>
  <si>
    <t>BestStart MacDonald Street</t>
  </si>
  <si>
    <t>07-5752657</t>
  </si>
  <si>
    <t>39 MacDonald Street</t>
  </si>
  <si>
    <t>Mt Maunganui</t>
  </si>
  <si>
    <t>Mount Maunganui Central</t>
  </si>
  <si>
    <t>Julie Bradley</t>
  </si>
  <si>
    <t>027-7030394</t>
  </si>
  <si>
    <t>Te Kōhanga Reo o Te Kaahu</t>
  </si>
  <si>
    <t>07-824 8335</t>
  </si>
  <si>
    <t>9 Edward Street</t>
  </si>
  <si>
    <t>BestStart Doncaster Drive Kindy</t>
  </si>
  <si>
    <t>07-542 3479</t>
  </si>
  <si>
    <t>doncaster.kindy@best-start.org</t>
  </si>
  <si>
    <t>32B Doncaster Drive</t>
  </si>
  <si>
    <t>BestStart Morrinsville</t>
  </si>
  <si>
    <t>07-8890042</t>
  </si>
  <si>
    <t>morrinsville@best-start.org</t>
  </si>
  <si>
    <t>190 Studholme Street</t>
  </si>
  <si>
    <t>Morrinsville North</t>
  </si>
  <si>
    <t>Te Ōki Early Learning</t>
  </si>
  <si>
    <t>07-8703910</t>
  </si>
  <si>
    <t>teokiearlylearning@gmail.com</t>
  </si>
  <si>
    <t>192 Domain Rd</t>
  </si>
  <si>
    <t>Abby Cheney</t>
  </si>
  <si>
    <t>192 Domain Road</t>
  </si>
  <si>
    <t xml:space="preserve">Te Awamutu </t>
  </si>
  <si>
    <t>Kids at Home Hamilton 2</t>
  </si>
  <si>
    <t>0508-3382273</t>
  </si>
  <si>
    <t>ella@edubase.co.nz</t>
  </si>
  <si>
    <t>57A Spring Street</t>
  </si>
  <si>
    <t>Tauranga Central</t>
  </si>
  <si>
    <t>Leanne Masters</t>
  </si>
  <si>
    <t>Tauranga 3110</t>
  </si>
  <si>
    <t>Kihikihi Early Adventurers</t>
  </si>
  <si>
    <t>07-8715130</t>
  </si>
  <si>
    <t>1 Carey Street</t>
  </si>
  <si>
    <t>Kusum Singh</t>
  </si>
  <si>
    <t>021-02719050</t>
  </si>
  <si>
    <t>Li'l Pumpkins Preschool Centre Limited</t>
  </si>
  <si>
    <t>07-8434004</t>
  </si>
  <si>
    <t>admin@lilpumpkins.co.nz</t>
  </si>
  <si>
    <t>99 Peacockes Road</t>
  </si>
  <si>
    <t>Fitzroy (Hamilton City)</t>
  </si>
  <si>
    <t>Sharon Honiss</t>
  </si>
  <si>
    <t>P O Box 24170</t>
  </si>
  <si>
    <t>Hamilton 3253</t>
  </si>
  <si>
    <t>07-8390025</t>
  </si>
  <si>
    <t>BestStart Kawaha Point</t>
  </si>
  <si>
    <t>07-3478911</t>
  </si>
  <si>
    <t>kawahapoint@best-start.org</t>
  </si>
  <si>
    <t>75 Aquarius Drive</t>
  </si>
  <si>
    <t>Kawaha Point</t>
  </si>
  <si>
    <t>Kawaha</t>
  </si>
  <si>
    <t>BestStart St Andrews</t>
  </si>
  <si>
    <t>07-849 7750</t>
  </si>
  <si>
    <t>standrews@best-start.org</t>
  </si>
  <si>
    <t>37 Sunshine Avenue</t>
  </si>
  <si>
    <t>Te Rapa South</t>
  </si>
  <si>
    <t>City Limits Early Learning Centre Ltd</t>
  </si>
  <si>
    <t>07-8550656</t>
  </si>
  <si>
    <t>729 Grey Street</t>
  </si>
  <si>
    <t>Pescha Eccles</t>
  </si>
  <si>
    <t>2 Red Bluff Rise, Campbells Bay</t>
  </si>
  <si>
    <t>07-8550658</t>
  </si>
  <si>
    <t>BestStart Claudelands</t>
  </si>
  <si>
    <t>07-855 5972</t>
  </si>
  <si>
    <t>claudelands@best-start.org</t>
  </si>
  <si>
    <t>2 E Brooklyn Road</t>
  </si>
  <si>
    <t>BestStart Hillcrest</t>
  </si>
  <si>
    <t>07-3492933</t>
  </si>
  <si>
    <t>26 Puriri Crescent</t>
  </si>
  <si>
    <t>Hillcrest (Rotorua District)</t>
  </si>
  <si>
    <t>Te Rangimārie Kōhanga Reo Ki Rotorua</t>
  </si>
  <si>
    <t>07-000</t>
  </si>
  <si>
    <t>63 Ford Road</t>
  </si>
  <si>
    <t>Dawn Whare</t>
  </si>
  <si>
    <t>027-3296080</t>
  </si>
  <si>
    <t>Central Kids Kindergartens - Northwood</t>
  </si>
  <si>
    <t>07-3782699</t>
  </si>
  <si>
    <t>northwood@centralkids.org.nz</t>
  </si>
  <si>
    <t>30 Northwood Road</t>
  </si>
  <si>
    <t>Nukuhau</t>
  </si>
  <si>
    <t>Brentwood (Taupo District)</t>
  </si>
  <si>
    <t>Te Kauwhata Childcare &amp; Learning Centre</t>
  </si>
  <si>
    <t>07-8263280</t>
  </si>
  <si>
    <t>tkchildcare@outlook.com</t>
  </si>
  <si>
    <t>9 Mahi Road</t>
  </si>
  <si>
    <t>Gayle Story</t>
  </si>
  <si>
    <t>Waikato 3710</t>
  </si>
  <si>
    <t>Four Winds Ngahau E Fa</t>
  </si>
  <si>
    <t>07-8462033</t>
  </si>
  <si>
    <t>katrina4winds@gmail.com</t>
  </si>
  <si>
    <t>13 West Street</t>
  </si>
  <si>
    <t>'Ema Bourne</t>
  </si>
  <si>
    <t>P O Box 9034</t>
  </si>
  <si>
    <t>Waikato 3240</t>
  </si>
  <si>
    <t>Home Grown Kids (South)</t>
  </si>
  <si>
    <t>0508-445437</t>
  </si>
  <si>
    <t>jess@hgk.co.nz</t>
  </si>
  <si>
    <t>189 Moffat Road</t>
  </si>
  <si>
    <t>Bethlehem</t>
  </si>
  <si>
    <t>Bethlehem Central</t>
  </si>
  <si>
    <t>Jess Penney</t>
  </si>
  <si>
    <t>BestStart Greerton</t>
  </si>
  <si>
    <t>07-5432289</t>
  </si>
  <si>
    <t>greerton@best-start.org</t>
  </si>
  <si>
    <t>169A Maleme Street</t>
  </si>
  <si>
    <t>The Garden Early Childhood Centre Gate Pa</t>
  </si>
  <si>
    <t>07-5715242</t>
  </si>
  <si>
    <t>mornay@thegarden.co.nz</t>
  </si>
  <si>
    <t>1021 Cameron Road</t>
  </si>
  <si>
    <t>Gate Pa</t>
  </si>
  <si>
    <t>Mornay Jacobs</t>
  </si>
  <si>
    <t>6a Kayelene Place</t>
  </si>
  <si>
    <t xml:space="preserve">Omokoroa </t>
  </si>
  <si>
    <t>07-5623341</t>
  </si>
  <si>
    <t>Fairy Springs ELC</t>
  </si>
  <si>
    <t>07-3460610</t>
  </si>
  <si>
    <t>5 Isobel Street</t>
  </si>
  <si>
    <t>Rotorua Central</t>
  </si>
  <si>
    <t>Fairy Springs</t>
  </si>
  <si>
    <t>Linda Irwin</t>
  </si>
  <si>
    <t>69 Symes Drive</t>
  </si>
  <si>
    <t>027-4898604</t>
  </si>
  <si>
    <t>Educare Tree Town</t>
  </si>
  <si>
    <t>07-8234570</t>
  </si>
  <si>
    <t>michaela.s@educare.co.nz</t>
  </si>
  <si>
    <t>21a Wilson Street</t>
  </si>
  <si>
    <t>Cambridge Central</t>
  </si>
  <si>
    <t>Michaela Smith</t>
  </si>
  <si>
    <t>07-8278406</t>
  </si>
  <si>
    <t>Te Kāhui Ako o Te Oko Horoi</t>
  </si>
  <si>
    <t>Kindy Tweenz</t>
  </si>
  <si>
    <t>07-8555722</t>
  </si>
  <si>
    <t>gareth@kindyz.co.nz</t>
  </si>
  <si>
    <t>7 Colman Street</t>
  </si>
  <si>
    <t>Gareth Pritchard</t>
  </si>
  <si>
    <t>6 Rembrandt Terrace</t>
  </si>
  <si>
    <t>Rototuna</t>
  </si>
  <si>
    <t>Hamilton 3210</t>
  </si>
  <si>
    <t>022-0432127</t>
  </si>
  <si>
    <t>Te Pae Here Kāhui Ako Te Raki Rāwhiti o Kirikiriroa</t>
  </si>
  <si>
    <t>Homebased Childcare Ltd 1</t>
  </si>
  <si>
    <t>021-362810</t>
  </si>
  <si>
    <t>zandra@rotoruahomebased.co.nz</t>
  </si>
  <si>
    <t>138 Otonga Road</t>
  </si>
  <si>
    <t>Tihiotonga-Whakarewarewa</t>
  </si>
  <si>
    <t>Zandra Harding</t>
  </si>
  <si>
    <t xml:space="preserve">Rotorua </t>
  </si>
  <si>
    <t>Active Explorers Farnborough</t>
  </si>
  <si>
    <t>07-8505055</t>
  </si>
  <si>
    <t>cm.farnborough@activeexplorers.co.nz</t>
  </si>
  <si>
    <t>35 Farnborough Drive</t>
  </si>
  <si>
    <t>Nawton West</t>
  </si>
  <si>
    <t>Angela Maseyk</t>
  </si>
  <si>
    <t>Taupo Childrens Corner</t>
  </si>
  <si>
    <t>07-3782943</t>
  </si>
  <si>
    <t>office@taupochildrenscorner.co.nz</t>
  </si>
  <si>
    <t>73 Lakewood Drive</t>
  </si>
  <si>
    <t>Helen Passmore</t>
  </si>
  <si>
    <t>P O Box 1561</t>
  </si>
  <si>
    <t>Waikato 3351</t>
  </si>
  <si>
    <t>07-3771240</t>
  </si>
  <si>
    <t>Rainbows Gordonton Early Childhood Centre</t>
  </si>
  <si>
    <t>07-824 3188</t>
  </si>
  <si>
    <t>office@rainbows.org.nz</t>
  </si>
  <si>
    <t>21 College Drive</t>
  </si>
  <si>
    <t>Gordonton</t>
  </si>
  <si>
    <t>Kainui-Gordonton</t>
  </si>
  <si>
    <t>Kathryn Dyer</t>
  </si>
  <si>
    <t xml:space="preserve">21 College Drive RD 1 </t>
  </si>
  <si>
    <t>Taupiri 3791</t>
  </si>
  <si>
    <t>027-2002099</t>
  </si>
  <si>
    <t>BestStart Clarence Street</t>
  </si>
  <si>
    <t>07-834 2291</t>
  </si>
  <si>
    <t>128 Clarence Street</t>
  </si>
  <si>
    <t>Hamilton Lake North</t>
  </si>
  <si>
    <t>Pukeko Preschool Claudelands</t>
  </si>
  <si>
    <t>07-8538448</t>
  </si>
  <si>
    <t>12 Claude Street</t>
  </si>
  <si>
    <t>Fairfield South (Hamilton City)</t>
  </si>
  <si>
    <t>Joseph Paguia</t>
  </si>
  <si>
    <t>021-02389276</t>
  </si>
  <si>
    <t>Central Kids Kindergartens – Dinsdale</t>
  </si>
  <si>
    <t>24 Dinsdale Road</t>
  </si>
  <si>
    <t>Te Ara Ki Te Reo Ki Kuirau</t>
  </si>
  <si>
    <t>07-3460806</t>
  </si>
  <si>
    <t>bev@tearakitereo.co.nz</t>
  </si>
  <si>
    <t>1351 Amohau Street</t>
  </si>
  <si>
    <t>Kuirau</t>
  </si>
  <si>
    <t>Alyssa Tibble</t>
  </si>
  <si>
    <t>P O Box 211</t>
  </si>
  <si>
    <t>Rotorua Mail Centre</t>
  </si>
  <si>
    <t>Rotorua 3040</t>
  </si>
  <si>
    <t>07-3572303</t>
  </si>
  <si>
    <t>Papamoa Coast Kindergarten</t>
  </si>
  <si>
    <t>07-5422269</t>
  </si>
  <si>
    <t>papamoacoast@ikindergartens.nz</t>
  </si>
  <si>
    <t>236 Dickson Road</t>
  </si>
  <si>
    <t>Papamoa Beach South</t>
  </si>
  <si>
    <t>Tamariki Akoranga</t>
  </si>
  <si>
    <t>07-8958006</t>
  </si>
  <si>
    <t>yvonne.tahere@kokiritrust.org.nz</t>
  </si>
  <si>
    <t>65 Huia Street</t>
  </si>
  <si>
    <t>Christine Brears</t>
  </si>
  <si>
    <t>P O Box 286</t>
  </si>
  <si>
    <t>Taumarunui 3946</t>
  </si>
  <si>
    <t>07-8955919</t>
  </si>
  <si>
    <t>Ra-itu Koanga Reo</t>
  </si>
  <si>
    <t>07-8865550</t>
  </si>
  <si>
    <t>raitu@xtra.co.nz</t>
  </si>
  <si>
    <t>27 Thompson Street</t>
  </si>
  <si>
    <t>Tamoe Kamoe</t>
  </si>
  <si>
    <t>P O Box 516</t>
  </si>
  <si>
    <t>Waikato 3444</t>
  </si>
  <si>
    <t xml:space="preserve">027- 316 7154  </t>
  </si>
  <si>
    <t>BestStart Montessori Flagstaff</t>
  </si>
  <si>
    <t>07-8543857</t>
  </si>
  <si>
    <t>3 Admiral Crescent</t>
  </si>
  <si>
    <t>Flagstaff-Hamilton</t>
  </si>
  <si>
    <t>Flagstaff East</t>
  </si>
  <si>
    <t>Te Rau Ōriwa Puna Reo</t>
  </si>
  <si>
    <t>07-8860324</t>
  </si>
  <si>
    <t>emma.mouroa@twoa.ac.nz</t>
  </si>
  <si>
    <t>Te Wananga O Aotearoa Maraetai Road</t>
  </si>
  <si>
    <t>Samantha Turipa</t>
  </si>
  <si>
    <t>P O Box 6076</t>
  </si>
  <si>
    <t>Urlich</t>
  </si>
  <si>
    <t>Hamilton 3246</t>
  </si>
  <si>
    <t>07-8850425</t>
  </si>
  <si>
    <t>Central Kids Kindergartens - Tairua</t>
  </si>
  <si>
    <t>tairua@centralkids.org.nz</t>
  </si>
  <si>
    <t>52 Hornsea Road</t>
  </si>
  <si>
    <t>Tairua</t>
  </si>
  <si>
    <t>South East Ward</t>
  </si>
  <si>
    <t>Waiapu Kids - St Francis Whanau Aroha</t>
  </si>
  <si>
    <t>07-3473080</t>
  </si>
  <si>
    <t>13 Thomas Crescent</t>
  </si>
  <si>
    <t>Pleasant Heights</t>
  </si>
  <si>
    <t>Erin Batley</t>
  </si>
  <si>
    <t>BestStart Rototuna</t>
  </si>
  <si>
    <t>07-8540540</t>
  </si>
  <si>
    <t>rototuna@best-start.org</t>
  </si>
  <si>
    <t>23 Saxon Woods Drive</t>
  </si>
  <si>
    <t>Rototuna North</t>
  </si>
  <si>
    <t>Rototuna West</t>
  </si>
  <si>
    <t>Punavai O Le Gagana Samoa</t>
  </si>
  <si>
    <t>06-8797568</t>
  </si>
  <si>
    <t>administrator@punavai.org</t>
  </si>
  <si>
    <t>80 Caernarvon Drive</t>
  </si>
  <si>
    <t>Tumema Faioso</t>
  </si>
  <si>
    <t>P O Box 15016</t>
  </si>
  <si>
    <t>Hawkes Bay 4154</t>
  </si>
  <si>
    <t>04-8799597</t>
  </si>
  <si>
    <t>Early Learners Cate Rd</t>
  </si>
  <si>
    <t>07-8546250</t>
  </si>
  <si>
    <t>info@earlylearnerschildcare.co.nz</t>
  </si>
  <si>
    <t>41 Cate Road</t>
  </si>
  <si>
    <t>Merran Davis</t>
  </si>
  <si>
    <t>39 Cate Road</t>
  </si>
  <si>
    <t>Te Kuiti Community Childcare Centre Inc.</t>
  </si>
  <si>
    <t>07-8787200</t>
  </si>
  <si>
    <t>manager@thecottage.org.nz</t>
  </si>
  <si>
    <t>65 Esplanade</t>
  </si>
  <si>
    <t>Te Kuiti</t>
  </si>
  <si>
    <t>Waitomo District</t>
  </si>
  <si>
    <t>Te Kūiti East</t>
  </si>
  <si>
    <t>Te Kuiti Ward</t>
  </si>
  <si>
    <t>Elizabeth Rendall</t>
  </si>
  <si>
    <t>P O Box 30</t>
  </si>
  <si>
    <t>Te Kuiti 3941</t>
  </si>
  <si>
    <t>021-0474625</t>
  </si>
  <si>
    <t>Waitomo Arotahi Kāhui Ako</t>
  </si>
  <si>
    <t>Campus Creche at Fraser</t>
  </si>
  <si>
    <t>07-8474696</t>
  </si>
  <si>
    <t>72 Elllicott Road</t>
  </si>
  <si>
    <t>Rangi Tapara</t>
  </si>
  <si>
    <t>c/- The University of Waikato Private Bag 3105</t>
  </si>
  <si>
    <t>Hamilton 3204</t>
  </si>
  <si>
    <t>07-838 4034</t>
  </si>
  <si>
    <t>BestStart Somerset Street</t>
  </si>
  <si>
    <t>07-8467180</t>
  </si>
  <si>
    <t>7 Somerset Street</t>
  </si>
  <si>
    <t>Chapel Hill Kindergarten</t>
  </si>
  <si>
    <t>07-8541295</t>
  </si>
  <si>
    <t>admin@chapelhillkindergarten.co.nz</t>
  </si>
  <si>
    <t>2 Cate Road</t>
  </si>
  <si>
    <t>Rototuna South East</t>
  </si>
  <si>
    <t>Graeme Allen</t>
  </si>
  <si>
    <t>P O Box 28053</t>
  </si>
  <si>
    <t>Hamilton 3256</t>
  </si>
  <si>
    <t>022-1269255</t>
  </si>
  <si>
    <t>BestStart Girven Road</t>
  </si>
  <si>
    <t>07-5755534</t>
  </si>
  <si>
    <t>58 Girven Road</t>
  </si>
  <si>
    <t>Kawhia Early Childhood Centre Kura Tiaki</t>
  </si>
  <si>
    <t>keccheadteacher@hotmail.com</t>
  </si>
  <si>
    <t>318 Rosamond Terrace</t>
  </si>
  <si>
    <t>Kawhia</t>
  </si>
  <si>
    <t>Pirongia Forest</t>
  </si>
  <si>
    <t>Kāwhia-Tihiroa General Ward</t>
  </si>
  <si>
    <t>Sarah  Williamson</t>
  </si>
  <si>
    <t>Kawhia 3843</t>
  </si>
  <si>
    <t>07-8710048</t>
  </si>
  <si>
    <t>BestStart Waihi East</t>
  </si>
  <si>
    <t>07-8637955</t>
  </si>
  <si>
    <t>8 Mataura Road</t>
  </si>
  <si>
    <t>Samoa Taumafai Aoga Amata</t>
  </si>
  <si>
    <t>07-8862494</t>
  </si>
  <si>
    <t>samoataumafai@xtra.co.nz</t>
  </si>
  <si>
    <t>8 Giles Street</t>
  </si>
  <si>
    <t>Tokoroa Central</t>
  </si>
  <si>
    <t>Lynnda Misa-Tilivea</t>
  </si>
  <si>
    <t>P O Box 422</t>
  </si>
  <si>
    <t>022-5239010</t>
  </si>
  <si>
    <t>Whenuakite Country Kids</t>
  </si>
  <si>
    <t>07-8663360</t>
  </si>
  <si>
    <t>info@wck.co.nz</t>
  </si>
  <si>
    <t>1052 B Tairua-Whenuakite Road</t>
  </si>
  <si>
    <t>Mercury Bay South</t>
  </si>
  <si>
    <t>Jasmine Lockhart</t>
  </si>
  <si>
    <t>1052B Tairua-Whitianga Rd RD 1</t>
  </si>
  <si>
    <t>Whitianga 3591</t>
  </si>
  <si>
    <t>Busy Bees Frimley</t>
  </si>
  <si>
    <t>06-8788949</t>
  </si>
  <si>
    <t>312 Frimley Ave</t>
  </si>
  <si>
    <t>Frimley</t>
  </si>
  <si>
    <t>Iona  Inglis</t>
  </si>
  <si>
    <t>06-8772335</t>
  </si>
  <si>
    <t>Amazing Place Preschool (Sunset Road)</t>
  </si>
  <si>
    <t>07-3439991</t>
  </si>
  <si>
    <t>manager@amazingplace.school.nz</t>
  </si>
  <si>
    <t>87 Sunset Road</t>
  </si>
  <si>
    <t>Mangakakahi West</t>
  </si>
  <si>
    <t>Timothy Collins</t>
  </si>
  <si>
    <t>Bethlehem Early Learning Centr Private Bag 12003</t>
  </si>
  <si>
    <t>Tauranga 3143</t>
  </si>
  <si>
    <t>07-5791873  Ext 7873</t>
  </si>
  <si>
    <t>Ngā Whānau O Karaiti Kāhui Ako</t>
  </si>
  <si>
    <t>Te Whare Whai Hua</t>
  </si>
  <si>
    <t>06-8680255</t>
  </si>
  <si>
    <t>cltwwh@ora.org.nz</t>
  </si>
  <si>
    <t>Lytton High School Nelson Road</t>
  </si>
  <si>
    <t>Jean-Ellan Tomoana</t>
  </si>
  <si>
    <t>P O Box 2124</t>
  </si>
  <si>
    <t>Rockmybaby Childcare</t>
  </si>
  <si>
    <t>06-8779595</t>
  </si>
  <si>
    <t>havelocknorth@rockmybaby.co.nz</t>
  </si>
  <si>
    <t>13 Porter Drive</t>
  </si>
  <si>
    <t>Havelock North-Central</t>
  </si>
  <si>
    <t>Abbey Kelsen</t>
  </si>
  <si>
    <t>P O Box 8720</t>
  </si>
  <si>
    <t>Hawkes Bay 4157</t>
  </si>
  <si>
    <t>022-0773682</t>
  </si>
  <si>
    <t>Lollipops Waikato Hospital</t>
  </si>
  <si>
    <t>07-8380034</t>
  </si>
  <si>
    <t>cm.waikatohospital@ledu.co.nz</t>
  </si>
  <si>
    <t>230 Pembroke Street</t>
  </si>
  <si>
    <t>Donna Huriwai</t>
  </si>
  <si>
    <t>022-051 3473</t>
  </si>
  <si>
    <t>Jubilee Catholic Early Childhood Centre</t>
  </si>
  <si>
    <t>07-8564072</t>
  </si>
  <si>
    <t>jubilee.cdh@xtra.co.nz</t>
  </si>
  <si>
    <t>67 Clyde Street</t>
  </si>
  <si>
    <t>Hamilton East Village</t>
  </si>
  <si>
    <t>Valerie Penrose</t>
  </si>
  <si>
    <t>PO Box 4353</t>
  </si>
  <si>
    <t>Waikato Catholic Kāhui Ako</t>
  </si>
  <si>
    <t>Central City Quality Edu-care Ltd</t>
  </si>
  <si>
    <t>07-3437007</t>
  </si>
  <si>
    <t>1277 Pukuatua Street</t>
  </si>
  <si>
    <t>Sheryl Terlesk</t>
  </si>
  <si>
    <t>Maraekakaho Early Childhood Centre</t>
  </si>
  <si>
    <t xml:space="preserve">06-874 9010 </t>
  </si>
  <si>
    <t>supervisor@gumboots.org.nz</t>
  </si>
  <si>
    <t>64 Kereru Road</t>
  </si>
  <si>
    <t>Maraekakaho</t>
  </si>
  <si>
    <t>Kahurānaki General Ward</t>
  </si>
  <si>
    <t>Helen Davison</t>
  </si>
  <si>
    <t>64 Kereru Road RD 1</t>
  </si>
  <si>
    <t>Hawkes Bay 4171</t>
  </si>
  <si>
    <t>06-8749010</t>
  </si>
  <si>
    <t>Whakamarama &amp; Districts Kindergarten</t>
  </si>
  <si>
    <t>07-5526631</t>
  </si>
  <si>
    <t>whakamarama@ikindergartens.nz</t>
  </si>
  <si>
    <t>474 Whakamarama Road, RD 7</t>
  </si>
  <si>
    <t>Pahoia East</t>
  </si>
  <si>
    <t>Kaimai Ward</t>
  </si>
  <si>
    <t>Nurtured at Home - Taranaki 2</t>
  </si>
  <si>
    <t>0800-221177</t>
  </si>
  <si>
    <t>josh@nurturedathome.co.nz</t>
  </si>
  <si>
    <t>234 Bankwood Road</t>
  </si>
  <si>
    <t>Kay Moffat</t>
  </si>
  <si>
    <t>BestStart Jones Crescent Kindy</t>
  </si>
  <si>
    <t>07-8431691</t>
  </si>
  <si>
    <t>9 Jones Crescent</t>
  </si>
  <si>
    <t>Melville North</t>
  </si>
  <si>
    <t>Midcity Childcare</t>
  </si>
  <si>
    <t>07-9573698</t>
  </si>
  <si>
    <t>55 Rostrevor Street</t>
  </si>
  <si>
    <t>Kirikiriroa</t>
  </si>
  <si>
    <t>Helen Monckton</t>
  </si>
  <si>
    <t>P O Box 9011</t>
  </si>
  <si>
    <t>07-8383109</t>
  </si>
  <si>
    <t>Bizzy Bodz Early Learning Centre - Huntly</t>
  </si>
  <si>
    <t>07-8288145</t>
  </si>
  <si>
    <t>huntly@bizzybodzeducare.co.nz</t>
  </si>
  <si>
    <t>7 George Drive</t>
  </si>
  <si>
    <t>Gina Prendergast</t>
  </si>
  <si>
    <t>P O Box 53</t>
  </si>
  <si>
    <t>022-6955356</t>
  </si>
  <si>
    <t>Bay Buddies Preschool</t>
  </si>
  <si>
    <t>06-8788387</t>
  </si>
  <si>
    <t>office@deanalie.nz</t>
  </si>
  <si>
    <t>110 Tomoana Road</t>
  </si>
  <si>
    <t>St Leonards-Napier/Hastings</t>
  </si>
  <si>
    <t>St Leonards</t>
  </si>
  <si>
    <t>Katrina Huisman</t>
  </si>
  <si>
    <t>P O Box 8722</t>
  </si>
  <si>
    <t>Havelock North 4157</t>
  </si>
  <si>
    <t>Piki Te Ora</t>
  </si>
  <si>
    <t>06-8788109 Ext 6085</t>
  </si>
  <si>
    <t>Elin.Robertson@hbdhb.govt.nz</t>
  </si>
  <si>
    <t>Hawke's Bay Hospital Omahu Road</t>
  </si>
  <si>
    <t>Michelle Robertson</t>
  </si>
  <si>
    <t>Hawkes Bay Hospital Private Bag 9014</t>
  </si>
  <si>
    <t>Hawkes Bay 4156</t>
  </si>
  <si>
    <t>06-8788109 Ext 2584</t>
  </si>
  <si>
    <t>Te Kōhanga Reo o Taniwhā Tūmeke</t>
  </si>
  <si>
    <t>06-8764295</t>
  </si>
  <si>
    <t>whanau@K08c083.kohanga.ac.nz</t>
  </si>
  <si>
    <t xml:space="preserve"> Wall Street 1013 Wall Street</t>
  </si>
  <si>
    <t>Heke Turoa Huata</t>
  </si>
  <si>
    <t>06-8703220</t>
  </si>
  <si>
    <t>BestStart Peachgrove Road</t>
  </si>
  <si>
    <t>07-8555411</t>
  </si>
  <si>
    <t>peachgrove@best-start.org</t>
  </si>
  <si>
    <t>205 Peachgrove Road</t>
  </si>
  <si>
    <t>Peachgrove</t>
  </si>
  <si>
    <t>Kids at Home Hamilton 4</t>
  </si>
  <si>
    <t>TnT Kidscare</t>
  </si>
  <si>
    <t>07-8248871</t>
  </si>
  <si>
    <t>3 Galileo Street</t>
  </si>
  <si>
    <t>Tanya Sullivan</t>
  </si>
  <si>
    <t>6201 Great South Road, RD8</t>
  </si>
  <si>
    <t>Horotiu</t>
  </si>
  <si>
    <t>Waikato 3288</t>
  </si>
  <si>
    <t>027-839 2942</t>
  </si>
  <si>
    <t>Raroera Te Puawai Puna Reo</t>
  </si>
  <si>
    <t>07-8499742</t>
  </si>
  <si>
    <t>lesley.hamiora@twoa.ac.nz</t>
  </si>
  <si>
    <t>510 Te Rapa Road</t>
  </si>
  <si>
    <t>Reo Rua Education and Care</t>
  </si>
  <si>
    <t>Lesley  Hamiora</t>
  </si>
  <si>
    <t>027-2470958</t>
  </si>
  <si>
    <t>Apakura Te Kākano Puna Reo</t>
  </si>
  <si>
    <t>tracy.rikihana@twoa.ac.nz</t>
  </si>
  <si>
    <t>296 Factory Road</t>
  </si>
  <si>
    <t>Te Awamutu North</t>
  </si>
  <si>
    <t>Tracy Rikihana</t>
  </si>
  <si>
    <t>Central Kids Kindergartens - Ngā Ririki</t>
  </si>
  <si>
    <t>07-3239324</t>
  </si>
  <si>
    <t>ngaririki@centralkids.org.nz</t>
  </si>
  <si>
    <t>40 Ballance Street</t>
  </si>
  <si>
    <t>Tarawera Park</t>
  </si>
  <si>
    <t>Hopscotch Early Learning Childcare Centre</t>
  </si>
  <si>
    <t>07-8738732</t>
  </si>
  <si>
    <t>elc@hopscotch.kiwi</t>
  </si>
  <si>
    <t>11 Bledisloe Avenue</t>
  </si>
  <si>
    <t>Charlotte Clapcott</t>
  </si>
  <si>
    <t>Waikato 3900</t>
  </si>
  <si>
    <t>07-8738639</t>
  </si>
  <si>
    <t>Beginnings and Beyond Quality Preschool</t>
  </si>
  <si>
    <t>07-5747942</t>
  </si>
  <si>
    <t>beginningsandbeyondcentres@gmail.com</t>
  </si>
  <si>
    <t>209 Gravatt Road</t>
  </si>
  <si>
    <t>Belinda Cassidy</t>
  </si>
  <si>
    <t>209 Gravatt Rd</t>
  </si>
  <si>
    <t>07-5421384</t>
  </si>
  <si>
    <t>Busy Bees Putaruru</t>
  </si>
  <si>
    <t>07-8821250</t>
  </si>
  <si>
    <t>manager@putaruru.busybees.org.nz</t>
  </si>
  <si>
    <t>69 Buckland Street</t>
  </si>
  <si>
    <t>Leander Rangi</t>
  </si>
  <si>
    <t>Home Grown Kids (Auckland - North Shore)</t>
  </si>
  <si>
    <t>0508-445 437</t>
  </si>
  <si>
    <t>info@hgk.co.nz</t>
  </si>
  <si>
    <t>Stacey Dunn</t>
  </si>
  <si>
    <t>Fanau a le Tupu A'oga Amata</t>
  </si>
  <si>
    <t>06-8438762</t>
  </si>
  <si>
    <t>charles@kingsharvestcentre.com</t>
  </si>
  <si>
    <t>190 Riverbend Road</t>
  </si>
  <si>
    <t>Meeanee-Awatoto</t>
  </si>
  <si>
    <t>Charles  Faletutulu</t>
  </si>
  <si>
    <t>P O Box 4237</t>
  </si>
  <si>
    <t>06-8432642</t>
  </si>
  <si>
    <t>Busy Bees Douglas Street</t>
  </si>
  <si>
    <t>07-3085222</t>
  </si>
  <si>
    <t>info@douglasstreet.busybees.org.nz</t>
  </si>
  <si>
    <t>41 Douglas Street</t>
  </si>
  <si>
    <t>Allandale</t>
  </si>
  <si>
    <t>Karla Goddard</t>
  </si>
  <si>
    <t>BestStart Dinsdale</t>
  </si>
  <si>
    <t>07-8479169</t>
  </si>
  <si>
    <t>dinsdale@best-start.org</t>
  </si>
  <si>
    <t>8 Railside Place</t>
  </si>
  <si>
    <t>Greenpark Pre-school</t>
  </si>
  <si>
    <t>07-5411717</t>
  </si>
  <si>
    <t>gppreschool@xtra.co.nz</t>
  </si>
  <si>
    <t>106 Argyll Road</t>
  </si>
  <si>
    <t>Greerton North</t>
  </si>
  <si>
    <t>Sam An</t>
  </si>
  <si>
    <t xml:space="preserve">Tauranga </t>
  </si>
  <si>
    <t>07-5755160</t>
  </si>
  <si>
    <t>Minnows Kindergarten</t>
  </si>
  <si>
    <t>07-5482040</t>
  </si>
  <si>
    <t>minnows@xtra.co.nz</t>
  </si>
  <si>
    <t>3 Margaret Drive</t>
  </si>
  <si>
    <t>Omokoroa</t>
  </si>
  <si>
    <t>Ōmokoroa North</t>
  </si>
  <si>
    <t>Nirmala Madhavan</t>
  </si>
  <si>
    <t>Omokoroa 3114</t>
  </si>
  <si>
    <t>BestStart Greenmeadows</t>
  </si>
  <si>
    <t>06-8443408</t>
  </si>
  <si>
    <t>greenmeadows@best-start.org</t>
  </si>
  <si>
    <t>66 Tait Drive</t>
  </si>
  <si>
    <t>Greenmeadows South</t>
  </si>
  <si>
    <t>Kelly Abraham</t>
  </si>
  <si>
    <t>06-8565798</t>
  </si>
  <si>
    <t>The Treehouse on Ranolf</t>
  </si>
  <si>
    <t>07-3485733</t>
  </si>
  <si>
    <t>treehousedaycare@xtra.co.nz</t>
  </si>
  <si>
    <t>141 Ranolf Street</t>
  </si>
  <si>
    <t>Glenholme North</t>
  </si>
  <si>
    <t>Lorryl McIndoe</t>
  </si>
  <si>
    <t>Glenholme</t>
  </si>
  <si>
    <t>Rotorua 3010</t>
  </si>
  <si>
    <t>07-349 6080</t>
  </si>
  <si>
    <t>Waihi Playcentre</t>
  </si>
  <si>
    <t>toni.schou@playcentre.org.nz</t>
  </si>
  <si>
    <t>Consols Street</t>
  </si>
  <si>
    <t>Waihī South</t>
  </si>
  <si>
    <t>Rototuna Early Education Centre</t>
  </si>
  <si>
    <t>07-8538157</t>
  </si>
  <si>
    <t>25 Strathmore Drive</t>
  </si>
  <si>
    <t>Hamilton North</t>
  </si>
  <si>
    <t>BestStart Puketaha Road</t>
  </si>
  <si>
    <t>07-8551716</t>
  </si>
  <si>
    <t>puketaha@best-start.org</t>
  </si>
  <si>
    <t>144 Puketaha Road</t>
  </si>
  <si>
    <t>Cambridge Montessori</t>
  </si>
  <si>
    <t>07-8235949</t>
  </si>
  <si>
    <t>admin@cmps.co.nz</t>
  </si>
  <si>
    <t>22a Taylor Street</t>
  </si>
  <si>
    <t>Cambridge West</t>
  </si>
  <si>
    <t>Sophie Aston</t>
  </si>
  <si>
    <t>Cambridge 3434</t>
  </si>
  <si>
    <t>027-2123227</t>
  </si>
  <si>
    <t>Scallywaggs SPROUTS CHB 2</t>
  </si>
  <si>
    <t>06-8422015</t>
  </si>
  <si>
    <t>office@scallywaggs.co.nz</t>
  </si>
  <si>
    <t>13 Russell Street</t>
  </si>
  <si>
    <t>Robyn Hotton</t>
  </si>
  <si>
    <t>P O Box 136</t>
  </si>
  <si>
    <t>Hawkes Bay 4200</t>
  </si>
  <si>
    <t>06- 858 7404</t>
  </si>
  <si>
    <t>Busy Bees Morrinsville</t>
  </si>
  <si>
    <t>07-8895846</t>
  </si>
  <si>
    <t>info@morrinsville.busybees.org.nz</t>
  </si>
  <si>
    <t>2568 State Highway 26</t>
  </si>
  <si>
    <t>Stacie Claridge</t>
  </si>
  <si>
    <t>07-889 5846</t>
  </si>
  <si>
    <t>Kindy Bubz</t>
  </si>
  <si>
    <t>07-8555711</t>
  </si>
  <si>
    <t>1 Colman St</t>
  </si>
  <si>
    <t>Waikato Montessori Early Education Centre</t>
  </si>
  <si>
    <t>07-8583563</t>
  </si>
  <si>
    <t>admin@goldenbeads.org.nz</t>
  </si>
  <si>
    <t>267 Newell Road</t>
  </si>
  <si>
    <t>Tamahere West</t>
  </si>
  <si>
    <t>Diane Bhana</t>
  </si>
  <si>
    <t>P O Box 10161</t>
  </si>
  <si>
    <t xml:space="preserve">Waikato </t>
  </si>
  <si>
    <t>BestStart Dey Street</t>
  </si>
  <si>
    <t>07-8582618</t>
  </si>
  <si>
    <t>dey@best-start.org</t>
  </si>
  <si>
    <t>421 Dey Street</t>
  </si>
  <si>
    <t>Impressions Childcare Centre</t>
  </si>
  <si>
    <t>07-8719109</t>
  </si>
  <si>
    <t>impressionschildcare@xtra.co.nz</t>
  </si>
  <si>
    <t>805 Crozier Street</t>
  </si>
  <si>
    <t>Pirongia</t>
  </si>
  <si>
    <t>Pirongia-Kakepuku General Ward</t>
  </si>
  <si>
    <t>Susan McOnie</t>
  </si>
  <si>
    <t>805 Crozier St</t>
  </si>
  <si>
    <t xml:space="preserve">Pirongia </t>
  </si>
  <si>
    <t>Li'l Pumpkins Early Learning Tamahere</t>
  </si>
  <si>
    <t>07-8590090</t>
  </si>
  <si>
    <t>48a Devine Road, RD3</t>
  </si>
  <si>
    <t>Tamahere</t>
  </si>
  <si>
    <t>Kowhai Childcare</t>
  </si>
  <si>
    <t>0508-492536</t>
  </si>
  <si>
    <t>manager@kowhaitui.co.nz</t>
  </si>
  <si>
    <t>68 Te Manatu Drive</t>
  </si>
  <si>
    <t>Te Manatu</t>
  </si>
  <si>
    <t>Victoria Corley Millar</t>
  </si>
  <si>
    <t>Coromandel Community Preschool</t>
  </si>
  <si>
    <t>07-8667570</t>
  </si>
  <si>
    <t>coropreschool@xtra.co.nz</t>
  </si>
  <si>
    <t>155 Pottery Lane</t>
  </si>
  <si>
    <t>Coromandel-Colville Ward</t>
  </si>
  <si>
    <t>Debra Attwood</t>
  </si>
  <si>
    <t>Waikato 3506</t>
  </si>
  <si>
    <t>07-8667660</t>
  </si>
  <si>
    <t>Cambridge E L Centre The Pagoda</t>
  </si>
  <si>
    <t>07-8274727</t>
  </si>
  <si>
    <t>10 Fort St</t>
  </si>
  <si>
    <t>Laura Herbert</t>
  </si>
  <si>
    <t>021-1619990</t>
  </si>
  <si>
    <t>Learn A Lot Childcare</t>
  </si>
  <si>
    <t>07-8525300</t>
  </si>
  <si>
    <t>eric.curray@gmail.com</t>
  </si>
  <si>
    <t xml:space="preserve"> Rototuna Retail Centre Shop 13, 44 Horsham Downs Road</t>
  </si>
  <si>
    <t>New Service</t>
  </si>
  <si>
    <t>Eric Curray</t>
  </si>
  <si>
    <t>5 Southbrook Close</t>
  </si>
  <si>
    <t xml:space="preserve">Hamilton </t>
  </si>
  <si>
    <t>022-0143206</t>
  </si>
  <si>
    <t>Pohutukawa 1 - Quality</t>
  </si>
  <si>
    <t>06-8683102</t>
  </si>
  <si>
    <t>7 Ballance Street</t>
  </si>
  <si>
    <t>Whataupoko</t>
  </si>
  <si>
    <t>Whataupoko West</t>
  </si>
  <si>
    <t>Natalie Torrance</t>
  </si>
  <si>
    <t>P O Box 562</t>
  </si>
  <si>
    <t>Te Hapara</t>
  </si>
  <si>
    <t>06-8671008</t>
  </si>
  <si>
    <t>Jack and Jill Educare</t>
  </si>
  <si>
    <t>07-8434420</t>
  </si>
  <si>
    <t>info@jackandjill.co.nz</t>
  </si>
  <si>
    <t>29 Gallagher Drive</t>
  </si>
  <si>
    <t>Mandy Suess</t>
  </si>
  <si>
    <t>P O Box 16176</t>
  </si>
  <si>
    <t>Hamilton 3245</t>
  </si>
  <si>
    <t>Whitianga Explorers Ltd t/a Mercury Bay Preschool</t>
  </si>
  <si>
    <t>07-8664945</t>
  </si>
  <si>
    <t>admin@mercurybaypreschool.co.nz</t>
  </si>
  <si>
    <t>58 Kupe Drive</t>
  </si>
  <si>
    <t>Whitianga Waterways</t>
  </si>
  <si>
    <t>Maria Maskery</t>
  </si>
  <si>
    <t>Whitianga 3510</t>
  </si>
  <si>
    <t>Education Angels In Home Childcare Wellington</t>
  </si>
  <si>
    <t xml:space="preserve">06-353 5303 </t>
  </si>
  <si>
    <t>kristin.reese@educationangels.co.nz</t>
  </si>
  <si>
    <t>23 Cornwall Street</t>
  </si>
  <si>
    <t>Hutt Central North</t>
  </si>
  <si>
    <t>Kristin Reese</t>
  </si>
  <si>
    <t>Wellington 5010</t>
  </si>
  <si>
    <t>0508-264 357</t>
  </si>
  <si>
    <t>Te Kōhanga Reo o Ngā Kuaka</t>
  </si>
  <si>
    <t>07-856 2982</t>
  </si>
  <si>
    <t>159 Silverdale Road</t>
  </si>
  <si>
    <t>Silverdale-Hamilton</t>
  </si>
  <si>
    <t>Ruakura</t>
  </si>
  <si>
    <t>Kindy Totz</t>
  </si>
  <si>
    <t>07-8538164</t>
  </si>
  <si>
    <t>2 Colman St</t>
  </si>
  <si>
    <t>Junior Junction</t>
  </si>
  <si>
    <t>07-8394588</t>
  </si>
  <si>
    <t>hamilton@juniorjunction.co.nz</t>
  </si>
  <si>
    <t>9-11 Richmond Street</t>
  </si>
  <si>
    <t>Tania Lisignoli</t>
  </si>
  <si>
    <t>P O Box 41487</t>
  </si>
  <si>
    <t>Auckland 1346</t>
  </si>
  <si>
    <t>Kids Collective</t>
  </si>
  <si>
    <t>07-8889930</t>
  </si>
  <si>
    <t>kcgeorgestreet@xtra.co.nz</t>
  </si>
  <si>
    <t>32 Waharoa Road West</t>
  </si>
  <si>
    <t>535 State Highway 25 RD 6</t>
  </si>
  <si>
    <t>Thames 3576</t>
  </si>
  <si>
    <t>Hopscotch Preschool</t>
  </si>
  <si>
    <t>07-8738739</t>
  </si>
  <si>
    <t>preschool@hopscotch.kiwi</t>
  </si>
  <si>
    <t>59 Haerehuka St</t>
  </si>
  <si>
    <t>BestStart Maui Street</t>
  </si>
  <si>
    <t>07- 8473714</t>
  </si>
  <si>
    <t>maui@best-start.org</t>
  </si>
  <si>
    <t>6 Maui Street</t>
  </si>
  <si>
    <t>Te Rapa North</t>
  </si>
  <si>
    <t>Te Kōhanga Reo o Tāwerawera Ki Te Kūao o Taupiri</t>
  </si>
  <si>
    <t>07-824 6742</t>
  </si>
  <si>
    <t>1 Kainui Road</t>
  </si>
  <si>
    <t>Taupiri</t>
  </si>
  <si>
    <t>Taupiri-Lake Kainui</t>
  </si>
  <si>
    <t>Te Kōhanga Reo o Te Ao Hou</t>
  </si>
  <si>
    <t>07-895 5946</t>
  </si>
  <si>
    <t>663 Ongarue Back Road Okahukura</t>
  </si>
  <si>
    <t>Ngapuke</t>
  </si>
  <si>
    <t>Amelia Paea</t>
  </si>
  <si>
    <t>04-5762005</t>
  </si>
  <si>
    <t>Country Kids Kindergarten</t>
  </si>
  <si>
    <t>07-8891456</t>
  </si>
  <si>
    <t>Corner Ngarua &amp; SH26</t>
  </si>
  <si>
    <t>Waitoa</t>
  </si>
  <si>
    <t>Waitoa-Ngarua</t>
  </si>
  <si>
    <t>Te Kōhanga Reo o Whatawhata</t>
  </si>
  <si>
    <t>07-829 3369</t>
  </si>
  <si>
    <t>Maori Point Road, Te Papa o Ro</t>
  </si>
  <si>
    <t>Whatawhata</t>
  </si>
  <si>
    <t>Whatawhata East</t>
  </si>
  <si>
    <t>Growing Wings on Grey</t>
  </si>
  <si>
    <t>ongrey@growingwingselcco.nz</t>
  </si>
  <si>
    <t>185 Grey St</t>
  </si>
  <si>
    <t>Rebecca Crabb</t>
  </si>
  <si>
    <t>128 Bankwood Road</t>
  </si>
  <si>
    <t>021-0481004</t>
  </si>
  <si>
    <t>Elim Early Learning Centre Cambridge</t>
  </si>
  <si>
    <t>07-8233216</t>
  </si>
  <si>
    <t>manager@elimcambridge.org.nz</t>
  </si>
  <si>
    <t>10 Wordsworth Street</t>
  </si>
  <si>
    <t>Pentecostal</t>
  </si>
  <si>
    <t>Jeff Parker</t>
  </si>
  <si>
    <t>Waikato 3432</t>
  </si>
  <si>
    <t>027-2448771</t>
  </si>
  <si>
    <t>Busy Bees Cambridge</t>
  </si>
  <si>
    <t>07-8233300</t>
  </si>
  <si>
    <t>info@cambridge.busybees.org.nz</t>
  </si>
  <si>
    <t>116 Swayne Rd</t>
  </si>
  <si>
    <t>Cambridge North</t>
  </si>
  <si>
    <t>Rowena Ormsby</t>
  </si>
  <si>
    <t>07-823 3300</t>
  </si>
  <si>
    <t>Barnardos Early Learning Centre Turua</t>
  </si>
  <si>
    <t>07-8675392</t>
  </si>
  <si>
    <t>TuruaELC@Barnardos.org.nz</t>
  </si>
  <si>
    <t>Turua Domain Raupoiti St</t>
  </si>
  <si>
    <t>Turua</t>
  </si>
  <si>
    <t>Hauraki Plains East</t>
  </si>
  <si>
    <t>Rebecca Aislabie</t>
  </si>
  <si>
    <t>027-8229780</t>
  </si>
  <si>
    <t>Go Bananas Childcare Cambridge</t>
  </si>
  <si>
    <t>07-8276406</t>
  </si>
  <si>
    <t>info@gobananasnz.co.nz</t>
  </si>
  <si>
    <t>41 Swayne Road</t>
  </si>
  <si>
    <t>Steven (Prabhat) Dogra</t>
  </si>
  <si>
    <t>P O Box 82266</t>
  </si>
  <si>
    <t>021-2987926</t>
  </si>
  <si>
    <t>Te Kōhanga Amorangi o Whakawātea</t>
  </si>
  <si>
    <t>07-843 3332</t>
  </si>
  <si>
    <t>132 Saxbys Road</t>
  </si>
  <si>
    <t>Lake Cameron</t>
  </si>
  <si>
    <t>Susanne Simmons-Kopa</t>
  </si>
  <si>
    <t>Matapihi Kindergarten</t>
  </si>
  <si>
    <t>07-8257875</t>
  </si>
  <si>
    <t>info@matapihikindergarten.co.nz</t>
  </si>
  <si>
    <t>390 Te Mata Road</t>
  </si>
  <si>
    <t>Whale Bay</t>
  </si>
  <si>
    <t>Angela Kimber</t>
  </si>
  <si>
    <t>390 Te Mata Road RD 1</t>
  </si>
  <si>
    <t>Waikato 3295</t>
  </si>
  <si>
    <t>07-8564404</t>
  </si>
  <si>
    <t>Aria Playcentre</t>
  </si>
  <si>
    <t>Aria School</t>
  </si>
  <si>
    <t>Aria</t>
  </si>
  <si>
    <t>Waitomo Rural Ward</t>
  </si>
  <si>
    <t>Arohena Playcentre</t>
  </si>
  <si>
    <t>Pukewhau Road</t>
  </si>
  <si>
    <t>Arohena</t>
  </si>
  <si>
    <t>Puniu</t>
  </si>
  <si>
    <t>Wharepuhunga General Ward</t>
  </si>
  <si>
    <t>Otorohanga Playcentre</t>
  </si>
  <si>
    <t>paula.mb@playcentre.org.nz</t>
  </si>
  <si>
    <t>40 Te Kawa Street</t>
  </si>
  <si>
    <t>Maihiihi Playcentre</t>
  </si>
  <si>
    <t>748 Maihiihi Road</t>
  </si>
  <si>
    <t>Maihiihi</t>
  </si>
  <si>
    <t>Waipā General Ward</t>
  </si>
  <si>
    <t>Pio Pio Playcentre</t>
  </si>
  <si>
    <t>14 Ruru Street</t>
  </si>
  <si>
    <t>Piranui Pa</t>
  </si>
  <si>
    <t>Pirongia Playcentre</t>
  </si>
  <si>
    <t>762 Franklin Street</t>
  </si>
  <si>
    <t>Puahue Playcentre</t>
  </si>
  <si>
    <t>Puahue Road</t>
  </si>
  <si>
    <t>Rotoorangi</t>
  </si>
  <si>
    <t>Pukeatua Playcentre</t>
  </si>
  <si>
    <t>Arapuni Road</t>
  </si>
  <si>
    <t>Pukeatua</t>
  </si>
  <si>
    <t>Rotongata</t>
  </si>
  <si>
    <t>Te Awamutu Playcentre</t>
  </si>
  <si>
    <t>99 Bond Road</t>
  </si>
  <si>
    <t>Te Kuiti Playcentre</t>
  </si>
  <si>
    <t>16 Ward Street</t>
  </si>
  <si>
    <t>Te Kūiti West</t>
  </si>
  <si>
    <t>Wharepuhunga Playcentre</t>
  </si>
  <si>
    <t>Wharepuhunga Road</t>
  </si>
  <si>
    <t>Kio Kio-Korakonui General Ward</t>
  </si>
  <si>
    <t>Coromandel Playcentre</t>
  </si>
  <si>
    <t>Woollams Avenue</t>
  </si>
  <si>
    <t>Mangatangi &amp; Districts Playcentre</t>
  </si>
  <si>
    <t>2053 Miranda Road</t>
  </si>
  <si>
    <t>Pokeno</t>
  </si>
  <si>
    <t>Manawaru Playcentre</t>
  </si>
  <si>
    <t xml:space="preserve"> 405B Manawaru Road</t>
  </si>
  <si>
    <t>Waihou-Manawaru</t>
  </si>
  <si>
    <t>Ngatea Playcentre</t>
  </si>
  <si>
    <t>McMillan Street</t>
  </si>
  <si>
    <t>Paeroa Playcentre</t>
  </si>
  <si>
    <t>58 Aorangi Road</t>
  </si>
  <si>
    <t>Te Aroha Playcentre</t>
  </si>
  <si>
    <t>Terminus Street</t>
  </si>
  <si>
    <t>Thames/Parawai Playcentre</t>
  </si>
  <si>
    <t>331 Parawai Road</t>
  </si>
  <si>
    <t>Thames South</t>
  </si>
  <si>
    <t>Turua Playcentre</t>
  </si>
  <si>
    <t>07-8675406</t>
  </si>
  <si>
    <t>12 Raratuna Street</t>
  </si>
  <si>
    <t>Waihi Beach Playcentre</t>
  </si>
  <si>
    <t>Waihi Beach</t>
  </si>
  <si>
    <t>Waihī Beach-Bowentown</t>
  </si>
  <si>
    <t>Whangamata Playcentre</t>
  </si>
  <si>
    <t>99 Achilles Avenue</t>
  </si>
  <si>
    <t>Whangamata</t>
  </si>
  <si>
    <t>Whangamatā East</t>
  </si>
  <si>
    <t>Whitianga Playcentre</t>
  </si>
  <si>
    <t>027-8803947</t>
  </si>
  <si>
    <t>1 D White Street</t>
  </si>
  <si>
    <t>Cambridge Playcentre</t>
  </si>
  <si>
    <t>07-8471739</t>
  </si>
  <si>
    <t>Vogel Street</t>
  </si>
  <si>
    <t>Deanwell Playcentre</t>
  </si>
  <si>
    <t>Deanwell Avenue</t>
  </si>
  <si>
    <t>Dinsdale Playcentre</t>
  </si>
  <si>
    <t>Frederick Drive</t>
  </si>
  <si>
    <t>Hamilton East Playcentre</t>
  </si>
  <si>
    <t>46 Graham Street</t>
  </si>
  <si>
    <t>Horotiu Playcentre</t>
  </si>
  <si>
    <t>89 B Horotiu Bridge Road</t>
  </si>
  <si>
    <t>Huimai Playcentre</t>
  </si>
  <si>
    <t>07-8876622</t>
  </si>
  <si>
    <t>32 Seifert Road</t>
  </si>
  <si>
    <t>Tauhei</t>
  </si>
  <si>
    <t>Whitikahu</t>
  </si>
  <si>
    <t>Leamington Playcentre</t>
  </si>
  <si>
    <t>Cnr Burns &amp; Thompson Streets</t>
  </si>
  <si>
    <t>Morrinsville Playcentre</t>
  </si>
  <si>
    <t>55 Lorne Street</t>
  </si>
  <si>
    <t>Nawton Family Playcentre</t>
  </si>
  <si>
    <t>82 Dominion Road</t>
  </si>
  <si>
    <t>Ohaupo Playcentre</t>
  </si>
  <si>
    <t>Forkert Road</t>
  </si>
  <si>
    <t>Ohaupo</t>
  </si>
  <si>
    <t>Kaipaki</t>
  </si>
  <si>
    <t>Paterson Street Playcentre</t>
  </si>
  <si>
    <t>40 Paterson Street</t>
  </si>
  <si>
    <t>Peachgrove Playcentre</t>
  </si>
  <si>
    <t>80 Peachgrove Road</t>
  </si>
  <si>
    <t>River Downs Playcentre</t>
  </si>
  <si>
    <t>5 Endeavour Avenue</t>
  </si>
  <si>
    <t>Tamahere Playcentre</t>
  </si>
  <si>
    <t>Devine Road</t>
  </si>
  <si>
    <t>Taupiri Playcentre</t>
  </si>
  <si>
    <t>Greenlane Road</t>
  </si>
  <si>
    <t>Tahuna Playcentre</t>
  </si>
  <si>
    <t>Ohinewai Road</t>
  </si>
  <si>
    <t>Tahuna-Mangateparu</t>
  </si>
  <si>
    <t>Te Akau &amp; Districts Playcentre</t>
  </si>
  <si>
    <t>C/- Te Akau School 953 Te Akau Road</t>
  </si>
  <si>
    <t>Te Ākau</t>
  </si>
  <si>
    <t>Ashurst Park Playcentre</t>
  </si>
  <si>
    <t>61a Ashurst Avenue</t>
  </si>
  <si>
    <t>Pukete West</t>
  </si>
  <si>
    <t>Cambridge E L Centre \The Castle\""</t>
  </si>
  <si>
    <t>10 Fort Street</t>
  </si>
  <si>
    <t>Riverlea Kindergarten</t>
  </si>
  <si>
    <t>07-8560127</t>
  </si>
  <si>
    <t>Riverleakindergarten@xtra.co.nz</t>
  </si>
  <si>
    <t>Hillcrest Normal School</t>
  </si>
  <si>
    <t>Riverlea</t>
  </si>
  <si>
    <t>Donna Towner</t>
  </si>
  <si>
    <t>P O Box 11098</t>
  </si>
  <si>
    <t>Hamilton 3251</t>
  </si>
  <si>
    <t>027-5093322</t>
  </si>
  <si>
    <t>Campus Creche Trust</t>
  </si>
  <si>
    <t>07-8384034</t>
  </si>
  <si>
    <t>creche@campuscreche.co.nz</t>
  </si>
  <si>
    <t>186 Hillcrest Road</t>
  </si>
  <si>
    <t>Ezekiel Trust Community Kindergarten</t>
  </si>
  <si>
    <t>07-8897891</t>
  </si>
  <si>
    <t>kindy@ezekieltrust.org</t>
  </si>
  <si>
    <t>Baptist Church Moorhouse Street</t>
  </si>
  <si>
    <t>Gwenneth Bonnar</t>
  </si>
  <si>
    <t>P O Box 256</t>
  </si>
  <si>
    <t>Waikato 3340</t>
  </si>
  <si>
    <t>027-7119478</t>
  </si>
  <si>
    <t>Fairfield Early Education Centre</t>
  </si>
  <si>
    <t>07-8564649</t>
  </si>
  <si>
    <t>55 Bankwood Road</t>
  </si>
  <si>
    <t>Miropiko</t>
  </si>
  <si>
    <t>EEW Homebased Education - West</t>
  </si>
  <si>
    <t>291 Grey Street</t>
  </si>
  <si>
    <t>Claudelands Early Education Centre</t>
  </si>
  <si>
    <t>07-8554837</t>
  </si>
  <si>
    <t>17 O'Neill Street</t>
  </si>
  <si>
    <t>Flourish Early Learning Ltd</t>
  </si>
  <si>
    <t>07-8715393</t>
  </si>
  <si>
    <t>kate@flourishearlylearning.nz</t>
  </si>
  <si>
    <t>433 Rewi Street</t>
  </si>
  <si>
    <t>Te Awamutu Stadium</t>
  </si>
  <si>
    <t>Kate Welten</t>
  </si>
  <si>
    <t>Te Awamutu 3800</t>
  </si>
  <si>
    <t>027-3409962</t>
  </si>
  <si>
    <t>Matamata Childcare Centre</t>
  </si>
  <si>
    <t>07-8888574</t>
  </si>
  <si>
    <t>kidscorner1@xtra.co.nz</t>
  </si>
  <si>
    <t>61 Smith Street</t>
  </si>
  <si>
    <t>Rhiannon King</t>
  </si>
  <si>
    <t>P O Box 298</t>
  </si>
  <si>
    <t>Waikato 3440</t>
  </si>
  <si>
    <t>McKenzie Centre</t>
  </si>
  <si>
    <t>07-8395357</t>
  </si>
  <si>
    <t>admin@mckenziecentre.org.nz</t>
  </si>
  <si>
    <t>30 Hammond Street</t>
  </si>
  <si>
    <t xml:space="preserve">Beverley  Haddon </t>
  </si>
  <si>
    <t>Wondernauts</t>
  </si>
  <si>
    <t>07-8563115</t>
  </si>
  <si>
    <t>hello@wondernauts.co.nz</t>
  </si>
  <si>
    <t>Ruakura Research Centre 10  Bisley Road</t>
  </si>
  <si>
    <t>Victoria Hill</t>
  </si>
  <si>
    <t>Ruakura Agricultural Centre Private Bag 3123</t>
  </si>
  <si>
    <t>Hamilton 3240</t>
  </si>
  <si>
    <t>Central Kids Kindergartens– Taumarunui</t>
  </si>
  <si>
    <t>30 Huia Street</t>
  </si>
  <si>
    <t>Te Kowhai Kindergarten</t>
  </si>
  <si>
    <t>07-8297686</t>
  </si>
  <si>
    <t>473 Bedford Road, RD8</t>
  </si>
  <si>
    <t>Te Kowhai</t>
  </si>
  <si>
    <t>Te Kōwhai</t>
  </si>
  <si>
    <t>Te Rapa Early Education Centre</t>
  </si>
  <si>
    <t>07-8497693</t>
  </si>
  <si>
    <t>76 Vickery Street</t>
  </si>
  <si>
    <t>Thames Early Childhood Education Centre</t>
  </si>
  <si>
    <t>07-8687028</t>
  </si>
  <si>
    <t>tecec@xtra.co.nz</t>
  </si>
  <si>
    <t>100 Haven Street</t>
  </si>
  <si>
    <t>Phyllis Heemi</t>
  </si>
  <si>
    <t>Waikato 3500</t>
  </si>
  <si>
    <t>07-8626375</t>
  </si>
  <si>
    <t>Go Bananas Childcare Boutique Centre</t>
  </si>
  <si>
    <t>07-8477979</t>
  </si>
  <si>
    <t>82 Rimu Street</t>
  </si>
  <si>
    <t>Maeroa</t>
  </si>
  <si>
    <t>Colville Bay Pre-School</t>
  </si>
  <si>
    <t>022-645 3272</t>
  </si>
  <si>
    <t>admin@colvillebaypreschool.co.nz</t>
  </si>
  <si>
    <t>2391 Colville Road</t>
  </si>
  <si>
    <t>Colville</t>
  </si>
  <si>
    <t xml:space="preserve">Belinda  Williams </t>
  </si>
  <si>
    <t>P O Box 35</t>
  </si>
  <si>
    <t>Waikato 3547</t>
  </si>
  <si>
    <t>Te Pahu Preschool Group</t>
  </si>
  <si>
    <t>07-8259908</t>
  </si>
  <si>
    <t>office@tepahupreschool.co.nz</t>
  </si>
  <si>
    <t>731 Te Pahu Road</t>
  </si>
  <si>
    <t>Te Pahu</t>
  </si>
  <si>
    <t>Amanda Eady</t>
  </si>
  <si>
    <t>Cnr Te Pahu &amp; Limeworks Loop RD 5</t>
  </si>
  <si>
    <t>Hamilton 3285</t>
  </si>
  <si>
    <t>Growing Wings Whangamata</t>
  </si>
  <si>
    <t>07-865 9899</t>
  </si>
  <si>
    <t>104 Mark Street</t>
  </si>
  <si>
    <t>Paeroa Early Learning Centre</t>
  </si>
  <si>
    <t>07-862 7669</t>
  </si>
  <si>
    <t>paeroaelc@gmail.com</t>
  </si>
  <si>
    <t>9 Nowra Crescent</t>
  </si>
  <si>
    <t>Brian Dobbs</t>
  </si>
  <si>
    <t>Paeroa 3600</t>
  </si>
  <si>
    <t>021-2227008</t>
  </si>
  <si>
    <t>BestStart Te Awamutu</t>
  </si>
  <si>
    <t>07-8718810</t>
  </si>
  <si>
    <t>teawamutu@best-start.org</t>
  </si>
  <si>
    <t>86 George Street</t>
  </si>
  <si>
    <t>Te Awamutu Central</t>
  </si>
  <si>
    <t>Central Kids Kindergartens - Tokoroa</t>
  </si>
  <si>
    <t>07-886 5088</t>
  </si>
  <si>
    <t>tokoroa@centralkids.org.nz</t>
  </si>
  <si>
    <t>97 Grampian Street</t>
  </si>
  <si>
    <t>BestStart Whangamata</t>
  </si>
  <si>
    <t>07-8659590</t>
  </si>
  <si>
    <t>whangamata@best-start.org</t>
  </si>
  <si>
    <t>107 Casement Road</t>
  </si>
  <si>
    <t>EEW Homebased Education - East</t>
  </si>
  <si>
    <t>Wana Tamariki Trust</t>
  </si>
  <si>
    <t>07-8557013</t>
  </si>
  <si>
    <t>cewaikato@xtra.co.nz</t>
  </si>
  <si>
    <t>C/- Woodstock School 43 Fairfield Road</t>
  </si>
  <si>
    <t>Vicki Coddington</t>
  </si>
  <si>
    <t>P O Box 12066</t>
  </si>
  <si>
    <t>Chartwell Square</t>
  </si>
  <si>
    <t>Hamilton 3248</t>
  </si>
  <si>
    <t>07-855 7013</t>
  </si>
  <si>
    <t>Hillcrest High School Community Childcare</t>
  </si>
  <si>
    <t>07-8568707</t>
  </si>
  <si>
    <t>manager@hhcentre.co.nz</t>
  </si>
  <si>
    <t>Carrington Avenue</t>
  </si>
  <si>
    <t>Silverdale (Hamilton City)</t>
  </si>
  <si>
    <t>Dominic Hopkirk</t>
  </si>
  <si>
    <t>P O Box 13063</t>
  </si>
  <si>
    <t>07-8259814</t>
  </si>
  <si>
    <t>Kidz @ Wintec</t>
  </si>
  <si>
    <t>07-8348812</t>
  </si>
  <si>
    <t>lisa.baker@wintec.ac.nz</t>
  </si>
  <si>
    <t>Gate 4 Tristram St</t>
  </si>
  <si>
    <t>Lisa Baker</t>
  </si>
  <si>
    <t>07-8248812</t>
  </si>
  <si>
    <t>Tokoroa Childcare Centre</t>
  </si>
  <si>
    <t>07-8868605</t>
  </si>
  <si>
    <t>admin@tokark.co.nz</t>
  </si>
  <si>
    <t>50 Maraetai Road</t>
  </si>
  <si>
    <t>Jacinta Stavert</t>
  </si>
  <si>
    <t>P O Box 630</t>
  </si>
  <si>
    <t>Tokoroa 3444</t>
  </si>
  <si>
    <t>Educare Pukete</t>
  </si>
  <si>
    <t>07-8496780</t>
  </si>
  <si>
    <t>pukete@educare.co.nz</t>
  </si>
  <si>
    <t>1 Cullimore Street</t>
  </si>
  <si>
    <t>Miao  Wang</t>
  </si>
  <si>
    <t>027-2102329</t>
  </si>
  <si>
    <t>Pioneer Kids Early Learning Centre</t>
  </si>
  <si>
    <t>07-8689823</t>
  </si>
  <si>
    <t>linda@pioneerkidselc.co.nz</t>
  </si>
  <si>
    <t>601a Mackay Street Service Lane 7</t>
  </si>
  <si>
    <t>Angela  Steers</t>
  </si>
  <si>
    <t>Pukehangi</t>
  </si>
  <si>
    <t>Rotorua 3015</t>
  </si>
  <si>
    <t>027-4867724</t>
  </si>
  <si>
    <t>Waikids Early Childhood Centre</t>
  </si>
  <si>
    <t>07-8398899 Ext 96747</t>
  </si>
  <si>
    <t>naomi.knight@waikatodhb.health.nz</t>
  </si>
  <si>
    <t>Waikato Hospital Pembroke Street</t>
  </si>
  <si>
    <t>Naomi Knight</t>
  </si>
  <si>
    <t>Waikato Hospital Play Specialist Service Private Bag 3200</t>
  </si>
  <si>
    <t>Pukeko Country Preschool</t>
  </si>
  <si>
    <t>07-8240860</t>
  </si>
  <si>
    <t>pukekopreschool@xtra.co.nz</t>
  </si>
  <si>
    <t>20 Scotsman Valley Road</t>
  </si>
  <si>
    <t>Tauwhare-Hamilton</t>
  </si>
  <si>
    <t>Eureka-Tauwhare</t>
  </si>
  <si>
    <t>Jo Morris</t>
  </si>
  <si>
    <t>20 Scotsman Valley Road RD 7</t>
  </si>
  <si>
    <t>Hamilton 3287</t>
  </si>
  <si>
    <t>027-4702080</t>
  </si>
  <si>
    <t>Country Gate Early Learning</t>
  </si>
  <si>
    <t>07-8295635</t>
  </si>
  <si>
    <t>hello@countrygate.co.nz</t>
  </si>
  <si>
    <t>608 Marychurch Road</t>
  </si>
  <si>
    <t>Matangi</t>
  </si>
  <si>
    <t>Pukemoremore</t>
  </si>
  <si>
    <t>Kate Watson</t>
  </si>
  <si>
    <t>7 Burr St</t>
  </si>
  <si>
    <t>027-3423498</t>
  </si>
  <si>
    <t>Thames Coast Community Kindergarten Inc</t>
  </si>
  <si>
    <t>07-8682444</t>
  </si>
  <si>
    <t>tcckindy@gmail.com</t>
  </si>
  <si>
    <t>4 West Crescent</t>
  </si>
  <si>
    <t>Te Puru</t>
  </si>
  <si>
    <t>Thames Coast</t>
  </si>
  <si>
    <t>Kate McGee</t>
  </si>
  <si>
    <t>4 West Crescent RD 5</t>
  </si>
  <si>
    <t>Thames 3575</t>
  </si>
  <si>
    <t>022-0175460</t>
  </si>
  <si>
    <t>Wildlings Early Learning</t>
  </si>
  <si>
    <t>07-8636466</t>
  </si>
  <si>
    <t>4 Russell Street</t>
  </si>
  <si>
    <t>Waihī North</t>
  </si>
  <si>
    <t>Alisha Rohloff</t>
  </si>
  <si>
    <t>43B Wilson Road</t>
  </si>
  <si>
    <t xml:space="preserve">Waihi Beach </t>
  </si>
  <si>
    <t>027-7826434</t>
  </si>
  <si>
    <t>Pukekos Educare Thames</t>
  </si>
  <si>
    <t>07-8685027</t>
  </si>
  <si>
    <t>admin@pukekoseducare.co.nz</t>
  </si>
  <si>
    <t>11 Waipapa Road</t>
  </si>
  <si>
    <t>Totora-Kopu</t>
  </si>
  <si>
    <t>Miffy Welsh</t>
  </si>
  <si>
    <t>P O Box 714</t>
  </si>
  <si>
    <t>Thames 3540</t>
  </si>
  <si>
    <t>07-8675640</t>
  </si>
  <si>
    <t>Huntly Early Childhood Centre Inc.</t>
  </si>
  <si>
    <t>07-8289392</t>
  </si>
  <si>
    <t>hecc@xtra.co.nz</t>
  </si>
  <si>
    <t>1 Kosoof Place</t>
  </si>
  <si>
    <t>Huntly East</t>
  </si>
  <si>
    <t>Penny Dawbin</t>
  </si>
  <si>
    <t>Waikato 3700</t>
  </si>
  <si>
    <t>07-8288333</t>
  </si>
  <si>
    <t>BestStart Primrose Street</t>
  </si>
  <si>
    <t>07-8471099</t>
  </si>
  <si>
    <t>41 Primrose Street</t>
  </si>
  <si>
    <t>Elite Early Childhood Education Ltd</t>
  </si>
  <si>
    <t>07-8636639</t>
  </si>
  <si>
    <t>elite.ece.waihi@gmail.com</t>
  </si>
  <si>
    <t>13 Wrigley Street</t>
  </si>
  <si>
    <t>Dita Huizing</t>
  </si>
  <si>
    <t>Waihi 3610</t>
  </si>
  <si>
    <t>Kuaotunu Kindergarten</t>
  </si>
  <si>
    <t>07-866 2841</t>
  </si>
  <si>
    <t>Irishtown Road</t>
  </si>
  <si>
    <t>Kuaotunu</t>
  </si>
  <si>
    <t>Mercury Bay North</t>
  </si>
  <si>
    <t xml:space="preserve">Hannah  Barsi </t>
  </si>
  <si>
    <t>4 Cuvier Crescent RD RD 2</t>
  </si>
  <si>
    <t>Whitianga 3592</t>
  </si>
  <si>
    <t>07-8660094</t>
  </si>
  <si>
    <t>Te Ara Metua Punanga Reo Kuki Airani</t>
  </si>
  <si>
    <t>07-8868807</t>
  </si>
  <si>
    <t>4-6 O'Sullivan Drive</t>
  </si>
  <si>
    <t>Metua  Tangaroa-Daniel-Malietoa</t>
  </si>
  <si>
    <t>P O Box 117</t>
  </si>
  <si>
    <t>River Kids Early Learning Centre</t>
  </si>
  <si>
    <t>07-8550666</t>
  </si>
  <si>
    <t>2 Donny Avenue</t>
  </si>
  <si>
    <t>Showanna Palaone</t>
  </si>
  <si>
    <t>15 Riverlinks Lane</t>
  </si>
  <si>
    <t>Flagstaff</t>
  </si>
  <si>
    <t>07-8544069</t>
  </si>
  <si>
    <t>Happy Little Learners</t>
  </si>
  <si>
    <t>07-8566594</t>
  </si>
  <si>
    <t>office@happylittlelearners.co.nz</t>
  </si>
  <si>
    <t>12 Fenwick Crescent</t>
  </si>
  <si>
    <t>Narinder Kaur</t>
  </si>
  <si>
    <t>4 Waione Court</t>
  </si>
  <si>
    <t>Auckland 2112</t>
  </si>
  <si>
    <t>Hillcrest Kāhui Ako</t>
  </si>
  <si>
    <t>YMCA Early Learning Centre</t>
  </si>
  <si>
    <t>07-2100685</t>
  </si>
  <si>
    <t>markmarkou@ymcahamilton.org.nz</t>
  </si>
  <si>
    <t>36 Pembroke Street</t>
  </si>
  <si>
    <t>Mark Markou</t>
  </si>
  <si>
    <t>Te Puna o Tarawa ECE</t>
  </si>
  <si>
    <t>07-315 5967</t>
  </si>
  <si>
    <t>rowena.richmond@whakatohea.co.nz</t>
  </si>
  <si>
    <t>26 Buchanan Street</t>
  </si>
  <si>
    <t>Rowena Richmond</t>
  </si>
  <si>
    <t>P O Box 207</t>
  </si>
  <si>
    <t>Opotiki 3122</t>
  </si>
  <si>
    <t>07-3155967</t>
  </si>
  <si>
    <t>BestStart Te Aroha</t>
  </si>
  <si>
    <t>07-8848342</t>
  </si>
  <si>
    <t>tearoha@best-start.org</t>
  </si>
  <si>
    <t>72 Rewi Street</t>
  </si>
  <si>
    <t>Whanui Early Learning Centre</t>
  </si>
  <si>
    <t>07-8289394</t>
  </si>
  <si>
    <t>Parry Street</t>
  </si>
  <si>
    <t>Huntly West</t>
  </si>
  <si>
    <t>Te Aira Berryman</t>
  </si>
  <si>
    <t>Waikato 3740</t>
  </si>
  <si>
    <t>07-8289695</t>
  </si>
  <si>
    <t>Pauanui Pre-School</t>
  </si>
  <si>
    <t>07-864 7754</t>
  </si>
  <si>
    <t>pauanuipreschool@xtra.co.nz</t>
  </si>
  <si>
    <t>Sheppard Avenue</t>
  </si>
  <si>
    <t>Pauanui Beach</t>
  </si>
  <si>
    <t>Pāuanui</t>
  </si>
  <si>
    <t>Monique McDonald</t>
  </si>
  <si>
    <t>P O Box 17</t>
  </si>
  <si>
    <t>Waikato 3546</t>
  </si>
  <si>
    <t>Little Fantails</t>
  </si>
  <si>
    <t>07-8867092</t>
  </si>
  <si>
    <t>manager@littlefantailstokoroa.co.nz</t>
  </si>
  <si>
    <t>83 Bridge Street</t>
  </si>
  <si>
    <t>Natasha Aukett</t>
  </si>
  <si>
    <t>Kindy Kidz</t>
  </si>
  <si>
    <t>07-8555788</t>
  </si>
  <si>
    <t>35 Herbert Road</t>
  </si>
  <si>
    <t>Tots Love Country</t>
  </si>
  <si>
    <t>07-8494820</t>
  </si>
  <si>
    <t>tlcadmin@xtra.co.nz</t>
  </si>
  <si>
    <t>Tots Love Country 16 O'Brien Road, RD9</t>
  </si>
  <si>
    <t>Rotokauri</t>
  </si>
  <si>
    <t>Suzanne Fransen</t>
  </si>
  <si>
    <t>16 O'Brien Road RD 9</t>
  </si>
  <si>
    <t>Waikato 3289</t>
  </si>
  <si>
    <t>07-8495105</t>
  </si>
  <si>
    <t>Bunnies Childcare and Preschool</t>
  </si>
  <si>
    <t>07-8275081</t>
  </si>
  <si>
    <t>enquiries@bunnies.co.nz</t>
  </si>
  <si>
    <t>197 Thornton Road</t>
  </si>
  <si>
    <t>Oaklands-St Kilda</t>
  </si>
  <si>
    <t>Sheree Jones</t>
  </si>
  <si>
    <t>P O Box 1040</t>
  </si>
  <si>
    <t>Cambridge 3450</t>
  </si>
  <si>
    <t>The Busy Hands Montessori Ltd</t>
  </si>
  <si>
    <t>07-8567297</t>
  </si>
  <si>
    <t>56 Cameron Road</t>
  </si>
  <si>
    <t>Greensboro</t>
  </si>
  <si>
    <t>Mizra Abdeen</t>
  </si>
  <si>
    <t>Hamilton 3216</t>
  </si>
  <si>
    <t>022-0362181</t>
  </si>
  <si>
    <t>First Steps Kids Academy</t>
  </si>
  <si>
    <t>07-8466985</t>
  </si>
  <si>
    <t>kidsacademynz@gmail.com</t>
  </si>
  <si>
    <t>29 Green Street</t>
  </si>
  <si>
    <t>Damandeep Kaur</t>
  </si>
  <si>
    <t>187B Grandview Road</t>
  </si>
  <si>
    <t>Hamilton 3200</t>
  </si>
  <si>
    <t>021-02185200</t>
  </si>
  <si>
    <t>Argyle Preschool</t>
  </si>
  <si>
    <t>07-8559939</t>
  </si>
  <si>
    <t>admin@argylepreschool.co.nz</t>
  </si>
  <si>
    <t>5 Argyle Street</t>
  </si>
  <si>
    <t>Melanie Kneebone</t>
  </si>
  <si>
    <t>Waikato 3216</t>
  </si>
  <si>
    <t>Te Kōhanga Reo o Atamārie</t>
  </si>
  <si>
    <t>07-886 6166</t>
  </si>
  <si>
    <t>35 Tainui Street</t>
  </si>
  <si>
    <t>Te Kōhanga Reo o E Tū Puritia</t>
  </si>
  <si>
    <t>07-846 9009</t>
  </si>
  <si>
    <t>63 Grandview Road</t>
  </si>
  <si>
    <t>Te Kōhanga Reo o Kaitumutumu</t>
  </si>
  <si>
    <t>07-828 9802</t>
  </si>
  <si>
    <t>Kaitumu Marae Te Ohaki Road</t>
  </si>
  <si>
    <t>Te Kōhanga Reo o Kauriki</t>
  </si>
  <si>
    <t>07-896 6350</t>
  </si>
  <si>
    <t>Ngapuke Road</t>
  </si>
  <si>
    <t>Te Kōhanga Reo o Kemureti</t>
  </si>
  <si>
    <t>07-827 3306</t>
  </si>
  <si>
    <t>3 Bracken Street</t>
  </si>
  <si>
    <t>Te Kōhanga Reo o Kerepehi</t>
  </si>
  <si>
    <t>07-867 6805</t>
  </si>
  <si>
    <t>Mcgowan Avenue</t>
  </si>
  <si>
    <t>Kerepehi</t>
  </si>
  <si>
    <t>Hauraki Plains South</t>
  </si>
  <si>
    <t>Te Kōhanga Reo o Kutia</t>
  </si>
  <si>
    <t>07-888 5212</t>
  </si>
  <si>
    <t>Raungaiti Marae</t>
  </si>
  <si>
    <t>Waharoa</t>
  </si>
  <si>
    <t>Richmond Downs-Wardville</t>
  </si>
  <si>
    <t>Te Kōhanga Reo o Matai Whetu</t>
  </si>
  <si>
    <t>07-868 9819</t>
  </si>
  <si>
    <t>WHANAU@K04B002.kohanga.ac.nz</t>
  </si>
  <si>
    <t>Matai Whetu Marae Kopu Road</t>
  </si>
  <si>
    <t>Kauaeranga</t>
  </si>
  <si>
    <t>Te Kōhanga Reo o Iti A Rata</t>
  </si>
  <si>
    <t>07-873 0847</t>
  </si>
  <si>
    <t>WHANAU@K04D035.kohanga.ac.nz</t>
  </si>
  <si>
    <t>Otewa Road, RD 5</t>
  </si>
  <si>
    <t>Te Kōhanga Reo o Ōpārure</t>
  </si>
  <si>
    <t>07-878 7667</t>
  </si>
  <si>
    <t>Ōpārure Road</t>
  </si>
  <si>
    <t>Hangatiki</t>
  </si>
  <si>
    <t>Te Kōhanga Reo o Pīpīwharauroa o Te Marae o Hukanui</t>
  </si>
  <si>
    <t>07-824 3401</t>
  </si>
  <si>
    <t>825 Gordonton Road</t>
  </si>
  <si>
    <t>Te Kōhanga Reo Puāwai o Te Awamutu</t>
  </si>
  <si>
    <t>07-871 3883</t>
  </si>
  <si>
    <t>300 Factory Road</t>
  </si>
  <si>
    <t>Te Kōhanga Reo o Puketapu</t>
  </si>
  <si>
    <t>07-828 9650</t>
  </si>
  <si>
    <t>212 Te Ohaki Road</t>
  </si>
  <si>
    <t>Huntly Rural</t>
  </si>
  <si>
    <t>Te Kōhanga Reo o Pukewa</t>
  </si>
  <si>
    <t>07-863 7284</t>
  </si>
  <si>
    <t>Victoria Street</t>
  </si>
  <si>
    <t>Te Kōhanga Reo o Rāhui Pōkeka</t>
  </si>
  <si>
    <t>07-828 7027</t>
  </si>
  <si>
    <t>Harris Street Extension</t>
  </si>
  <si>
    <t>Te Kōhanga Reo o Taharoa</t>
  </si>
  <si>
    <t>07-876 7361</t>
  </si>
  <si>
    <t>Kiwi Street</t>
  </si>
  <si>
    <t>Taharoa</t>
  </si>
  <si>
    <t>Herangi</t>
  </si>
  <si>
    <t>Te Kōhanga Reo o Taringamotu</t>
  </si>
  <si>
    <t>07-895 3042</t>
  </si>
  <si>
    <t>22 Kaitūpeka Pā Road</t>
  </si>
  <si>
    <t>Samuel Ellis</t>
  </si>
  <si>
    <t>Te Kōhanga Reo o Tātou Katoa Rā</t>
  </si>
  <si>
    <t>07-895 5308</t>
  </si>
  <si>
    <t>28 Taumarunui Street</t>
  </si>
  <si>
    <t>Te Kōhanga Reo o Te Awhi Mai</t>
  </si>
  <si>
    <t>07-886 5341</t>
  </si>
  <si>
    <t>Mossop Road</t>
  </si>
  <si>
    <t>Te Kōhanga Reo o Ataahua</t>
  </si>
  <si>
    <t>07-886 4400</t>
  </si>
  <si>
    <t>56 Dalmeny Street</t>
  </si>
  <si>
    <t>Te Kōhanga Reo o Te Kauri</t>
  </si>
  <si>
    <t>07-828 8178</t>
  </si>
  <si>
    <t>c/- Te Kauri Marae 163 Hetherington Road</t>
  </si>
  <si>
    <t>Te Kōhanga Reo Tuarua o Tokoroa</t>
  </si>
  <si>
    <t>07-886 6520</t>
  </si>
  <si>
    <t>11 Ettrick Place</t>
  </si>
  <si>
    <t>Te Kōhanga Reo Tuatahi o Tokoroa</t>
  </si>
  <si>
    <t>07-886 6938</t>
  </si>
  <si>
    <t>3 Balerno Street</t>
  </si>
  <si>
    <t>Te Kōhanga Reo o Te Kuiti</t>
  </si>
  <si>
    <t>07-878 8646</t>
  </si>
  <si>
    <t>24 A Lawrence Street</t>
  </si>
  <si>
    <t>Te Kōhanga Reo o Te Raungaiti</t>
  </si>
  <si>
    <t>07-883 8142</t>
  </si>
  <si>
    <t>160 Domain Road</t>
  </si>
  <si>
    <t>Te Kōhanga Reo o Te Whaanui</t>
  </si>
  <si>
    <t>07-828 7896</t>
  </si>
  <si>
    <t>Parry Street Complex Parry Street</t>
  </si>
  <si>
    <t>Te Kōhanga Reo o Tuhikaramea Inc</t>
  </si>
  <si>
    <t>07-847 2457</t>
  </si>
  <si>
    <t>60 McKay Drive</t>
  </si>
  <si>
    <t>Temple View</t>
  </si>
  <si>
    <t>Te Kōhanga Reo o Tūrangawaewae</t>
  </si>
  <si>
    <t>022-4709658</t>
  </si>
  <si>
    <t>Turangawaewae Marae River Road</t>
  </si>
  <si>
    <t>Te Kōhanga Reo o Whaingaroa</t>
  </si>
  <si>
    <t>07-825 8365</t>
  </si>
  <si>
    <t>94 Riria Kereopa Memorial Driv</t>
  </si>
  <si>
    <t>Te Kōhanga Reo o Whakapiripiri Ki Te Iwi</t>
  </si>
  <si>
    <t>07-855 3886</t>
  </si>
  <si>
    <t>Fifth Avenue</t>
  </si>
  <si>
    <t>Enderley South</t>
  </si>
  <si>
    <t>Te Kōhanga Reo o Te Kohao o Te Ngira</t>
  </si>
  <si>
    <t>07-856 3688</t>
  </si>
  <si>
    <t>951 Wairere Drive</t>
  </si>
  <si>
    <t>Te Kōhanga Reo o Takapūtīraha</t>
  </si>
  <si>
    <t>07-895 7321</t>
  </si>
  <si>
    <t>23 Waituhi Road, Taraingamotu</t>
  </si>
  <si>
    <t>Te  Kōhanga Reo o Te Whānau o Piopio</t>
  </si>
  <si>
    <t>07-877 8185</t>
  </si>
  <si>
    <t>Main North Road</t>
  </si>
  <si>
    <t>Piopio</t>
  </si>
  <si>
    <t>Te Kōhanga Reo o Miropiko</t>
  </si>
  <si>
    <t>07-854 9293</t>
  </si>
  <si>
    <t>Bankwood Road</t>
  </si>
  <si>
    <t>Te Kōhanga Reo o Ruru Te Tupuna</t>
  </si>
  <si>
    <t>07-883 7463</t>
  </si>
  <si>
    <t>38 Scotia Glen</t>
  </si>
  <si>
    <t>Te Kōhanga Reo o Rukumoana</t>
  </si>
  <si>
    <t>07-889 7757</t>
  </si>
  <si>
    <t>Rukumoana Marae Kiwitahi Road</t>
  </si>
  <si>
    <t>Tahuroa</t>
  </si>
  <si>
    <t>Te Kōhanga Reo o Waikeri</t>
  </si>
  <si>
    <t>07-824 8785</t>
  </si>
  <si>
    <t>Ngāruawāhia Road</t>
  </si>
  <si>
    <t>Te Kōhanga Reo o Rangiamokura</t>
  </si>
  <si>
    <t>07-882 8333</t>
  </si>
  <si>
    <t>26 Wairenga Street</t>
  </si>
  <si>
    <t>Mangakino</t>
  </si>
  <si>
    <t>Mangakino-Pouakani General Ward</t>
  </si>
  <si>
    <t>Te Kōhanga Reo o Te Rau Aroha</t>
  </si>
  <si>
    <t>07-888 5933</t>
  </si>
  <si>
    <t>49 Rata Street</t>
  </si>
  <si>
    <t>Matamata East</t>
  </si>
  <si>
    <t>Te Kōhanga Reo o Te Ko Utu</t>
  </si>
  <si>
    <t>07-827 8509</t>
  </si>
  <si>
    <t>3C McLean Street</t>
  </si>
  <si>
    <t>Kawerau Preschool Learning Centre (Incorporated)</t>
  </si>
  <si>
    <t>07-3238042</t>
  </si>
  <si>
    <t>56 River Road</t>
  </si>
  <si>
    <t>Kawerau Industrial</t>
  </si>
  <si>
    <t xml:space="preserve">Janet  White </t>
  </si>
  <si>
    <t>P O Box 165</t>
  </si>
  <si>
    <t>Kawerau 3169</t>
  </si>
  <si>
    <t>Te Puke Playcentre</t>
  </si>
  <si>
    <t>07-5737537</t>
  </si>
  <si>
    <t>colleen.rd@playcentre.org.nz</t>
  </si>
  <si>
    <t>5 Stock Road</t>
  </si>
  <si>
    <t>Colleen Roycroft-Dominguez</t>
  </si>
  <si>
    <t>Te Puna Playcentre</t>
  </si>
  <si>
    <t>07-5525153</t>
  </si>
  <si>
    <t>225 Te Puna Road</t>
  </si>
  <si>
    <t>Te Puna</t>
  </si>
  <si>
    <t>Omokoroa Playcentre</t>
  </si>
  <si>
    <t>07-5481343</t>
  </si>
  <si>
    <t>334 Omokoroa Road</t>
  </si>
  <si>
    <t>Ōmokoroa South</t>
  </si>
  <si>
    <t>Welcome Bay Playcentre</t>
  </si>
  <si>
    <t>07-5446406</t>
  </si>
  <si>
    <t>333 Welcome Bay Road</t>
  </si>
  <si>
    <t>Welcome Bay East</t>
  </si>
  <si>
    <t>Tauriko Playcentre</t>
  </si>
  <si>
    <t>07-5431070</t>
  </si>
  <si>
    <t>Main Highway</t>
  </si>
  <si>
    <t>Tauriko</t>
  </si>
  <si>
    <t>Pyes Pa Playcentre</t>
  </si>
  <si>
    <t>020-0</t>
  </si>
  <si>
    <t>968 Pyes Pa Road, RD 3</t>
  </si>
  <si>
    <t>Waiorohi</t>
  </si>
  <si>
    <t>Pongakawa Playcentre</t>
  </si>
  <si>
    <t>07-5333250</t>
  </si>
  <si>
    <t>Old Coach Road</t>
  </si>
  <si>
    <t>Papamoa Playcentre</t>
  </si>
  <si>
    <t>07-5421349</t>
  </si>
  <si>
    <t>301 Dickson Road</t>
  </si>
  <si>
    <t>Otumoetai Playcentre</t>
  </si>
  <si>
    <t>07-5761178</t>
  </si>
  <si>
    <t>Bellevue Park Windsor Road</t>
  </si>
  <si>
    <t>Bellevue</t>
  </si>
  <si>
    <t>Katikati Playcentre</t>
  </si>
  <si>
    <t>07-5490211</t>
  </si>
  <si>
    <t>Binnie Road</t>
  </si>
  <si>
    <t>Katikati North</t>
  </si>
  <si>
    <t>Greenpark Playcentre</t>
  </si>
  <si>
    <t>07-5410031</t>
  </si>
  <si>
    <t>19 Sinclair Street</t>
  </si>
  <si>
    <t>Edgecumbe Playcentre</t>
  </si>
  <si>
    <t>07-3071382</t>
  </si>
  <si>
    <t>vanessa.rd@playcentre.org.nz</t>
  </si>
  <si>
    <t>179 College Road</t>
  </si>
  <si>
    <t>Wairaka Playcentre</t>
  </si>
  <si>
    <t>21 Harvey Street</t>
  </si>
  <si>
    <t>Opotiki Playcentre</t>
  </si>
  <si>
    <t>50 Goring Street</t>
  </si>
  <si>
    <t>Awakeri Playcentre</t>
  </si>
  <si>
    <t>976B State Highway 30</t>
  </si>
  <si>
    <t>Awakeri</t>
  </si>
  <si>
    <t>Thornton-Awakeri</t>
  </si>
  <si>
    <t>Otakiri Playcentre</t>
  </si>
  <si>
    <t>027-8805814</t>
  </si>
  <si>
    <t>otakiri@Playcentre.org.nz</t>
  </si>
  <si>
    <t>583 Otakiri Road RD 3</t>
  </si>
  <si>
    <t>Onepu Spring</t>
  </si>
  <si>
    <t>Port Ohope Playcentre</t>
  </si>
  <si>
    <t>Harbour Road</t>
  </si>
  <si>
    <t>Ohope</t>
  </si>
  <si>
    <t>Ōhope</t>
  </si>
  <si>
    <t>Galatea Playcentre</t>
  </si>
  <si>
    <t>4945-4947 Galatea Road</t>
  </si>
  <si>
    <t>Galatea</t>
  </si>
  <si>
    <t>Mananui Playcentre</t>
  </si>
  <si>
    <t>71 Riverside Drive</t>
  </si>
  <si>
    <t>Whakatāne West</t>
  </si>
  <si>
    <t>Bethlehem College Kindergarten</t>
  </si>
  <si>
    <t>07-5791706</t>
  </si>
  <si>
    <t>manager@bckindy.school.nz</t>
  </si>
  <si>
    <t>Elder Lane</t>
  </si>
  <si>
    <t>The Ole Schoolhouse</t>
  </si>
  <si>
    <t>07-3481475</t>
  </si>
  <si>
    <t>15 Toko Street</t>
  </si>
  <si>
    <t>Victoria</t>
  </si>
  <si>
    <t>Eric Hollis</t>
  </si>
  <si>
    <t>Lake Okareka Preschool Education Group</t>
  </si>
  <si>
    <t>07-3628606</t>
  </si>
  <si>
    <t>leslie@lakeokarekapreschool.co.nz</t>
  </si>
  <si>
    <t>Community Hall Loop Road</t>
  </si>
  <si>
    <t>Kaingaroa-Whakarewarewa</t>
  </si>
  <si>
    <t>Carrin Goddard</t>
  </si>
  <si>
    <t>Community Hall - Loop Road RD 5</t>
  </si>
  <si>
    <t>Rotorua 3076</t>
  </si>
  <si>
    <t>Matua Kindergarten</t>
  </si>
  <si>
    <t>07-5763558</t>
  </si>
  <si>
    <t>matua@ikindergartens.nz</t>
  </si>
  <si>
    <t>Audrey Place</t>
  </si>
  <si>
    <t>Matua</t>
  </si>
  <si>
    <t>Matua North</t>
  </si>
  <si>
    <t>Reporoa Playcentre</t>
  </si>
  <si>
    <t>07-3338195</t>
  </si>
  <si>
    <t>20 Massey Road</t>
  </si>
  <si>
    <t>Reporoa</t>
  </si>
  <si>
    <t>Golden Springs</t>
  </si>
  <si>
    <t>Rotorua Rural General Ward</t>
  </si>
  <si>
    <t>Taupō Family Playcentre</t>
  </si>
  <si>
    <t>07-3772267</t>
  </si>
  <si>
    <t>133 Taharepa Road</t>
  </si>
  <si>
    <t>Hilltop (Taupo District)</t>
  </si>
  <si>
    <t>Taupo Kids Community</t>
  </si>
  <si>
    <t>07-3783796</t>
  </si>
  <si>
    <t>admin@taupokids.co.nz</t>
  </si>
  <si>
    <t>20 Waikato Street</t>
  </si>
  <si>
    <t>Taupō Central West</t>
  </si>
  <si>
    <t>Teri Molesworth</t>
  </si>
  <si>
    <t>Waikato 3330</t>
  </si>
  <si>
    <t>Opeys Kindergarten</t>
  </si>
  <si>
    <t>07-5764649</t>
  </si>
  <si>
    <t>opeys@ikindergartens.nz</t>
  </si>
  <si>
    <t>9 Darraghs Road</t>
  </si>
  <si>
    <t>Toi Ohomai Childcare Centre</t>
  </si>
  <si>
    <t>07-5578737</t>
  </si>
  <si>
    <t>36 Lagoon Place</t>
  </si>
  <si>
    <t>Poike</t>
  </si>
  <si>
    <t>David Simanu</t>
  </si>
  <si>
    <t>Nature's Cove</t>
  </si>
  <si>
    <t>07-5713398</t>
  </si>
  <si>
    <t>45 Fraser Street</t>
  </si>
  <si>
    <t>Rebecca Scott</t>
  </si>
  <si>
    <t>166a Grace Road</t>
  </si>
  <si>
    <t>Shalom Kindergarten</t>
  </si>
  <si>
    <t>07-5762891</t>
  </si>
  <si>
    <t>shalom@citychurchtauranga.org.nz</t>
  </si>
  <si>
    <t>252 Otumoetai Road</t>
  </si>
  <si>
    <t>Assembly of God</t>
  </si>
  <si>
    <t>Otūmoetai South</t>
  </si>
  <si>
    <t>Sharon Van Ameringen</t>
  </si>
  <si>
    <t>P O Box 6056</t>
  </si>
  <si>
    <t>Tauranga 3146</t>
  </si>
  <si>
    <t>BestStart Montessori Otumoetai</t>
  </si>
  <si>
    <t>07-5768898</t>
  </si>
  <si>
    <t>mont.otumoetai@best-start.org</t>
  </si>
  <si>
    <t>43 Queen Road</t>
  </si>
  <si>
    <t>Waiapu Kids St Mary's Family Centre</t>
  </si>
  <si>
    <t>07-5759915</t>
  </si>
  <si>
    <t>erin.batley@acw.org.nz</t>
  </si>
  <si>
    <t>1 Marlin Street</t>
  </si>
  <si>
    <t>Arataki South</t>
  </si>
  <si>
    <t>Anna de Koster</t>
  </si>
  <si>
    <t>021-509618</t>
  </si>
  <si>
    <t>Rotorua Community Creche &amp; Kindergarten Inc.</t>
  </si>
  <si>
    <t>07-3486605</t>
  </si>
  <si>
    <t>supervisor@rcck.org.nz</t>
  </si>
  <si>
    <t>187 Old Taupo Road</t>
  </si>
  <si>
    <t>Utuhina</t>
  </si>
  <si>
    <t>Anna Williams</t>
  </si>
  <si>
    <t>BestStart Katikati</t>
  </si>
  <si>
    <t>07-5491019</t>
  </si>
  <si>
    <t>katikati@best-start.org</t>
  </si>
  <si>
    <t>4 Park Road</t>
  </si>
  <si>
    <t>Busy Bees Ngongotahā</t>
  </si>
  <si>
    <t>07-3574709</t>
  </si>
  <si>
    <t>info@ngongotaha.busybees.org.nz</t>
  </si>
  <si>
    <t>45 Taui Street</t>
  </si>
  <si>
    <t>Ngongotahā East</t>
  </si>
  <si>
    <t>Rochelle Munro</t>
  </si>
  <si>
    <t>Pathways Rudolf Steiner Kindergarten</t>
  </si>
  <si>
    <t>07-3489532</t>
  </si>
  <si>
    <t>office@pathwayskindergarten.co.nz</t>
  </si>
  <si>
    <t>14 Larch Street</t>
  </si>
  <si>
    <t>Carina Naudē</t>
  </si>
  <si>
    <t>P O Box 5081</t>
  </si>
  <si>
    <t>Rotorua West</t>
  </si>
  <si>
    <t>Rotorua 3044</t>
  </si>
  <si>
    <t>Busy Bees Whakatau Street</t>
  </si>
  <si>
    <t>07-3479962</t>
  </si>
  <si>
    <t>info@whakatau.busybees.org.nz</t>
  </si>
  <si>
    <t>1271 Whakatau Street</t>
  </si>
  <si>
    <t>Annalee Timoti</t>
  </si>
  <si>
    <t>021-02752432</t>
  </si>
  <si>
    <t>Central Kids Kindergartens - Reporoa</t>
  </si>
  <si>
    <t>07-3338351</t>
  </si>
  <si>
    <t>reporoa@centralkids.org.nz</t>
  </si>
  <si>
    <t>28 Massey Road</t>
  </si>
  <si>
    <t>Reporoa Community of Learning</t>
  </si>
  <si>
    <t>BestStart Lynmore</t>
  </si>
  <si>
    <t>07-3457542</t>
  </si>
  <si>
    <t>8 Iles Road</t>
  </si>
  <si>
    <t>Lynmore</t>
  </si>
  <si>
    <t>Little Darlings Childcare Centre</t>
  </si>
  <si>
    <t>07-3479671</t>
  </si>
  <si>
    <t>kimd@littledarlingschildcare.co.nz</t>
  </si>
  <si>
    <t>23 Park Road</t>
  </si>
  <si>
    <t>Kim-Sheree Dalton</t>
  </si>
  <si>
    <t>375A Malfroy Road</t>
  </si>
  <si>
    <t>Kids Campus T.P.S. Childcare Society Inc</t>
  </si>
  <si>
    <t>07-5781150</t>
  </si>
  <si>
    <t>70 Humber Crescent</t>
  </si>
  <si>
    <t>Melissa Jeffcoat</t>
  </si>
  <si>
    <t>Tauranga 3112</t>
  </si>
  <si>
    <t>BestStart Herewini Street</t>
  </si>
  <si>
    <t>07-3487484</t>
  </si>
  <si>
    <t>20 Herewini Street</t>
  </si>
  <si>
    <t>Rotorua Girls' High School Childcare Centre</t>
  </si>
  <si>
    <t>07-3477488</t>
  </si>
  <si>
    <t>rghschildcare@xtra.co.nz</t>
  </si>
  <si>
    <t>15 Miro Street</t>
  </si>
  <si>
    <t>Christine Dender</t>
  </si>
  <si>
    <t>Tawa Early Learning Centre</t>
  </si>
  <si>
    <t>07-3789593</t>
  </si>
  <si>
    <t>admin@tawaelc.co.nz</t>
  </si>
  <si>
    <t>35 Tawa Street</t>
  </si>
  <si>
    <t>Jennifer Jones</t>
  </si>
  <si>
    <t>Hilltop</t>
  </si>
  <si>
    <t>Taupo 3330</t>
  </si>
  <si>
    <t>021-0603115</t>
  </si>
  <si>
    <t>Waiapu Kids - St Georges</t>
  </si>
  <si>
    <t>07-3086934</t>
  </si>
  <si>
    <t>phillip.ozanne@acw.org.nz</t>
  </si>
  <si>
    <t>32 Domain Road</t>
  </si>
  <si>
    <t>Phillip Ozanne</t>
  </si>
  <si>
    <t>Opotiki Community Childcare Centre</t>
  </si>
  <si>
    <t>07-3158364</t>
  </si>
  <si>
    <t>115 Wellington Street</t>
  </si>
  <si>
    <t>Melanie Brown</t>
  </si>
  <si>
    <t>Whakatane 3122</t>
  </si>
  <si>
    <t>027-6200131</t>
  </si>
  <si>
    <t>Matariki Early Childhood Centre</t>
  </si>
  <si>
    <t>07-3129432</t>
  </si>
  <si>
    <t>467 Reid Road, RD 1</t>
  </si>
  <si>
    <t>Ruatoki</t>
  </si>
  <si>
    <t>Waingarara-Waimana</t>
  </si>
  <si>
    <t>Meri Sisley</t>
  </si>
  <si>
    <t>467A Reid Road RD 1</t>
  </si>
  <si>
    <t>Whakatane 3191</t>
  </si>
  <si>
    <t>Rose Ring Kindergarten</t>
  </si>
  <si>
    <t>07-5442452</t>
  </si>
  <si>
    <t>R364 Welcome Bay Road</t>
  </si>
  <si>
    <t>Welcome Bay South</t>
  </si>
  <si>
    <t>Sophie Moselen</t>
  </si>
  <si>
    <t>P O Box 115</t>
  </si>
  <si>
    <t>Seventh Avenue</t>
  </si>
  <si>
    <t>027-5182392</t>
  </si>
  <si>
    <t>Seedlings Preschool</t>
  </si>
  <si>
    <t>07-3049466</t>
  </si>
  <si>
    <t>spike@seedlings.co.nz</t>
  </si>
  <si>
    <t>37 Putiki Road</t>
  </si>
  <si>
    <t>Zhihui Xu</t>
  </si>
  <si>
    <t>37 Putiki Road, RD 3</t>
  </si>
  <si>
    <t>Edgecumbe 3193</t>
  </si>
  <si>
    <t>Manaaki Tamariki Early Learning Centre</t>
  </si>
  <si>
    <t>07-3437544</t>
  </si>
  <si>
    <t>30 Pererika Street</t>
  </si>
  <si>
    <t>Jo-Anne Edmonds</t>
  </si>
  <si>
    <t>316 Ngongotaha Road</t>
  </si>
  <si>
    <t>Atiamuri Playcentre</t>
  </si>
  <si>
    <t>07-3332028</t>
  </si>
  <si>
    <t>2603 State Highway 30, RD 1</t>
  </si>
  <si>
    <t>Atiamuri</t>
  </si>
  <si>
    <t>Ngakuru</t>
  </si>
  <si>
    <t>Hamurana Playcentre</t>
  </si>
  <si>
    <t>07-3322110</t>
  </si>
  <si>
    <t>38 Tauranga Direct Road, RD 6</t>
  </si>
  <si>
    <t>Hamurana</t>
  </si>
  <si>
    <t>Koutu Playcentre</t>
  </si>
  <si>
    <t>07-3461702</t>
  </si>
  <si>
    <t>35 Taharangi Street</t>
  </si>
  <si>
    <t>Koutu-Rotorua</t>
  </si>
  <si>
    <t>Koutu</t>
  </si>
  <si>
    <t>Lynmore Playcentre</t>
  </si>
  <si>
    <t>07-3455815</t>
  </si>
  <si>
    <t>3A Lynbert Road</t>
  </si>
  <si>
    <t>Mamaku Playcentre</t>
  </si>
  <si>
    <t>07-3325919</t>
  </si>
  <si>
    <t>1 Karamu Street</t>
  </si>
  <si>
    <t>Mamaku</t>
  </si>
  <si>
    <t>Ngongotahā Valley</t>
  </si>
  <si>
    <t>Ngakuru Playcentre</t>
  </si>
  <si>
    <t>07-3436444</t>
  </si>
  <si>
    <t>923 Whirinaki Valley Road, RD 1</t>
  </si>
  <si>
    <t>First Journey Preschool Limited</t>
  </si>
  <si>
    <t>07-3477503</t>
  </si>
  <si>
    <t>firstjourneypreschoollimited@gmail.com</t>
  </si>
  <si>
    <t>34 Sala Street</t>
  </si>
  <si>
    <t>Fenton Park</t>
  </si>
  <si>
    <t>Sarah Benfell</t>
  </si>
  <si>
    <t>34-36 Sala Street</t>
  </si>
  <si>
    <t>Whakarewarewa</t>
  </si>
  <si>
    <t>021-1892508</t>
  </si>
  <si>
    <t>Rotorua Childcare Centre</t>
  </si>
  <si>
    <t>07-3482462</t>
  </si>
  <si>
    <t>63 Tarewa Road</t>
  </si>
  <si>
    <t>Melanie Sinclair</t>
  </si>
  <si>
    <t>P O Box 1687</t>
  </si>
  <si>
    <t>Atawhai Childcare</t>
  </si>
  <si>
    <t>07-3489909</t>
  </si>
  <si>
    <t>cm@atawhaichildcare.co.nz</t>
  </si>
  <si>
    <t>Mokoia Drive</t>
  </si>
  <si>
    <t>Victoria Makirere</t>
  </si>
  <si>
    <t>P O Box 456</t>
  </si>
  <si>
    <t>027-9210502</t>
  </si>
  <si>
    <t>Eastern Suburbs Pre-School Inc</t>
  </si>
  <si>
    <t>07-3455988</t>
  </si>
  <si>
    <t>escp@xtra.co.nz</t>
  </si>
  <si>
    <t>10 Bronte Place</t>
  </si>
  <si>
    <t>Ōwhata West</t>
  </si>
  <si>
    <t>Danya Wood</t>
  </si>
  <si>
    <t>P O Box 7132</t>
  </si>
  <si>
    <t>Rotorua 3042</t>
  </si>
  <si>
    <t>07-3493407</t>
  </si>
  <si>
    <t>Maunganui Kindergarten</t>
  </si>
  <si>
    <t>07-5755471</t>
  </si>
  <si>
    <t>maunganui@ikindergartens.nz</t>
  </si>
  <si>
    <t>19 Miro Street</t>
  </si>
  <si>
    <t>Mount Maunganui South</t>
  </si>
  <si>
    <t>Mount Maunganui North</t>
  </si>
  <si>
    <t>Nature's Cove 2021 Ltd</t>
  </si>
  <si>
    <t>07-5761740</t>
  </si>
  <si>
    <t>naturescove@outlook.co.nz</t>
  </si>
  <si>
    <t>7 Ngatai Road</t>
  </si>
  <si>
    <t>Te Manaaki Preschool</t>
  </si>
  <si>
    <t>07-3237873</t>
  </si>
  <si>
    <t>mentorme2017@yahoo.com</t>
  </si>
  <si>
    <t>22 Peter Lippa Drive</t>
  </si>
  <si>
    <t>Felicity Millar</t>
  </si>
  <si>
    <t>P O Box 204</t>
  </si>
  <si>
    <t>Opotiki Rose Garden Preschool</t>
  </si>
  <si>
    <t>07-3156177</t>
  </si>
  <si>
    <t>rosegarden@xtra.co.nz</t>
  </si>
  <si>
    <t>Ford Street</t>
  </si>
  <si>
    <t>Jamie Papuni</t>
  </si>
  <si>
    <t>P O Box 154</t>
  </si>
  <si>
    <t xml:space="preserve">Opotiki </t>
  </si>
  <si>
    <t>Te Kōhanga Reo ki Aorangi</t>
  </si>
  <si>
    <t>07-348 7411</t>
  </si>
  <si>
    <t>18 Gem Street</t>
  </si>
  <si>
    <t>Pukehangi North</t>
  </si>
  <si>
    <t>Te Kōhanga Reo o Te Koutu</t>
  </si>
  <si>
    <t>07-349 2100</t>
  </si>
  <si>
    <t>39 Huratai Street</t>
  </si>
  <si>
    <t>Te Kōhanga Reo o Pipiwharauroa</t>
  </si>
  <si>
    <t>07-348 5413</t>
  </si>
  <si>
    <t>26 Tarewa Place</t>
  </si>
  <si>
    <t>Te Kōhanga Reo ki Pukeroa Ōruawhata</t>
  </si>
  <si>
    <t>07-348 9401</t>
  </si>
  <si>
    <t>Arawa Street</t>
  </si>
  <si>
    <t>Te Kōhanga Reo o Te Rongopai</t>
  </si>
  <si>
    <t>022-0232137</t>
  </si>
  <si>
    <t>17 Old Quarry Road</t>
  </si>
  <si>
    <t>Te Kōhanga Reo o Tō Te Rā</t>
  </si>
  <si>
    <t>07-348 1958</t>
  </si>
  <si>
    <t>Sunset Road</t>
  </si>
  <si>
    <t>Mangakakahi</t>
  </si>
  <si>
    <t>Te Kōhanga Reo o Tārewa Pounamu</t>
  </si>
  <si>
    <t>07-346 2165</t>
  </si>
  <si>
    <t>21A Tarewa Road</t>
  </si>
  <si>
    <t>Te Kōhanga Reo ki Whakarewarewa</t>
  </si>
  <si>
    <t>07-347 6622</t>
  </si>
  <si>
    <t>63 Sala Street</t>
  </si>
  <si>
    <t>Te Kōhanga Reo ki Ōhau</t>
  </si>
  <si>
    <t>07-362 4714</t>
  </si>
  <si>
    <t>State Highway 33</t>
  </si>
  <si>
    <t>Okere Falls</t>
  </si>
  <si>
    <t>Rotoiti-Rotoehu</t>
  </si>
  <si>
    <t>Te Kōhanga Reo ki Rotokawa</t>
  </si>
  <si>
    <t>07-345 5173</t>
  </si>
  <si>
    <t>6 Rotokawa Road</t>
  </si>
  <si>
    <t>Rotokawa</t>
  </si>
  <si>
    <t>Holdens Bay-Rotokawa</t>
  </si>
  <si>
    <t>Te Kōhanga Reo o Te Hikuwai</t>
  </si>
  <si>
    <t>07-362 7280</t>
  </si>
  <si>
    <t>1620 State Highway 30</t>
  </si>
  <si>
    <t>Rotoiti</t>
  </si>
  <si>
    <t>Te Kōhanga Reo o Ngongotahā</t>
  </si>
  <si>
    <t>07-357 2075</t>
  </si>
  <si>
    <t>23 Taui Street</t>
  </si>
  <si>
    <t>Te Kōhanga Reo o Atawhai</t>
  </si>
  <si>
    <t>07-378 3574</t>
  </si>
  <si>
    <t>Tauhara School 3 Crown Road</t>
  </si>
  <si>
    <t>Te Kōhanga Reo o Taupō</t>
  </si>
  <si>
    <t>07-378 2575</t>
  </si>
  <si>
    <t>11 Arihia Street</t>
  </si>
  <si>
    <t>Te Kōhanga Reo o Waitahanui</t>
  </si>
  <si>
    <t>07-378 5409</t>
  </si>
  <si>
    <t>Waitahanui</t>
  </si>
  <si>
    <t>Te Kōhanga Reo o Papakai</t>
  </si>
  <si>
    <t>07-386 5993</t>
  </si>
  <si>
    <t>Papakai Marae Highway 47, Lake Rotoaira</t>
  </si>
  <si>
    <t>Lake Taupō Bays</t>
  </si>
  <si>
    <t>Te Kōhanga Reo o Waihī</t>
  </si>
  <si>
    <t>07-386 6260</t>
  </si>
  <si>
    <t>Korohe Rd</t>
  </si>
  <si>
    <t>Te Kōhanga Reo o Kimihia</t>
  </si>
  <si>
    <t>07-378 0634</t>
  </si>
  <si>
    <t>14 Morison Street</t>
  </si>
  <si>
    <t>Te Kōhanga Reo o Reporoa</t>
  </si>
  <si>
    <t>07-3338333</t>
  </si>
  <si>
    <t>Mataarae Marae State Highway 5</t>
  </si>
  <si>
    <t>Te Kōhanga Reo O Hairini</t>
  </si>
  <si>
    <t>07-544 1840</t>
  </si>
  <si>
    <t>9 Tamahika Street</t>
  </si>
  <si>
    <t>Hairini</t>
  </si>
  <si>
    <t>Ipo Tait</t>
  </si>
  <si>
    <t>07-3060008</t>
  </si>
  <si>
    <t>Te Kōhanga Reo o Ngāti Hangarau</t>
  </si>
  <si>
    <t>07-579 1484</t>
  </si>
  <si>
    <t>217 Bethlehem Road, RD4</t>
  </si>
  <si>
    <t>Bethlehem North</t>
  </si>
  <si>
    <t>Te Kōhanga Reo o Matakana Island</t>
  </si>
  <si>
    <t>07-571 0758</t>
  </si>
  <si>
    <t>Opureora Road</t>
  </si>
  <si>
    <t>Matakana Island</t>
  </si>
  <si>
    <t>Te Kōhanga Reo o Te Matapihi</t>
  </si>
  <si>
    <t>07-579 9461</t>
  </si>
  <si>
    <t>7 Hungahungatoroa Road, RD 5</t>
  </si>
  <si>
    <t>Matapihi</t>
  </si>
  <si>
    <t>Te Kōhanga Reo O Pirirakau</t>
  </si>
  <si>
    <t>07-552 5137</t>
  </si>
  <si>
    <t>Lockhead Road</t>
  </si>
  <si>
    <t>Te Kōhanga Reo o Tutarawananga</t>
  </si>
  <si>
    <t>07-578 2216</t>
  </si>
  <si>
    <t>43 Henderson Crescent</t>
  </si>
  <si>
    <t>Parkvale-Tauranga</t>
  </si>
  <si>
    <t>Yatton Park</t>
  </si>
  <si>
    <t>Te Kōhanga Reo o Tutereinga</t>
  </si>
  <si>
    <t>07-552 4128</t>
  </si>
  <si>
    <t>89 Tangitu Road</t>
  </si>
  <si>
    <t>Te Kōhanga Reo o Hūria</t>
  </si>
  <si>
    <t>07-571 0339</t>
  </si>
  <si>
    <t>25 Sutherland Road</t>
  </si>
  <si>
    <t>Brookfield</t>
  </si>
  <si>
    <t>Te Kōhanga Reo o Ngāpeke</t>
  </si>
  <si>
    <t>07-544 2384</t>
  </si>
  <si>
    <t>Whetu Marae</t>
  </si>
  <si>
    <t>Waitao</t>
  </si>
  <si>
    <t>Te Kōhanga Reo o Arataki</t>
  </si>
  <si>
    <t>07-575 2380</t>
  </si>
  <si>
    <t>135 Eversham Road</t>
  </si>
  <si>
    <t>Te Kōhanga Reo o Apanui ki Whakatāne</t>
  </si>
  <si>
    <t>07-307 1116</t>
  </si>
  <si>
    <t>50 Arawa Road</t>
  </si>
  <si>
    <t>Te Kōhanga Reo o Kokohinau</t>
  </si>
  <si>
    <t>07-322 8089</t>
  </si>
  <si>
    <t>Kokohinau Marae</t>
  </si>
  <si>
    <t>Te Teko</t>
  </si>
  <si>
    <t>Te Teko Lakes</t>
  </si>
  <si>
    <t>Te Kōhanga Reo o Tu Whakaara o Rautahi</t>
  </si>
  <si>
    <t>07-323 8202</t>
  </si>
  <si>
    <t>36-40 Grey Street</t>
  </si>
  <si>
    <t>Kawerau Central</t>
  </si>
  <si>
    <t>Te Kōhanga Reo o Taahuna</t>
  </si>
  <si>
    <t>07-322 8002</t>
  </si>
  <si>
    <t>Te Teko School Main Road</t>
  </si>
  <si>
    <t>Te Kōhanga Reo o Taneatua</t>
  </si>
  <si>
    <t>07-312 9154</t>
  </si>
  <si>
    <t>11 Amokura Street</t>
  </si>
  <si>
    <t>Taneatua</t>
  </si>
  <si>
    <t>Wainui</t>
  </si>
  <si>
    <t>Te Kōhanga Reo o Te Teko</t>
  </si>
  <si>
    <t>07-322 8617</t>
  </si>
  <si>
    <t>6 Te Teko Road</t>
  </si>
  <si>
    <t>Te Kōhanga Reo o Ngā Whetu o Tawera</t>
  </si>
  <si>
    <t>07-312 9400</t>
  </si>
  <si>
    <t>Ngahina Road</t>
  </si>
  <si>
    <t>Te Kōhanga Reo o Te Whare Aroha o Te Hūmārie</t>
  </si>
  <si>
    <t>07-315 8454</t>
  </si>
  <si>
    <t>141 Church Street</t>
  </si>
  <si>
    <t>Te Kōhanga Reo o Nau Mai</t>
  </si>
  <si>
    <t>07-366 5064</t>
  </si>
  <si>
    <t>30 Kowhai Drive</t>
  </si>
  <si>
    <t>Te Kōhanga Reo o Nga Tamariki O Te Kohu</t>
  </si>
  <si>
    <t>07-312 9507</t>
  </si>
  <si>
    <t>Te Rewa Rewa Marae Te Wakaunua Road</t>
  </si>
  <si>
    <t>Te Kōhanga Reo o Waitaha</t>
  </si>
  <si>
    <t>07-573 6910</t>
  </si>
  <si>
    <t>147 Manoeka Road, RD 3</t>
  </si>
  <si>
    <t>Te Puke West</t>
  </si>
  <si>
    <t>Te Kōhanga Reo o Patutaatahi</t>
  </si>
  <si>
    <t>07-304 9150</t>
  </si>
  <si>
    <t>College Road</t>
  </si>
  <si>
    <t>Te Kōhanga Reo o Te Rereatukahia</t>
  </si>
  <si>
    <t>07-549 0534</t>
  </si>
  <si>
    <t>Te Rereatukahia Pa Road</t>
  </si>
  <si>
    <t>Te Kōhanga Reo o Ōpopoti</t>
  </si>
  <si>
    <t>07-544 0542</t>
  </si>
  <si>
    <t>25 Wikitoria Street</t>
  </si>
  <si>
    <t>Te Kōhanga Reo o Te Akau</t>
  </si>
  <si>
    <t>07-572 1904</t>
  </si>
  <si>
    <t>95 Hartford Ave</t>
  </si>
  <si>
    <t>Te Kōhanga Reo o Te Kiriwera Hana</t>
  </si>
  <si>
    <t>07-322 8359</t>
  </si>
  <si>
    <t>Te Mapou Marae</t>
  </si>
  <si>
    <t>Te Kōhanga Reo o Rangitihi</t>
  </si>
  <si>
    <t>07-322 2603</t>
  </si>
  <si>
    <t>8 Marae Lane</t>
  </si>
  <si>
    <t>Matata</t>
  </si>
  <si>
    <t>Matatā-Otakiri</t>
  </si>
  <si>
    <t>Te Kōhanga Reo o Te Kaha Nui A Tiki</t>
  </si>
  <si>
    <t>07-325 2777</t>
  </si>
  <si>
    <t>6870 State Highway 35, RD 1</t>
  </si>
  <si>
    <t>Te Kaha</t>
  </si>
  <si>
    <t>Cape Runaway</t>
  </si>
  <si>
    <t>Coast Ward</t>
  </si>
  <si>
    <t>Te Kōhanga Reo o Tama Ki Hikurangi</t>
  </si>
  <si>
    <t>07-322 8221</t>
  </si>
  <si>
    <t>Waiohau Marae</t>
  </si>
  <si>
    <t>Waiohau</t>
  </si>
  <si>
    <t>Te Kōhanga Reo o Whangaparaoa</t>
  </si>
  <si>
    <t>07-325 3623</t>
  </si>
  <si>
    <t>11555 State Highway 35, Cape Runaway, RD 3</t>
  </si>
  <si>
    <t>Te Kōhanga Reo o Wairaka</t>
  </si>
  <si>
    <t>07-307 0023</t>
  </si>
  <si>
    <t>Harvey Street</t>
  </si>
  <si>
    <t>Te Kōhanga Reo o Toroa</t>
  </si>
  <si>
    <t>07-308 4595</t>
  </si>
  <si>
    <t>100 Patuwai Road</t>
  </si>
  <si>
    <t>Coastlands</t>
  </si>
  <si>
    <t>Te Kōhanga Reo o Maraenui</t>
  </si>
  <si>
    <t>07-325 2764</t>
  </si>
  <si>
    <t>State Highway 35</t>
  </si>
  <si>
    <t>Te Kōhanga Reo o Tarimano</t>
  </si>
  <si>
    <t>07-332 2133</t>
  </si>
  <si>
    <t>68 Gloucester Road</t>
  </si>
  <si>
    <t>Awahou North-Rotorua</t>
  </si>
  <si>
    <t>Te Kōhanga Reo o Ngā Mōkai-a-Koko</t>
  </si>
  <si>
    <t>07-348 2886</t>
  </si>
  <si>
    <t>11 Tukiterangi Street</t>
  </si>
  <si>
    <t>Te Kōhanga Reo o Mangakino</t>
  </si>
  <si>
    <t>07-882 8180</t>
  </si>
  <si>
    <t>Pouakani Marae Moana Crescent</t>
  </si>
  <si>
    <t>Te Kōhanga Reo o Te Paroa</t>
  </si>
  <si>
    <t>07-308 5152</t>
  </si>
  <si>
    <t>Taiwhakaea Road</t>
  </si>
  <si>
    <t>Busy Bees Mangakakahi</t>
  </si>
  <si>
    <t>07-3462390</t>
  </si>
  <si>
    <t>info@mangakakahi.busybees.org.nz</t>
  </si>
  <si>
    <t>16 Lisa Crescent</t>
  </si>
  <si>
    <t>Jamie Irwin</t>
  </si>
  <si>
    <t>Bright Beginnings Childcare Centre</t>
  </si>
  <si>
    <t>06-3487290</t>
  </si>
  <si>
    <t>29 Hatrick Street</t>
  </si>
  <si>
    <t>Whanganui Central</t>
  </si>
  <si>
    <t>Nicola Cawley</t>
  </si>
  <si>
    <t>P O Box 95</t>
  </si>
  <si>
    <t>Paekakariki</t>
  </si>
  <si>
    <t>Wellington 5034</t>
  </si>
  <si>
    <t>027-4680875</t>
  </si>
  <si>
    <t>Te Kōhanga Reo o Mawake</t>
  </si>
  <si>
    <t>07-386 0032</t>
  </si>
  <si>
    <t>2 Mawake Place</t>
  </si>
  <si>
    <t>Kidz World - Maisey Place</t>
  </si>
  <si>
    <t>07-3490632</t>
  </si>
  <si>
    <t>beverleycarlton@gmail.com</t>
  </si>
  <si>
    <t>9 Maisey Place</t>
  </si>
  <si>
    <t>Mangakakahi Central</t>
  </si>
  <si>
    <t>Jamie Buffett</t>
  </si>
  <si>
    <t>P O Box 10026</t>
  </si>
  <si>
    <t>Rotorua 3143</t>
  </si>
  <si>
    <t>027-211361821</t>
  </si>
  <si>
    <t>Kids on Nineteen Early Learning Centre</t>
  </si>
  <si>
    <t>07-5780828</t>
  </si>
  <si>
    <t>kids_on_19@xtra.co.nz</t>
  </si>
  <si>
    <t>5 Nineteenth Avenue</t>
  </si>
  <si>
    <t>Marlene Best</t>
  </si>
  <si>
    <t>137a Bassett Road</t>
  </si>
  <si>
    <t>Fairfield Educare Ltd</t>
  </si>
  <si>
    <t>06-3686288</t>
  </si>
  <si>
    <t>85 MacArthur Street</t>
  </si>
  <si>
    <t>Kawiu North</t>
  </si>
  <si>
    <t>Gaylene Williams</t>
  </si>
  <si>
    <t>P O Box 539</t>
  </si>
  <si>
    <t>Paraparaumu 5254</t>
  </si>
  <si>
    <t>06-3645414</t>
  </si>
  <si>
    <t>Te Kōhanga Reo o Waikaremoana</t>
  </si>
  <si>
    <t>06-837 3875</t>
  </si>
  <si>
    <t>whanau@k12f037.kohanga.ac.nz</t>
  </si>
  <si>
    <t>Waimako Pa Waimako Pa Road</t>
  </si>
  <si>
    <t>Tuai</t>
  </si>
  <si>
    <t>Maungataniwha-Raupunga</t>
  </si>
  <si>
    <t>Te Kōhanga Reo o Tanatana</t>
  </si>
  <si>
    <t>07-312 3565</t>
  </si>
  <si>
    <t>Matahi Valley Road</t>
  </si>
  <si>
    <t>Tanatana</t>
  </si>
  <si>
    <t>Te Kōhanga Reo o Tumanako</t>
  </si>
  <si>
    <t>07-323 7887</t>
  </si>
  <si>
    <t>119 River Road</t>
  </si>
  <si>
    <t>Te Kōhanga Reo o Te Puāwaitanga</t>
  </si>
  <si>
    <t>07-377 1401</t>
  </si>
  <si>
    <t>30 Ōpepe Street</t>
  </si>
  <si>
    <t>Te Kōhanga Reo o Hakota</t>
  </si>
  <si>
    <t>07-325 2752</t>
  </si>
  <si>
    <t>Te Kōhanga Reo o Terere</t>
  </si>
  <si>
    <t>07-315 5404</t>
  </si>
  <si>
    <t>Terere Pā Road</t>
  </si>
  <si>
    <t>Ōtara-Tirohanga</t>
  </si>
  <si>
    <t>Waioeka-Waiōtahe-Otara Ward</t>
  </si>
  <si>
    <t>Te Kōhanga Reo o Pirimai</t>
  </si>
  <si>
    <t>06-929 5400</t>
  </si>
  <si>
    <t>14 Kaka Place</t>
  </si>
  <si>
    <t>Wembley Park</t>
  </si>
  <si>
    <t>Te Kōhanga Reo o Te Uru Karaka</t>
  </si>
  <si>
    <t>06-356 9099</t>
  </si>
  <si>
    <t>teurukarakakohanga@gmail.com</t>
  </si>
  <si>
    <t>Drysdale</t>
  </si>
  <si>
    <t>Massey University</t>
  </si>
  <si>
    <t>Turitea</t>
  </si>
  <si>
    <t>Learna Pipi</t>
  </si>
  <si>
    <t>04-3818910  Ext 9002</t>
  </si>
  <si>
    <t>Te Kōhanga Reo o Te Huinga o te Ao</t>
  </si>
  <si>
    <t>07-315 4692</t>
  </si>
  <si>
    <t>Kutarere Marae</t>
  </si>
  <si>
    <t>Kutarere</t>
  </si>
  <si>
    <t>Waiotahe</t>
  </si>
  <si>
    <t>Kiwi Clubhouse Learning Centre</t>
  </si>
  <si>
    <t>06-2780810</t>
  </si>
  <si>
    <t>admin@kiwiclubhouse.co.nz</t>
  </si>
  <si>
    <t>29 Manawapou Road</t>
  </si>
  <si>
    <t>Sally Coombe</t>
  </si>
  <si>
    <t>P O Box 374</t>
  </si>
  <si>
    <t>Hāwera 4640</t>
  </si>
  <si>
    <t>027-2408841</t>
  </si>
  <si>
    <t>Tui Early Learners - birth to school</t>
  </si>
  <si>
    <t>06-280 2615</t>
  </si>
  <si>
    <t>deborah@tuiearlylearners.co.nz</t>
  </si>
  <si>
    <t>322 Albert Street</t>
  </si>
  <si>
    <t>Hokowhitu Central</t>
  </si>
  <si>
    <t>Deborah Pedersen</t>
  </si>
  <si>
    <t>68 Napier Road</t>
  </si>
  <si>
    <t>Eastside Playcentre</t>
  </si>
  <si>
    <t>026-700 1410</t>
  </si>
  <si>
    <t>Eastside@playcentre.org.nz</t>
  </si>
  <si>
    <t>10 Matarawa Street</t>
  </si>
  <si>
    <t>Lisa Poulsen</t>
  </si>
  <si>
    <t>027-880 5227</t>
  </si>
  <si>
    <t>BestStart Vivian Street</t>
  </si>
  <si>
    <t>06-7573552</t>
  </si>
  <si>
    <t>vivian@best-start.org</t>
  </si>
  <si>
    <t>102 Vivian Street</t>
  </si>
  <si>
    <t>Kawaroa</t>
  </si>
  <si>
    <t>Hilary Bourke</t>
  </si>
  <si>
    <t>Manaia Community Preschool</t>
  </si>
  <si>
    <t>06-2749292</t>
  </si>
  <si>
    <t>admin@mcp.org.nz</t>
  </si>
  <si>
    <t>11 Patu-Kukupa Street</t>
  </si>
  <si>
    <t>Manaia</t>
  </si>
  <si>
    <t>Taranaki Coastal General Ward</t>
  </si>
  <si>
    <t>Jillian Harrison</t>
  </si>
  <si>
    <t>P O Box 81</t>
  </si>
  <si>
    <t>Manaia 4641</t>
  </si>
  <si>
    <t>06-2791231</t>
  </si>
  <si>
    <t>Kelvin Grove Kindergarten</t>
  </si>
  <si>
    <t>06-3541442</t>
  </si>
  <si>
    <t>kelvingrove@ruahinekindergartens.org.nz</t>
  </si>
  <si>
    <t>113 Hillcrest Drive</t>
  </si>
  <si>
    <t>Kelvin Grove</t>
  </si>
  <si>
    <t>Kelvin Grove West</t>
  </si>
  <si>
    <t>Punahau Early Childhood Care Centre</t>
  </si>
  <si>
    <t>06-3687780</t>
  </si>
  <si>
    <t>punahau.eccc@xtra.co.nz</t>
  </si>
  <si>
    <t>24 Wilton Street</t>
  </si>
  <si>
    <t>Levin East</t>
  </si>
  <si>
    <t>Playford Park</t>
  </si>
  <si>
    <t>Kelly Tahiwi</t>
  </si>
  <si>
    <t>Manawatu 5510</t>
  </si>
  <si>
    <t>Barnardos Early Learning Centre Palmerston North</t>
  </si>
  <si>
    <t>06-3500043</t>
  </si>
  <si>
    <t>25 Kipling Street</t>
  </si>
  <si>
    <t>Roslyn (Palmerston North City)</t>
  </si>
  <si>
    <t>Kelsy Mudgway</t>
  </si>
  <si>
    <t>Te Kōhanga Reo o Kauri</t>
  </si>
  <si>
    <t>06-367 0977</t>
  </si>
  <si>
    <t>WHANAU@K09D097.kohanga.ac.nz</t>
  </si>
  <si>
    <t>7 Kauri Street</t>
  </si>
  <si>
    <t>Queenwood (Horowhenua District)</t>
  </si>
  <si>
    <t>BestStart Hokowhitu</t>
  </si>
  <si>
    <t>06-3549994</t>
  </si>
  <si>
    <t>224-226 Park Road</t>
  </si>
  <si>
    <t>Nicola Christie</t>
  </si>
  <si>
    <t>027-5717596</t>
  </si>
  <si>
    <t>BestStart Palmerston North 2</t>
  </si>
  <si>
    <t>06-3547907</t>
  </si>
  <si>
    <t>palmerstonnorth@best-start.org</t>
  </si>
  <si>
    <t>34 Carroll Street</t>
  </si>
  <si>
    <t>Papaioea North</t>
  </si>
  <si>
    <t>Country Educare Children's Centre</t>
  </si>
  <si>
    <t>06-3681061</t>
  </si>
  <si>
    <t>country.educare@xtra.co.nz</t>
  </si>
  <si>
    <t>73 Whelans Road, RD 1</t>
  </si>
  <si>
    <t>Ōhau-Manakau</t>
  </si>
  <si>
    <t>Waiopehu General Ward</t>
  </si>
  <si>
    <t>Gemma Mckay</t>
  </si>
  <si>
    <t>74 Wheelans Road</t>
  </si>
  <si>
    <t>Levin 5571</t>
  </si>
  <si>
    <t>06-3681062</t>
  </si>
  <si>
    <t>Lots of Hugs Childcare Centre</t>
  </si>
  <si>
    <t>06-3546878</t>
  </si>
  <si>
    <t>loh1@lotsofhugschildcare.co.nz</t>
  </si>
  <si>
    <t>72 Pitt Street</t>
  </si>
  <si>
    <t>Theresa Christison</t>
  </si>
  <si>
    <t>Crossroads Early Childhood Centre Trust</t>
  </si>
  <si>
    <t>06-3580669</t>
  </si>
  <si>
    <t>cecc@crossroads.co.nz</t>
  </si>
  <si>
    <t>220 Church Street</t>
  </si>
  <si>
    <t>Ashleigh McDonald</t>
  </si>
  <si>
    <t>Manawatu 4410</t>
  </si>
  <si>
    <t>027-2835219</t>
  </si>
  <si>
    <t>BestStart Foxton Beach Kindy</t>
  </si>
  <si>
    <t>06-3636626</t>
  </si>
  <si>
    <t>foxtonbeach.kindy@best-start.org</t>
  </si>
  <si>
    <t>12 Carthew Terrace</t>
  </si>
  <si>
    <t>Foxton Beach</t>
  </si>
  <si>
    <t>Lucie Hyett</t>
  </si>
  <si>
    <t>Rata Street Pre-school</t>
  </si>
  <si>
    <t>07-8958719</t>
  </si>
  <si>
    <t>ratast.office@gmail.com</t>
  </si>
  <si>
    <t>Rata Street</t>
  </si>
  <si>
    <t>Taumarunui East</t>
  </si>
  <si>
    <t>Cindy Woolston</t>
  </si>
  <si>
    <t>10 Rata Street</t>
  </si>
  <si>
    <t>Waikato 3924</t>
  </si>
  <si>
    <t>Lilliput Preschool</t>
  </si>
  <si>
    <t>07-5770458</t>
  </si>
  <si>
    <t>dolly@lilliputpreschool.co.nz</t>
  </si>
  <si>
    <t>163 Fifteenth Avenue</t>
  </si>
  <si>
    <t>Matthew Dol</t>
  </si>
  <si>
    <t>027-3622770</t>
  </si>
  <si>
    <t>Central City Quality Edu-care (Pukaki St)</t>
  </si>
  <si>
    <t>07-3437011</t>
  </si>
  <si>
    <t>pukaki@ccqe.co.nz</t>
  </si>
  <si>
    <t>1151 Pukaki</t>
  </si>
  <si>
    <t>1151 Pukaki Street</t>
  </si>
  <si>
    <t>Jemmas Homebased Childcare Ltd 6</t>
  </si>
  <si>
    <t>07-5785978</t>
  </si>
  <si>
    <t>treenaw@jemmas.co.nz</t>
  </si>
  <si>
    <t>Treena Woods</t>
  </si>
  <si>
    <t>Giggles Te Puke Early Learning Centre</t>
  </si>
  <si>
    <t>07-5736222</t>
  </si>
  <si>
    <t>shona@giggleseducare.co.nz</t>
  </si>
  <si>
    <t>1 Commerce Lane</t>
  </si>
  <si>
    <t>Shona Ua-Marsh</t>
  </si>
  <si>
    <t>P O Box 767</t>
  </si>
  <si>
    <t>Tauranga 3153</t>
  </si>
  <si>
    <t>Tauranga Hospital Play Service</t>
  </si>
  <si>
    <t>07-5798701</t>
  </si>
  <si>
    <t>deborah.mcdougall@bopdhb.govt.nz</t>
  </si>
  <si>
    <t>Tauranga Hospital Children's Ward, Cameron Road</t>
  </si>
  <si>
    <t>Tauranga Hospital</t>
  </si>
  <si>
    <t>Deborah McDougall</t>
  </si>
  <si>
    <t>Tauranga Hospital Private Bag 12024</t>
  </si>
  <si>
    <t>BestStart Parton Road</t>
  </si>
  <si>
    <t>07-542 3136</t>
  </si>
  <si>
    <t>parton@best-start.org</t>
  </si>
  <si>
    <t>90 Parton Road</t>
  </si>
  <si>
    <t>Central Kids Kindergartens - Matatā</t>
  </si>
  <si>
    <t>07-3222053</t>
  </si>
  <si>
    <t>matata@centralkids.org.nz</t>
  </si>
  <si>
    <t>43 Pollen Street</t>
  </si>
  <si>
    <t>Busy Bees Western Heights</t>
  </si>
  <si>
    <t>07-3490600</t>
  </si>
  <si>
    <t>195 Clayton Road</t>
  </si>
  <si>
    <t>Gina Hagan</t>
  </si>
  <si>
    <t>BestStart Totara Street</t>
  </si>
  <si>
    <t>07-3770677</t>
  </si>
  <si>
    <t>35 Totara Street</t>
  </si>
  <si>
    <t>Kirsten Stewart</t>
  </si>
  <si>
    <t>027-18004414</t>
  </si>
  <si>
    <t>Coastlands Preschool</t>
  </si>
  <si>
    <t>07-3089302</t>
  </si>
  <si>
    <t>9 Fishermans Drive</t>
  </si>
  <si>
    <t>Jacqueline Johnston</t>
  </si>
  <si>
    <t>Whakatane 3120</t>
  </si>
  <si>
    <t>027-8645467</t>
  </si>
  <si>
    <t>Kidz Rock Early Learning Centre</t>
  </si>
  <si>
    <t>07-3492142</t>
  </si>
  <si>
    <t>kidzrock@xtra.co.nz</t>
  </si>
  <si>
    <t>82 Pererika Street</t>
  </si>
  <si>
    <t>Tracy Tutbury</t>
  </si>
  <si>
    <t>P O Box 1121</t>
  </si>
  <si>
    <t>07-3485204</t>
  </si>
  <si>
    <t>Bizzy Buddyz Ltd</t>
  </si>
  <si>
    <t>07-3084314</t>
  </si>
  <si>
    <t>76 Alexander Avenue</t>
  </si>
  <si>
    <t>Maree Hunt</t>
  </si>
  <si>
    <t>P O Box 827</t>
  </si>
  <si>
    <t>Whakatane 3158</t>
  </si>
  <si>
    <t>07-3084312</t>
  </si>
  <si>
    <t>BestStart Fairy Springs</t>
  </si>
  <si>
    <t>07-3463132</t>
  </si>
  <si>
    <t>fairysprings@best-start.org</t>
  </si>
  <si>
    <t>51 Monokia Street</t>
  </si>
  <si>
    <t>Songbird Early Childhood Centre</t>
  </si>
  <si>
    <t>07-5520045</t>
  </si>
  <si>
    <t>2257 State Highway 2</t>
  </si>
  <si>
    <t>Aongatete</t>
  </si>
  <si>
    <t>Melissa Hay</t>
  </si>
  <si>
    <t>71A Wright Road RD 4</t>
  </si>
  <si>
    <t>Katikati 3181</t>
  </si>
  <si>
    <t>027-3845299</t>
  </si>
  <si>
    <t>Kiwi Treasures</t>
  </si>
  <si>
    <t>07-5799113</t>
  </si>
  <si>
    <t>586 Fraser Street</t>
  </si>
  <si>
    <t>Elana Lintern</t>
  </si>
  <si>
    <t>36A Crawford Rd RD 1</t>
  </si>
  <si>
    <t>Tauranga 3171</t>
  </si>
  <si>
    <t>07-5790256</t>
  </si>
  <si>
    <t>Tauranga Regional Free Kindergarten Association - Home Based Childcare</t>
  </si>
  <si>
    <t>07-5780552</t>
  </si>
  <si>
    <t>homebased@ikindergartens.nz</t>
  </si>
  <si>
    <t>34 Chapel Street</t>
  </si>
  <si>
    <t>Tauranga Mail Centre</t>
  </si>
  <si>
    <t>Whangamata Free Kindergarten</t>
  </si>
  <si>
    <t>07-8656590</t>
  </si>
  <si>
    <t>whangamata@ikindergartens.nz</t>
  </si>
  <si>
    <t>202 Port Road</t>
  </si>
  <si>
    <t>Lollipops Papamoa</t>
  </si>
  <si>
    <t>07-5425492</t>
  </si>
  <si>
    <t>cm.papamoa@ledu.co.nz</t>
  </si>
  <si>
    <t>95 Domain Road</t>
  </si>
  <si>
    <t>Hayley Pamment</t>
  </si>
  <si>
    <t>027-2205579</t>
  </si>
  <si>
    <t>Kidz World - Brent Road</t>
  </si>
  <si>
    <t>07-3456320</t>
  </si>
  <si>
    <t>12 Brent Road</t>
  </si>
  <si>
    <t>St Andrew's Preschool</t>
  </si>
  <si>
    <t>07-5736903</t>
  </si>
  <si>
    <t>manager@standrews.school.nz</t>
  </si>
  <si>
    <t>6 Stewart Street</t>
  </si>
  <si>
    <t>Te Kōhanga Reo o Te Wairoa</t>
  </si>
  <si>
    <t>07-579 3087</t>
  </si>
  <si>
    <t>whanau@k14a022.kohanga.ac.nz</t>
  </si>
  <si>
    <t>Wairoa Pā Road</t>
  </si>
  <si>
    <t>The Children's Garden Childcare</t>
  </si>
  <si>
    <t>07-5446019</t>
  </si>
  <si>
    <t>64 Victory Street</t>
  </si>
  <si>
    <t>Jennifer Coyle</t>
  </si>
  <si>
    <t>P O Box 12477</t>
  </si>
  <si>
    <t>Hamilton 3214</t>
  </si>
  <si>
    <t>07-544086</t>
  </si>
  <si>
    <t>Fern Garden Preschool &amp; Childcare Centre</t>
  </si>
  <si>
    <t>07-5761976</t>
  </si>
  <si>
    <t>childcare@ferngarden.co.nz</t>
  </si>
  <si>
    <t>408 Otumoetai Road</t>
  </si>
  <si>
    <t>Claire Hesketh</t>
  </si>
  <si>
    <t>P O Box 80155</t>
  </si>
  <si>
    <t>Auckland 0643</t>
  </si>
  <si>
    <t>Agape Christian Preschool</t>
  </si>
  <si>
    <t>07-3481221</t>
  </si>
  <si>
    <t>admin@agape.school.nz</t>
  </si>
  <si>
    <t>155-157 Clayton Road</t>
  </si>
  <si>
    <t>Nanette Alexander</t>
  </si>
  <si>
    <t>P O Box 4052</t>
  </si>
  <si>
    <t>Rotorua 3047</t>
  </si>
  <si>
    <t>07-3331965</t>
  </si>
  <si>
    <t>Daisy Cottage Montessori</t>
  </si>
  <si>
    <t>07-5720300</t>
  </si>
  <si>
    <t>jade@daisycottage.co.nz</t>
  </si>
  <si>
    <t>38 Gloucester Road</t>
  </si>
  <si>
    <t>Jade Smith</t>
  </si>
  <si>
    <t>59 St Kilda Road</t>
  </si>
  <si>
    <t>Robins Nest</t>
  </si>
  <si>
    <t>07-5495496</t>
  </si>
  <si>
    <t>robinsnest.katikati@gmail.com</t>
  </si>
  <si>
    <t>52 Beach Road</t>
  </si>
  <si>
    <t>Zoe Farnath</t>
  </si>
  <si>
    <t>100D Park Road</t>
  </si>
  <si>
    <t>Katikati 3129</t>
  </si>
  <si>
    <t>BestStart Palm Springs</t>
  </si>
  <si>
    <t>07-5424153</t>
  </si>
  <si>
    <t>4 Palm Springs Boulevard</t>
  </si>
  <si>
    <t>Bizzy Buddyz (2)</t>
  </si>
  <si>
    <t>maree@bizzybuddyz.co.nz</t>
  </si>
  <si>
    <t>Buckle My Shoe Early Learning Centre</t>
  </si>
  <si>
    <t>07-5716036</t>
  </si>
  <si>
    <t>menezesenterprisesnz@gmail.com</t>
  </si>
  <si>
    <t>1007 Cameron Road</t>
  </si>
  <si>
    <t>Shreena Menezes</t>
  </si>
  <si>
    <t>Waiapu Kids - Merivale Whanau Aroha</t>
  </si>
  <si>
    <t>07-5715121</t>
  </si>
  <si>
    <t>45 Henderson Crescent</t>
  </si>
  <si>
    <t>Kidz World Rutland St</t>
  </si>
  <si>
    <t>07-3476710</t>
  </si>
  <si>
    <t>5 Rutland Street</t>
  </si>
  <si>
    <t>Starlight Preschool Brookfield</t>
  </si>
  <si>
    <t>07-5761747</t>
  </si>
  <si>
    <t>starlightpreschool.ltd@gmail.com</t>
  </si>
  <si>
    <t>38-40 Millers Road</t>
  </si>
  <si>
    <t>Brookfield West</t>
  </si>
  <si>
    <t>Karamvir Kaur</t>
  </si>
  <si>
    <t>6 Verona Way</t>
  </si>
  <si>
    <t>Judea</t>
  </si>
  <si>
    <t>022-4265033</t>
  </si>
  <si>
    <t>BestStart Pukuatua</t>
  </si>
  <si>
    <t>07-3483579</t>
  </si>
  <si>
    <t>1553 Pukuatua Street</t>
  </si>
  <si>
    <t>Kiwi Educare Ltd</t>
  </si>
  <si>
    <t>07-3454704</t>
  </si>
  <si>
    <t>earlylearningconsultantsnz@gmail.com</t>
  </si>
  <si>
    <t>252 Vaughan Road</t>
  </si>
  <si>
    <t>Aimee Christie</t>
  </si>
  <si>
    <t>Tiaki Early Learning Centre</t>
  </si>
  <si>
    <t>07-3453811</t>
  </si>
  <si>
    <t>tiakiearlylearningcentre@gmail.com</t>
  </si>
  <si>
    <t>25B Umukaria Road, Hinemoa Point</t>
  </si>
  <si>
    <t>Sheela Rao</t>
  </si>
  <si>
    <t>52 Hillcrest Avenue</t>
  </si>
  <si>
    <t>07-3496474</t>
  </si>
  <si>
    <t>Douglas Street Montessori by Busy Bees</t>
  </si>
  <si>
    <t>douglascentre@lops.co.nz</t>
  </si>
  <si>
    <t>Liberty Montessori</t>
  </si>
  <si>
    <t>07-5782040</t>
  </si>
  <si>
    <t>176 Fifteenth Ave</t>
  </si>
  <si>
    <t>Graham Armstrong</t>
  </si>
  <si>
    <t>P O Box 412</t>
  </si>
  <si>
    <t>Tauranga 3144</t>
  </si>
  <si>
    <t>07-5710729</t>
  </si>
  <si>
    <t>Learning Adventures Rotorua Kea</t>
  </si>
  <si>
    <t>07-3477770</t>
  </si>
  <si>
    <t>6 Tryon Street</t>
  </si>
  <si>
    <t>Judy Morgan</t>
  </si>
  <si>
    <t>Above &amp; Beyond Education &amp; Care</t>
  </si>
  <si>
    <t>07-5795714</t>
  </si>
  <si>
    <t>gatepa@above-beyond.co.nz</t>
  </si>
  <si>
    <t>1 Rimu Street</t>
  </si>
  <si>
    <t>Colleen Fryett</t>
  </si>
  <si>
    <t>P O Box 9445</t>
  </si>
  <si>
    <t>Tauranga 3142</t>
  </si>
  <si>
    <t>07 5792252</t>
  </si>
  <si>
    <t>Kids at Home The Bay 1</t>
  </si>
  <si>
    <t>Jacqui Haywood</t>
  </si>
  <si>
    <t>Learning Adventures Te Puke</t>
  </si>
  <si>
    <t>07-5734120</t>
  </si>
  <si>
    <t>5 Beatty Avenue</t>
  </si>
  <si>
    <t>Robert Miles-Kingston</t>
  </si>
  <si>
    <t>Ngongotaha Early Learning Centre</t>
  </si>
  <si>
    <t>07-3574044</t>
  </si>
  <si>
    <t>14 Western Road</t>
  </si>
  <si>
    <t>Heather Brake</t>
  </si>
  <si>
    <t>P O Box 41</t>
  </si>
  <si>
    <t>Rotorua 3041</t>
  </si>
  <si>
    <t>07-3574818</t>
  </si>
  <si>
    <t>Te Kōhanga Reo o Te Puna O Te Aroha</t>
  </si>
  <si>
    <t>07-315 5521</t>
  </si>
  <si>
    <t>Waioeka Pa Road</t>
  </si>
  <si>
    <t>Oponae</t>
  </si>
  <si>
    <t>Te Kōhanga Reo o Ruātoki</t>
  </si>
  <si>
    <t>07-312 9393</t>
  </si>
  <si>
    <t>Mission Road</t>
  </si>
  <si>
    <t>Te Kōhanga Reo O Ruatahuna</t>
  </si>
  <si>
    <t>07-366 3200</t>
  </si>
  <si>
    <t>11 Sister Annie Road</t>
  </si>
  <si>
    <t>Ruatahuna</t>
  </si>
  <si>
    <t>Te Kōhanga Reo o Ngā Mokohuia o Te Rautahi</t>
  </si>
  <si>
    <t>07-323 8423</t>
  </si>
  <si>
    <t>117 Onslow Road</t>
  </si>
  <si>
    <t>Te Kōhanga Reo o Ngā Purapura Hou</t>
  </si>
  <si>
    <t>07-323 6735</t>
  </si>
  <si>
    <t>129 Valley Road</t>
  </si>
  <si>
    <t>Te Kōhanga Reo o Te Timatanga Hou ki Whakatane</t>
  </si>
  <si>
    <t>07-308 4520</t>
  </si>
  <si>
    <t>48 Awatapu Drive</t>
  </si>
  <si>
    <t>Te Kōhanga Reo o Nukutere</t>
  </si>
  <si>
    <t>07-315 7478</t>
  </si>
  <si>
    <t>Omarumutu Marae Omarumutu Road, RD 1</t>
  </si>
  <si>
    <t>Te Kōhanga Reo o Rangitahi</t>
  </si>
  <si>
    <t>07-366 5952</t>
  </si>
  <si>
    <t>Ngatimanawa Road</t>
  </si>
  <si>
    <t>Te Kōhanga Reo o Papaohaki</t>
  </si>
  <si>
    <t>07-312 3414</t>
  </si>
  <si>
    <t>Waimana</t>
  </si>
  <si>
    <t>Te Kōhanga Reo o He Maungarongo</t>
  </si>
  <si>
    <t>07-366 5665</t>
  </si>
  <si>
    <t>147 Oregon Drive</t>
  </si>
  <si>
    <t>Te Kōhanga Reo o Horohoro</t>
  </si>
  <si>
    <t>07-333 1959</t>
  </si>
  <si>
    <t>55 Apirana Road</t>
  </si>
  <si>
    <t>Horohoro</t>
  </si>
  <si>
    <t>Te Kōhanga Reo o Otawhiwhi</t>
  </si>
  <si>
    <t>07-863 4271</t>
  </si>
  <si>
    <t>Seaforth Road</t>
  </si>
  <si>
    <t>Bowentown</t>
  </si>
  <si>
    <t>Te Kōhanga Reo o Whareroa</t>
  </si>
  <si>
    <t>07-575 0417</t>
  </si>
  <si>
    <t>25 Taiaho Place</t>
  </si>
  <si>
    <t>Te Kōhanga Reo o Ākina Te Reo</t>
  </si>
  <si>
    <t>07-386 6577</t>
  </si>
  <si>
    <t>29 Rota Street</t>
  </si>
  <si>
    <t>Te Kōhanga Reo o Motutaiko</t>
  </si>
  <si>
    <t>07-377 3446</t>
  </si>
  <si>
    <t>31 Brice Street</t>
  </si>
  <si>
    <t>Tauhara</t>
  </si>
  <si>
    <t>Te Kōhanga Reo o Te Tīmatatanga Hou</t>
  </si>
  <si>
    <t>07-573 4081</t>
  </si>
  <si>
    <t>4 Dunlop Road</t>
  </si>
  <si>
    <t>Te Kōhanga Reo o Ariki</t>
  </si>
  <si>
    <t>07-357 2842</t>
  </si>
  <si>
    <t>1-3 Ariki Street</t>
  </si>
  <si>
    <t>Te Kōhanga Reo o Ōtūpango</t>
  </si>
  <si>
    <t>07-573 5531</t>
  </si>
  <si>
    <t>309 State Highway 2</t>
  </si>
  <si>
    <t>Rangiuru</t>
  </si>
  <si>
    <t>Bethlehem Community Preschool Inc</t>
  </si>
  <si>
    <t>07-5793500</t>
  </si>
  <si>
    <t>office@bethlehemcommunitypreschool.co.nz</t>
  </si>
  <si>
    <t>53 Bethlehem Road</t>
  </si>
  <si>
    <t>Esther Wrenn</t>
  </si>
  <si>
    <t>P O Box 16028</t>
  </si>
  <si>
    <t>Tauranga 3147</t>
  </si>
  <si>
    <t>021-1280951</t>
  </si>
  <si>
    <t>The Children's Garden Preschool</t>
  </si>
  <si>
    <t>07-5440864</t>
  </si>
  <si>
    <t>4 Pamir Place</t>
  </si>
  <si>
    <t>BestStart Sunset</t>
  </si>
  <si>
    <t>07-3482233</t>
  </si>
  <si>
    <t>sunset@best-start.org</t>
  </si>
  <si>
    <t>177 Sunset Road</t>
  </si>
  <si>
    <t>Little Sprouts Montessori Pre-School</t>
  </si>
  <si>
    <t>07-3089155</t>
  </si>
  <si>
    <t>sprouts@xtra.co.nz</t>
  </si>
  <si>
    <t>72 Domain Road</t>
  </si>
  <si>
    <t>Angela Barker</t>
  </si>
  <si>
    <t>P O Box 779</t>
  </si>
  <si>
    <t>07-307 2189</t>
  </si>
  <si>
    <t>Stepping Stones Learning Environment</t>
  </si>
  <si>
    <t>07-3454569</t>
  </si>
  <si>
    <t>26 Dickens Street</t>
  </si>
  <si>
    <t>Deborah Nelson</t>
  </si>
  <si>
    <t>Busy Bees Katikati</t>
  </si>
  <si>
    <t>07-5492293</t>
  </si>
  <si>
    <t>manager@katikati.busybees.org.nz</t>
  </si>
  <si>
    <t>113-115 Main Road</t>
  </si>
  <si>
    <t>Hana Atutahi</t>
  </si>
  <si>
    <t>07-3788191</t>
  </si>
  <si>
    <t>2 Duncan Street</t>
  </si>
  <si>
    <t>First Class Education &amp; Care (Bethlehem)</t>
  </si>
  <si>
    <t>07-5792252</t>
  </si>
  <si>
    <t>manager@firstclass.school.nz</t>
  </si>
  <si>
    <t>125 Moffat Road</t>
  </si>
  <si>
    <t>The Village Preschool &amp; Childcare Centre</t>
  </si>
  <si>
    <t>07-5760183</t>
  </si>
  <si>
    <t>info@thevillagepreschoolco.nz</t>
  </si>
  <si>
    <t>171b Moffat Road</t>
  </si>
  <si>
    <t>Abby Mattock</t>
  </si>
  <si>
    <t>171B Moffat Road</t>
  </si>
  <si>
    <t>Health NZ Lakes ECE Centre</t>
  </si>
  <si>
    <t>07-3481199 Ext 7970</t>
  </si>
  <si>
    <t>Corner Arawa Street, Pukeroa Road</t>
  </si>
  <si>
    <t>Michelle Robinson</t>
  </si>
  <si>
    <t>. Private Bag 3023</t>
  </si>
  <si>
    <t>Rotorua 3046</t>
  </si>
  <si>
    <t>027-6128868</t>
  </si>
  <si>
    <t>Little Pipi Early Childhood Centre</t>
  </si>
  <si>
    <t>07-5752055</t>
  </si>
  <si>
    <t>50 Hartford Avenue</t>
  </si>
  <si>
    <t>Aimee Waugh</t>
  </si>
  <si>
    <t>7 Litsea Way</t>
  </si>
  <si>
    <t>BestStart Abacus</t>
  </si>
  <si>
    <t>07-3787247</t>
  </si>
  <si>
    <t>69 Rotokawa Road</t>
  </si>
  <si>
    <t>BestStart Ngatai Road</t>
  </si>
  <si>
    <t>07-5766744</t>
  </si>
  <si>
    <t>186 Ngatai Road</t>
  </si>
  <si>
    <t>Otūmoetai North</t>
  </si>
  <si>
    <t>BestStart Tauranga Central</t>
  </si>
  <si>
    <t>07-5789690</t>
  </si>
  <si>
    <t>taurangacentral@best-start.org</t>
  </si>
  <si>
    <t>76 13th Avenue</t>
  </si>
  <si>
    <t>Little Lights Kindy</t>
  </si>
  <si>
    <t>07-3477742</t>
  </si>
  <si>
    <t>cm.rotorua@littlelights.co.nz</t>
  </si>
  <si>
    <t>56B Mountain Road</t>
  </si>
  <si>
    <t>Fiona Smith</t>
  </si>
  <si>
    <t>BestStart Welcome Bay</t>
  </si>
  <si>
    <t>07-5443546</t>
  </si>
  <si>
    <t>166 Welcome Bay Road</t>
  </si>
  <si>
    <t>Kaitemako</t>
  </si>
  <si>
    <t>BestStart Halswell Road</t>
  </si>
  <si>
    <t>03-322 5139</t>
  </si>
  <si>
    <t>296 Halswell Road</t>
  </si>
  <si>
    <t>Shanna Terrell</t>
  </si>
  <si>
    <t>Kindercare Learning Centres - Bishopdale</t>
  </si>
  <si>
    <t>03-3595511</t>
  </si>
  <si>
    <t>sawyersarms@kindercare.co.nz</t>
  </si>
  <si>
    <t>345 Sawyers Arms Road</t>
  </si>
  <si>
    <t>Desley Eastwick</t>
  </si>
  <si>
    <t>03-3374290</t>
  </si>
  <si>
    <t>Fingerprints Christian Preschool</t>
  </si>
  <si>
    <t>03-3328265</t>
  </si>
  <si>
    <t>info@fingerprints.school.nz</t>
  </si>
  <si>
    <t>130 Wilsons Road</t>
  </si>
  <si>
    <t>St Martins</t>
  </si>
  <si>
    <t>Aaron Donaldson</t>
  </si>
  <si>
    <t>Christchurch 8022</t>
  </si>
  <si>
    <t>Bell Street Early Learning Centre</t>
  </si>
  <si>
    <t>06-3088110</t>
  </si>
  <si>
    <t>74 Bell Street</t>
  </si>
  <si>
    <t>Ana Gudsell</t>
  </si>
  <si>
    <t xml:space="preserve">Featherston </t>
  </si>
  <si>
    <t>06-3727720</t>
  </si>
  <si>
    <t>Active Explorers Mana</t>
  </si>
  <si>
    <t>04-2331233</t>
  </si>
  <si>
    <t>amy.mitchell-king@eeg.co.nz</t>
  </si>
  <si>
    <t>30 Marina View</t>
  </si>
  <si>
    <t>Amy Mitchell-King</t>
  </si>
  <si>
    <t>Montessori Beginnings Early Childhood Education Centre</t>
  </si>
  <si>
    <t>09-428 2951</t>
  </si>
  <si>
    <t>staff@montessoribeginnings.co.nz</t>
  </si>
  <si>
    <t>29 Brightside Road</t>
  </si>
  <si>
    <t>Patrick Haugh</t>
  </si>
  <si>
    <t>09-4282951</t>
  </si>
  <si>
    <t>Kindercare Learning Centres - Rototuna</t>
  </si>
  <si>
    <t>07-8553667</t>
  </si>
  <si>
    <t>rototuna@kindercare.co.nz</t>
  </si>
  <si>
    <t>99 Thomas Road</t>
  </si>
  <si>
    <t>St James</t>
  </si>
  <si>
    <t>Michelle Bailey</t>
  </si>
  <si>
    <t>Kids at Home The Bay 2</t>
  </si>
  <si>
    <t>Kids Rock Early Learning Centre</t>
  </si>
  <si>
    <t>07-8831969</t>
  </si>
  <si>
    <t>kidsrockelc@outlook.com</t>
  </si>
  <si>
    <t>6 Patere Street</t>
  </si>
  <si>
    <t>Tania Wharepapa</t>
  </si>
  <si>
    <t>6 Patetere Street</t>
  </si>
  <si>
    <t>Tirau 3410</t>
  </si>
  <si>
    <t>Honeybeez Preschool &amp; Nursery</t>
  </si>
  <si>
    <t>03-3275683</t>
  </si>
  <si>
    <t>honeybeez.preschool@windowslive.com</t>
  </si>
  <si>
    <t>208 Williams Street</t>
  </si>
  <si>
    <t>Kaiapoi North West</t>
  </si>
  <si>
    <t>Jasmyn Pihema</t>
  </si>
  <si>
    <t>P O Box 405</t>
  </si>
  <si>
    <t>Kaiapoi 7644</t>
  </si>
  <si>
    <t>BestStart Te Atatu Road</t>
  </si>
  <si>
    <t>09-834 3749</t>
  </si>
  <si>
    <t>teatatu@best-start.org</t>
  </si>
  <si>
    <t>633-635 Te Atatu Road</t>
  </si>
  <si>
    <t>Te Puna Reo O Puhi Kaiti</t>
  </si>
  <si>
    <t>06-868 8182</t>
  </si>
  <si>
    <t>tepunareopk@gmail.com</t>
  </si>
  <si>
    <t>4 Cambridge Terrace</t>
  </si>
  <si>
    <t>Erana Haerewa</t>
  </si>
  <si>
    <t>P O Box 3072</t>
  </si>
  <si>
    <t>Gisborne 4010</t>
  </si>
  <si>
    <t>06-8688182</t>
  </si>
  <si>
    <t>07-3077155</t>
  </si>
  <si>
    <t>yscott@xtra.co.nz</t>
  </si>
  <si>
    <t>25 Hinemoa Street</t>
  </si>
  <si>
    <t>Yvonne Scott</t>
  </si>
  <si>
    <t>Bear Park Centre of Learning</t>
  </si>
  <si>
    <t>09-520 4060</t>
  </si>
  <si>
    <t>dilworth@bearpark.co.nz</t>
  </si>
  <si>
    <t>13-15 Dilworth Ave</t>
  </si>
  <si>
    <t>Bright Horizons Drury</t>
  </si>
  <si>
    <t>09-294 6139</t>
  </si>
  <si>
    <t>drury@bhnewzealand.co.nz</t>
  </si>
  <si>
    <t>74 Mercer Street, RD2</t>
  </si>
  <si>
    <t>Maria Tuia-Pemerika</t>
  </si>
  <si>
    <t>P O Box 142</t>
  </si>
  <si>
    <t>Drury 2247</t>
  </si>
  <si>
    <t>Dorie Community Preschool</t>
  </si>
  <si>
    <t>03-3020989</t>
  </si>
  <si>
    <t>admin@doriepreschool.co.nz</t>
  </si>
  <si>
    <t>97 Dorie School Road - RD11 Dorie</t>
  </si>
  <si>
    <t>Rakaia</t>
  </si>
  <si>
    <t>Chertsey</t>
  </si>
  <si>
    <t>Ashleigh Ligtenberg</t>
  </si>
  <si>
    <t>97 Dorie School Road - RD 11 Dorie</t>
  </si>
  <si>
    <t>Ashburton 7781</t>
  </si>
  <si>
    <t>Opuke Community of Learning</t>
  </si>
  <si>
    <t>Miro House Kindergarten</t>
  </si>
  <si>
    <t>07-8558711</t>
  </si>
  <si>
    <t xml:space="preserve"> 85 Barrington Drive</t>
  </si>
  <si>
    <t>Margaret  McCarthy</t>
  </si>
  <si>
    <t>P O Box 12127</t>
  </si>
  <si>
    <t>Little Earth Montessori Kāpiti</t>
  </si>
  <si>
    <t>04-298 1730</t>
  </si>
  <si>
    <t>15 Te Tupe Road</t>
  </si>
  <si>
    <t>Paraparaumu East</t>
  </si>
  <si>
    <t>Mayie Pagalilauan</t>
  </si>
  <si>
    <t>04-2981730</t>
  </si>
  <si>
    <t>Thriving Kids Early Learning Centre</t>
  </si>
  <si>
    <t>022-1745748</t>
  </si>
  <si>
    <t>10/2 Triangle Road</t>
  </si>
  <si>
    <t>Massey Royal Road West</t>
  </si>
  <si>
    <t>2/8 Triangle Road, Massey</t>
  </si>
  <si>
    <t>Puanga Kākaho</t>
  </si>
  <si>
    <t>03-3472054</t>
  </si>
  <si>
    <t>learning@pkece.co.nz</t>
  </si>
  <si>
    <t>41 Marlowe Place</t>
  </si>
  <si>
    <t>Rolleston</t>
  </si>
  <si>
    <t>Reggio Emilia, Emmi Pikler</t>
  </si>
  <si>
    <t>Rolleston Tauwharekākaho</t>
  </si>
  <si>
    <t>Rolleston Ward</t>
  </si>
  <si>
    <t>Courtney Whitmore</t>
  </si>
  <si>
    <t>101 Lowes Road</t>
  </si>
  <si>
    <t xml:space="preserve">Rolleston </t>
  </si>
  <si>
    <t>BestStart Buchanans Road</t>
  </si>
  <si>
    <t>03-741 1024</t>
  </si>
  <si>
    <t>5 Jarnac Boulevard</t>
  </si>
  <si>
    <t>Yaldhurst</t>
  </si>
  <si>
    <t>BestStart Redwood</t>
  </si>
  <si>
    <t>03-354 3017</t>
  </si>
  <si>
    <t>302 - 304 Main North Road</t>
  </si>
  <si>
    <t>Redwood East</t>
  </si>
  <si>
    <t>HardyKids Early Learning Service</t>
  </si>
  <si>
    <t>03-5456905</t>
  </si>
  <si>
    <t>manager.nelson@hardykids.co.nz</t>
  </si>
  <si>
    <t>400 Hardy Street</t>
  </si>
  <si>
    <t>Nelson Central</t>
  </si>
  <si>
    <t>Maitai</t>
  </si>
  <si>
    <t>Emma Louis</t>
  </si>
  <si>
    <t>Oasis Early Learning Centre</t>
  </si>
  <si>
    <t>03-528 8039</t>
  </si>
  <si>
    <t>lisa@oasispreschools.co.nz</t>
  </si>
  <si>
    <t>Oasis Central 39 Vosper Street</t>
  </si>
  <si>
    <t>Motueka North</t>
  </si>
  <si>
    <t>Lisa Haring</t>
  </si>
  <si>
    <t>49 Olympus Way</t>
  </si>
  <si>
    <t>Richmond 7020</t>
  </si>
  <si>
    <t>021-1496287</t>
  </si>
  <si>
    <t>Cherry's on Maryhill</t>
  </si>
  <si>
    <t>03-3381999</t>
  </si>
  <si>
    <t>cherry@cherrys.co.nz</t>
  </si>
  <si>
    <t>5 Maryhill Avenue</t>
  </si>
  <si>
    <t>Hoon Hay East</t>
  </si>
  <si>
    <t>Cherry Howitt</t>
  </si>
  <si>
    <t>59 Ashgrove Terrace</t>
  </si>
  <si>
    <t>Somerfield</t>
  </si>
  <si>
    <t>Christchurch 8024</t>
  </si>
  <si>
    <t>03-332 2210</t>
  </si>
  <si>
    <t>BestStart Petone</t>
  </si>
  <si>
    <t>04-566 2278</t>
  </si>
  <si>
    <t>petone@best-start.org</t>
  </si>
  <si>
    <t>Unit 2 &amp; 3 22-32 Nevis Street</t>
  </si>
  <si>
    <t>Petone Central</t>
  </si>
  <si>
    <t>Busy Bees Tāhunanui</t>
  </si>
  <si>
    <t>03-546 5359</t>
  </si>
  <si>
    <t>manager@tahunanui.busybees.org.nz</t>
  </si>
  <si>
    <t>Busy Bees Tāhunanui 150 Tāhunanui Drive</t>
  </si>
  <si>
    <t>Adelle Hawkins</t>
  </si>
  <si>
    <t>022-4161445</t>
  </si>
  <si>
    <t>Nurtured at Home - Wellington 1</t>
  </si>
  <si>
    <t>michelle@nurturedathome.co.nz</t>
  </si>
  <si>
    <t>Michelle Maisuria</t>
  </si>
  <si>
    <t>Active Explorers Central City</t>
  </si>
  <si>
    <t>03-3664307</t>
  </si>
  <si>
    <t>396 Manchester Street</t>
  </si>
  <si>
    <t>St Albans East</t>
  </si>
  <si>
    <t>Jan Greaves</t>
  </si>
  <si>
    <t>03-366 4307</t>
  </si>
  <si>
    <t>Te Taura Here o Ōtautahi Kāhui Ako</t>
  </si>
  <si>
    <t>Te Puawaitanga o Ngati Ruanui ECE</t>
  </si>
  <si>
    <t>06-2783529</t>
  </si>
  <si>
    <t>Leah.hurley@ngatiruanui.org</t>
  </si>
  <si>
    <t>151 Glover Road Hawera</t>
  </si>
  <si>
    <t>King Edward Park</t>
  </si>
  <si>
    <t>Leah Hurley</t>
  </si>
  <si>
    <t>151 Glover Road</t>
  </si>
  <si>
    <t>Hāwera 4610</t>
  </si>
  <si>
    <t>027-7219348</t>
  </si>
  <si>
    <t>Saplings Early Learning Limited</t>
  </si>
  <si>
    <t>09-5376074</t>
  </si>
  <si>
    <t>kristin@saplingsel.co.nz</t>
  </si>
  <si>
    <t>Half Moon Bay Marina 1 Ara Tai</t>
  </si>
  <si>
    <t>Half Moon Bay West</t>
  </si>
  <si>
    <t>Kristin Colthurst</t>
  </si>
  <si>
    <t>P O Box 54217</t>
  </si>
  <si>
    <t>Auckland 2144</t>
  </si>
  <si>
    <t>Flying Kiwi Preschool</t>
  </si>
  <si>
    <t>09-8383062</t>
  </si>
  <si>
    <t>48 Henderson Valley Road</t>
  </si>
  <si>
    <t>Taokia Gill</t>
  </si>
  <si>
    <t>Inspiring Kids Early Learning Limited</t>
  </si>
  <si>
    <t>07-3484838</t>
  </si>
  <si>
    <t>admin@inspiringkids.co.nz</t>
  </si>
  <si>
    <t>219 Clayton Road</t>
  </si>
  <si>
    <t>Lynley Sydiongco</t>
  </si>
  <si>
    <t>P O Box 306</t>
  </si>
  <si>
    <t>Starship Play Service Ward 25AB</t>
  </si>
  <si>
    <t>BestStart Motutaiko Street</t>
  </si>
  <si>
    <t>07-3765681</t>
  </si>
  <si>
    <t>9 Motutaiko Street</t>
  </si>
  <si>
    <t>BestStart Glasgow Street</t>
  </si>
  <si>
    <t>06-3453804</t>
  </si>
  <si>
    <t>glasgow@best-start.org</t>
  </si>
  <si>
    <t>451 Victoria Avenue</t>
  </si>
  <si>
    <t>MyKindy Rosedale</t>
  </si>
  <si>
    <t>09-478 6333</t>
  </si>
  <si>
    <t>23 Triton Drive</t>
  </si>
  <si>
    <t>Spring Creek Playcentre</t>
  </si>
  <si>
    <t>03-578 6704 Ext 4</t>
  </si>
  <si>
    <t>46A Ferry Road</t>
  </si>
  <si>
    <t>Spring Creek</t>
  </si>
  <si>
    <t>Spring Creek-Grovetown</t>
  </si>
  <si>
    <t xml:space="preserve">Leah  Fairgrieve </t>
  </si>
  <si>
    <t>03-927 3400</t>
  </si>
  <si>
    <t>Akoteu Lotofaleia Under 2s</t>
  </si>
  <si>
    <t>09-2572030</t>
  </si>
  <si>
    <t>MoiMoi Kaufononga</t>
  </si>
  <si>
    <t>Adventureland Early Learning Centre</t>
  </si>
  <si>
    <t>09-5800587</t>
  </si>
  <si>
    <t>hello@adventureland.co.nz</t>
  </si>
  <si>
    <t>4a Ballarat Street</t>
  </si>
  <si>
    <t>Auckland 2110</t>
  </si>
  <si>
    <t>Farmhouse Preschool Patumahoe</t>
  </si>
  <si>
    <t>09-2363003</t>
  </si>
  <si>
    <t>office@farmhousepreschool.co.nz</t>
  </si>
  <si>
    <t>71a Mauku Road</t>
  </si>
  <si>
    <t>Natasha Pedersen</t>
  </si>
  <si>
    <t>89B Bald Hill Road</t>
  </si>
  <si>
    <t>Waiuku 2679</t>
  </si>
  <si>
    <t>Kids at Home The Bay 3</t>
  </si>
  <si>
    <t>Somerset Early Learning Centre</t>
  </si>
  <si>
    <t>07-8633057</t>
  </si>
  <si>
    <t>somersetchildcare@yahoo.com</t>
  </si>
  <si>
    <t>2 Somerset St</t>
  </si>
  <si>
    <t>Bianca Kelsey</t>
  </si>
  <si>
    <t>Waikato 3610</t>
  </si>
  <si>
    <t>07-8633075</t>
  </si>
  <si>
    <t>Giggles Learning Centre</t>
  </si>
  <si>
    <t>021-207 3469</t>
  </si>
  <si>
    <t>giggleslearningcentre@xtra.co.nz</t>
  </si>
  <si>
    <t>8 Cairnfield Rd</t>
  </si>
  <si>
    <t>Rachel Terry</t>
  </si>
  <si>
    <t>18 Maru Lane</t>
  </si>
  <si>
    <t>09-4376353</t>
  </si>
  <si>
    <t>Owhiro Bay Kindergarten</t>
  </si>
  <si>
    <t>04-383 7103</t>
  </si>
  <si>
    <t>owhirobay@wmkindergartens.org.nz</t>
  </si>
  <si>
    <t>96 Happy Valley Road</t>
  </si>
  <si>
    <t>Owhiro Bay</t>
  </si>
  <si>
    <t>Ōwhiro Bay</t>
  </si>
  <si>
    <t>Kowhai Kids Early Learning Centre</t>
  </si>
  <si>
    <t>09-415 1665</t>
  </si>
  <si>
    <t>265 Albany Highway</t>
  </si>
  <si>
    <t>Sheree Macready</t>
  </si>
  <si>
    <t>P O Box 305178</t>
  </si>
  <si>
    <t>Triton Plaza</t>
  </si>
  <si>
    <t>Auckland 0757</t>
  </si>
  <si>
    <t>09-476 4298</t>
  </si>
  <si>
    <t>Kindercare Learning Centres - Frankton</t>
  </si>
  <si>
    <t>07-8466644</t>
  </si>
  <si>
    <t>frankton@kindercare.co.nz</t>
  </si>
  <si>
    <t>156 Massey St</t>
  </si>
  <si>
    <t>Annabel's Educare Avonhead Ltd</t>
  </si>
  <si>
    <t>03-3187948</t>
  </si>
  <si>
    <t>ah@annabelseducare.co.nz</t>
  </si>
  <si>
    <t>66 Avonhead Road</t>
  </si>
  <si>
    <t>Ilam South</t>
  </si>
  <si>
    <t>Annabel Sloss</t>
  </si>
  <si>
    <t>14 South Terrace</t>
  </si>
  <si>
    <t>Darfield 7510</t>
  </si>
  <si>
    <t>Space Southland</t>
  </si>
  <si>
    <t>judy.CSC@playcentre.org.nz</t>
  </si>
  <si>
    <t>328 Tramway Road</t>
  </si>
  <si>
    <t>Judy Hinton</t>
  </si>
  <si>
    <t>03-4883932</t>
  </si>
  <si>
    <t>The Park Early Education Centre</t>
  </si>
  <si>
    <t>89 Naylor St</t>
  </si>
  <si>
    <t>BestStart Alexandra</t>
  </si>
  <si>
    <t>03-448 7060</t>
  </si>
  <si>
    <t>alexandra@best-start.org</t>
  </si>
  <si>
    <t>23 Matau Street</t>
  </si>
  <si>
    <t>Vanessa Reid</t>
  </si>
  <si>
    <t>Kia ora Kids at Home Childcare 3</t>
  </si>
  <si>
    <t>info@kiaorakids.co.nz</t>
  </si>
  <si>
    <t>Footprints Early Learning Centre</t>
  </si>
  <si>
    <t>22 Amaranth Street</t>
  </si>
  <si>
    <t>Leona Moore</t>
  </si>
  <si>
    <t>10 Poets Corner Road</t>
  </si>
  <si>
    <t>Waihi 3681</t>
  </si>
  <si>
    <t>027-2213829</t>
  </si>
  <si>
    <t>Child's Wonder Learning Centre</t>
  </si>
  <si>
    <t>07-5424602</t>
  </si>
  <si>
    <t>info@childswonder.co.nz</t>
  </si>
  <si>
    <t>1 Doncaster Drive</t>
  </si>
  <si>
    <t>Eloise Wilcock</t>
  </si>
  <si>
    <t>Papamoa Beach</t>
  </si>
  <si>
    <t xml:space="preserve">Papamoa </t>
  </si>
  <si>
    <t>Superstart Childcare</t>
  </si>
  <si>
    <t>09-2749226</t>
  </si>
  <si>
    <t>info@superstart.co.nz</t>
  </si>
  <si>
    <t>88 Lady Ruby Drive</t>
  </si>
  <si>
    <t>Fiona (Qiaoyuan) Zhang</t>
  </si>
  <si>
    <t>121 Cyril French Drive</t>
  </si>
  <si>
    <t>Te Kōhanga Reo o Kākāriki</t>
  </si>
  <si>
    <t>09-813 1412</t>
  </si>
  <si>
    <t>2 Janet Clews Place</t>
  </si>
  <si>
    <t>Lollipops Napier Port</t>
  </si>
  <si>
    <t>06-834 0569</t>
  </si>
  <si>
    <t>cm.napier@ledu.co.nz</t>
  </si>
  <si>
    <t>27 Ossian Street</t>
  </si>
  <si>
    <t>Ahuriri</t>
  </si>
  <si>
    <t>Emma  Borman</t>
  </si>
  <si>
    <t>BestStart Riverbend Road</t>
  </si>
  <si>
    <t>06-8434534</t>
  </si>
  <si>
    <t>riverbend@best-start.org</t>
  </si>
  <si>
    <t>21 Riverbend Road</t>
  </si>
  <si>
    <t>St Johns Montessori</t>
  </si>
  <si>
    <t>09-521 3040</t>
  </si>
  <si>
    <t>admin@chuchutrain.co.nz</t>
  </si>
  <si>
    <t>75 Merton Road</t>
  </si>
  <si>
    <t>Heather Skelton</t>
  </si>
  <si>
    <t>Saint Johns</t>
  </si>
  <si>
    <t>09-5754261</t>
  </si>
  <si>
    <t>Lollipops Mount Albert</t>
  </si>
  <si>
    <t>09-8461046</t>
  </si>
  <si>
    <t>cm.mtalbert@ledu.co.nz</t>
  </si>
  <si>
    <t>1105-1107 New North Road</t>
  </si>
  <si>
    <t>Lihua Dong</t>
  </si>
  <si>
    <t>Active Explorers Blockhouse Bay</t>
  </si>
  <si>
    <t>09-8281525</t>
  </si>
  <si>
    <t>admin.blockhousebay@activeexplorers.co.nz</t>
  </si>
  <si>
    <t>250 Blockhouse Bay Rd</t>
  </si>
  <si>
    <t>Paula-Mae Butler</t>
  </si>
  <si>
    <t>09-828 1525</t>
  </si>
  <si>
    <t>Childsplay Unlimited Kingsland</t>
  </si>
  <si>
    <t>09-8468908</t>
  </si>
  <si>
    <t>childsplay.kingsland@hotmail.com</t>
  </si>
  <si>
    <t>6B Western Springs Road</t>
  </si>
  <si>
    <t>Otatara Preschool</t>
  </si>
  <si>
    <t>03-213 0456</t>
  </si>
  <si>
    <t>6 Marama Avenue North</t>
  </si>
  <si>
    <t>Emma Allen</t>
  </si>
  <si>
    <t>021-407436</t>
  </si>
  <si>
    <t>Home2Grow Childcare</t>
  </si>
  <si>
    <t>0508-466 324 Ext 1</t>
  </si>
  <si>
    <t>simran@home2grow.co.nz</t>
  </si>
  <si>
    <t>14 Springs Road</t>
  </si>
  <si>
    <t>Simran Naik</t>
  </si>
  <si>
    <t>P O Box 217076</t>
  </si>
  <si>
    <t>Educare Two Rivers</t>
  </si>
  <si>
    <t>07-8247373</t>
  </si>
  <si>
    <t>76 Great South Road</t>
  </si>
  <si>
    <t>Stacey McDonald</t>
  </si>
  <si>
    <t xml:space="preserve">3 Grey Street </t>
  </si>
  <si>
    <t>Sunshine Childcare  Preschool</t>
  </si>
  <si>
    <t>07-8492020</t>
  </si>
  <si>
    <t>info@sunshinechildcare.co.nz</t>
  </si>
  <si>
    <t>80 Sunshine Ave</t>
  </si>
  <si>
    <t>Patricia Radich</t>
  </si>
  <si>
    <t>69 Keswick Crescent</t>
  </si>
  <si>
    <t>Huntington</t>
  </si>
  <si>
    <t>021-703303</t>
  </si>
  <si>
    <t>Bloesem 2021 Limited</t>
  </si>
  <si>
    <t>07-5758727</t>
  </si>
  <si>
    <t>alisha@bloesem.co.nz</t>
  </si>
  <si>
    <t>13 Newton Street</t>
  </si>
  <si>
    <t>Alisha Merriman</t>
  </si>
  <si>
    <t>Mount Maunganui 3116</t>
  </si>
  <si>
    <t>Active Explorers Shakespeare Street</t>
  </si>
  <si>
    <t>03-7680708</t>
  </si>
  <si>
    <t>Active Explorers Shakespeare St  24 Shakespeare Street</t>
  </si>
  <si>
    <t>Caitlin Goodall</t>
  </si>
  <si>
    <t>03-7555171</t>
  </si>
  <si>
    <t>BestStart Montel Avenue</t>
  </si>
  <si>
    <t>09-8362647</t>
  </si>
  <si>
    <t>montel@best-start.org</t>
  </si>
  <si>
    <t>5 Vitasovich Avenue</t>
  </si>
  <si>
    <t>Pipis Childcare and Preschool</t>
  </si>
  <si>
    <t>09-4343044</t>
  </si>
  <si>
    <t>info@pipis.co.nz</t>
  </si>
  <si>
    <t>1807 Ngunguru Rd</t>
  </si>
  <si>
    <t>Sherryn Smith</t>
  </si>
  <si>
    <t>P O Box 403088</t>
  </si>
  <si>
    <t>Whangarei 0154</t>
  </si>
  <si>
    <t>Riverside Educare</t>
  </si>
  <si>
    <t>03-4434073</t>
  </si>
  <si>
    <t>office@riversideeducare.com</t>
  </si>
  <si>
    <t>8 Rifleman Street</t>
  </si>
  <si>
    <t>Wanaka</t>
  </si>
  <si>
    <t>Albert Town</t>
  </si>
  <si>
    <t>Wānaka-Upper Clutha Ward</t>
  </si>
  <si>
    <t>Sarah Macfie</t>
  </si>
  <si>
    <t>Wanaka 9305</t>
  </si>
  <si>
    <t>Oxford Kindy</t>
  </si>
  <si>
    <t>03-3124445</t>
  </si>
  <si>
    <t>info@oxfordkindy.co.nz</t>
  </si>
  <si>
    <t>1 A Campbell Lane</t>
  </si>
  <si>
    <t>Oxford</t>
  </si>
  <si>
    <t>Oxford-Ohoka Ward</t>
  </si>
  <si>
    <t>Carolyn Cameron</t>
  </si>
  <si>
    <t>59 Church Street</t>
  </si>
  <si>
    <t>Oxford 7430</t>
  </si>
  <si>
    <t>021-02788430</t>
  </si>
  <si>
    <t>Portobelo Kaiapoi</t>
  </si>
  <si>
    <t>03-3279113</t>
  </si>
  <si>
    <t>office@portobelo.co.nz</t>
  </si>
  <si>
    <t>107 Otaki Street</t>
  </si>
  <si>
    <t>Kaiapoi West</t>
  </si>
  <si>
    <t>Danielle  Wilson</t>
  </si>
  <si>
    <t>1655 Hoskyns Road</t>
  </si>
  <si>
    <t>Kirwee 7543</t>
  </si>
  <si>
    <t>021-1088617</t>
  </si>
  <si>
    <t>Busy Bees McGarvey Road 2</t>
  </si>
  <si>
    <t>07-3087777</t>
  </si>
  <si>
    <t>manager@mcgarveyroad.busybees.org.nz</t>
  </si>
  <si>
    <t>101 McGarvey Road</t>
  </si>
  <si>
    <t>Sara Davie</t>
  </si>
  <si>
    <t>Busy Bees McGarvey Road 1</t>
  </si>
  <si>
    <t>BestStart Montessori St Albans</t>
  </si>
  <si>
    <t>03-356 0111</t>
  </si>
  <si>
    <t>96 Trafalgar Street</t>
  </si>
  <si>
    <t>Busy Bees Waitara</t>
  </si>
  <si>
    <t>06-7771131</t>
  </si>
  <si>
    <t>info@waitara.busybees.org.nz</t>
  </si>
  <si>
    <t>8 Queen Street</t>
  </si>
  <si>
    <t>Sonya Robinson</t>
  </si>
  <si>
    <t>Smart Start Care and Education Centre</t>
  </si>
  <si>
    <t>06-3442638</t>
  </si>
  <si>
    <t>info@smart-start.co.nz</t>
  </si>
  <si>
    <t>122 Parsons Street</t>
  </si>
  <si>
    <t>Springvale</t>
  </si>
  <si>
    <t>Springvale East</t>
  </si>
  <si>
    <t>Andrea Williamson</t>
  </si>
  <si>
    <t>9 Cameron Road East</t>
  </si>
  <si>
    <t>Whanganui 4574</t>
  </si>
  <si>
    <t>Tai Tamariki Kindergarten</t>
  </si>
  <si>
    <t>04-802 4041</t>
  </si>
  <si>
    <t>taitamariki@wmkindergartens.org.nz</t>
  </si>
  <si>
    <t>Te Papa Museum Cable Street</t>
  </si>
  <si>
    <t>Courtenay</t>
  </si>
  <si>
    <t>Biggles Childcare</t>
  </si>
  <si>
    <t>09-8133595</t>
  </si>
  <si>
    <t>biggleschildcare@xtra.co.nz</t>
  </si>
  <si>
    <t>9 Glenorchy Street</t>
  </si>
  <si>
    <t>Marco Farmand</t>
  </si>
  <si>
    <t>09-8352260</t>
  </si>
  <si>
    <t>Little Kiwis Playhouse Early Learning Centre</t>
  </si>
  <si>
    <t>09-9482162</t>
  </si>
  <si>
    <t>lkpnz@outlook.co.nz</t>
  </si>
  <si>
    <t>926 Mt Eden Road</t>
  </si>
  <si>
    <t>Three Kings</t>
  </si>
  <si>
    <t>Three Kings North</t>
  </si>
  <si>
    <t>Ramya Negi</t>
  </si>
  <si>
    <t>926 Mount Eden Road</t>
  </si>
  <si>
    <t>Pukeko Preschool Manurewa</t>
  </si>
  <si>
    <t>09-2660203</t>
  </si>
  <si>
    <t>pukekopreschoolmanurewa@gmail.com</t>
  </si>
  <si>
    <t>13 Jellicoe Road</t>
  </si>
  <si>
    <t>Ira Mautner</t>
  </si>
  <si>
    <t>021-555558</t>
  </si>
  <si>
    <t>Kidz Kindy @75</t>
  </si>
  <si>
    <t>03-579 4543</t>
  </si>
  <si>
    <t>blenheim@kidzkindy.co.nz</t>
  </si>
  <si>
    <t>75 Budge Street</t>
  </si>
  <si>
    <t>Riversdale-Islington</t>
  </si>
  <si>
    <t>Lisa McDonald</t>
  </si>
  <si>
    <t>18 Sirrah st</t>
  </si>
  <si>
    <t>Wymondley Early Learning Centre</t>
  </si>
  <si>
    <t>09-2764311</t>
  </si>
  <si>
    <t>admin@welc.co.nz</t>
  </si>
  <si>
    <t>77s Wymondley Road</t>
  </si>
  <si>
    <t>Shan Zhang</t>
  </si>
  <si>
    <t>P O Box 61037</t>
  </si>
  <si>
    <t>St Andrews Playcentre</t>
  </si>
  <si>
    <t>34 Heath St</t>
  </si>
  <si>
    <t>St Andrews-Hamilton</t>
  </si>
  <si>
    <t>Active Explorers Invercargill</t>
  </si>
  <si>
    <t>03-2141312</t>
  </si>
  <si>
    <t>70 Arena Ave</t>
  </si>
  <si>
    <t>Invercargill Central</t>
  </si>
  <si>
    <t>Sophie Pine</t>
  </si>
  <si>
    <t>021-12841103</t>
  </si>
  <si>
    <t>Harakeke</t>
  </si>
  <si>
    <t>03-5432119</t>
  </si>
  <si>
    <t>info@harakeke.org.nz</t>
  </si>
  <si>
    <t>1856 Moutere Highway</t>
  </si>
  <si>
    <t>Upper Moutere</t>
  </si>
  <si>
    <t>Moutere Hills</t>
  </si>
  <si>
    <t>Moutere-Waimea Ward</t>
  </si>
  <si>
    <t>Gundula Montag-Ruebsam</t>
  </si>
  <si>
    <t>Harakeke 1856 Moutere Highway RD 2</t>
  </si>
  <si>
    <t>Upper Moutere 7175</t>
  </si>
  <si>
    <t>Jemmas Homebased Childcare</t>
  </si>
  <si>
    <t>Leanne Jackson</t>
  </si>
  <si>
    <t>Reach Forward Early Learning Centre</t>
  </si>
  <si>
    <t>09-9504400</t>
  </si>
  <si>
    <t>10 Gills Road</t>
  </si>
  <si>
    <t>Linda Ward</t>
  </si>
  <si>
    <t>P O Box 301489</t>
  </si>
  <si>
    <t>09-950 4400</t>
  </si>
  <si>
    <t>BestStart Mangorei Road</t>
  </si>
  <si>
    <t>06-7573687</t>
  </si>
  <si>
    <t>95 Mangorei Road</t>
  </si>
  <si>
    <t>Strandon</t>
  </si>
  <si>
    <t>BestStart South Road 2</t>
  </si>
  <si>
    <t>06-278 8366</t>
  </si>
  <si>
    <t>southroad@best-start.org</t>
  </si>
  <si>
    <t>314 South Road</t>
  </si>
  <si>
    <t>Hāwera Central</t>
  </si>
  <si>
    <t>BestStart Railway Road</t>
  </si>
  <si>
    <t>06-3562516</t>
  </si>
  <si>
    <t>railway@best-start.org</t>
  </si>
  <si>
    <t>1 El Prado Drive</t>
  </si>
  <si>
    <t>Palmerston North Airport</t>
  </si>
  <si>
    <t>Norfolk Street Educare</t>
  </si>
  <si>
    <t>09-438 4699</t>
  </si>
  <si>
    <t>norfolk@educare.co.nz</t>
  </si>
  <si>
    <t>23 Norfolk St</t>
  </si>
  <si>
    <t>Parua Bay Childcare</t>
  </si>
  <si>
    <t>09-436 5544</t>
  </si>
  <si>
    <t>6 Lamb Road</t>
  </si>
  <si>
    <t>Lisa Dyer</t>
  </si>
  <si>
    <t>6 Tiaho Place RD 4</t>
  </si>
  <si>
    <t>Whangarei 0174</t>
  </si>
  <si>
    <t>Grasshoppers Early Learning Centre Ltd</t>
  </si>
  <si>
    <t>07-8236755</t>
  </si>
  <si>
    <t>4 Great Burke Street</t>
  </si>
  <si>
    <t>Pauline Breeze</t>
  </si>
  <si>
    <t>22 Longbow Terrace</t>
  </si>
  <si>
    <t>07-9290673</t>
  </si>
  <si>
    <t>Longford Kindergarten</t>
  </si>
  <si>
    <t>03-2089203</t>
  </si>
  <si>
    <t>longford@ska.co.nz</t>
  </si>
  <si>
    <t>11 Vera Street</t>
  </si>
  <si>
    <t>Gore West</t>
  </si>
  <si>
    <t>Alfriston Early Learning</t>
  </si>
  <si>
    <t>550 Porchester Road</t>
  </si>
  <si>
    <t>The Miller Nest Early Learning Centre</t>
  </si>
  <si>
    <t>09-6360305</t>
  </si>
  <si>
    <t>bolaz.biz@gmail.com</t>
  </si>
  <si>
    <t>64 Miller Rd</t>
  </si>
  <si>
    <t>Juliana Saini</t>
  </si>
  <si>
    <t>23 Taka Street</t>
  </si>
  <si>
    <t>Country Wonders</t>
  </si>
  <si>
    <t>021-748435</t>
  </si>
  <si>
    <t>mel@countrywonders.co.nz</t>
  </si>
  <si>
    <t>57 Hodgsons Road</t>
  </si>
  <si>
    <t>Loburn</t>
  </si>
  <si>
    <t>Melanie Lawton</t>
  </si>
  <si>
    <t>Rangiora 7472</t>
  </si>
  <si>
    <t>Te Kōhanga Reo o Āniwaniwa</t>
  </si>
  <si>
    <t>09-406 7370</t>
  </si>
  <si>
    <t>Quarry Road RD2</t>
  </si>
  <si>
    <t>Kidiwise Early Learning Centre</t>
  </si>
  <si>
    <t>027-3658134</t>
  </si>
  <si>
    <t>info@kidiwise.co.nz</t>
  </si>
  <si>
    <t>231 State Highway 2</t>
  </si>
  <si>
    <t>Joss Hooker</t>
  </si>
  <si>
    <t>P O Box 16256</t>
  </si>
  <si>
    <t>027-2823793</t>
  </si>
  <si>
    <t>Nurture Nannies 1</t>
  </si>
  <si>
    <t>0800-936878</t>
  </si>
  <si>
    <t>janh@nurturenannies.co.nz</t>
  </si>
  <si>
    <t>12 Springfield Crescent</t>
  </si>
  <si>
    <t>Elizabeth Phillips</t>
  </si>
  <si>
    <t>P O Box 12017</t>
  </si>
  <si>
    <t>Barnardos Early Learning Centre Otara</t>
  </si>
  <si>
    <t>09-274 5516</t>
  </si>
  <si>
    <t>carolaina.mua@barnardos.org.nz</t>
  </si>
  <si>
    <t>10 Luke Place</t>
  </si>
  <si>
    <t>Carolaina Peterson</t>
  </si>
  <si>
    <t>Rising Stars Preschool</t>
  </si>
  <si>
    <t>03-307 7157</t>
  </si>
  <si>
    <t>maria@rspreschool.co.nz</t>
  </si>
  <si>
    <t>20 Middle Road</t>
  </si>
  <si>
    <t>Maria Anstis</t>
  </si>
  <si>
    <t>03-3077157</t>
  </si>
  <si>
    <t>BestStart Stoddard Road</t>
  </si>
  <si>
    <t>09-6295140</t>
  </si>
  <si>
    <t>stoddard@best-start.org</t>
  </si>
  <si>
    <t>Unit 1 64 Stoddard Road</t>
  </si>
  <si>
    <t>Wesley South</t>
  </si>
  <si>
    <t>Educare Wigram</t>
  </si>
  <si>
    <t>03-349 40 28</t>
  </si>
  <si>
    <t>leigh.pwr@educare.co.nz</t>
  </si>
  <si>
    <t>2 Carrs Road</t>
  </si>
  <si>
    <t>Awatea South</t>
  </si>
  <si>
    <t>Vanessa McMillan</t>
  </si>
  <si>
    <t>027-2720857</t>
  </si>
  <si>
    <t>Ohope Beach Montessori Preschool</t>
  </si>
  <si>
    <t>07-3124820</t>
  </si>
  <si>
    <t>ohopemontessori@outlook.co.nz</t>
  </si>
  <si>
    <t>23 Bluett Road</t>
  </si>
  <si>
    <t>Ohope Beach</t>
  </si>
  <si>
    <t>Sarah Omar</t>
  </si>
  <si>
    <t>19 Thornton Road, RD 1</t>
  </si>
  <si>
    <t>07-3124819</t>
  </si>
  <si>
    <t>Koru Kindergarten</t>
  </si>
  <si>
    <t>06-7656051</t>
  </si>
  <si>
    <t>koru@kindergartentaranaki.co.nz</t>
  </si>
  <si>
    <t>90A Swansea Road</t>
  </si>
  <si>
    <t>Pebbles Montessori Sumner (0-3)</t>
  </si>
  <si>
    <t>03-326 5063</t>
  </si>
  <si>
    <t>48 Nayland Street</t>
  </si>
  <si>
    <t>Aisling O'Riordan</t>
  </si>
  <si>
    <t>P O Box 28069</t>
  </si>
  <si>
    <t>Christchurch 8242</t>
  </si>
  <si>
    <t>021-2741972</t>
  </si>
  <si>
    <t>Heathcote Valley Montessori Preschool</t>
  </si>
  <si>
    <t>03-384 9249</t>
  </si>
  <si>
    <t>info@hvp.co.nz</t>
  </si>
  <si>
    <t>108 Port Hills Road</t>
  </si>
  <si>
    <t>Heathcote Valley</t>
  </si>
  <si>
    <t>Danielle Fisher</t>
  </si>
  <si>
    <t>57 Buckhurst Ave</t>
  </si>
  <si>
    <t>Christchurch 8042</t>
  </si>
  <si>
    <t>03-7411236</t>
  </si>
  <si>
    <t>Beach haven Playcentre</t>
  </si>
  <si>
    <t>09-481 8035</t>
  </si>
  <si>
    <t>beachhaven@playcentre.org.nz</t>
  </si>
  <si>
    <t>6 Drome View Place</t>
  </si>
  <si>
    <t>Cashmere Early Learning Centre</t>
  </si>
  <si>
    <t>03-9432305</t>
  </si>
  <si>
    <t>192 Cashmere Road</t>
  </si>
  <si>
    <t>Hoon Hay South</t>
  </si>
  <si>
    <t>Haijing Zong</t>
  </si>
  <si>
    <t>6 Garrett Place</t>
  </si>
  <si>
    <t>Lincoln 7608</t>
  </si>
  <si>
    <t>03-3217299</t>
  </si>
  <si>
    <t>Lollipops Tauranga</t>
  </si>
  <si>
    <t>07-5781811</t>
  </si>
  <si>
    <t>10 Jude Place</t>
  </si>
  <si>
    <t>Katherine McElhinney</t>
  </si>
  <si>
    <t>021-2221411</t>
  </si>
  <si>
    <t>The Barnyard</t>
  </si>
  <si>
    <t>07-8701515</t>
  </si>
  <si>
    <t>info@thebarnyard.co.nz</t>
  </si>
  <si>
    <t>504 Racecourse Rd</t>
  </si>
  <si>
    <t>Michelle Cummings</t>
  </si>
  <si>
    <t>P O Box 351</t>
  </si>
  <si>
    <t>Te Awamutu 3840</t>
  </si>
  <si>
    <t>Koru Kindy</t>
  </si>
  <si>
    <t>09-423 8246</t>
  </si>
  <si>
    <t>78 Rodney Street</t>
  </si>
  <si>
    <t>Michelle Letcher</t>
  </si>
  <si>
    <t>5A Links Road</t>
  </si>
  <si>
    <t>Te Kōpae Piripono</t>
  </si>
  <si>
    <t>027-2019697</t>
  </si>
  <si>
    <t>admin@tekopaepiripono.org.nz</t>
  </si>
  <si>
    <t>245 Henwood Road</t>
  </si>
  <si>
    <t>Paraite</t>
  </si>
  <si>
    <t>Aroaro Tamati</t>
  </si>
  <si>
    <t>New Plymouth 4372</t>
  </si>
  <si>
    <t>Selwyn Kids</t>
  </si>
  <si>
    <t>03-347 9089</t>
  </si>
  <si>
    <t>62 Rolleston Drive</t>
  </si>
  <si>
    <t>Rebecca Adams</t>
  </si>
  <si>
    <t>60 Rolleston Drive</t>
  </si>
  <si>
    <t>Christchurch 7614</t>
  </si>
  <si>
    <t>03-3479089</t>
  </si>
  <si>
    <t>Toru Fetu Kindergarten</t>
  </si>
  <si>
    <t>04-2396063</t>
  </si>
  <si>
    <t>torufetu@wmkindergartens.org.nz</t>
  </si>
  <si>
    <t>Country Kidz</t>
  </si>
  <si>
    <t>07-3339111</t>
  </si>
  <si>
    <t>countrykidz@xtra.co.nz</t>
  </si>
  <si>
    <t>1452 Forest Road</t>
  </si>
  <si>
    <t>Marotiri</t>
  </si>
  <si>
    <t>Brett Steeghs</t>
  </si>
  <si>
    <t>1452 Forest Road RD 1</t>
  </si>
  <si>
    <t>Atiamuri 3078</t>
  </si>
  <si>
    <t>Maungaarangi Kindergarten and Family Centre</t>
  </si>
  <si>
    <t>07-544 8944</t>
  </si>
  <si>
    <t>maungaarangi@ikindergartens.nz</t>
  </si>
  <si>
    <t>22 Esmeralda Street</t>
  </si>
  <si>
    <t>BestStart Pleasant Point</t>
  </si>
  <si>
    <t>03-6148338</t>
  </si>
  <si>
    <t>PleasantPoint@best-start.org</t>
  </si>
  <si>
    <t>21 Halstead Road</t>
  </si>
  <si>
    <t>Pleasant Point</t>
  </si>
  <si>
    <t>Kidz Kindy Gisborne</t>
  </si>
  <si>
    <t>06-8683576</t>
  </si>
  <si>
    <t>Rebecca@kidzkindy.co.nz</t>
  </si>
  <si>
    <t>116 Lytton Road</t>
  </si>
  <si>
    <t>Te Hapara North</t>
  </si>
  <si>
    <t>Viv Robertson</t>
  </si>
  <si>
    <t>021-02424643</t>
  </si>
  <si>
    <t>Ako Early Learning</t>
  </si>
  <si>
    <t>07-5787744</t>
  </si>
  <si>
    <t>ingrid@akoearlylearning.co.nz</t>
  </si>
  <si>
    <t>154 Fraser Street</t>
  </si>
  <si>
    <t>Ingrid Ambrosiussen</t>
  </si>
  <si>
    <t>1 Haneanea Way</t>
  </si>
  <si>
    <t>027-5589883</t>
  </si>
  <si>
    <t>Scallywaggs Graduation Kindergarten</t>
  </si>
  <si>
    <t>06-8587404</t>
  </si>
  <si>
    <t>11 Russell Street</t>
  </si>
  <si>
    <t>Arrowtown Preschool Cotter Ave</t>
  </si>
  <si>
    <t>03-4420172</t>
  </si>
  <si>
    <t>admin@arrowtownpreschool.co.nz</t>
  </si>
  <si>
    <t>114 Cotter Avenue</t>
  </si>
  <si>
    <t>Arrowtown</t>
  </si>
  <si>
    <t>Arrowtown-Kawarau Ward</t>
  </si>
  <si>
    <t>Jane Foster</t>
  </si>
  <si>
    <t>P O Box 47</t>
  </si>
  <si>
    <t>Arrowtown 9351</t>
  </si>
  <si>
    <t>03-442 0172</t>
  </si>
  <si>
    <t>Wattle Cove Early Learning</t>
  </si>
  <si>
    <t>15 Scotsmoor Drive</t>
  </si>
  <si>
    <t>Wattle Downs</t>
  </si>
  <si>
    <t>Wattle Downs West</t>
  </si>
  <si>
    <t>The Rabbit Patch - Saffron Street</t>
  </si>
  <si>
    <t>03-359 0196</t>
  </si>
  <si>
    <t>gail@rabbitpatch.co.nz</t>
  </si>
  <si>
    <t>22 Saffron Street</t>
  </si>
  <si>
    <t>Bryndwr North</t>
  </si>
  <si>
    <t>Gail Clarke</t>
  </si>
  <si>
    <t>Christchurch 8053</t>
  </si>
  <si>
    <t>Star Early Learning</t>
  </si>
  <si>
    <t>027-7279226</t>
  </si>
  <si>
    <t>melissa@starearlylearning.co.nz</t>
  </si>
  <si>
    <t>329 &amp; 331 Annesbrook Drive</t>
  </si>
  <si>
    <t>Melissa Laing</t>
  </si>
  <si>
    <t>331 Annesbrook Drive</t>
  </si>
  <si>
    <t>Nelson 7011</t>
  </si>
  <si>
    <t>03-547 5477</t>
  </si>
  <si>
    <t>Childhood Concepts Goodshed Rd</t>
  </si>
  <si>
    <t>04-527 0282</t>
  </si>
  <si>
    <t>28Goodshedrd@childhoodconcepts.co.nz</t>
  </si>
  <si>
    <t>28 Goodshed Road</t>
  </si>
  <si>
    <t>Upper Hutt Central</t>
  </si>
  <si>
    <t>Paula  Drummond</t>
  </si>
  <si>
    <t xml:space="preserve">AIG Building, Level 10 41 Shortland Street, </t>
  </si>
  <si>
    <t>04-979 9849</t>
  </si>
  <si>
    <t>Kauri Seeds Preschool</t>
  </si>
  <si>
    <t>09-6385674</t>
  </si>
  <si>
    <t>admin@kauriseeds.co.nz</t>
  </si>
  <si>
    <t>24 King George Avenue</t>
  </si>
  <si>
    <t>Ling  Li</t>
  </si>
  <si>
    <t>89A Namata Road</t>
  </si>
  <si>
    <t>KiNZ Mission Heights</t>
  </si>
  <si>
    <t>09-2652850</t>
  </si>
  <si>
    <t>missionheights@kinz.org.nz</t>
  </si>
  <si>
    <t>31 Valderama Drive</t>
  </si>
  <si>
    <t>Mission Heights South</t>
  </si>
  <si>
    <t>Active Explorers Blenheim</t>
  </si>
  <si>
    <t>03-578 5842</t>
  </si>
  <si>
    <t>27 Redwood Street</t>
  </si>
  <si>
    <t>Blenheim Central</t>
  </si>
  <si>
    <t>Leesa Armstrong</t>
  </si>
  <si>
    <t>03-5775442</t>
  </si>
  <si>
    <t>Crackerjax Early Learning Centre</t>
  </si>
  <si>
    <t>03-4885333</t>
  </si>
  <si>
    <t>2 Westland Street</t>
  </si>
  <si>
    <t>Qiuzi Chen</t>
  </si>
  <si>
    <t>374 Taieri Road</t>
  </si>
  <si>
    <t>Dunedin 9010</t>
  </si>
  <si>
    <t>Henderson Valley Private Kindergarten</t>
  </si>
  <si>
    <t>09-8174304</t>
  </si>
  <si>
    <t>101 Coulter Rd</t>
  </si>
  <si>
    <t>BestStart Wainoni Road</t>
  </si>
  <si>
    <t>03-382 6472</t>
  </si>
  <si>
    <t>260 Wainoni Road</t>
  </si>
  <si>
    <t>Bright Beginnings Montessori</t>
  </si>
  <si>
    <t>03-3474474</t>
  </si>
  <si>
    <t>office@bbmontessori.co.nz</t>
  </si>
  <si>
    <t>183 Brookside Road</t>
  </si>
  <si>
    <t>Rolleston Central</t>
  </si>
  <si>
    <t>Zoe Russell</t>
  </si>
  <si>
    <t>Rolleston 7614</t>
  </si>
  <si>
    <t>027-3100157</t>
  </si>
  <si>
    <t>Aoga Amata (AAPICA) Centre Avondale</t>
  </si>
  <si>
    <t>09-8206056</t>
  </si>
  <si>
    <t>manager@aapica.com</t>
  </si>
  <si>
    <t>43 Rosebank Road</t>
  </si>
  <si>
    <t>Avondale Central (Auckland)</t>
  </si>
  <si>
    <t>Henga Amosa</t>
  </si>
  <si>
    <t>09-6295120</t>
  </si>
  <si>
    <t>Little Waikato Scholars Prep School</t>
  </si>
  <si>
    <t>07-8550144</t>
  </si>
  <si>
    <t>waikatoscholars@xtra.co.nz</t>
  </si>
  <si>
    <t>644 Grey Street</t>
  </si>
  <si>
    <t>Steve Henry</t>
  </si>
  <si>
    <t>1 Quail Place</t>
  </si>
  <si>
    <t>Little Wonders Rolleston</t>
  </si>
  <si>
    <t>03-347 3511</t>
  </si>
  <si>
    <t>33 Elizabeth Street</t>
  </si>
  <si>
    <t>Rolleston North Central</t>
  </si>
  <si>
    <t>Natasha Hamer</t>
  </si>
  <si>
    <t>Learning Links Borman Road</t>
  </si>
  <si>
    <t>07-8543933</t>
  </si>
  <si>
    <t>manager.LLBor@learninglinkschildcare.co.nz</t>
  </si>
  <si>
    <t>267 Borman Road</t>
  </si>
  <si>
    <t>Joanna Purdie</t>
  </si>
  <si>
    <t>P O Box 28113</t>
  </si>
  <si>
    <t>07-8525510</t>
  </si>
  <si>
    <t>Sunshine Christian Preschool</t>
  </si>
  <si>
    <t>09-263 9137</t>
  </si>
  <si>
    <t>sunshinepreschool@mcctrust.nz</t>
  </si>
  <si>
    <t>Lupesina Aoga Amata Preschool</t>
  </si>
  <si>
    <t>09-835 1926</t>
  </si>
  <si>
    <t>lupesina.aoga@gmail.com</t>
  </si>
  <si>
    <t>60 Barrys Road</t>
  </si>
  <si>
    <t>Alovale Faaiuaso</t>
  </si>
  <si>
    <t>52A Barrys Road</t>
  </si>
  <si>
    <t>Brightlands Childcare Centre, Vickery Street</t>
  </si>
  <si>
    <t>07-8496868</t>
  </si>
  <si>
    <t>info@brightlands.ac.nz</t>
  </si>
  <si>
    <t>53 Vickery Street</t>
  </si>
  <si>
    <t>Rosanne  Harding</t>
  </si>
  <si>
    <t>021-678287</t>
  </si>
  <si>
    <t>Maungatapu Pre-School</t>
  </si>
  <si>
    <t>07-544 6969</t>
  </si>
  <si>
    <t>karen@maungatapupreschool.co.nz</t>
  </si>
  <si>
    <t>313 Maungatapu Road</t>
  </si>
  <si>
    <t>Karen Reeves</t>
  </si>
  <si>
    <t>31 Montego Drive</t>
  </si>
  <si>
    <t>Young Explorers Early Learning Centre</t>
  </si>
  <si>
    <t>09-238 4852</t>
  </si>
  <si>
    <t>566 Bucklands Road RD2</t>
  </si>
  <si>
    <t>Buckland</t>
  </si>
  <si>
    <t>Natasha Jones</t>
  </si>
  <si>
    <t>P O Box 36</t>
  </si>
  <si>
    <t>09-2383303</t>
  </si>
  <si>
    <t>Nature's Explorers Kindergarten</t>
  </si>
  <si>
    <t>09-4128800</t>
  </si>
  <si>
    <t>office.kindergarten@xtra.co.nz</t>
  </si>
  <si>
    <t>1 Maude Street</t>
  </si>
  <si>
    <t>Little People Learning Centre</t>
  </si>
  <si>
    <t>09-4442931</t>
  </si>
  <si>
    <t>jodie@littlepeople.net.nz</t>
  </si>
  <si>
    <t>12 Chartwell Avenue</t>
  </si>
  <si>
    <t>Dudley Creek Preschool Ltd</t>
  </si>
  <si>
    <t>03-9801525</t>
  </si>
  <si>
    <t>dudleycreekpreschool@gmail.com</t>
  </si>
  <si>
    <t>357 Hills Road</t>
  </si>
  <si>
    <t>Sue  Fergusson</t>
  </si>
  <si>
    <t>PO Box 76040</t>
  </si>
  <si>
    <t>Christchurch 8051</t>
  </si>
  <si>
    <t>03-3542926</t>
  </si>
  <si>
    <t>Tiny Nation</t>
  </si>
  <si>
    <t>09-3094444</t>
  </si>
  <si>
    <t>info@tinynation.co.nz</t>
  </si>
  <si>
    <t>209 Karamu Road North</t>
  </si>
  <si>
    <t>Hastings Central</t>
  </si>
  <si>
    <t>Andrea Cooper</t>
  </si>
  <si>
    <t>Hastings 4122</t>
  </si>
  <si>
    <t>027-5263732</t>
  </si>
  <si>
    <t>Pukeatua Kōhanga Reo</t>
  </si>
  <si>
    <t>04-5642215</t>
  </si>
  <si>
    <t>82 Moohan Street</t>
  </si>
  <si>
    <t>Homedale East</t>
  </si>
  <si>
    <t>Kuini Garthwaite</t>
  </si>
  <si>
    <t>P O Box 42122</t>
  </si>
  <si>
    <t>Lower Hutt 5049</t>
  </si>
  <si>
    <t>04-564 2215</t>
  </si>
  <si>
    <t>Te Waipuna Ariki o Matangireia</t>
  </si>
  <si>
    <t>07-3060096</t>
  </si>
  <si>
    <t>manu.glen@nash.org.nz</t>
  </si>
  <si>
    <t>15 Golf Links Road, RD 1</t>
  </si>
  <si>
    <t>Thornton</t>
  </si>
  <si>
    <t>Manurere Glen</t>
  </si>
  <si>
    <t>15 Golf Links  RD 1</t>
  </si>
  <si>
    <t xml:space="preserve">Whakatane </t>
  </si>
  <si>
    <t>Auckland Point Kindergarten</t>
  </si>
  <si>
    <t>03-546 3383</t>
  </si>
  <si>
    <t>aucklandpointkindergarten@ntk.org.nz</t>
  </si>
  <si>
    <t>Auckland Point School 111 Haven Road</t>
  </si>
  <si>
    <t>Port Nelson</t>
  </si>
  <si>
    <t>Planet Sunshine Early Childhood Service</t>
  </si>
  <si>
    <t>06-8690500 Ext 8810</t>
  </si>
  <si>
    <t>Gisborne Hospital 421 Ormond Road</t>
  </si>
  <si>
    <t>Lytton</t>
  </si>
  <si>
    <t>Nicki Dever</t>
  </si>
  <si>
    <t>Tairawhiti District Health  Private Bag 7001</t>
  </si>
  <si>
    <t>06-8690500 Ext 8240</t>
  </si>
  <si>
    <t>Seedlings Education</t>
  </si>
  <si>
    <t>09-2735525</t>
  </si>
  <si>
    <t>3/12 Laidlaw Way</t>
  </si>
  <si>
    <t>Adam Brunt</t>
  </si>
  <si>
    <t>2/9 Inkerman Street</t>
  </si>
  <si>
    <t>Te Kōhanga Reo o Ngā Whare Maha</t>
  </si>
  <si>
    <t>09-869 2051</t>
  </si>
  <si>
    <t>7 A Ceres Court</t>
  </si>
  <si>
    <t>A Fun Place To Be Childcare</t>
  </si>
  <si>
    <t>07-8685587</t>
  </si>
  <si>
    <t>funplace@xtra.co.nz</t>
  </si>
  <si>
    <t>3 Maramarahi Road</t>
  </si>
  <si>
    <t>Imojen Treanor</t>
  </si>
  <si>
    <t>Thames 3500</t>
  </si>
  <si>
    <t>021-1837281</t>
  </si>
  <si>
    <t>Minerva House</t>
  </si>
  <si>
    <t>03-3558886</t>
  </si>
  <si>
    <t>info@minervahouse.co.nz</t>
  </si>
  <si>
    <t>90 McFaddens Road</t>
  </si>
  <si>
    <t>Peter Wortley</t>
  </si>
  <si>
    <t>Saint Albans</t>
  </si>
  <si>
    <t>Christchurch 8052</t>
  </si>
  <si>
    <t>03-3541673</t>
  </si>
  <si>
    <t>Globalkids Early Learning Centre</t>
  </si>
  <si>
    <t>03-332 2070</t>
  </si>
  <si>
    <t>global.kids@xtra.co.nz</t>
  </si>
  <si>
    <t>70 Hume Street</t>
  </si>
  <si>
    <t>Sydenham</t>
  </si>
  <si>
    <t>Debbie Taylor</t>
  </si>
  <si>
    <t>16 Rivers Edge</t>
  </si>
  <si>
    <t>Northwood</t>
  </si>
  <si>
    <t>03-323 4074</t>
  </si>
  <si>
    <t>Active Explorers St Lukes</t>
  </si>
  <si>
    <t>09-8158586</t>
  </si>
  <si>
    <t>55 Sainsbury Road</t>
  </si>
  <si>
    <t>Sheree Davys</t>
  </si>
  <si>
    <t>09-2960522</t>
  </si>
  <si>
    <t>Nurture Early Learning Centre</t>
  </si>
  <si>
    <t>09-820 2396</t>
  </si>
  <si>
    <t>admin@nurtureearlylearning.co.nz</t>
  </si>
  <si>
    <t>391 Rosebank Road</t>
  </si>
  <si>
    <t>Rosebank Peninsula</t>
  </si>
  <si>
    <t>Trudie Kroef</t>
  </si>
  <si>
    <t>P O Box 10263</t>
  </si>
  <si>
    <t>Dominion Road</t>
  </si>
  <si>
    <t>Auckland 1446</t>
  </si>
  <si>
    <t>Whiz Kids</t>
  </si>
  <si>
    <t>09-4052255</t>
  </si>
  <si>
    <t>52 Guy Road</t>
  </si>
  <si>
    <t>Isita Fale</t>
  </si>
  <si>
    <t>Whangarei 0447</t>
  </si>
  <si>
    <t>09-4019283</t>
  </si>
  <si>
    <t>Koru Kids Early Learning Centre</t>
  </si>
  <si>
    <t>09-277 4222</t>
  </si>
  <si>
    <t>30 Kenderine Road</t>
  </si>
  <si>
    <t>Sarah White</t>
  </si>
  <si>
    <t>19 Tasman Avenue</t>
  </si>
  <si>
    <t>021-02419391</t>
  </si>
  <si>
    <t>Angels Childcare - New Lynn</t>
  </si>
  <si>
    <t>09-8273379</t>
  </si>
  <si>
    <t>angelsnew@angelschildcare.co.nz</t>
  </si>
  <si>
    <t>32 Arawa St</t>
  </si>
  <si>
    <t>New Lynn North West</t>
  </si>
  <si>
    <t>Bryan McCloughen</t>
  </si>
  <si>
    <t>87 Braemar Road</t>
  </si>
  <si>
    <t>Castor Bay</t>
  </si>
  <si>
    <t>09-4144328</t>
  </si>
  <si>
    <t>Fotumalama Aoga Amata</t>
  </si>
  <si>
    <t>09-2623009</t>
  </si>
  <si>
    <t>fotumalama.preschool@xtra.co.nz</t>
  </si>
  <si>
    <t>1/54 Trevor Hosken Drive</t>
  </si>
  <si>
    <t>Noama Timoteo</t>
  </si>
  <si>
    <t xml:space="preserve">1/54 Trevor Hosken Drive </t>
  </si>
  <si>
    <t>Auckland 2104</t>
  </si>
  <si>
    <t>Busy Bees Havelock North</t>
  </si>
  <si>
    <t>06-8774746</t>
  </si>
  <si>
    <t>info@havelocknorth.busybees.org.nz</t>
  </si>
  <si>
    <t>108 Te Mata Road</t>
  </si>
  <si>
    <t>Hereworth</t>
  </si>
  <si>
    <t>Laurie Latter</t>
  </si>
  <si>
    <t>Busy Bees Pioneer Highway</t>
  </si>
  <si>
    <t>06-3582294</t>
  </si>
  <si>
    <t>715 Pioneer Highway</t>
  </si>
  <si>
    <t>Takaro South</t>
  </si>
  <si>
    <t>Samantha Gould</t>
  </si>
  <si>
    <t>Busy Bees Carterton</t>
  </si>
  <si>
    <t>06-3799260</t>
  </si>
  <si>
    <t>manager@carterton.busybees.org.nz</t>
  </si>
  <si>
    <t>171 High Street South</t>
  </si>
  <si>
    <t>Melissa Allen</t>
  </si>
  <si>
    <t>06-379 9260</t>
  </si>
  <si>
    <t>Active Explorers Lower Hutt</t>
  </si>
  <si>
    <t>04-589 5061</t>
  </si>
  <si>
    <t>cm.lowerhutt@activeexplorers.co.nz</t>
  </si>
  <si>
    <t>22A Pretoria Street</t>
  </si>
  <si>
    <t>Lower Hutt Central</t>
  </si>
  <si>
    <t>Emilee Keefe</t>
  </si>
  <si>
    <t>04-589-5061</t>
  </si>
  <si>
    <t>Little Magpies Home Based Care</t>
  </si>
  <si>
    <t>06-8775261</t>
  </si>
  <si>
    <t>admin@littlemagpies.co.nz</t>
  </si>
  <si>
    <t>24 Leyland Street</t>
  </si>
  <si>
    <t>Onekawa West</t>
  </si>
  <si>
    <t>Shane Rooney</t>
  </si>
  <si>
    <t>P O Box 8644</t>
  </si>
  <si>
    <t>06-8776108</t>
  </si>
  <si>
    <t>KaTui Early Childhood Learning Centre</t>
  </si>
  <si>
    <t>09-4053351</t>
  </si>
  <si>
    <t>12 Broadway</t>
  </si>
  <si>
    <t>Kawhena Matthews</t>
  </si>
  <si>
    <t>126 Orakau Road  RD 1</t>
  </si>
  <si>
    <t>Tautoro</t>
  </si>
  <si>
    <t>Kaikohe 0474</t>
  </si>
  <si>
    <t>09-405 3351</t>
  </si>
  <si>
    <t>Kuddles In-Home Childcare &amp; Education - 2</t>
  </si>
  <si>
    <t>AoKids/Malelega</t>
  </si>
  <si>
    <t>09-270 0263</t>
  </si>
  <si>
    <t>welcome@aokids.co.nz</t>
  </si>
  <si>
    <t>40 Cleek Road</t>
  </si>
  <si>
    <t>Nature Kids</t>
  </si>
  <si>
    <t>06-8786111</t>
  </si>
  <si>
    <t>naturekids@xtra.co.nz</t>
  </si>
  <si>
    <t>1015 Duke Street</t>
  </si>
  <si>
    <t>Hayley Rameka</t>
  </si>
  <si>
    <t>Hastings 4201</t>
  </si>
  <si>
    <t>ACG Queenstown Henry Street</t>
  </si>
  <si>
    <t>03-4090441</t>
  </si>
  <si>
    <t>admin@zigzagzoo.co.nz</t>
  </si>
  <si>
    <t>7 Henry Street</t>
  </si>
  <si>
    <t>Queenstown Central</t>
  </si>
  <si>
    <t>Harpreet Ahluwalia</t>
  </si>
  <si>
    <t>027-9400904</t>
  </si>
  <si>
    <t>Kumeu Childcare</t>
  </si>
  <si>
    <t>09-4128081</t>
  </si>
  <si>
    <t>info@kumeuchildcare.co.nz</t>
  </si>
  <si>
    <t>7-9 Wookey Lane</t>
  </si>
  <si>
    <t>Harinder Bedi</t>
  </si>
  <si>
    <t>P O Box 58303</t>
  </si>
  <si>
    <t>Auckland 2163</t>
  </si>
  <si>
    <t>09-2777934</t>
  </si>
  <si>
    <t>Busy Bees Richmond</t>
  </si>
  <si>
    <t>03-5410617</t>
  </si>
  <si>
    <t>info@richmond.busybees.org.nz</t>
  </si>
  <si>
    <t>34 Edward Street</t>
  </si>
  <si>
    <t>Easby Park</t>
  </si>
  <si>
    <t>Jasmine Nilsson</t>
  </si>
  <si>
    <t>09-4363085</t>
  </si>
  <si>
    <t>info@kiwikidselc.co.nz</t>
  </si>
  <si>
    <t>4 Waimahanga Road</t>
  </si>
  <si>
    <t>Sherwood Rise</t>
  </si>
  <si>
    <t>Jane Allen</t>
  </si>
  <si>
    <t>Four Seasons Rudolf Steiner Kindergarten</t>
  </si>
  <si>
    <t>07-3788042</t>
  </si>
  <si>
    <t>tlee@fourseasonskindergarten.co.nz</t>
  </si>
  <si>
    <t>78 Kaimanawa Street</t>
  </si>
  <si>
    <t>Traceylee Hooton</t>
  </si>
  <si>
    <t>P O Box 530</t>
  </si>
  <si>
    <t>Taupo 3351</t>
  </si>
  <si>
    <t>07-3782974</t>
  </si>
  <si>
    <t>Big Hugz Early Learning Centre Limited</t>
  </si>
  <si>
    <t>07-8562222</t>
  </si>
  <si>
    <t>3 Fenwick Crescent</t>
  </si>
  <si>
    <t>Ning Hsu</t>
  </si>
  <si>
    <t>07-856 5238</t>
  </si>
  <si>
    <t>Central Kids Kindergartens - Golden Sands</t>
  </si>
  <si>
    <t>07-9280315</t>
  </si>
  <si>
    <t>goldensands@centralkids.org.nz</t>
  </si>
  <si>
    <t>30 Golden Sands Drive</t>
  </si>
  <si>
    <t>Motiti</t>
  </si>
  <si>
    <t>Great Beginnings Early Learning Centre</t>
  </si>
  <si>
    <t>07-8243227</t>
  </si>
  <si>
    <t>great.begin@yahoo.com</t>
  </si>
  <si>
    <t>59 Woodlands Road</t>
  </si>
  <si>
    <t>Tracey Ryan</t>
  </si>
  <si>
    <t>17 Tenfoot Road RD 1</t>
  </si>
  <si>
    <t>The Nest Private Kindergarten @ Clive</t>
  </si>
  <si>
    <t>06-8700008</t>
  </si>
  <si>
    <t>clive@thenestnz.com</t>
  </si>
  <si>
    <t>237 State Highway 2</t>
  </si>
  <si>
    <t>Clive</t>
  </si>
  <si>
    <t>Heretaunga General Ward</t>
  </si>
  <si>
    <t>Nicole  Brocklehurst</t>
  </si>
  <si>
    <t>Clive 4102</t>
  </si>
  <si>
    <t>027-9442277</t>
  </si>
  <si>
    <t>Prebbleton Early Learners</t>
  </si>
  <si>
    <t>03-3499950</t>
  </si>
  <si>
    <t>504 Springs Road</t>
  </si>
  <si>
    <t>Prebbleton North</t>
  </si>
  <si>
    <t>Melanie Cotter</t>
  </si>
  <si>
    <t>542 Springs Road</t>
  </si>
  <si>
    <t>Prebbleton</t>
  </si>
  <si>
    <t>Christchurch 7604</t>
  </si>
  <si>
    <t>03-3499970</t>
  </si>
  <si>
    <t>Stems From Home</t>
  </si>
  <si>
    <t>09-536 7103</t>
  </si>
  <si>
    <t>stephany@stemsfromhome.co.nz</t>
  </si>
  <si>
    <t>93A Beach Road, Mellons Bay</t>
  </si>
  <si>
    <t>Stephany Wofinden</t>
  </si>
  <si>
    <t>P O Box 43</t>
  </si>
  <si>
    <t>0800-783378</t>
  </si>
  <si>
    <t>BestStart Judea</t>
  </si>
  <si>
    <t>07-5770911</t>
  </si>
  <si>
    <t>judea@best-start.org</t>
  </si>
  <si>
    <t>167 Waihi Road</t>
  </si>
  <si>
    <t>Future Focus - The Bach</t>
  </si>
  <si>
    <t>07-5425132</t>
  </si>
  <si>
    <t>thebach@futurefocus.co.nz</t>
  </si>
  <si>
    <t>886 Papamoa Beach Road</t>
  </si>
  <si>
    <t>Brittney Tulafono</t>
  </si>
  <si>
    <t>Papamoa 3118</t>
  </si>
  <si>
    <t>027-7666756</t>
  </si>
  <si>
    <t>A to Z Preschool</t>
  </si>
  <si>
    <t>03-768 4733</t>
  </si>
  <si>
    <t>alesha.crawford@hotmail.com</t>
  </si>
  <si>
    <t>70 Blake Street</t>
  </si>
  <si>
    <t>Blaketown</t>
  </si>
  <si>
    <t>Alesha Crawford</t>
  </si>
  <si>
    <t>Greymouth 7805</t>
  </si>
  <si>
    <t>Surrey Park Early Learning Centre</t>
  </si>
  <si>
    <t>03-2173477</t>
  </si>
  <si>
    <t>55 Isabella Street</t>
  </si>
  <si>
    <t>Avril Dalzell</t>
  </si>
  <si>
    <t>Invercargill North</t>
  </si>
  <si>
    <t>Invercargill 9810</t>
  </si>
  <si>
    <t>Pitter Patter</t>
  </si>
  <si>
    <t>09-838 1433</t>
  </si>
  <si>
    <t>163 McLeod Road</t>
  </si>
  <si>
    <t>Shooting Stars Daycare</t>
  </si>
  <si>
    <t>09-5255711</t>
  </si>
  <si>
    <t>diana@shootingstars.co.nz</t>
  </si>
  <si>
    <t>3 Tecoma Street</t>
  </si>
  <si>
    <t>Diana Hansen</t>
  </si>
  <si>
    <t>P O Box 11207</t>
  </si>
  <si>
    <t>09-6367959</t>
  </si>
  <si>
    <t>Pascals St Johns</t>
  </si>
  <si>
    <t>09-578 2020</t>
  </si>
  <si>
    <t>cm.stjohns@pascalselc.co.nz</t>
  </si>
  <si>
    <t>9 Farmhouse Lane</t>
  </si>
  <si>
    <t>Hazel  Fernandes</t>
  </si>
  <si>
    <t>Springbank Headstart</t>
  </si>
  <si>
    <t>09-4075236</t>
  </si>
  <si>
    <t>jenna.pille@springbank.school.nz</t>
  </si>
  <si>
    <t>78 Waimate North Road</t>
  </si>
  <si>
    <t>Sunshine Childcare on Vickery</t>
  </si>
  <si>
    <t>07-8492022</t>
  </si>
  <si>
    <t>106 Vickery Street</t>
  </si>
  <si>
    <t>Good Beginnings Infants &amp; Toddlers</t>
  </si>
  <si>
    <t>06-3770949</t>
  </si>
  <si>
    <t>admin@goodbeginnings.co.nz</t>
  </si>
  <si>
    <t>16 Casel Street</t>
  </si>
  <si>
    <t>Nicola Burling</t>
  </si>
  <si>
    <t>20 Waltons Avenue</t>
  </si>
  <si>
    <t>Masterton 5810</t>
  </si>
  <si>
    <t>06-3770932</t>
  </si>
  <si>
    <t>Lynfield Playcentre</t>
  </si>
  <si>
    <t>16 Griffen Park Road</t>
  </si>
  <si>
    <t>Pennylane Early Childhood Centre</t>
  </si>
  <si>
    <t>03-338 6825</t>
  </si>
  <si>
    <t>manager@pennylanechildcare.co.nz</t>
  </si>
  <si>
    <t>79 Hoon Hay Road</t>
  </si>
  <si>
    <t>Helen Lowe</t>
  </si>
  <si>
    <t>69 Hinau Street</t>
  </si>
  <si>
    <t>Christchurch 8041</t>
  </si>
  <si>
    <t>Little Blue Penguin Preschool and Nursery Prestons</t>
  </si>
  <si>
    <t>03-383 7720</t>
  </si>
  <si>
    <t>gina@littlebluepenguin.co.nz</t>
  </si>
  <si>
    <t>408 Prestons Road</t>
  </si>
  <si>
    <t>Marshland</t>
  </si>
  <si>
    <t>Prestons Park</t>
  </si>
  <si>
    <t>Gina Colvin</t>
  </si>
  <si>
    <t>68 Farrington Avenue</t>
  </si>
  <si>
    <t>03-9801090</t>
  </si>
  <si>
    <t>Richmond Early Learning Centre</t>
  </si>
  <si>
    <t>03-2178009</t>
  </si>
  <si>
    <t>little.ones@xtra.co.nz</t>
  </si>
  <si>
    <t>104 Islington Street</t>
  </si>
  <si>
    <t>Turnbull Thompson Park</t>
  </si>
  <si>
    <t>Nardine Rhind</t>
  </si>
  <si>
    <t>39 Ferry Road</t>
  </si>
  <si>
    <t>Edendale 9825</t>
  </si>
  <si>
    <t>03-2313362</t>
  </si>
  <si>
    <t>Tokomairiro Early Learning Centre on Spenser</t>
  </si>
  <si>
    <t>03-4178185</t>
  </si>
  <si>
    <t>telc@xtra.co.nz</t>
  </si>
  <si>
    <t>71 Spenser Street</t>
  </si>
  <si>
    <t>Joanne Mead</t>
  </si>
  <si>
    <t>94 Johnson Street</t>
  </si>
  <si>
    <t>Milton 9220</t>
  </si>
  <si>
    <t>BestStart Great North Road</t>
  </si>
  <si>
    <t>09-8274537</t>
  </si>
  <si>
    <t>greatnorth@best-start.org</t>
  </si>
  <si>
    <t>3180 Great North Road</t>
  </si>
  <si>
    <t>Happy Kids Preschool</t>
  </si>
  <si>
    <t>09-8368323</t>
  </si>
  <si>
    <t>happykidspreschool@hotmail.com</t>
  </si>
  <si>
    <t>287 Great North Road</t>
  </si>
  <si>
    <t>Angela Shao</t>
  </si>
  <si>
    <t>2-459 Blockhouse Bay Road</t>
  </si>
  <si>
    <t>Pohutukawa Early Learning Centre</t>
  </si>
  <si>
    <t>06-3771000</t>
  </si>
  <si>
    <t>elcpohutukawa@gmail.com</t>
  </si>
  <si>
    <t>12 Villa Street</t>
  </si>
  <si>
    <t>Masterton Central</t>
  </si>
  <si>
    <t>Paulette Hall</t>
  </si>
  <si>
    <t xml:space="preserve">12 Villa Street </t>
  </si>
  <si>
    <t>06-3727877</t>
  </si>
  <si>
    <t>Turangi Kindy</t>
  </si>
  <si>
    <t>07-2817271</t>
  </si>
  <si>
    <t>14 Ngawaka Place</t>
  </si>
  <si>
    <t>Sangeeta Dhot</t>
  </si>
  <si>
    <t>558d Papamoa Road</t>
  </si>
  <si>
    <t>All About Children  - Browns</t>
  </si>
  <si>
    <t>49brownsroad@allaboutchildren.co.nz</t>
  </si>
  <si>
    <t>49 Browns Road</t>
  </si>
  <si>
    <t>Homai East</t>
  </si>
  <si>
    <t>P O Box 15503</t>
  </si>
  <si>
    <t>Auckland 0640</t>
  </si>
  <si>
    <t>BestStart Cornwall Street</t>
  </si>
  <si>
    <t>04-5664205</t>
  </si>
  <si>
    <t>cornwall@best-start.org</t>
  </si>
  <si>
    <t>3 Cornwall Street</t>
  </si>
  <si>
    <t>Diocesan School for Girls Foundation Class</t>
  </si>
  <si>
    <t>09-5200 221 Ext 8153</t>
  </si>
  <si>
    <t>Clyde Street</t>
  </si>
  <si>
    <t>Emma Gordon</t>
  </si>
  <si>
    <t>Private Bag 99939</t>
  </si>
  <si>
    <t>09-520 0221 Ext 7631</t>
  </si>
  <si>
    <t>BestStart Kaikorai Valley Road</t>
  </si>
  <si>
    <t xml:space="preserve">03-4880074 </t>
  </si>
  <si>
    <t>kaikorai@best-start.org</t>
  </si>
  <si>
    <t>463 Kaikorai Valley Road</t>
  </si>
  <si>
    <t>Bradford</t>
  </si>
  <si>
    <t>Kenmure</t>
  </si>
  <si>
    <t>BestStart Montessori Bethlehem</t>
  </si>
  <si>
    <t>07-579 3661</t>
  </si>
  <si>
    <t>250 Tauranga West Road</t>
  </si>
  <si>
    <t>Kindercare Learning Centres Tawa</t>
  </si>
  <si>
    <t>04-2326666</t>
  </si>
  <si>
    <t>tawa@kindercare.co.nz</t>
  </si>
  <si>
    <t>25 Main Road</t>
  </si>
  <si>
    <t>Seventh Day Adventist</t>
  </si>
  <si>
    <t>Tawa South</t>
  </si>
  <si>
    <t>Paula Martin</t>
  </si>
  <si>
    <t>Pascals St Albans</t>
  </si>
  <si>
    <t>03-356 2252</t>
  </si>
  <si>
    <t>cm.stalbans@pascalselc.co.nz</t>
  </si>
  <si>
    <t>26 Somme Street</t>
  </si>
  <si>
    <t>Rutland</t>
  </si>
  <si>
    <t>Louise Thompson</t>
  </si>
  <si>
    <t>Gingerbread Cottage Network 2</t>
  </si>
  <si>
    <t>07-4728535</t>
  </si>
  <si>
    <t>11 Green Street</t>
  </si>
  <si>
    <t>Kids at Home The Bay 5</t>
  </si>
  <si>
    <t>Play To Learn Early Learning Centre</t>
  </si>
  <si>
    <t>07-8505064</t>
  </si>
  <si>
    <t>admin@playtolearnelc.co.nz</t>
  </si>
  <si>
    <t>29 Tasman Road</t>
  </si>
  <si>
    <t>Kylee McLean</t>
  </si>
  <si>
    <t>Funshine Early Learning Centre</t>
  </si>
  <si>
    <t>03-2025065</t>
  </si>
  <si>
    <t>office@funshine.co.nz</t>
  </si>
  <si>
    <t>12 Chester Street</t>
  </si>
  <si>
    <t>Riversdale</t>
  </si>
  <si>
    <t>Riversdale-Piano Flat</t>
  </si>
  <si>
    <t>Jessica Boyte</t>
  </si>
  <si>
    <t>P O Box 198</t>
  </si>
  <si>
    <t>Riversdale 9744</t>
  </si>
  <si>
    <t>Little Wonders Timaru</t>
  </si>
  <si>
    <t>027-2239661</t>
  </si>
  <si>
    <t>lisa.mitchell@eeg.co.nz</t>
  </si>
  <si>
    <t>210 Otipua Road</t>
  </si>
  <si>
    <t>West End</t>
  </si>
  <si>
    <t>Fraser Park</t>
  </si>
  <si>
    <t>Jodi Arkinstall</t>
  </si>
  <si>
    <t>03-6888816</t>
  </si>
  <si>
    <t>Te Kōhanga Reo o Whānau Paki</t>
  </si>
  <si>
    <t>03-476 4362</t>
  </si>
  <si>
    <t>54 Ashmore Street</t>
  </si>
  <si>
    <t>Catherine Stuart</t>
  </si>
  <si>
    <t>03-375 4003</t>
  </si>
  <si>
    <t>Melodies Preschool</t>
  </si>
  <si>
    <t>nickyabb@gmail.com</t>
  </si>
  <si>
    <t>27 West Belt</t>
  </si>
  <si>
    <t>Nicky Abbott</t>
  </si>
  <si>
    <t>Kiwikidz Educare - At the Beach</t>
  </si>
  <si>
    <t>07-8635548</t>
  </si>
  <si>
    <t>kiwikidzwaihibeach@xtra.co.nz</t>
  </si>
  <si>
    <t>43 Edinburgh Street</t>
  </si>
  <si>
    <t>Rebecca Taylor</t>
  </si>
  <si>
    <t>8a Jenkinson Street</t>
  </si>
  <si>
    <t>Waihi Beach 3611</t>
  </si>
  <si>
    <t>021-1351669</t>
  </si>
  <si>
    <t>Kindercare Learning Centres - Rangiora (212)</t>
  </si>
  <si>
    <t>03-3106631</t>
  </si>
  <si>
    <t>rangiora@kindercare.co.nz</t>
  </si>
  <si>
    <t>52 Southbrook Road</t>
  </si>
  <si>
    <t>Southbrook</t>
  </si>
  <si>
    <t>Nicola  Harris</t>
  </si>
  <si>
    <t>Playworx Kindy</t>
  </si>
  <si>
    <t>07-8437529</t>
  </si>
  <si>
    <t>aaidaeducation@gmail.com</t>
  </si>
  <si>
    <t>89 Pine Avenue</t>
  </si>
  <si>
    <t>Melville South</t>
  </si>
  <si>
    <t>Deepa Kamaldeen</t>
  </si>
  <si>
    <t>14 Bond Street</t>
  </si>
  <si>
    <t>021-2091193</t>
  </si>
  <si>
    <t>JoJo's Early Learning Limited</t>
  </si>
  <si>
    <t>09-412 5325</t>
  </si>
  <si>
    <t>admin@jojoschildcare.co.nz</t>
  </si>
  <si>
    <t>5/21 Oraha Road</t>
  </si>
  <si>
    <t>Joshika Kanna</t>
  </si>
  <si>
    <t>43 Collier Drive</t>
  </si>
  <si>
    <t>Comrie Park Kindergarten</t>
  </si>
  <si>
    <t>09-433 5045</t>
  </si>
  <si>
    <t>109 Matarau Road</t>
  </si>
  <si>
    <t>Matarau</t>
  </si>
  <si>
    <t>Bear Park - St Clair</t>
  </si>
  <si>
    <t>10 Hobson Street</t>
  </si>
  <si>
    <t>Karinna Blacklock</t>
  </si>
  <si>
    <t>Active Explorers Glenfield Rimu</t>
  </si>
  <si>
    <t>09-4440076</t>
  </si>
  <si>
    <t>4A Camrose Place</t>
  </si>
  <si>
    <t>Andrea Louw</t>
  </si>
  <si>
    <t>022-0463478</t>
  </si>
  <si>
    <t>Levin Montessori</t>
  </si>
  <si>
    <t>06-3684828</t>
  </si>
  <si>
    <t>levinmontessori@gmail.com</t>
  </si>
  <si>
    <t>12 Highfield Place</t>
  </si>
  <si>
    <t>Adventure Valley Childcare</t>
  </si>
  <si>
    <t>09-837 3616</t>
  </si>
  <si>
    <t>fraserh@msn.com</t>
  </si>
  <si>
    <t>91 Henderson Valley Road</t>
  </si>
  <si>
    <t>Level 2 74 Taharoto Road</t>
  </si>
  <si>
    <t>Montessori 3-6 Trilingual Early Childhood Education</t>
  </si>
  <si>
    <t>06-8336970</t>
  </si>
  <si>
    <t>montessoripreschoolnapier@gmail.com</t>
  </si>
  <si>
    <t>Cnr Chambers Street &amp; Georges Drive</t>
  </si>
  <si>
    <t>McLean Park</t>
  </si>
  <si>
    <t>Vicky Lumsden</t>
  </si>
  <si>
    <t>69 Wellesley Road</t>
  </si>
  <si>
    <t>Napier 4110</t>
  </si>
  <si>
    <t>Busy Bees Masterton</t>
  </si>
  <si>
    <t>06-3708384</t>
  </si>
  <si>
    <t>info@masterton.busybees.org.nz</t>
  </si>
  <si>
    <t>45 Te Ore Ore Road</t>
  </si>
  <si>
    <t>Homebush-Te Ore Ore</t>
  </si>
  <si>
    <t>Janelle Herbert</t>
  </si>
  <si>
    <t>06-370 8384</t>
  </si>
  <si>
    <t>Leap Ahead Early Childhood Centre</t>
  </si>
  <si>
    <t>03-3028991</t>
  </si>
  <si>
    <t>6 Methven Chertsey Road</t>
  </si>
  <si>
    <t>Methven</t>
  </si>
  <si>
    <t>Emma Harmer</t>
  </si>
  <si>
    <t>Methven 7730</t>
  </si>
  <si>
    <t>03-303 0911</t>
  </si>
  <si>
    <t>Nurture@Home Marlb</t>
  </si>
  <si>
    <t>027-300 8656</t>
  </si>
  <si>
    <t>info@nurtureathome.co.nz</t>
  </si>
  <si>
    <t>38 Devon Street</t>
  </si>
  <si>
    <t>Angela Eaton</t>
  </si>
  <si>
    <t xml:space="preserve">027-268 0310 </t>
  </si>
  <si>
    <t>Busy Bees Ashburton</t>
  </si>
  <si>
    <t>03-308 1379</t>
  </si>
  <si>
    <t>manager@ashburton.busybees.org.nz</t>
  </si>
  <si>
    <t>80 Peter Street</t>
  </si>
  <si>
    <t>Ashburton East</t>
  </si>
  <si>
    <t>Kirsty-Rae Holdem</t>
  </si>
  <si>
    <t>03-3081379</t>
  </si>
  <si>
    <t>The Ridge Childcare</t>
  </si>
  <si>
    <t>09-407 7333</t>
  </si>
  <si>
    <t>info@theridgechildcare.co.nz</t>
  </si>
  <si>
    <t>322 Kerikeri Road</t>
  </si>
  <si>
    <t>Erana Doolan</t>
  </si>
  <si>
    <t>75 Morris Lane</t>
  </si>
  <si>
    <t>Kerikeri 0294</t>
  </si>
  <si>
    <t>09-269 2861</t>
  </si>
  <si>
    <t>Te Kōhanga Reo o Te Taurahere ki te Ao</t>
  </si>
  <si>
    <t>06-764 7056</t>
  </si>
  <si>
    <t>24 York Street</t>
  </si>
  <si>
    <t>Little Pipis Childcare Incorporated</t>
  </si>
  <si>
    <t>04-4727542</t>
  </si>
  <si>
    <t>management@littlepipis.co.nz</t>
  </si>
  <si>
    <t>1-15 Pipitea Street</t>
  </si>
  <si>
    <t>Thorndon</t>
  </si>
  <si>
    <t>Pipitea-Kaiwharawhara</t>
  </si>
  <si>
    <t>Holly Lee</t>
  </si>
  <si>
    <t>P O Box 12209</t>
  </si>
  <si>
    <t>Wellington 6144</t>
  </si>
  <si>
    <t>Education Angels</t>
  </si>
  <si>
    <t>0508-264357</t>
  </si>
  <si>
    <t>30 Maxwell Road</t>
  </si>
  <si>
    <t>Robyn  Lynn</t>
  </si>
  <si>
    <t>ACG Remuera Early Learning School</t>
  </si>
  <si>
    <t>09-5230177</t>
  </si>
  <si>
    <t>Angela.Lunam@acgedu.com</t>
  </si>
  <si>
    <t>27-33 Ohinerau Street</t>
  </si>
  <si>
    <t>Angela  Lunam</t>
  </si>
  <si>
    <t>09-213 5418</t>
  </si>
  <si>
    <t>Natures Nest Early Learning Centre</t>
  </si>
  <si>
    <t>09-4250511</t>
  </si>
  <si>
    <t>warkworth@natures-nest.co.nz</t>
  </si>
  <si>
    <t>33 Glenmore Drive</t>
  </si>
  <si>
    <t>Hayley Hargreaves</t>
  </si>
  <si>
    <t>P O Box 462</t>
  </si>
  <si>
    <t>Auckland 0941</t>
  </si>
  <si>
    <t>09-425 0511</t>
  </si>
  <si>
    <t>New Shoots Childrens Centre (Papamoa)</t>
  </si>
  <si>
    <t>07-5424050</t>
  </si>
  <si>
    <t>papamoa@newshoots.co.nz</t>
  </si>
  <si>
    <t>5-7 Twin Oaks Avenue</t>
  </si>
  <si>
    <t>Nicola Prendergast</t>
  </si>
  <si>
    <t>P O Box 11567</t>
  </si>
  <si>
    <t>Palm Beach</t>
  </si>
  <si>
    <t>Papamoa 3151</t>
  </si>
  <si>
    <t>New Lynn Kindergarten</t>
  </si>
  <si>
    <t>09-8271627</t>
  </si>
  <si>
    <t>newlynn@aka.org.nz</t>
  </si>
  <si>
    <t>10 Ambrico Place</t>
  </si>
  <si>
    <t>Aidanfield Christian Preschool</t>
  </si>
  <si>
    <t>03-3754869</t>
  </si>
  <si>
    <t>aidanfieldpreschool@mcctrust.nz</t>
  </si>
  <si>
    <t>2 Nash Road</t>
  </si>
  <si>
    <t>Aidanfield</t>
  </si>
  <si>
    <t>Adele Venter</t>
  </si>
  <si>
    <t>021-2450601</t>
  </si>
  <si>
    <t>Christian Education Network Community of Learning</t>
  </si>
  <si>
    <t>Kuddles In-Home Childcare &amp; Education - 3</t>
  </si>
  <si>
    <t>Rosebank-Auckland</t>
  </si>
  <si>
    <t>Little Feet Childcare Centre Limited</t>
  </si>
  <si>
    <t>09-2777 217</t>
  </si>
  <si>
    <t>avind@littlefeetchildcare.co.nz</t>
  </si>
  <si>
    <t>18 Kingswood Road</t>
  </si>
  <si>
    <t>Avind Lal</t>
  </si>
  <si>
    <t>P O Box 23460</t>
  </si>
  <si>
    <t>Hunters Corner</t>
  </si>
  <si>
    <t>Auckland 2155</t>
  </si>
  <si>
    <t>09-2555526</t>
  </si>
  <si>
    <t>Homai Nga Taonga Early Childhood Centre</t>
  </si>
  <si>
    <t>09-2692867</t>
  </si>
  <si>
    <t>homaingataonga@taonga.org.nz</t>
  </si>
  <si>
    <t>89 Browns Road</t>
  </si>
  <si>
    <t>Country Kindy Ltd</t>
  </si>
  <si>
    <t>06-3232032</t>
  </si>
  <si>
    <t>1 Te Arakura Road, RD 5</t>
  </si>
  <si>
    <t>Kauwhata</t>
  </si>
  <si>
    <t>Manawatū Rural General Ward</t>
  </si>
  <si>
    <t>Fiona Zwart</t>
  </si>
  <si>
    <t>P O Box 103</t>
  </si>
  <si>
    <t>Feilding 4740</t>
  </si>
  <si>
    <t>Takapau Playcentre</t>
  </si>
  <si>
    <t>06-8585452 </t>
  </si>
  <si>
    <t>takapau@Playcentre.org.nz</t>
  </si>
  <si>
    <t>18 Meta Street</t>
  </si>
  <si>
    <t>Takapau</t>
  </si>
  <si>
    <t>Makaretu</t>
  </si>
  <si>
    <t>Aramoana-Ruahine Ward</t>
  </si>
  <si>
    <t>Lisa  Halsall</t>
  </si>
  <si>
    <t>027-8805251</t>
  </si>
  <si>
    <t>Small Steps Early Learning Centre</t>
  </si>
  <si>
    <t>07-8886096</t>
  </si>
  <si>
    <t>2 Eldonwood Drive</t>
  </si>
  <si>
    <t>Shenaye Green</t>
  </si>
  <si>
    <t>Matamata 3400</t>
  </si>
  <si>
    <t>027-4088724</t>
  </si>
  <si>
    <t>Kindercare Learning Centres (Aotea)</t>
  </si>
  <si>
    <t>04-2377937</t>
  </si>
  <si>
    <t>aotea@kindercare.co.nz</t>
  </si>
  <si>
    <t>41 Aotea Drive</t>
  </si>
  <si>
    <t>Aotea</t>
  </si>
  <si>
    <t>Eskdale Treehouse Early Learning Centre</t>
  </si>
  <si>
    <t>09-4821536</t>
  </si>
  <si>
    <t>eskdale@treehouselearning.co.nz</t>
  </si>
  <si>
    <t>76 Eskdale Road</t>
  </si>
  <si>
    <t>Nicola James</t>
  </si>
  <si>
    <t>63 Nehaven Terrace</t>
  </si>
  <si>
    <t>Whakamaru Playcentre</t>
  </si>
  <si>
    <t>vanessa.fitzgerald@playcentre.org.nz</t>
  </si>
  <si>
    <t>Whakamaru Settlers Hall Cnr Arataki Road &amp; Tihoi Road</t>
  </si>
  <si>
    <t>Whakamaru</t>
  </si>
  <si>
    <t>Te Whare Rama | Light House Early Learning Centre Edinburgh Street</t>
  </si>
  <si>
    <t>03-3385465</t>
  </si>
  <si>
    <t>office.tewharerama@gmail.com</t>
  </si>
  <si>
    <t>51 Edinburgh Street</t>
  </si>
  <si>
    <t>Barrington</t>
  </si>
  <si>
    <t>Spreydon West</t>
  </si>
  <si>
    <t>Lisa Saunders</t>
  </si>
  <si>
    <t>P O Box 33048</t>
  </si>
  <si>
    <t>Christchurch 8244</t>
  </si>
  <si>
    <t>03-3514415</t>
  </si>
  <si>
    <t>Glenview Kindy</t>
  </si>
  <si>
    <t>07-843 3674</t>
  </si>
  <si>
    <t>glenviewkindy@xtra.co.nz</t>
  </si>
  <si>
    <t>5 MacDonald</t>
  </si>
  <si>
    <t>Resthill</t>
  </si>
  <si>
    <t>Rebecca Dale</t>
  </si>
  <si>
    <t>47b Malcolm Street</t>
  </si>
  <si>
    <t>027-4320845</t>
  </si>
  <si>
    <t>Suits and Gumboots Country Daycare Ltd</t>
  </si>
  <si>
    <t>07-8264404</t>
  </si>
  <si>
    <t>info@suitsandgumboots.co.nz</t>
  </si>
  <si>
    <t>46 Waerenga Road</t>
  </si>
  <si>
    <t xml:space="preserve">Stephanie Griffin </t>
  </si>
  <si>
    <t>8 Hillside Heights Road RD 1</t>
  </si>
  <si>
    <t>Huntly 3700</t>
  </si>
  <si>
    <t>Busy Bees Pahiatua</t>
  </si>
  <si>
    <t>06-3766800</t>
  </si>
  <si>
    <t>manager@pahiatua.busybees.org.nz</t>
  </si>
  <si>
    <t>Cnr Main and Edward Street</t>
  </si>
  <si>
    <t>Jean Davidson</t>
  </si>
  <si>
    <t>06-376 6800</t>
  </si>
  <si>
    <t>Little Footprints Care and Education Centre</t>
  </si>
  <si>
    <t>04-5896650</t>
  </si>
  <si>
    <t>esther@littlefootprints.co.nz</t>
  </si>
  <si>
    <t>79 Marsden Street</t>
  </si>
  <si>
    <t>Melling</t>
  </si>
  <si>
    <t>Alicetown-Melling</t>
  </si>
  <si>
    <t>Esther Lewis</t>
  </si>
  <si>
    <t>84 Pharazyn Street</t>
  </si>
  <si>
    <t>Lower Hutt 5010</t>
  </si>
  <si>
    <t>My Treehut</t>
  </si>
  <si>
    <t>07-3776252</t>
  </si>
  <si>
    <t>admin@mytreehut.co.nz</t>
  </si>
  <si>
    <t>27 Tamatea Road</t>
  </si>
  <si>
    <t>Kirsty Darvill</t>
  </si>
  <si>
    <t>374 Oruanui Road RD 4</t>
  </si>
  <si>
    <t>Taupo 3384</t>
  </si>
  <si>
    <t>07-3778000</t>
  </si>
  <si>
    <t>Blessings for Life</t>
  </si>
  <si>
    <t>09-4098878</t>
  </si>
  <si>
    <t>56 Waterfront Road</t>
  </si>
  <si>
    <t>Pukenui</t>
  </si>
  <si>
    <t>Karen Nattrass</t>
  </si>
  <si>
    <t>Kaitaia 0484</t>
  </si>
  <si>
    <t>09-409 8878</t>
  </si>
  <si>
    <t>Weymouth Early Discoveries Centre</t>
  </si>
  <si>
    <t>09-2678642</t>
  </si>
  <si>
    <t>(Cnr Weymouth &amp; Estuary Rds) 23 Evans Road</t>
  </si>
  <si>
    <t>Kia ora Kids at Home Childcare 6</t>
  </si>
  <si>
    <t>Unit D 2 17 Corinthian Drive</t>
  </si>
  <si>
    <t>Kiddz Homebased Childcare 2</t>
  </si>
  <si>
    <t>veronica.kidd@kiddz.co.nz</t>
  </si>
  <si>
    <t>51 Orlando Crescent</t>
  </si>
  <si>
    <t>Waimairi Beach</t>
  </si>
  <si>
    <t>Veronica Kidd</t>
  </si>
  <si>
    <t>P O Box 38052</t>
  </si>
  <si>
    <t xml:space="preserve">Christchurch </t>
  </si>
  <si>
    <t>03-3887 287</t>
  </si>
  <si>
    <t>Building Blocks</t>
  </si>
  <si>
    <t>06-3535222</t>
  </si>
  <si>
    <t>office@buildingblocks.nz</t>
  </si>
  <si>
    <t>255 Main Street</t>
  </si>
  <si>
    <t>Cara Day</t>
  </si>
  <si>
    <t>255-259 Main Street</t>
  </si>
  <si>
    <t>Educare Lincoln Village</t>
  </si>
  <si>
    <t>8 Robert Street</t>
  </si>
  <si>
    <t>Joella Cullen</t>
  </si>
  <si>
    <t>021-843443</t>
  </si>
  <si>
    <t>Kindercare Learning Centres Whakatiki</t>
  </si>
  <si>
    <t>04-5270499</t>
  </si>
  <si>
    <t>upperhutt@kindercare.co.nz</t>
  </si>
  <si>
    <t>51 Whakatiki Street</t>
  </si>
  <si>
    <t>Tracie Hobbs</t>
  </si>
  <si>
    <t>09-4448802</t>
  </si>
  <si>
    <t>140 - 146 Sunnynook Road</t>
  </si>
  <si>
    <t>Tony Hight</t>
  </si>
  <si>
    <t>Little Gems Childcare</t>
  </si>
  <si>
    <t>09-2983399</t>
  </si>
  <si>
    <t>littlegemschildcare.papakura@gmail.com</t>
  </si>
  <si>
    <t>88 Opaheke Road</t>
  </si>
  <si>
    <t>Ōpaheke</t>
  </si>
  <si>
    <t>Ashwani Mala</t>
  </si>
  <si>
    <t>21 Capital Place</t>
  </si>
  <si>
    <t>Stems From Home 2</t>
  </si>
  <si>
    <t>09-5367103</t>
  </si>
  <si>
    <t>admin@stemsfromhome.co.nz</t>
  </si>
  <si>
    <t>14 Izone Drive</t>
  </si>
  <si>
    <t>Rolleston Izone</t>
  </si>
  <si>
    <t>Emma McAlister</t>
  </si>
  <si>
    <t>Peacocks Early Learning Centre</t>
  </si>
  <si>
    <t>09-849 4800</t>
  </si>
  <si>
    <t>admin@peacocks.org.nz</t>
  </si>
  <si>
    <t>70 Malvern Road</t>
  </si>
  <si>
    <t>Sarah Lockton</t>
  </si>
  <si>
    <t>11 Combes Road</t>
  </si>
  <si>
    <t>021-2553695</t>
  </si>
  <si>
    <t>Pakuranga Learning Centre</t>
  </si>
  <si>
    <t>09-576 0992</t>
  </si>
  <si>
    <t>pakurangalearningcentre@xtra.co.nz</t>
  </si>
  <si>
    <t>33 B Ben Lomond Crescent</t>
  </si>
  <si>
    <t>Kavita Swarup</t>
  </si>
  <si>
    <t>1 Bronte Place</t>
  </si>
  <si>
    <t>Manukau 2014</t>
  </si>
  <si>
    <t>09-849 7440</t>
  </si>
  <si>
    <t>BestStart Marshland Road</t>
  </si>
  <si>
    <t>03-385 5288</t>
  </si>
  <si>
    <t>marshland@best-start.org</t>
  </si>
  <si>
    <t>68 Marshlands Road</t>
  </si>
  <si>
    <t>Shirley East</t>
  </si>
  <si>
    <t>Okara Educare</t>
  </si>
  <si>
    <t>09-9748811</t>
  </si>
  <si>
    <t>11 Jellicoe Street</t>
  </si>
  <si>
    <t>Small Pukeko's Early Learning Centre</t>
  </si>
  <si>
    <t>09-431 2842</t>
  </si>
  <si>
    <t>8 Kaiwaka-Mangawhai Road</t>
  </si>
  <si>
    <t>Sarah Hastie</t>
  </si>
  <si>
    <t>11 Manuel Road</t>
  </si>
  <si>
    <t>Silverdale 0932</t>
  </si>
  <si>
    <t>Seedlings Education 2</t>
  </si>
  <si>
    <t>adam@seedlingseducation.co.nz</t>
  </si>
  <si>
    <t>Curious Minds Early Learning Island Bay</t>
  </si>
  <si>
    <t>04-3838348</t>
  </si>
  <si>
    <t>info@islandbaychildcare.co.nz</t>
  </si>
  <si>
    <t>112 The Parade</t>
  </si>
  <si>
    <t>Island Bay</t>
  </si>
  <si>
    <t>Island Bay West</t>
  </si>
  <si>
    <t>Vivien Hitchins</t>
  </si>
  <si>
    <t>P O Box 19196</t>
  </si>
  <si>
    <t>Courtenay Place</t>
  </si>
  <si>
    <t>Wellington 6149</t>
  </si>
  <si>
    <t>Bright Star Education and Care Centre</t>
  </si>
  <si>
    <t>04-9202945</t>
  </si>
  <si>
    <t>1 Batchelor Street</t>
  </si>
  <si>
    <t>Linda Tam</t>
  </si>
  <si>
    <t>14 Eastcott Grove</t>
  </si>
  <si>
    <t>Wellington 6037</t>
  </si>
  <si>
    <t>Te Mirumiru Early Childhood Education Centre</t>
  </si>
  <si>
    <t>09-404 0123</t>
  </si>
  <si>
    <t>temirumiru.info@nhht.co.nz</t>
  </si>
  <si>
    <t>3 Rayner Street</t>
  </si>
  <si>
    <t>Matthew Bell</t>
  </si>
  <si>
    <t>P O Box 1127</t>
  </si>
  <si>
    <t>09-404 1551</t>
  </si>
  <si>
    <t>The Park Early Learning Centre</t>
  </si>
  <si>
    <t>04-3896966</t>
  </si>
  <si>
    <t>lydia@thepark-elc.co.nz</t>
  </si>
  <si>
    <t>130 Rintoul Street</t>
  </si>
  <si>
    <t>Lydia Hall</t>
  </si>
  <si>
    <t>PO Box 137274</t>
  </si>
  <si>
    <t>027-4140435</t>
  </si>
  <si>
    <t>Inspiring Minds Early Learning Centre</t>
  </si>
  <si>
    <t>09-4071133</t>
  </si>
  <si>
    <t>admin@inspiringminds.net.nz</t>
  </si>
  <si>
    <t>21A Purerua Road</t>
  </si>
  <si>
    <t>Kaye Dawson</t>
  </si>
  <si>
    <t>44 Oromahoe School Road RD RD 2</t>
  </si>
  <si>
    <t>Kaikohe 0472</t>
  </si>
  <si>
    <t>09-407 1130</t>
  </si>
  <si>
    <t>St Heliers Little School</t>
  </si>
  <si>
    <t>04-475 8710</t>
  </si>
  <si>
    <t>enrolments@littleschool.co.nz</t>
  </si>
  <si>
    <t>34 Long Drive</t>
  </si>
  <si>
    <t>Graham Lawrence</t>
  </si>
  <si>
    <t>P O Box 22239</t>
  </si>
  <si>
    <t>Wellington 6441</t>
  </si>
  <si>
    <t>Living &amp; Learning Family Centre Henderson</t>
  </si>
  <si>
    <t>09-837 7992</t>
  </si>
  <si>
    <t>henderson@livingandlearning.org.nz</t>
  </si>
  <si>
    <t>212 Universal Drive</t>
  </si>
  <si>
    <t>Li'l Champs Educare</t>
  </si>
  <si>
    <t>09-627 6274</t>
  </si>
  <si>
    <t>info@lilchamps.co.nz</t>
  </si>
  <si>
    <t>57 Terry Street</t>
  </si>
  <si>
    <t>Xizhou He</t>
  </si>
  <si>
    <t>133 Kern Road Ramarama</t>
  </si>
  <si>
    <t xml:space="preserve">Drury </t>
  </si>
  <si>
    <t>Dream Education Programme (3)</t>
  </si>
  <si>
    <t>09-9695451</t>
  </si>
  <si>
    <t>tanya@dream.co.nz</t>
  </si>
  <si>
    <t>88 a Kohimarama Road</t>
  </si>
  <si>
    <t>Tanya Burrage</t>
  </si>
  <si>
    <t>P O Box 133178</t>
  </si>
  <si>
    <t>Eastridge</t>
  </si>
  <si>
    <t>Auckland 1146</t>
  </si>
  <si>
    <t>Lollipops Browns Bay</t>
  </si>
  <si>
    <t>09-3778700</t>
  </si>
  <si>
    <t>41 Bute Road</t>
  </si>
  <si>
    <t>Ajah Peterson</t>
  </si>
  <si>
    <t>Lollipops Coatesville</t>
  </si>
  <si>
    <t>09-414 4004</t>
  </si>
  <si>
    <t>cm.coatesville@ledu.co.nz</t>
  </si>
  <si>
    <t>8 Glenmore Road</t>
  </si>
  <si>
    <t>Sheetal Devi</t>
  </si>
  <si>
    <t>09-4144004</t>
  </si>
  <si>
    <t>AppleSeed Educare</t>
  </si>
  <si>
    <t>09-630 9158</t>
  </si>
  <si>
    <t>shelley@appleseededucare.co.nz</t>
  </si>
  <si>
    <t>158 Balmoral Road</t>
  </si>
  <si>
    <t>Shelley Horton</t>
  </si>
  <si>
    <t>712 Remuera Road</t>
  </si>
  <si>
    <t>Country Kids ECE Limited</t>
  </si>
  <si>
    <t>06-374 0941</t>
  </si>
  <si>
    <t>16 Viking Street</t>
  </si>
  <si>
    <t>Norsewood</t>
  </si>
  <si>
    <t>Whare Amai Puna Reo</t>
  </si>
  <si>
    <t>06-8692070</t>
  </si>
  <si>
    <t>wa@twoa.ac.nz</t>
  </si>
  <si>
    <t>630 Childers Road</t>
  </si>
  <si>
    <t>Kelly-Ann Kemp</t>
  </si>
  <si>
    <t>021-753782</t>
  </si>
  <si>
    <t>Whippersnappers Early Learning Centre</t>
  </si>
  <si>
    <t>03-3252677</t>
  </si>
  <si>
    <t>info@whippersnappers.co.nz</t>
  </si>
  <si>
    <t>53 Edward Street</t>
  </si>
  <si>
    <t>Lincoln East</t>
  </si>
  <si>
    <t>Sonya Cookeson</t>
  </si>
  <si>
    <t>P O Box 69185</t>
  </si>
  <si>
    <t>Christchurch 7640</t>
  </si>
  <si>
    <t>03-3253350</t>
  </si>
  <si>
    <t>Mokopuna ki Clendon Early Childhood Service</t>
  </si>
  <si>
    <t>09-2150791</t>
  </si>
  <si>
    <t>c.richards@mokonz.co.nz</t>
  </si>
  <si>
    <t>145 Rowandale Avenue</t>
  </si>
  <si>
    <t>Homai West</t>
  </si>
  <si>
    <t>Christine Richards</t>
  </si>
  <si>
    <t>09-2694491</t>
  </si>
  <si>
    <t>Grey Lynn Montessori by Busy Bees</t>
  </si>
  <si>
    <t>09-378 9502</t>
  </si>
  <si>
    <t>manager@greylynnmontessori.co.nz</t>
  </si>
  <si>
    <t>56 Surrey Crescent</t>
  </si>
  <si>
    <t>Mariana Silahuddin</t>
  </si>
  <si>
    <t>09-3789502</t>
  </si>
  <si>
    <t>Alphabet Academy Cloverlea</t>
  </si>
  <si>
    <t>06-3562586</t>
  </si>
  <si>
    <t>237 Tremaine Avenue</t>
  </si>
  <si>
    <t>Tremaine</t>
  </si>
  <si>
    <t xml:space="preserve">Jennie Meacheam </t>
  </si>
  <si>
    <t>P O Box 7091</t>
  </si>
  <si>
    <t>Manawatu Mail Centre</t>
  </si>
  <si>
    <t>06-3574717</t>
  </si>
  <si>
    <t>BestStart Te Heuheu Street Kindy</t>
  </si>
  <si>
    <t>07-3765131</t>
  </si>
  <si>
    <t>heuheu.kindy@best-start.org</t>
  </si>
  <si>
    <t>105 Heuheu St</t>
  </si>
  <si>
    <t>The Cottage Kindergarten Ltd</t>
  </si>
  <si>
    <t>09-4117058</t>
  </si>
  <si>
    <t>info@thecottagekindergarten.co.nz</t>
  </si>
  <si>
    <t>181 Taha Road, RD1</t>
  </si>
  <si>
    <t>Sara Stewart</t>
  </si>
  <si>
    <t>181 Taha Road RD 1</t>
  </si>
  <si>
    <t>Tiny Wonders Early Learning Centre</t>
  </si>
  <si>
    <t>09-239 0971</t>
  </si>
  <si>
    <t>223 B Manukau Road</t>
  </si>
  <si>
    <t>Hailee Minty</t>
  </si>
  <si>
    <t>P O Box 135</t>
  </si>
  <si>
    <t>Auckland 2341</t>
  </si>
  <si>
    <t>Small Fries Christian Childcare Centre</t>
  </si>
  <si>
    <t>09-477 2879</t>
  </si>
  <si>
    <t>reception@smallfries.org.nz</t>
  </si>
  <si>
    <t>542-550 East Coast Road</t>
  </si>
  <si>
    <t>Verdette Bruwer</t>
  </si>
  <si>
    <t>P O Box 65685</t>
  </si>
  <si>
    <t>Glendowie Montessori Preschool</t>
  </si>
  <si>
    <t>09-575 6453</t>
  </si>
  <si>
    <t>teachers@glendowiemontessori.net.nz</t>
  </si>
  <si>
    <t>227 West Tamaki Road</t>
  </si>
  <si>
    <t>BestStart Flat Bush</t>
  </si>
  <si>
    <t>09-950 1906</t>
  </si>
  <si>
    <t>flatbush@best-start.org</t>
  </si>
  <si>
    <t>2 &amp; 10 Arranmore Drive</t>
  </si>
  <si>
    <t>Ormiston Central</t>
  </si>
  <si>
    <t>Barnardos Early Learning Centre Henderson</t>
  </si>
  <si>
    <t>09-835 9576</t>
  </si>
  <si>
    <t>joanne.bywater@barnardos.org.nz</t>
  </si>
  <si>
    <t>22A Smythe Road</t>
  </si>
  <si>
    <t>Joanne Bywater</t>
  </si>
  <si>
    <t>09-8359576</t>
  </si>
  <si>
    <t>The Secret Garden Childcare Ltd</t>
  </si>
  <si>
    <t>06-323 0506</t>
  </si>
  <si>
    <t>info@thesecretgardenchildcare.co.nz</t>
  </si>
  <si>
    <t>1459 Waughs Road</t>
  </si>
  <si>
    <t>Reggio Emilia, Enviroschools</t>
  </si>
  <si>
    <t>Feilding Central</t>
  </si>
  <si>
    <t>Lorelei Dekker</t>
  </si>
  <si>
    <t>1459 Waughs Road RD 5</t>
  </si>
  <si>
    <t>Feilding 4775</t>
  </si>
  <si>
    <t>06-2328444</t>
  </si>
  <si>
    <t>Little Pinecone Preschool</t>
  </si>
  <si>
    <t>09-6343676</t>
  </si>
  <si>
    <t>info@littlepinecone.co.nz</t>
  </si>
  <si>
    <t>68 Rawhiti Road</t>
  </si>
  <si>
    <t>One Tree Hill Amaru</t>
  </si>
  <si>
    <t xml:space="preserve">6 Rawhiti Rd </t>
  </si>
  <si>
    <t>Te Kōhanga Reo o Atutahi</t>
  </si>
  <si>
    <t>07-895 6776</t>
  </si>
  <si>
    <t>32A Taitua Street</t>
  </si>
  <si>
    <t>Tokirima</t>
  </si>
  <si>
    <t>06-7585044</t>
  </si>
  <si>
    <t>info@risingstarspreschool.co.nz</t>
  </si>
  <si>
    <t>Katere Road, Waiwhakaiho</t>
  </si>
  <si>
    <t>Waiwhakaiho-Bell Block South</t>
  </si>
  <si>
    <t>Amy De Faria</t>
  </si>
  <si>
    <t>134B Huatoki Street</t>
  </si>
  <si>
    <t>New Plymouth 4310</t>
  </si>
  <si>
    <t>027-9008387</t>
  </si>
  <si>
    <t>Active Explorers Victoria Avenue</t>
  </si>
  <si>
    <t>06-3555560</t>
  </si>
  <si>
    <t>cm.victoria@activeexplorers.co.nz</t>
  </si>
  <si>
    <t>4 Victoria Avenue</t>
  </si>
  <si>
    <t>Gillian De Rose</t>
  </si>
  <si>
    <t>06-355 5560</t>
  </si>
  <si>
    <t>Curious Keas Ltd</t>
  </si>
  <si>
    <t>07-8778224</t>
  </si>
  <si>
    <t>curiouskeas@yahoo.co.nz</t>
  </si>
  <si>
    <t>10 Kea Street</t>
  </si>
  <si>
    <t>Stephanie Brough</t>
  </si>
  <si>
    <t>10 Kea St</t>
  </si>
  <si>
    <t>Piopio 3912</t>
  </si>
  <si>
    <t>Changepoint Early Learning Centre</t>
  </si>
  <si>
    <t>07-2424088</t>
  </si>
  <si>
    <t>135 Poike Road</t>
  </si>
  <si>
    <t>Linda Dishroon</t>
  </si>
  <si>
    <t>The Tot Spot</t>
  </si>
  <si>
    <t>07-5430822</t>
  </si>
  <si>
    <t>1440 Cameron Road</t>
  </si>
  <si>
    <t>Michelle Hodge</t>
  </si>
  <si>
    <t>P O Box 14402</t>
  </si>
  <si>
    <t>07-5703588</t>
  </si>
  <si>
    <t>The Learning Ladder</t>
  </si>
  <si>
    <t>09-534 3567</t>
  </si>
  <si>
    <t>thelearningladder2018ltd@gmail.com</t>
  </si>
  <si>
    <t>169 Moore Street</t>
  </si>
  <si>
    <t>P O Box 38701</t>
  </si>
  <si>
    <t>BestStart West Melton</t>
  </si>
  <si>
    <t>03-7411785</t>
  </si>
  <si>
    <t>65 Iris Taylor Avenue</t>
  </si>
  <si>
    <t>West Melton</t>
  </si>
  <si>
    <t>Malvern Ward</t>
  </si>
  <si>
    <t>BestStart Maunu Village</t>
  </si>
  <si>
    <t>09-4596342</t>
  </si>
  <si>
    <t>maunu@best-start.org</t>
  </si>
  <si>
    <t>460 Maunu Road</t>
  </si>
  <si>
    <t>Maunu</t>
  </si>
  <si>
    <t>Learning Adventures Mangere East</t>
  </si>
  <si>
    <t>09-279 2406</t>
  </si>
  <si>
    <t>48 Buckland Road</t>
  </si>
  <si>
    <t>White Heron @ the Bridge</t>
  </si>
  <si>
    <t>09-622 1852</t>
  </si>
  <si>
    <t>whiteheron_mb@yahoo.co.nz</t>
  </si>
  <si>
    <t>2 S Domain Road</t>
  </si>
  <si>
    <t>Early Explorers Childcare Centre</t>
  </si>
  <si>
    <t>09-8208980</t>
  </si>
  <si>
    <t>earlyexplorers@live.com</t>
  </si>
  <si>
    <t>1836-1848 Great North Road</t>
  </si>
  <si>
    <t>Rachael Howard</t>
  </si>
  <si>
    <t>P O Box 19470</t>
  </si>
  <si>
    <t>Auckland 1746</t>
  </si>
  <si>
    <t>Tots on The Rock</t>
  </si>
  <si>
    <t>09-372 8555</t>
  </si>
  <si>
    <t>22 Kuaka Road</t>
  </si>
  <si>
    <t>Scuola Montessori</t>
  </si>
  <si>
    <t>07-5788434</t>
  </si>
  <si>
    <t>enquiries@scuolamontessori.co.nz</t>
  </si>
  <si>
    <t>112 Waihi Road</t>
  </si>
  <si>
    <t>Lorraine Mercer</t>
  </si>
  <si>
    <t>07-5765960</t>
  </si>
  <si>
    <t>Kidsfirst Kindergartens Maniototo</t>
  </si>
  <si>
    <t>03-444 9310</t>
  </si>
  <si>
    <t>maniototo@kidsfirst.org.nz</t>
  </si>
  <si>
    <t>28 Welles Street</t>
  </si>
  <si>
    <t>Ranfurly</t>
  </si>
  <si>
    <t>Maniototo</t>
  </si>
  <si>
    <t>Maniototo Ward</t>
  </si>
  <si>
    <t>Kids Count - Weymouth</t>
  </si>
  <si>
    <t>09-2690399</t>
  </si>
  <si>
    <t>weymouth@kidscount.co.nz</t>
  </si>
  <si>
    <t>512 Weymouth Road</t>
  </si>
  <si>
    <t>Mary McLeod</t>
  </si>
  <si>
    <t>45A Clarence Street</t>
  </si>
  <si>
    <t>09-297 7678</t>
  </si>
  <si>
    <t>Minimee Early Childhood Adventure</t>
  </si>
  <si>
    <t>09-418 2770</t>
  </si>
  <si>
    <t>manager@minimee.co.nz</t>
  </si>
  <si>
    <t>6 Bank Street</t>
  </si>
  <si>
    <t>Hillcrest West (Auckland)</t>
  </si>
  <si>
    <t>Monisha Harjee</t>
  </si>
  <si>
    <t>Busy Bees Alfriston Road</t>
  </si>
  <si>
    <t>09-266  6550</t>
  </si>
  <si>
    <t>manager@alfriston.busybees.org.nz</t>
  </si>
  <si>
    <t>52 Alfriston Road</t>
  </si>
  <si>
    <t>Priyanka Kumar</t>
  </si>
  <si>
    <t>09-266 6550</t>
  </si>
  <si>
    <t>Tuakau Learning Centre Harrisville</t>
  </si>
  <si>
    <t>09-236 8979</t>
  </si>
  <si>
    <t>hello@tuakaulearningcentre.co.nz</t>
  </si>
  <si>
    <t>61 Harrisville Road</t>
  </si>
  <si>
    <t>Ajneeta Singh</t>
  </si>
  <si>
    <t>65 Milano Boulevard</t>
  </si>
  <si>
    <t>Little Climbers Early Learning Centre</t>
  </si>
  <si>
    <t>09-275 7438</t>
  </si>
  <si>
    <t>33 Kairanga Street</t>
  </si>
  <si>
    <t>Aorere North</t>
  </si>
  <si>
    <t>Etu Ao - Saeala</t>
  </si>
  <si>
    <t>04-2323069</t>
  </si>
  <si>
    <t>office@wmkindergartens.org.nz</t>
  </si>
  <si>
    <t>211 Main Road</t>
  </si>
  <si>
    <t>Blossoms Educare Otahuhu</t>
  </si>
  <si>
    <t>09-276 8522</t>
  </si>
  <si>
    <t>18 Princes Street</t>
  </si>
  <si>
    <t>Kindercare Learning Centres (308) Johnsonville</t>
  </si>
  <si>
    <t>04-4773350</t>
  </si>
  <si>
    <t>johnsonville@kindercare.co.nz</t>
  </si>
  <si>
    <t>129 Burma Road</t>
  </si>
  <si>
    <t>Johnsonville South</t>
  </si>
  <si>
    <t>Foxton Preschool and Nursery</t>
  </si>
  <si>
    <t>06-3635956</t>
  </si>
  <si>
    <t>admin@aboutkids.co.nz</t>
  </si>
  <si>
    <t>15 - 17 Cousins Avenue</t>
  </si>
  <si>
    <t xml:space="preserve">Paraparaumu </t>
  </si>
  <si>
    <t>Kid's Cove Learning Centre Newmarket</t>
  </si>
  <si>
    <t>09-5200 540</t>
  </si>
  <si>
    <t>8-12 Morrow Street</t>
  </si>
  <si>
    <t>Jaspreet Gill</t>
  </si>
  <si>
    <t xml:space="preserve">72 St Heliers Bay Road </t>
  </si>
  <si>
    <t>09-585 1573</t>
  </si>
  <si>
    <t>YMCA Early Learning Centre Manurewa</t>
  </si>
  <si>
    <t>09-267 0673</t>
  </si>
  <si>
    <t>earlylearning.manurewa@ymcaauckland.org.nz</t>
  </si>
  <si>
    <t>29 S McKean Avenue</t>
  </si>
  <si>
    <t>Oromahoe Kindergarten</t>
  </si>
  <si>
    <t>09-405 9336</t>
  </si>
  <si>
    <t>info@oromahoekindergarten.co.nz</t>
  </si>
  <si>
    <t>514 State Highway 10</t>
  </si>
  <si>
    <t>Oromahoe</t>
  </si>
  <si>
    <t>Puketona-Waitangi</t>
  </si>
  <si>
    <t>Mora Schneider</t>
  </si>
  <si>
    <t>P O Box 680</t>
  </si>
  <si>
    <t>021-109 1959</t>
  </si>
  <si>
    <t>Bula Centre</t>
  </si>
  <si>
    <t>09-2594281</t>
  </si>
  <si>
    <t>lisa@matarikichambers.co.nz</t>
  </si>
  <si>
    <t>40 R Cleek Road</t>
  </si>
  <si>
    <t>Lisa Samusamuvodre</t>
  </si>
  <si>
    <t>09-966 0558</t>
  </si>
  <si>
    <t>Kidz &amp; Crayonz Early Learning Centre</t>
  </si>
  <si>
    <t>09-275 3059</t>
  </si>
  <si>
    <t>leanne@kidzandcrayonz.co.nz</t>
  </si>
  <si>
    <t>20 Kirkella Crescent</t>
  </si>
  <si>
    <t>Leanne Van Niekerk</t>
  </si>
  <si>
    <t>Magic Sparks Care and Learning</t>
  </si>
  <si>
    <t>04-5898459</t>
  </si>
  <si>
    <t>info@magicsparks.co.nz</t>
  </si>
  <si>
    <t>28 Buick Street</t>
  </si>
  <si>
    <t>Charleen Te Naihi</t>
  </si>
  <si>
    <t>P O Box 30871</t>
  </si>
  <si>
    <t>Dream Education Programme (7)</t>
  </si>
  <si>
    <t>09-969 5451</t>
  </si>
  <si>
    <t>Education Angels In Home Childcare</t>
  </si>
  <si>
    <t>03-4428228</t>
  </si>
  <si>
    <t>Level 1 45 Camp Street</t>
  </si>
  <si>
    <t>Diana Cowie</t>
  </si>
  <si>
    <t>027-4673636</t>
  </si>
  <si>
    <t>New Shoots Sunnynook</t>
  </si>
  <si>
    <t>09-410 9605</t>
  </si>
  <si>
    <t>kellys@newshoots.co.nz</t>
  </si>
  <si>
    <t>20 Tonkin Drive</t>
  </si>
  <si>
    <t>Kelly Seaburg</t>
  </si>
  <si>
    <t>Lovely Lotus Childcare</t>
  </si>
  <si>
    <t>06-3593022</t>
  </si>
  <si>
    <t>littlewonders114@hotmail.com</t>
  </si>
  <si>
    <t>185 College Street</t>
  </si>
  <si>
    <t>Jianguo Chen</t>
  </si>
  <si>
    <t>9 Vaucluse Heights</t>
  </si>
  <si>
    <t>Fitzherbert</t>
  </si>
  <si>
    <t>06-3533214</t>
  </si>
  <si>
    <t>09-666 3030</t>
  </si>
  <si>
    <t>samjuneja@gmail.com</t>
  </si>
  <si>
    <t>444 Richardson Road</t>
  </si>
  <si>
    <t>Mount Roskill Nirvana</t>
  </si>
  <si>
    <t>Samjyoti Juneja</t>
  </si>
  <si>
    <t>Kidz Kindy Tauranga</t>
  </si>
  <si>
    <t>07-5783600</t>
  </si>
  <si>
    <t>admin@kidzkindy.co.nz</t>
  </si>
  <si>
    <t>107 First Avenue</t>
  </si>
  <si>
    <t>Jordan Mawer</t>
  </si>
  <si>
    <t>Kids Pace Education</t>
  </si>
  <si>
    <t>03-0</t>
  </si>
  <si>
    <t>5 Hall Road, RD3</t>
  </si>
  <si>
    <t>Dunstan-Galloway</t>
  </si>
  <si>
    <t>Katherine Smithies</t>
  </si>
  <si>
    <t xml:space="preserve">Alexandra </t>
  </si>
  <si>
    <t>03-4489328</t>
  </si>
  <si>
    <t>BestStart North Road</t>
  </si>
  <si>
    <t>03-2158374</t>
  </si>
  <si>
    <t>122 North Road</t>
  </si>
  <si>
    <t>Nichola McIntosh</t>
  </si>
  <si>
    <t>027-8081753</t>
  </si>
  <si>
    <t>Stepping Stones Early Childhood Education</t>
  </si>
  <si>
    <t>06-7524289</t>
  </si>
  <si>
    <t>2502 State Highway 45, RD 37</t>
  </si>
  <si>
    <t>Okato</t>
  </si>
  <si>
    <t>Kaitake</t>
  </si>
  <si>
    <t>Katherine Simmonds</t>
  </si>
  <si>
    <t>387 Upper Pitone Road RD 4</t>
  </si>
  <si>
    <t>New Plymouth 4374</t>
  </si>
  <si>
    <t>BestStart Elles Road</t>
  </si>
  <si>
    <t>03-216 8769</t>
  </si>
  <si>
    <t>200 Elles Road</t>
  </si>
  <si>
    <t>Busy Bees Brooklyn</t>
  </si>
  <si>
    <t>04-8025782</t>
  </si>
  <si>
    <t>info@brooklyn.busybees.org.nz</t>
  </si>
  <si>
    <t>37-41 Cleveland Street</t>
  </si>
  <si>
    <t>Brooklyn East</t>
  </si>
  <si>
    <t>Marie-Luce Matonog</t>
  </si>
  <si>
    <t>04-802 5782</t>
  </si>
  <si>
    <t>09-5790814</t>
  </si>
  <si>
    <t>1 Ranier Street</t>
  </si>
  <si>
    <t>Magic Kingdom Childcare</t>
  </si>
  <si>
    <t>09-964 0514</t>
  </si>
  <si>
    <t>childcare@magickingdom.co.nz</t>
  </si>
  <si>
    <t>115 Boundary Road</t>
  </si>
  <si>
    <t>Blockhouse Bay East</t>
  </si>
  <si>
    <t>Nikeeta Singh</t>
  </si>
  <si>
    <t>09-337 0033</t>
  </si>
  <si>
    <t>Tic Tac Toe Educare Tots n Toddlers</t>
  </si>
  <si>
    <t>07-8287228</t>
  </si>
  <si>
    <t>admin@tictactoe.nz</t>
  </si>
  <si>
    <t>13 Glasgow Street</t>
  </si>
  <si>
    <t>Natasha Bland</t>
  </si>
  <si>
    <t>022-6308843</t>
  </si>
  <si>
    <t>Gems Miro</t>
  </si>
  <si>
    <t>12 Onslow Road</t>
  </si>
  <si>
    <t>Lake Hayes Estate</t>
  </si>
  <si>
    <t>Summa Murchie</t>
  </si>
  <si>
    <t>03-4282862</t>
  </si>
  <si>
    <t>Te Kōhanga Reo o Te Rongomau</t>
  </si>
  <si>
    <t>09-815 6349</t>
  </si>
  <si>
    <t>140-142 Haverstock Road</t>
  </si>
  <si>
    <t>Imagine Childcare</t>
  </si>
  <si>
    <t>04-5898298</t>
  </si>
  <si>
    <t>julie@imaginechildcare.co.nz</t>
  </si>
  <si>
    <t>77 Hutt Road</t>
  </si>
  <si>
    <t>Kay McAlwee</t>
  </si>
  <si>
    <t>Lower Hutt 5012</t>
  </si>
  <si>
    <t>All About Children - Marton</t>
  </si>
  <si>
    <t>06-3277400</t>
  </si>
  <si>
    <t>394 Wellington Road</t>
  </si>
  <si>
    <t>Megan Woods</t>
  </si>
  <si>
    <t>027-5333626</t>
  </si>
  <si>
    <t>Kiwi Explorers</t>
  </si>
  <si>
    <t>03-5446963</t>
  </si>
  <si>
    <t>kiwiexplorerseec@gmail.com</t>
  </si>
  <si>
    <t>219 Main Road</t>
  </si>
  <si>
    <t>Hope</t>
  </si>
  <si>
    <t>Rebecca Dudley</t>
  </si>
  <si>
    <t>Nelson 7020</t>
  </si>
  <si>
    <t>WonderKids Childcare &amp; Preschool</t>
  </si>
  <si>
    <t>09-272 4275</t>
  </si>
  <si>
    <t>wonderkidslc@hotmail.com</t>
  </si>
  <si>
    <t>2H Torrens Road</t>
  </si>
  <si>
    <t>Rekha Prakash</t>
  </si>
  <si>
    <t xml:space="preserve">10 Ballindrait Drive </t>
  </si>
  <si>
    <t>Manukau 2019</t>
  </si>
  <si>
    <t>Te Kōhanga Reo o Ngā Mokopuna o Te Matai</t>
  </si>
  <si>
    <t>07-573 6601</t>
  </si>
  <si>
    <t>Makahae Marae, Te Kahika Road</t>
  </si>
  <si>
    <t>Tauranga Moana Kāhui Ako</t>
  </si>
  <si>
    <t>Busy Bees Judsons Rd</t>
  </si>
  <si>
    <t>03-312 2179</t>
  </si>
  <si>
    <t>6 Judsons Road</t>
  </si>
  <si>
    <t>Woodend</t>
  </si>
  <si>
    <t>Sarah Mardon</t>
  </si>
  <si>
    <t>BestStart Weymouth</t>
  </si>
  <si>
    <t>09-2665771</t>
  </si>
  <si>
    <t>weymouth@best-start.org</t>
  </si>
  <si>
    <t>5 Churchill Ave</t>
  </si>
  <si>
    <t>Plum Tree Preschool Millwater</t>
  </si>
  <si>
    <t>09-9590360</t>
  </si>
  <si>
    <t>Kate.plumtree.club@gmail.com</t>
  </si>
  <si>
    <t>14 Botanical Avenue</t>
  </si>
  <si>
    <t>Millwater Central</t>
  </si>
  <si>
    <t xml:space="preserve">Kate  Olsen </t>
  </si>
  <si>
    <t xml:space="preserve">14 Botanical Drive </t>
  </si>
  <si>
    <t>Little Rosebuds Early Learning Centre</t>
  </si>
  <si>
    <t>07-870 3000</t>
  </si>
  <si>
    <t>manager.ta@minimiracles.co.nz</t>
  </si>
  <si>
    <t>1 North Street</t>
  </si>
  <si>
    <t>Rebecca Fitzell</t>
  </si>
  <si>
    <t>105 Tephra Boulevard</t>
  </si>
  <si>
    <t>07-8703000</t>
  </si>
  <si>
    <t>Gate Pa Preschool and Childcare</t>
  </si>
  <si>
    <t>07-579 9496</t>
  </si>
  <si>
    <t>gatepapreschool1132@gmail.com</t>
  </si>
  <si>
    <t>1132 Cameron Road</t>
  </si>
  <si>
    <t>Caroline Hjorth</t>
  </si>
  <si>
    <t>07-5443318</t>
  </si>
  <si>
    <t>Tom Parker House</t>
  </si>
  <si>
    <t>06-8430526</t>
  </si>
  <si>
    <t>tomparkerhouse@birthrighthb.org.nz</t>
  </si>
  <si>
    <t>42 Tom Parker Avenue</t>
  </si>
  <si>
    <t>Marewa West</t>
  </si>
  <si>
    <t>Fiona Parrant</t>
  </si>
  <si>
    <t>P O Box 4216</t>
  </si>
  <si>
    <t>06-835 2162</t>
  </si>
  <si>
    <t>The Rumpus Room</t>
  </si>
  <si>
    <t>09-845 0123</t>
  </si>
  <si>
    <t>info@therumpusroom.co.nz</t>
  </si>
  <si>
    <t>7 Moa Road</t>
  </si>
  <si>
    <t>Carolyn Laban</t>
  </si>
  <si>
    <t>Kauri Montessori</t>
  </si>
  <si>
    <t>03-5489186</t>
  </si>
  <si>
    <t>39 Tukuka Street</t>
  </si>
  <si>
    <t>Sithy Mowjood</t>
  </si>
  <si>
    <t>P O Box 1167</t>
  </si>
  <si>
    <t>Waterview Kindergarten</t>
  </si>
  <si>
    <t>09-828 1467</t>
  </si>
  <si>
    <t>waterview@aka.org.nz</t>
  </si>
  <si>
    <t>17 Oakley Avenue</t>
  </si>
  <si>
    <t>Kiwi Steps</t>
  </si>
  <si>
    <t>07-882 8234</t>
  </si>
  <si>
    <t>kiwistepsoffice@xtra.co.nz</t>
  </si>
  <si>
    <t>42 Tihoi Road (SH 30)</t>
  </si>
  <si>
    <t>Kirsty Trueman</t>
  </si>
  <si>
    <t>43 Mountview Close RD 1</t>
  </si>
  <si>
    <t>Mangakino 3492</t>
  </si>
  <si>
    <t>07-8828663</t>
  </si>
  <si>
    <t>Lollipops Petone</t>
  </si>
  <si>
    <t>04-909 7272</t>
  </si>
  <si>
    <t>sasha.stewart@eeg.co.nz</t>
  </si>
  <si>
    <t>121 The Esplande</t>
  </si>
  <si>
    <t>Sasha Stewart</t>
  </si>
  <si>
    <t>Lollipops Waiwhetu</t>
  </si>
  <si>
    <t>04-5860586</t>
  </si>
  <si>
    <t>cm.waiwhetu@ledu.co.nz</t>
  </si>
  <si>
    <t>30 Waikare Avenue</t>
  </si>
  <si>
    <t>Waiwhetu</t>
  </si>
  <si>
    <t>Waiwhetu South</t>
  </si>
  <si>
    <t>Samantha  Ives</t>
  </si>
  <si>
    <t>04-586-0586</t>
  </si>
  <si>
    <t>Kids Count ECE Marne Rd</t>
  </si>
  <si>
    <t>09-295 0090</t>
  </si>
  <si>
    <t>marne@kidscount.co.nz</t>
  </si>
  <si>
    <t>69 Marne Road</t>
  </si>
  <si>
    <t>Mighty Minds Bucklands Beach</t>
  </si>
  <si>
    <t>09-5355353</t>
  </si>
  <si>
    <t>joanne@mightyminds.co.nz</t>
  </si>
  <si>
    <t>245 Bucklands Beach Road</t>
  </si>
  <si>
    <t>Bucklands Beach Central</t>
  </si>
  <si>
    <t>139 Barbarich Drive</t>
  </si>
  <si>
    <t>Learning Adventures Flaxmere</t>
  </si>
  <si>
    <t>06-8799352</t>
  </si>
  <si>
    <t>cm.flaxmere@learningadventures.co.nz</t>
  </si>
  <si>
    <t>2 Blyth Street</t>
  </si>
  <si>
    <t>Flaxmere West</t>
  </si>
  <si>
    <t>Lana  Graham</t>
  </si>
  <si>
    <t>Nga Wawata Educare Limited</t>
  </si>
  <si>
    <t>09-408 2250</t>
  </si>
  <si>
    <t>ngawawata@gmail.com</t>
  </si>
  <si>
    <t>6 Melba Street</t>
  </si>
  <si>
    <t>Kerry Allen</t>
  </si>
  <si>
    <t>P O Box 522</t>
  </si>
  <si>
    <t>Kaitaia 0441</t>
  </si>
  <si>
    <t>BestStart Bader Street</t>
  </si>
  <si>
    <t>07-843 2812</t>
  </si>
  <si>
    <t>bader@best-start.org</t>
  </si>
  <si>
    <t>8-10 Bader Street</t>
  </si>
  <si>
    <t>Kelly's Preschool</t>
  </si>
  <si>
    <t>09-837 4680</t>
  </si>
  <si>
    <t>kellyspreschool@hotmail.co.nz</t>
  </si>
  <si>
    <t>41 Lincoln Road</t>
  </si>
  <si>
    <t>Henderson North</t>
  </si>
  <si>
    <t>Early Adventures</t>
  </si>
  <si>
    <t>09-947 5010</t>
  </si>
  <si>
    <t>info@earlyadventures.co.nz</t>
  </si>
  <si>
    <t>26 Elizabeth Street</t>
  </si>
  <si>
    <t>Orewa Central</t>
  </si>
  <si>
    <t>Jocelyn Ingram</t>
  </si>
  <si>
    <t>P O Box 702</t>
  </si>
  <si>
    <t>Auckland 0946</t>
  </si>
  <si>
    <t>09-947 6010</t>
  </si>
  <si>
    <t>Hillmorton Nest</t>
  </si>
  <si>
    <t>03-3388888</t>
  </si>
  <si>
    <t>sarah@nests.co.nz</t>
  </si>
  <si>
    <t>52 Tankerville Road</t>
  </si>
  <si>
    <t>Sarah Forward</t>
  </si>
  <si>
    <t>Christchurch 8025</t>
  </si>
  <si>
    <t>03-3494901</t>
  </si>
  <si>
    <t>Wee Nippers Early Childhood Centre</t>
  </si>
  <si>
    <t>03-05089336477</t>
  </si>
  <si>
    <t>manager.invercargill@weenippers.co.nz</t>
  </si>
  <si>
    <t>271 Tweed Street</t>
  </si>
  <si>
    <t>Appleby North (Invercargill City)</t>
  </si>
  <si>
    <t>Audrey-Anne Ormond</t>
  </si>
  <si>
    <t>P O Box 997</t>
  </si>
  <si>
    <t>Queenstown 9348</t>
  </si>
  <si>
    <t>027-3485991</t>
  </si>
  <si>
    <t>Next Generation Birkenhead</t>
  </si>
  <si>
    <t>09-419 4481</t>
  </si>
  <si>
    <t>76 Birkenhead Avenue</t>
  </si>
  <si>
    <t>Imagine Kids Care Huntly Limited</t>
  </si>
  <si>
    <t>07-8288880</t>
  </si>
  <si>
    <t>huntly@imaginekids.co.nz</t>
  </si>
  <si>
    <t>24 Williams Street</t>
  </si>
  <si>
    <t>Amber Tuhakaraina</t>
  </si>
  <si>
    <t>Little Monkeys Preschool</t>
  </si>
  <si>
    <t>06-3588262</t>
  </si>
  <si>
    <t>littlemonkeyslc@xtra.co.nz</t>
  </si>
  <si>
    <t>10 Pascal Street</t>
  </si>
  <si>
    <t>Jennifer Hall</t>
  </si>
  <si>
    <t>06-3546061</t>
  </si>
  <si>
    <t>Discovery Tree</t>
  </si>
  <si>
    <t>07-8555152</t>
  </si>
  <si>
    <t>jesspullan@discoverytree.co.nz</t>
  </si>
  <si>
    <t>187 Tramway Road</t>
  </si>
  <si>
    <t>Enderley</t>
  </si>
  <si>
    <t>Jessica Pullan</t>
  </si>
  <si>
    <t>12 Montrose Cres</t>
  </si>
  <si>
    <t>Learning Adventures Katikati</t>
  </si>
  <si>
    <t>07-5495536</t>
  </si>
  <si>
    <t>80 Main Road</t>
  </si>
  <si>
    <t>Coralie Hoskin</t>
  </si>
  <si>
    <t>Fundamentals Merivale</t>
  </si>
  <si>
    <t>03-355 1522</t>
  </si>
  <si>
    <t>merivale@fundamentals.co.nz</t>
  </si>
  <si>
    <t>5 Innes Road</t>
  </si>
  <si>
    <t>Merivale</t>
  </si>
  <si>
    <t>Dianna Jenkinson</t>
  </si>
  <si>
    <t>2 Ti Kouka Eco Lane</t>
  </si>
  <si>
    <t>Redcliffs</t>
  </si>
  <si>
    <t>03-960 0000</t>
  </si>
  <si>
    <t>Bizzy Bodz Early Learning Centre Gisborne</t>
  </si>
  <si>
    <t>06- 8684872</t>
  </si>
  <si>
    <t>gisborne@bizzybodzeducare.co.nz</t>
  </si>
  <si>
    <t>804 Gladstone Road</t>
  </si>
  <si>
    <t>Te Hapara South</t>
  </si>
  <si>
    <t>Crystal Grayndler-Cleeton</t>
  </si>
  <si>
    <t>027-5495507</t>
  </si>
  <si>
    <t>Taha Hinengaro (Gisborne) Kāhui Ako</t>
  </si>
  <si>
    <t>Active Explorers Upper Hutt</t>
  </si>
  <si>
    <t>04-5280528</t>
  </si>
  <si>
    <t>851-857 Fergusson Drive</t>
  </si>
  <si>
    <t>Nakita Hart</t>
  </si>
  <si>
    <t>04-528 0528</t>
  </si>
  <si>
    <t>Te Rito, Te Puna Reo</t>
  </si>
  <si>
    <t>09-4087673</t>
  </si>
  <si>
    <t>terito.hailey@gmail.com</t>
  </si>
  <si>
    <t>1 Tokerau Beach Road</t>
  </si>
  <si>
    <t>Karikari Peninsula</t>
  </si>
  <si>
    <t>Hailey-Jane Tobin</t>
  </si>
  <si>
    <t>21 East Street RD 3</t>
  </si>
  <si>
    <t>Kaitaia 0483</t>
  </si>
  <si>
    <t>09-406 0140</t>
  </si>
  <si>
    <t>Busy Bees Pukekohe</t>
  </si>
  <si>
    <t>09-238 4370</t>
  </si>
  <si>
    <t>manager@pukekohe.busybees.org.nz</t>
  </si>
  <si>
    <t>47 A Ward Street</t>
  </si>
  <si>
    <t>Priya Prasad</t>
  </si>
  <si>
    <t>Busy Bees Kawatiri</t>
  </si>
  <si>
    <t>03-7896369</t>
  </si>
  <si>
    <t>info@kawatiri.busybees.org.nz</t>
  </si>
  <si>
    <t>149 Derby Street</t>
  </si>
  <si>
    <t>Westport South</t>
  </si>
  <si>
    <t xml:space="preserve">Tina  Holland </t>
  </si>
  <si>
    <t>03-7895151</t>
  </si>
  <si>
    <t>Little Adventurers' Early Learning Centre</t>
  </si>
  <si>
    <t>04-2389684</t>
  </si>
  <si>
    <t>info@littleadv.co.nz</t>
  </si>
  <si>
    <t>11 Heriot Drive</t>
  </si>
  <si>
    <t>Porirua Central</t>
  </si>
  <si>
    <t>Theresa Stebbing</t>
  </si>
  <si>
    <t>P O Box 50375</t>
  </si>
  <si>
    <t>04-238 9684</t>
  </si>
  <si>
    <t>Little Earth Montessori Remuera</t>
  </si>
  <si>
    <t>09-520 0021</t>
  </si>
  <si>
    <t>45 Ascot Avenue</t>
  </si>
  <si>
    <t>Apple Tree Childcare Centre Ballyboe</t>
  </si>
  <si>
    <t>09-9503623</t>
  </si>
  <si>
    <t>2 Ballyboe Place, Pinehill</t>
  </si>
  <si>
    <t>Pinehill North</t>
  </si>
  <si>
    <t>Akoranga Preschool</t>
  </si>
  <si>
    <t>03-2085757</t>
  </si>
  <si>
    <t>akorangapreschool@gmail.com</t>
  </si>
  <si>
    <t>106 Broughton Street</t>
  </si>
  <si>
    <t>Joanne Brown</t>
  </si>
  <si>
    <t>Gore 9700</t>
  </si>
  <si>
    <t>Active Explorers Melville</t>
  </si>
  <si>
    <t>07-8395354</t>
  </si>
  <si>
    <t>cm.melville@activeexplorers.co.nz</t>
  </si>
  <si>
    <t>130 Collins Road</t>
  </si>
  <si>
    <t>Heidi Marsh</t>
  </si>
  <si>
    <t>The Homestead Early Learning Centre</t>
  </si>
  <si>
    <t>09-420 9810</t>
  </si>
  <si>
    <t>Kaipara House Corner SH16 &amp; Parkhurst Road, RD1</t>
  </si>
  <si>
    <t>South Head</t>
  </si>
  <si>
    <t>'Api Fakakoloa</t>
  </si>
  <si>
    <t>09-2747790</t>
  </si>
  <si>
    <t>linita.manuatu@apifakakoloa.co.nz</t>
  </si>
  <si>
    <t>66 Lovegrove Crescent</t>
  </si>
  <si>
    <t>Linita Manu'atu</t>
  </si>
  <si>
    <t>P O Box 22048</t>
  </si>
  <si>
    <t>09-2747493</t>
  </si>
  <si>
    <t>Blossoms Educare Pukekohe</t>
  </si>
  <si>
    <t>09-238 1795</t>
  </si>
  <si>
    <t>pukekohe@blossomseducare.co.nz</t>
  </si>
  <si>
    <t>29 Queen Street</t>
  </si>
  <si>
    <t>Taeaofou I Puaseisei Preschool</t>
  </si>
  <si>
    <t>09-275 9600</t>
  </si>
  <si>
    <t>tupai@edupac.co.nz</t>
  </si>
  <si>
    <t>53 Raglan Street</t>
  </si>
  <si>
    <t>Tupai Keneti Apa</t>
  </si>
  <si>
    <t>P O Box 86078</t>
  </si>
  <si>
    <t xml:space="preserve">09-9654489 </t>
  </si>
  <si>
    <t>BestStart Vardon Road</t>
  </si>
  <si>
    <t>07-8493231</t>
  </si>
  <si>
    <t>vardon@best-start.org</t>
  </si>
  <si>
    <t>2 Hampton Place</t>
  </si>
  <si>
    <t>Saint Andrews West</t>
  </si>
  <si>
    <t>Natural Steps Albany</t>
  </si>
  <si>
    <t>09-479 5051</t>
  </si>
  <si>
    <t>albany@naturalsteps.co.nz</t>
  </si>
  <si>
    <t>78 Apollo Drive</t>
  </si>
  <si>
    <t>Grace Carter</t>
  </si>
  <si>
    <t>09-4795051</t>
  </si>
  <si>
    <t>Tiny Tuis Early Learning Centre</t>
  </si>
  <si>
    <t>09-527 2222</t>
  </si>
  <si>
    <t>nicole@tinytuis.co.nz</t>
  </si>
  <si>
    <t>27 Lunn Avenue</t>
  </si>
  <si>
    <t>Seeds and Sprouts Childcare Ltd</t>
  </si>
  <si>
    <t>09-4591778</t>
  </si>
  <si>
    <t>cassandra.wood@outlook.com</t>
  </si>
  <si>
    <t>15 Moody Avenue</t>
  </si>
  <si>
    <t>Cassandra Wood</t>
  </si>
  <si>
    <t>835 Pipiwai Road RD 6</t>
  </si>
  <si>
    <t>Whangarei 0176</t>
  </si>
  <si>
    <t>All About Children - Sylvia Park</t>
  </si>
  <si>
    <t>09-527 1811</t>
  </si>
  <si>
    <t>manager.sylviapark@allaboutchildren.co.nz</t>
  </si>
  <si>
    <t>297-301 Mt Wellington Highway</t>
  </si>
  <si>
    <t>Mt Wellington</t>
  </si>
  <si>
    <t>Surjit Juneja</t>
  </si>
  <si>
    <t>West Harbour Christian Kindergarten</t>
  </si>
  <si>
    <t>09-416 8091</t>
  </si>
  <si>
    <t>info@whck.org.nz</t>
  </si>
  <si>
    <t>49-53 Luckens Road</t>
  </si>
  <si>
    <t>Ananda Paruchuri</t>
  </si>
  <si>
    <t>24 Gilletta Road</t>
  </si>
  <si>
    <t>09-626 2217</t>
  </si>
  <si>
    <t>Bush Babies Childcare</t>
  </si>
  <si>
    <t>09-945 3997</t>
  </si>
  <si>
    <t>bushbabieschildcareltd@gmail.com</t>
  </si>
  <si>
    <t>56 Hamatana Road</t>
  </si>
  <si>
    <t>Catherine  Heald</t>
  </si>
  <si>
    <t>583A Woodcocks Road</t>
  </si>
  <si>
    <t>Warkworth 0981</t>
  </si>
  <si>
    <t>New Shoots Children's Centre - Hamilton Central</t>
  </si>
  <si>
    <t>07-8593377</t>
  </si>
  <si>
    <t>hamilton@newshoots.co.nz</t>
  </si>
  <si>
    <t>109 - 117 Tristram Street</t>
  </si>
  <si>
    <t>Gill Palmer</t>
  </si>
  <si>
    <t>Little Pipi Early Childhood Centre Welcome Bay</t>
  </si>
  <si>
    <t>07-5448764</t>
  </si>
  <si>
    <t>admin@littlepipi.nz</t>
  </si>
  <si>
    <t>55 Resolution Road</t>
  </si>
  <si>
    <t>Hannah Hill</t>
  </si>
  <si>
    <t>5 Oleander Lane</t>
  </si>
  <si>
    <t>Lollipops Bell Block</t>
  </si>
  <si>
    <t>06-7594366</t>
  </si>
  <si>
    <t>14-16 Pohutukawa Place</t>
  </si>
  <si>
    <t>Misty Murray</t>
  </si>
  <si>
    <t>022-6584761</t>
  </si>
  <si>
    <t>Back 2 Basics</t>
  </si>
  <si>
    <t>09-4346797</t>
  </si>
  <si>
    <t>back2basicsmaungatapere@gmail.com</t>
  </si>
  <si>
    <t>179 Newton Road</t>
  </si>
  <si>
    <t>Amanda Taylor</t>
  </si>
  <si>
    <t>P O Box 2</t>
  </si>
  <si>
    <t>Maungatapere 0152</t>
  </si>
  <si>
    <t>09-4346771</t>
  </si>
  <si>
    <t>Country Kids Pre-School Ltd</t>
  </si>
  <si>
    <t>07-5771811</t>
  </si>
  <si>
    <t>138 Condor Drive</t>
  </si>
  <si>
    <t>Pyes Pa</t>
  </si>
  <si>
    <t>Pyes Pa South</t>
  </si>
  <si>
    <t>Joanna Bennett</t>
  </si>
  <si>
    <t>BestStart Mount Wellington</t>
  </si>
  <si>
    <t>09-574 6377</t>
  </si>
  <si>
    <t>mtwellington@best-start.org</t>
  </si>
  <si>
    <t>113-115 Mt Wellington Highway</t>
  </si>
  <si>
    <t>Mount Wellington East</t>
  </si>
  <si>
    <t>BestStart Bay Kindy</t>
  </si>
  <si>
    <t>07-5443799</t>
  </si>
  <si>
    <t>bay.kindy@kidicorp.co.nz</t>
  </si>
  <si>
    <t>301 Welcome Bay Road</t>
  </si>
  <si>
    <t>King's School - Early Learning Centre</t>
  </si>
  <si>
    <t>09-520 7770 Ext 797</t>
  </si>
  <si>
    <t>258 Remuera Road</t>
  </si>
  <si>
    <t>Remuera Waitaramoa</t>
  </si>
  <si>
    <t>Anthony Sissons</t>
  </si>
  <si>
    <t>King's School Early Learning Centre Private Bag 28914</t>
  </si>
  <si>
    <t>Auckland 1541</t>
  </si>
  <si>
    <t>09-520 7770</t>
  </si>
  <si>
    <t>Hātea Early Learning Centre</t>
  </si>
  <si>
    <t>09-601 3308</t>
  </si>
  <si>
    <t>info@hateaelc.co.nz</t>
  </si>
  <si>
    <t>2A Deveron Street</t>
  </si>
  <si>
    <t>Cherie van der Net</t>
  </si>
  <si>
    <t>P O Box 40581</t>
  </si>
  <si>
    <t>Auckland 0747</t>
  </si>
  <si>
    <t>BestStart Baverstock Oaks</t>
  </si>
  <si>
    <t>09-271 3891</t>
  </si>
  <si>
    <t>baverstock@best-start.org</t>
  </si>
  <si>
    <t>21 S Baverstock Road</t>
  </si>
  <si>
    <t>Baverstock</t>
  </si>
  <si>
    <t>Pascals Blenheim</t>
  </si>
  <si>
    <t>03-577 5442</t>
  </si>
  <si>
    <t>5 Hodson Street</t>
  </si>
  <si>
    <t>Nestlings In-Home Childcare</t>
  </si>
  <si>
    <t>09-215 8334</t>
  </si>
  <si>
    <t>kiryth@nestlings.co.nz</t>
  </si>
  <si>
    <t>6 Sale Street</t>
  </si>
  <si>
    <t>Kiryth Reddish</t>
  </si>
  <si>
    <t>6 Sale Street, Cockle Bay</t>
  </si>
  <si>
    <t>Ako Langimalie</t>
  </si>
  <si>
    <t>09-266 2249</t>
  </si>
  <si>
    <t>Glenn.Doherty@tonganhealth.com</t>
  </si>
  <si>
    <t>119 Rowandale Avenue</t>
  </si>
  <si>
    <t>Glenn Doherty</t>
  </si>
  <si>
    <t>P O Box 13569</t>
  </si>
  <si>
    <t>Auckland 1643</t>
  </si>
  <si>
    <t>09-636 3629</t>
  </si>
  <si>
    <t>Geckos Early Learning Centre</t>
  </si>
  <si>
    <t>09-4386810</t>
  </si>
  <si>
    <t>c.vandernet@kieter.co.nz</t>
  </si>
  <si>
    <t>11a Cross Street</t>
  </si>
  <si>
    <t>Sancta Maria Montessori Preschool</t>
  </si>
  <si>
    <t>03-343 3800</t>
  </si>
  <si>
    <t>info@sanctamariamontessori.co.nz</t>
  </si>
  <si>
    <t>60 Curletts Road</t>
  </si>
  <si>
    <t>Upper Riccarton</t>
  </si>
  <si>
    <t>Catholic, Montessori</t>
  </si>
  <si>
    <t>Joseph Rayen</t>
  </si>
  <si>
    <t>Sockburn</t>
  </si>
  <si>
    <t>03-3433 800</t>
  </si>
  <si>
    <t>Blue School</t>
  </si>
  <si>
    <t>06-3048963</t>
  </si>
  <si>
    <t>info@blueschool.co.nz</t>
  </si>
  <si>
    <t>23-25 Wood Street</t>
  </si>
  <si>
    <t>Sian Paterson</t>
  </si>
  <si>
    <t>Greytown 5712</t>
  </si>
  <si>
    <t>06-3048568</t>
  </si>
  <si>
    <t>Northland Community Pre-School</t>
  </si>
  <si>
    <t>04-4758062</t>
  </si>
  <si>
    <t>office@ncpreschool.co.nz</t>
  </si>
  <si>
    <t>137 Mairangi Road</t>
  </si>
  <si>
    <t>Wilton</t>
  </si>
  <si>
    <t>Daniel Johnston</t>
  </si>
  <si>
    <t>Wellington 6012</t>
  </si>
  <si>
    <t>Noah's Ark Early Learning Centre</t>
  </si>
  <si>
    <t>06-347 7941</t>
  </si>
  <si>
    <t>19 Tawa Street</t>
  </si>
  <si>
    <t>Gonville South</t>
  </si>
  <si>
    <t>Kevin Cate</t>
  </si>
  <si>
    <t>77 Marybank Road</t>
  </si>
  <si>
    <t>Whanganui 4572</t>
  </si>
  <si>
    <t>06-345 8552</t>
  </si>
  <si>
    <t>Maketu Kidettes Early Education Centre</t>
  </si>
  <si>
    <t>07-5333433</t>
  </si>
  <si>
    <t>nellie@kidettes.co.nz</t>
  </si>
  <si>
    <t>8 School Rd</t>
  </si>
  <si>
    <t>Maketu</t>
  </si>
  <si>
    <t>Maketū</t>
  </si>
  <si>
    <t>Michelle Walmsley</t>
  </si>
  <si>
    <t>22 Roulston Street</t>
  </si>
  <si>
    <t>Pukeko Preschool Pakuranga Heights</t>
  </si>
  <si>
    <t>09-576 4822</t>
  </si>
  <si>
    <t>pukekopreschoolph@gmail.com</t>
  </si>
  <si>
    <t>Pakuranga Heights School 77 Udys Road</t>
  </si>
  <si>
    <t>Etu Ao - Niu</t>
  </si>
  <si>
    <t>etuao@wmkindergartens.org.nz</t>
  </si>
  <si>
    <t>15 John Seddon Drive</t>
  </si>
  <si>
    <t>Samoan ECE Service, Non-denominational</t>
  </si>
  <si>
    <t>All About Children - 149 Mahia</t>
  </si>
  <si>
    <t>149mahiaroad@allaboutchildren.co.nz</t>
  </si>
  <si>
    <t>149 Mahia Road</t>
  </si>
  <si>
    <t>Awatere Early Learning Centre</t>
  </si>
  <si>
    <t>03-5757420</t>
  </si>
  <si>
    <t>15c Redwood Street</t>
  </si>
  <si>
    <t>Seddon</t>
  </si>
  <si>
    <t>Awatere</t>
  </si>
  <si>
    <t>Cumberland Early Education Centre</t>
  </si>
  <si>
    <t>07-8557516</t>
  </si>
  <si>
    <t>341 Borman Road</t>
  </si>
  <si>
    <t>Flagstaff North East</t>
  </si>
  <si>
    <t>Little Wonders Childcare (Roslyn)</t>
  </si>
  <si>
    <t>03-4763818</t>
  </si>
  <si>
    <t>admin.littlewondersro@eeg.co.nz</t>
  </si>
  <si>
    <t>98 Taieri Road</t>
  </si>
  <si>
    <t>Angela Sutton</t>
  </si>
  <si>
    <t>03-476 3818</t>
  </si>
  <si>
    <t>The Farmyard</t>
  </si>
  <si>
    <t>06-8674565</t>
  </si>
  <si>
    <t>manager@thefarmyard.school.nz</t>
  </si>
  <si>
    <t>160 Valley Road</t>
  </si>
  <si>
    <t>Chanel Van Niekerk</t>
  </si>
  <si>
    <t>021-02702758187</t>
  </si>
  <si>
    <t>Active Explorers Grenada</t>
  </si>
  <si>
    <t>04-4770582</t>
  </si>
  <si>
    <t>1 Aruba Grove</t>
  </si>
  <si>
    <t>Grenada Village</t>
  </si>
  <si>
    <t>Bee Kids Childcare Centre</t>
  </si>
  <si>
    <t>06-3277889</t>
  </si>
  <si>
    <t>14 Hair Street</t>
  </si>
  <si>
    <t>Stephanie Boerboom</t>
  </si>
  <si>
    <t>Learning Adventures Maraenui</t>
  </si>
  <si>
    <t>06-8439352</t>
  </si>
  <si>
    <t>cm.maraenui@learningadventures.co.nz</t>
  </si>
  <si>
    <t>88 Bledisloe Road</t>
  </si>
  <si>
    <t>Chloe Campbell</t>
  </si>
  <si>
    <t>06-8453839</t>
  </si>
  <si>
    <t>Te Tuareka O Manurewa Punanga Reo</t>
  </si>
  <si>
    <t>09-266 1192</t>
  </si>
  <si>
    <t>1/119 Rowandale Avenue</t>
  </si>
  <si>
    <t>Dorothy Ram</t>
  </si>
  <si>
    <t>P O Box 76085</t>
  </si>
  <si>
    <t>09-2560067</t>
  </si>
  <si>
    <t>Timaru Christian Preschool</t>
  </si>
  <si>
    <t>03-6869337</t>
  </si>
  <si>
    <t>10 Quarry Road</t>
  </si>
  <si>
    <t>Bronwyn Davies</t>
  </si>
  <si>
    <t>50 Connells Road</t>
  </si>
  <si>
    <t>Timaru RD4</t>
  </si>
  <si>
    <t>03-6862942</t>
  </si>
  <si>
    <t>Inspired Minds Early Learning Centre</t>
  </si>
  <si>
    <t>09-437 6357</t>
  </si>
  <si>
    <t>R.a.destablishments@gmail.com</t>
  </si>
  <si>
    <t>99 Kiripaka Road</t>
  </si>
  <si>
    <t>Daniel  Williamson</t>
  </si>
  <si>
    <t>Tikipunaga</t>
  </si>
  <si>
    <t>Bambinos Early Childhood centre (Tawa St)</t>
  </si>
  <si>
    <t>07-5755204</t>
  </si>
  <si>
    <t>20 Tawa Street</t>
  </si>
  <si>
    <t>Lynda Grant</t>
  </si>
  <si>
    <t>P O Box 4056</t>
  </si>
  <si>
    <t>Mount Maunganui 3149</t>
  </si>
  <si>
    <t>Apii Potiki Glen Innes Community Pre-School</t>
  </si>
  <si>
    <t>09-528 5824</t>
  </si>
  <si>
    <t>38-42 Eastview Road</t>
  </si>
  <si>
    <t>Marina Ngakiau</t>
  </si>
  <si>
    <t>P O Box 18414</t>
  </si>
  <si>
    <t>Kuddles In-Home Childcare &amp; Education - 4</t>
  </si>
  <si>
    <t>09-625 6621</t>
  </si>
  <si>
    <t>Creative Garden ELC - Dawson</t>
  </si>
  <si>
    <t>09-273 9688</t>
  </si>
  <si>
    <t>garg.m@hotmail.com</t>
  </si>
  <si>
    <t>100 Dawson Road</t>
  </si>
  <si>
    <t>Mukesh Garg</t>
  </si>
  <si>
    <t>6 Vin Alto Drive</t>
  </si>
  <si>
    <t>09-259 3030</t>
  </si>
  <si>
    <t>Grace Christian Community Preschool</t>
  </si>
  <si>
    <t>09-553 9628</t>
  </si>
  <si>
    <t>28 Rimu Street</t>
  </si>
  <si>
    <t>Kenneth Leong</t>
  </si>
  <si>
    <t>418 Ridge Road RD 3</t>
  </si>
  <si>
    <t>Auckland 0793</t>
  </si>
  <si>
    <t>Pukeatua Childcare Centre</t>
  </si>
  <si>
    <t>04-9206469</t>
  </si>
  <si>
    <t>17 Fraser Street</t>
  </si>
  <si>
    <t>Wainuiomata Central</t>
  </si>
  <si>
    <t>Mereana Storey</t>
  </si>
  <si>
    <t>P O Box 43161</t>
  </si>
  <si>
    <t>Lower Hutt 5014</t>
  </si>
  <si>
    <t>Active Explorers Kaiwharawhara</t>
  </si>
  <si>
    <t>04-4739939</t>
  </si>
  <si>
    <t>cm.kaiwharawhara@activeexplorers.co.nz</t>
  </si>
  <si>
    <t>172 Hutt Road</t>
  </si>
  <si>
    <t>Kaiwharawhara</t>
  </si>
  <si>
    <t>Rebecca Gilmour</t>
  </si>
  <si>
    <t>04-473 9939</t>
  </si>
  <si>
    <t>Te Puna Reo O Raparapaririki</t>
  </si>
  <si>
    <t>06-8648676</t>
  </si>
  <si>
    <t>sierra@tewaiu.school.nz</t>
  </si>
  <si>
    <t>13 Tuparoa Road</t>
  </si>
  <si>
    <t>Ruatoria</t>
  </si>
  <si>
    <t>Ruatōria-Raukumara</t>
  </si>
  <si>
    <t>Sierra  Blane</t>
  </si>
  <si>
    <t>Te Kura Kaupapa Maori o Te Waiu 13 Tuparoa Road</t>
  </si>
  <si>
    <t xml:space="preserve">Ruatoria </t>
  </si>
  <si>
    <t>Te Kāhui Ako o Ngā Kura Kaupapa Māori o Ngāti Porou</t>
  </si>
  <si>
    <t>Little Discoverers</t>
  </si>
  <si>
    <t>07-8564424</t>
  </si>
  <si>
    <t>nichole@littlediscoverers.co.nz</t>
  </si>
  <si>
    <t>109 Cambridge Road</t>
  </si>
  <si>
    <t>Nichole Brett</t>
  </si>
  <si>
    <t>Kids Barn Childcare Centre</t>
  </si>
  <si>
    <t>06-2788592</t>
  </si>
  <si>
    <t>129 Fairfield Road Hawera</t>
  </si>
  <si>
    <t>Kirsten Gilberd</t>
  </si>
  <si>
    <t>129 Fairfield Road</t>
  </si>
  <si>
    <t>06-278 8424</t>
  </si>
  <si>
    <t>Brilliant Minds Early Childhood Centre</t>
  </si>
  <si>
    <t>09-625 8844</t>
  </si>
  <si>
    <t>30 Carr Road</t>
  </si>
  <si>
    <t>Three Kings South</t>
  </si>
  <si>
    <t>Paayal Garg</t>
  </si>
  <si>
    <t>5 Drover Close</t>
  </si>
  <si>
    <t>Nature Kids Motueka</t>
  </si>
  <si>
    <t>022-307 4401</t>
  </si>
  <si>
    <t>naturekidsmotueka@gmail.com</t>
  </si>
  <si>
    <t>12 Queen Street</t>
  </si>
  <si>
    <t>Kate Whitehead</t>
  </si>
  <si>
    <t>12 Queeen Victoria Street</t>
  </si>
  <si>
    <t>Motueka 7120</t>
  </si>
  <si>
    <t>Carterton Preschool Littlies</t>
  </si>
  <si>
    <t>06-3797699</t>
  </si>
  <si>
    <t>littlies@cartertonpreschool.co.nz</t>
  </si>
  <si>
    <t>31 Augustus Street</t>
  </si>
  <si>
    <t>Carterton North</t>
  </si>
  <si>
    <t>Melissa Hutchings</t>
  </si>
  <si>
    <t>190 Belvedere Road</t>
  </si>
  <si>
    <t>Masterton 5713</t>
  </si>
  <si>
    <t>06-379 5945</t>
  </si>
  <si>
    <t>ACG Queenstown Remarkables Park</t>
  </si>
  <si>
    <t>03-4090404</t>
  </si>
  <si>
    <t>9 Copper Beech Avenue</t>
  </si>
  <si>
    <t>The Playhouse Pre-School 2</t>
  </si>
  <si>
    <t>09-238 2530</t>
  </si>
  <si>
    <t>41 Twomey Drive</t>
  </si>
  <si>
    <t>Casa Montessori Preschool</t>
  </si>
  <si>
    <t>09-828 4967</t>
  </si>
  <si>
    <t>dreamshineeducation@gmail.com</t>
  </si>
  <si>
    <t>1 Larch Street</t>
  </si>
  <si>
    <t>William-Chi Zhang</t>
  </si>
  <si>
    <t xml:space="preserve">85 Hugh Green Drive </t>
  </si>
  <si>
    <t>Te Pā Harakeke o Te Awahou Puna Reo</t>
  </si>
  <si>
    <t>06-3637265</t>
  </si>
  <si>
    <t>tepaharakekeoteawahou@gmail.com</t>
  </si>
  <si>
    <t>5 Park Street</t>
  </si>
  <si>
    <t>Wahi Lōs'e</t>
  </si>
  <si>
    <t>Foxton 4814</t>
  </si>
  <si>
    <t>Little Oaks Early Learning Centre 2019 Ltd</t>
  </si>
  <si>
    <t>03-448 6066</t>
  </si>
  <si>
    <t>admin@littleoaks.co.nz</t>
  </si>
  <si>
    <t>20 Ngapara Street</t>
  </si>
  <si>
    <t>Michelle McDonald</t>
  </si>
  <si>
    <t>36 Shields Street</t>
  </si>
  <si>
    <t>Clyde 9330</t>
  </si>
  <si>
    <t>03-4486066</t>
  </si>
  <si>
    <t>Te Pukeiti Early Childhood Centre</t>
  </si>
  <si>
    <t>07-878 3042</t>
  </si>
  <si>
    <t>41 Taupiri Street</t>
  </si>
  <si>
    <t>Billie Taia</t>
  </si>
  <si>
    <t>07-878 6234</t>
  </si>
  <si>
    <t>BestStart Johnstones Road Kindy</t>
  </si>
  <si>
    <t>09-274 6070</t>
  </si>
  <si>
    <t>johnstones.kindy@best-start.org</t>
  </si>
  <si>
    <t>17 Johnstones Road</t>
  </si>
  <si>
    <t>No Cotton Wool Kids Hawke's Bay</t>
  </si>
  <si>
    <t>0800-2824663</t>
  </si>
  <si>
    <t>info@atahome.co.nz</t>
  </si>
  <si>
    <t>9 Drake Crescent</t>
  </si>
  <si>
    <t>Ingrid  Chettleburgh</t>
  </si>
  <si>
    <t>20 Niven Street</t>
  </si>
  <si>
    <t>027-618805</t>
  </si>
  <si>
    <t>Te Kōhanga Reo o Makaurau Marae</t>
  </si>
  <si>
    <t>09-275 6041</t>
  </si>
  <si>
    <t>whanau@k04a089.kohanga.ac.nz</t>
  </si>
  <si>
    <t>8-12 Ruaiti Road</t>
  </si>
  <si>
    <t>Tuakau Learning Centre</t>
  </si>
  <si>
    <t>09-237 8086</t>
  </si>
  <si>
    <t>tuakaulc@xtra.co.nz</t>
  </si>
  <si>
    <t>17-19 West Street</t>
  </si>
  <si>
    <t>ACG Sunderland Preschool</t>
  </si>
  <si>
    <t>09-838 7070</t>
  </si>
  <si>
    <t>shelley.Lord@acgedu.com</t>
  </si>
  <si>
    <t>6 Waipareira Avenue</t>
  </si>
  <si>
    <t>Shelley Lord</t>
  </si>
  <si>
    <t>c/- ACG Sunderland Preschool 6 Waipareira Avenue</t>
  </si>
  <si>
    <t>09-213 5556</t>
  </si>
  <si>
    <t>Home Grown Kids Auckland 2</t>
  </si>
  <si>
    <t>0508-338 2273</t>
  </si>
  <si>
    <t>tracey@edubase.co.nz</t>
  </si>
  <si>
    <t>Kereru Rudolf Steiner Kindergarten</t>
  </si>
  <si>
    <t>06-8787363</t>
  </si>
  <si>
    <t>kereru@taikura.school.nz</t>
  </si>
  <si>
    <t>Cnr Nelson Street and Fitzroy Avenue</t>
  </si>
  <si>
    <t>Natasha Shaw</t>
  </si>
  <si>
    <t>P O Box 888</t>
  </si>
  <si>
    <t>Hastings 4156</t>
  </si>
  <si>
    <t>Awhi Educare @ Owhata</t>
  </si>
  <si>
    <t>07-3456051</t>
  </si>
  <si>
    <t>37 Brent Road</t>
  </si>
  <si>
    <t>Ann Brell</t>
  </si>
  <si>
    <t>9 Judith Place</t>
  </si>
  <si>
    <t>07-3453533</t>
  </si>
  <si>
    <t>Rockmybaby Homebased Childcare</t>
  </si>
  <si>
    <t>09-410 2216</t>
  </si>
  <si>
    <t>homebased@rockmybaby.co.nz</t>
  </si>
  <si>
    <t>10 Cardigan Street</t>
  </si>
  <si>
    <t>Shinnae Stirling</t>
  </si>
  <si>
    <t>Portobello Kindergarten</t>
  </si>
  <si>
    <t>30 Harington Point Road</t>
  </si>
  <si>
    <t>Portobello</t>
  </si>
  <si>
    <t>Broad Bay-Portobello</t>
  </si>
  <si>
    <t>Treetops NZ Limited</t>
  </si>
  <si>
    <t>09-600 3070</t>
  </si>
  <si>
    <t>kerie@treetopseducation.org</t>
  </si>
  <si>
    <t>96 Hinau Road</t>
  </si>
  <si>
    <t>Kerie Lewisham</t>
  </si>
  <si>
    <t>09-6003170</t>
  </si>
  <si>
    <t>Amberley Community Preparatory School Inc</t>
  </si>
  <si>
    <t>03-314 9148</t>
  </si>
  <si>
    <t>Cnr Lawcocks and Douglas Roads</t>
  </si>
  <si>
    <t>Amberley</t>
  </si>
  <si>
    <t>Hurunui District</t>
  </si>
  <si>
    <t>South Ward</t>
  </si>
  <si>
    <t>Kelly Scanlan</t>
  </si>
  <si>
    <t>3 Douglas Road</t>
  </si>
  <si>
    <t>Amberley 7410</t>
  </si>
  <si>
    <t>03-3149147</t>
  </si>
  <si>
    <t>Young and Amazing Limited</t>
  </si>
  <si>
    <t>09-636 7136</t>
  </si>
  <si>
    <t>catherine@youngandamazing.co.nz</t>
  </si>
  <si>
    <t>84-86 Mays Road</t>
  </si>
  <si>
    <t>Te Papapa</t>
  </si>
  <si>
    <t>Catherine Thorpe</t>
  </si>
  <si>
    <t>29 Norwood Road</t>
  </si>
  <si>
    <t>Glen Warren Kindergarten</t>
  </si>
  <si>
    <t>03-4349105</t>
  </si>
  <si>
    <t>40 Torridge Street</t>
  </si>
  <si>
    <t>Glen Warren</t>
  </si>
  <si>
    <t>Little Kiwi's Corner</t>
  </si>
  <si>
    <t>07-8739291</t>
  </si>
  <si>
    <t>lkc.otorohanga@gmail.com</t>
  </si>
  <si>
    <t>1 Clarke Street</t>
  </si>
  <si>
    <t>Teah  Collins</t>
  </si>
  <si>
    <t>34 Milano Boulevard, Karaka</t>
  </si>
  <si>
    <t>021-08432351</t>
  </si>
  <si>
    <t>Littletoetoes ELC Ltd</t>
  </si>
  <si>
    <t>09-277 0033</t>
  </si>
  <si>
    <t>littletoetoes@littletoetoes.co.nz</t>
  </si>
  <si>
    <t>40 Wintere Road</t>
  </si>
  <si>
    <t>Papatoetoe North East</t>
  </si>
  <si>
    <t>Pratibha Madhavan</t>
  </si>
  <si>
    <t>5 Goodland Street</t>
  </si>
  <si>
    <t>09-2770033</t>
  </si>
  <si>
    <t>The Orchard Child Care &amp; Preschool</t>
  </si>
  <si>
    <t>07-3323603</t>
  </si>
  <si>
    <t>7 Oturoa Road</t>
  </si>
  <si>
    <t>Tui Ridge</t>
  </si>
  <si>
    <t>Bridget Gifford</t>
  </si>
  <si>
    <t>155 Hamurana Road. RD 7</t>
  </si>
  <si>
    <t>Rotorua 3097</t>
  </si>
  <si>
    <t>07-3322077</t>
  </si>
  <si>
    <t>Coast Montessori Preschool</t>
  </si>
  <si>
    <t>09-427 5544</t>
  </si>
  <si>
    <t>info@coastmontessori.co.nz</t>
  </si>
  <si>
    <t>42 Silverdale Street</t>
  </si>
  <si>
    <t>Karen O'Reilly</t>
  </si>
  <si>
    <t>18 Forest Glen</t>
  </si>
  <si>
    <t>Orewa 0931</t>
  </si>
  <si>
    <t>09-427 5404</t>
  </si>
  <si>
    <t>'Api Fakakoloa Ua</t>
  </si>
  <si>
    <t>09-624 0938</t>
  </si>
  <si>
    <t>66 Lovegrove Crescsent</t>
  </si>
  <si>
    <t>Little Wonders Aoraki</t>
  </si>
  <si>
    <t>03-686 0519</t>
  </si>
  <si>
    <t>307 Wai-iti Road</t>
  </si>
  <si>
    <t>Glenwood</t>
  </si>
  <si>
    <t>Toni Smith</t>
  </si>
  <si>
    <t>03-6860519</t>
  </si>
  <si>
    <t>Taupiri Educare Ltd</t>
  </si>
  <si>
    <t>07-8246001</t>
  </si>
  <si>
    <t>taupiri@educare.co.nz</t>
  </si>
  <si>
    <t>30 Te Putu Street</t>
  </si>
  <si>
    <t>Elise Gerrits</t>
  </si>
  <si>
    <t>333 Sainsbury Road RD RD1</t>
  </si>
  <si>
    <t>Hamilton 3281</t>
  </si>
  <si>
    <t>Kindercare Learning Centre Karori</t>
  </si>
  <si>
    <t>04-4753336</t>
  </si>
  <si>
    <t>karori@kindercare.co.nz</t>
  </si>
  <si>
    <t>31 Curtis Street</t>
  </si>
  <si>
    <t>Busy Bees Onehunga</t>
  </si>
  <si>
    <t>09-214 8021</t>
  </si>
  <si>
    <t>manager@onehunga.busybees.org.nz</t>
  </si>
  <si>
    <t>74 Grey Street</t>
  </si>
  <si>
    <t>Michelle  Coffey</t>
  </si>
  <si>
    <t>09-2148021</t>
  </si>
  <si>
    <t>Piccolo Park Early Learning Centre</t>
  </si>
  <si>
    <t>09-570 5439</t>
  </si>
  <si>
    <t>admin@piccolopark.co.nz</t>
  </si>
  <si>
    <t>279 Mount Wellington Highway</t>
  </si>
  <si>
    <t>Rukshana Kapadia</t>
  </si>
  <si>
    <t>P O Box 132222</t>
  </si>
  <si>
    <t>Auckland 1644</t>
  </si>
  <si>
    <t>Fantails Childcare - Silverdale</t>
  </si>
  <si>
    <t>09-222 9000</t>
  </si>
  <si>
    <t>silverdale@fantailschildcare.co.nz</t>
  </si>
  <si>
    <t>98 Totara Views Road</t>
  </si>
  <si>
    <t>North Shore City 0944</t>
  </si>
  <si>
    <t>Riverlee Early Learning Centre</t>
  </si>
  <si>
    <t>07-8665250</t>
  </si>
  <si>
    <t>1746 The 309 Road</t>
  </si>
  <si>
    <t>Kirsty Millen</t>
  </si>
  <si>
    <t>Riverlee Early Learning Centre 1746 The 309 Road</t>
  </si>
  <si>
    <t>Blossoms Educare Papakura</t>
  </si>
  <si>
    <t>0800-256767</t>
  </si>
  <si>
    <t>1 Bunnythorpe Road</t>
  </si>
  <si>
    <t>Papakura North East</t>
  </si>
  <si>
    <t>Little Magpies Home Based</t>
  </si>
  <si>
    <t>Farmhouse Preschool Karaka</t>
  </si>
  <si>
    <t>09-292 7038</t>
  </si>
  <si>
    <t>48 Blackbridge Road</t>
  </si>
  <si>
    <t>Tī Kōuka Free Kindergarten</t>
  </si>
  <si>
    <t>03-6883260</t>
  </si>
  <si>
    <t>91B North Street</t>
  </si>
  <si>
    <t>Seaview</t>
  </si>
  <si>
    <t>Superstart Early Learning Centre</t>
  </si>
  <si>
    <t>09-527 1961</t>
  </si>
  <si>
    <t>46 Te Koa Road</t>
  </si>
  <si>
    <t>Māori ECE Service (excluding TKR), Montessori</t>
  </si>
  <si>
    <t>Panmure West</t>
  </si>
  <si>
    <t>Ling (Annie) Wang</t>
  </si>
  <si>
    <t>46/48 Te Koa Road</t>
  </si>
  <si>
    <t>Bright Futures Hawkes Bay 3</t>
  </si>
  <si>
    <t>06-8437280</t>
  </si>
  <si>
    <t>careandlearning@brightfutures.org.nz</t>
  </si>
  <si>
    <t>112 Morris Spence Avenue</t>
  </si>
  <si>
    <t>Zonia Fourie</t>
  </si>
  <si>
    <t>Cnr Morris Spence Ave and Wycliff St Cnr Spence Ave and Wycliff Street</t>
  </si>
  <si>
    <t xml:space="preserve">Napier </t>
  </si>
  <si>
    <t>0508-678910</t>
  </si>
  <si>
    <t>Seedlings Early Learning Centre</t>
  </si>
  <si>
    <t>03-322 1335</t>
  </si>
  <si>
    <t>cindy.paul@seedlingspreschool.co.nz</t>
  </si>
  <si>
    <t>1 Hamill Road Longhurst Estate</t>
  </si>
  <si>
    <t>Halswell West</t>
  </si>
  <si>
    <t>Cindy Paul</t>
  </si>
  <si>
    <t>P O Box 37356</t>
  </si>
  <si>
    <t>Christchurch 8245</t>
  </si>
  <si>
    <t>03-3221335</t>
  </si>
  <si>
    <t>Honeybees Preschool</t>
  </si>
  <si>
    <t>09-309 9303</t>
  </si>
  <si>
    <t>hello@honeybees.co.nz</t>
  </si>
  <si>
    <t>Level 5 127 Hobson Street</t>
  </si>
  <si>
    <t>Hobson Ridge Central</t>
  </si>
  <si>
    <t>Sarah Benge</t>
  </si>
  <si>
    <t>P O Box 1500</t>
  </si>
  <si>
    <t>Annabel's Educare - Somerfield</t>
  </si>
  <si>
    <t>03-3326333</t>
  </si>
  <si>
    <t>sf@annabelseducare.co.nz</t>
  </si>
  <si>
    <t>41-43 Somerfield Street</t>
  </si>
  <si>
    <t>Somerfield East</t>
  </si>
  <si>
    <t>Little Pioneers</t>
  </si>
  <si>
    <t>09-2360608</t>
  </si>
  <si>
    <t>emma@littlepioneers.co.nz</t>
  </si>
  <si>
    <t>28 Paparata Road, RD 1</t>
  </si>
  <si>
    <t>Emma Reichenbach</t>
  </si>
  <si>
    <t>127 Bombay Road RD RD1</t>
  </si>
  <si>
    <t>South Auckland 2675</t>
  </si>
  <si>
    <t>09-236 0266</t>
  </si>
  <si>
    <t>Busy Bees New Plymouth</t>
  </si>
  <si>
    <t>06-758 9289</t>
  </si>
  <si>
    <t>20 - 28 Buller Street</t>
  </si>
  <si>
    <t>New Plymouth Central</t>
  </si>
  <si>
    <t>Rebecca Robinson</t>
  </si>
  <si>
    <t>06-7589289</t>
  </si>
  <si>
    <t>Kinderland Educare</t>
  </si>
  <si>
    <t>09-275 0111</t>
  </si>
  <si>
    <t>kinderlandeducare@gmail.com</t>
  </si>
  <si>
    <t>1 Kohinoor Avenue</t>
  </si>
  <si>
    <t>Khatija Syeda</t>
  </si>
  <si>
    <t>34 Jordan Road</t>
  </si>
  <si>
    <t>Auckland 2022</t>
  </si>
  <si>
    <t>Frederick Street Family Centre</t>
  </si>
  <si>
    <t>06-8782287</t>
  </si>
  <si>
    <t>aimeenz@gmail.com</t>
  </si>
  <si>
    <t>900 Frederick Street</t>
  </si>
  <si>
    <t>Aimee Hawke</t>
  </si>
  <si>
    <t>26 Elwood Road RD 2</t>
  </si>
  <si>
    <t>Hastings 4172</t>
  </si>
  <si>
    <t>027-9389845</t>
  </si>
  <si>
    <t>Nga Tamariki Puawai</t>
  </si>
  <si>
    <t>09-570 8777</t>
  </si>
  <si>
    <t>ngatamarikipuawai.office@gmail.com</t>
  </si>
  <si>
    <t>25 Druces Road</t>
  </si>
  <si>
    <t>Frances Williamson</t>
  </si>
  <si>
    <t>P O Box 76561</t>
  </si>
  <si>
    <t>Clendon Christian Preschool</t>
  </si>
  <si>
    <t>09-9723612</t>
  </si>
  <si>
    <t>clendonpreschool@mcctrust.nz</t>
  </si>
  <si>
    <t>79 Maplesden Drive</t>
  </si>
  <si>
    <t>Lollipops Newton Road</t>
  </si>
  <si>
    <t>09-631 7437</t>
  </si>
  <si>
    <t>6 Basque Road</t>
  </si>
  <si>
    <t>Anita Vohra</t>
  </si>
  <si>
    <t>09-3797594</t>
  </si>
  <si>
    <t>The Learning Castle</t>
  </si>
  <si>
    <t>09-278 5252</t>
  </si>
  <si>
    <t>52 Huia Road</t>
  </si>
  <si>
    <t>Ranesh Singh</t>
  </si>
  <si>
    <t>46 Brooke Ridge Rise</t>
  </si>
  <si>
    <t>09-273 6225</t>
  </si>
  <si>
    <t>Active Discoverers Educare</t>
  </si>
  <si>
    <t>07-8245276</t>
  </si>
  <si>
    <t>4 Brownlee Avenue</t>
  </si>
  <si>
    <t>Sudes Herath</t>
  </si>
  <si>
    <t>10 Roy Hilton Drive</t>
  </si>
  <si>
    <t>07-8537389</t>
  </si>
  <si>
    <t>Woodlands Preschool Limited - Huntsbury</t>
  </si>
  <si>
    <t>haffnerrankin86@gmail.com</t>
  </si>
  <si>
    <t>109 Centaurus Road</t>
  </si>
  <si>
    <t>Huntsbury</t>
  </si>
  <si>
    <t>Teneale Rankin</t>
  </si>
  <si>
    <t>934 Leeston-Dunsandel Rd</t>
  </si>
  <si>
    <t>Leeston 7682</t>
  </si>
  <si>
    <t>027-3055479</t>
  </si>
  <si>
    <t>Sparrows Early Learning Centre</t>
  </si>
  <si>
    <t>07-85555773</t>
  </si>
  <si>
    <t>11 Bailey Avenue</t>
  </si>
  <si>
    <t>Rebecca Pohutu</t>
  </si>
  <si>
    <t>8 Maitland Street</t>
  </si>
  <si>
    <t>07-8555773</t>
  </si>
  <si>
    <t>Active Explorers Greenmeadows</t>
  </si>
  <si>
    <t>06-8454746</t>
  </si>
  <si>
    <t>cm.greenmeadows@activeexplorers.co.nz</t>
  </si>
  <si>
    <t>518 Kennedy Road</t>
  </si>
  <si>
    <t>Melissa  Hall</t>
  </si>
  <si>
    <t>06-845 4746</t>
  </si>
  <si>
    <t>Nurtured at Home Waikato 2</t>
  </si>
  <si>
    <t>234  Bankwood Road</t>
  </si>
  <si>
    <t>Yvette Burrows</t>
  </si>
  <si>
    <t>Fern Grove Early Learning Centre</t>
  </si>
  <si>
    <t>07-8712824</t>
  </si>
  <si>
    <t>admin@littlemindselc.co.nz</t>
  </si>
  <si>
    <t>762 Te Rahu Road</t>
  </si>
  <si>
    <t>Pekerau</t>
  </si>
  <si>
    <t>Emma Sands</t>
  </si>
  <si>
    <t>286 Tui Crescent</t>
  </si>
  <si>
    <t>027-3286436</t>
  </si>
  <si>
    <t>Mini Miracles Educare Western Heights</t>
  </si>
  <si>
    <t>09-281 2250</t>
  </si>
  <si>
    <t>125 Sturges Road</t>
  </si>
  <si>
    <t>Barbara Reneti</t>
  </si>
  <si>
    <t>Ngatea Early Learning Centre</t>
  </si>
  <si>
    <t>07-867 7892</t>
  </si>
  <si>
    <t>ngateaelc@gmail.com</t>
  </si>
  <si>
    <t>65 Hayward Road</t>
  </si>
  <si>
    <t>Takaanini Early Learning</t>
  </si>
  <si>
    <t>8 Oakleigh Avenue</t>
  </si>
  <si>
    <t>Grow and Learn Early learning Centre Ltd</t>
  </si>
  <si>
    <t>04-2389451</t>
  </si>
  <si>
    <t>growandlearnelc@gmail.com</t>
  </si>
  <si>
    <t>20 Awarua Street</t>
  </si>
  <si>
    <t>Kerry  Wicks</t>
  </si>
  <si>
    <t>Porirua 5022</t>
  </si>
  <si>
    <t>Junior Junction Lunn Ave</t>
  </si>
  <si>
    <t>09-527 3020</t>
  </si>
  <si>
    <t>vince@juniorjunction.co.nz</t>
  </si>
  <si>
    <t>108 Lunn Avenue</t>
  </si>
  <si>
    <t>Vincent Grgicevich</t>
  </si>
  <si>
    <t>P O Box 26481</t>
  </si>
  <si>
    <t>09-6292929</t>
  </si>
  <si>
    <t>Arohanui Kindergarten</t>
  </si>
  <si>
    <t>06-368 7429</t>
  </si>
  <si>
    <t>Waiopehu College 74 Bartholomew Road</t>
  </si>
  <si>
    <t>Teen Parent Unit</t>
  </si>
  <si>
    <t>Magnolia Tree Childcare Centre</t>
  </si>
  <si>
    <t>07-8293052</t>
  </si>
  <si>
    <t>rachael@magnoliatreechildcare.co.nz</t>
  </si>
  <si>
    <t>33 Store Road</t>
  </si>
  <si>
    <t>Rachael Thomas</t>
  </si>
  <si>
    <t>Hamilton 3289</t>
  </si>
  <si>
    <t>07-8728062</t>
  </si>
  <si>
    <t>New Shoots Children's Centre - Tauranga</t>
  </si>
  <si>
    <t>07-5788775</t>
  </si>
  <si>
    <t>tauranga@newshoots.co.nz</t>
  </si>
  <si>
    <t>1/850 Cameron Road</t>
  </si>
  <si>
    <t>Little Pearls Educare Centre</t>
  </si>
  <si>
    <t>09-815 2277</t>
  </si>
  <si>
    <t>contact@littlepearls.org.nz</t>
  </si>
  <si>
    <t>2 A Lorraine Avenue</t>
  </si>
  <si>
    <t>Taner Basar</t>
  </si>
  <si>
    <t>P O Box 99661</t>
  </si>
  <si>
    <t>Our Place Catholic Preschool</t>
  </si>
  <si>
    <t>07-8477472</t>
  </si>
  <si>
    <t>5 Olwyn Terrace</t>
  </si>
  <si>
    <t>Sonia Whangapirita</t>
  </si>
  <si>
    <t>021-678054</t>
  </si>
  <si>
    <t>Immanuel Preschool (Papatoetoe)</t>
  </si>
  <si>
    <t>09-279 4879</t>
  </si>
  <si>
    <t>184 Portage Road</t>
  </si>
  <si>
    <t>Aorere South West</t>
  </si>
  <si>
    <t>Lets Grow Early Learning Centre</t>
  </si>
  <si>
    <t>07-8257367</t>
  </si>
  <si>
    <t>info@letsgrow.net.nz</t>
  </si>
  <si>
    <t>248 Wainui Road</t>
  </si>
  <si>
    <t>Petruschka Heinz</t>
  </si>
  <si>
    <t>Raglan 3225</t>
  </si>
  <si>
    <t>Te Puna Reo o Ngāti Toa</t>
  </si>
  <si>
    <t>04-2379501</t>
  </si>
  <si>
    <t>punareo@ngatitoa.iwi.nz</t>
  </si>
  <si>
    <t>8 Ngāti Toa Street</t>
  </si>
  <si>
    <t>Takapuwahia</t>
  </si>
  <si>
    <t>Calisa Hippolite</t>
  </si>
  <si>
    <t>P O Box 50355</t>
  </si>
  <si>
    <t>Fundamentals Marshland</t>
  </si>
  <si>
    <t>03-3855252</t>
  </si>
  <si>
    <t>marshlands@fundamentals.co.nz</t>
  </si>
  <si>
    <t>435 Marshland Road</t>
  </si>
  <si>
    <t>Pebbles Montessori  Sumner (2-6)</t>
  </si>
  <si>
    <t>03-9282402</t>
  </si>
  <si>
    <t>belinda@pebbles.nz</t>
  </si>
  <si>
    <t>4 Campbell Street</t>
  </si>
  <si>
    <t>Daisy Frame</t>
  </si>
  <si>
    <t>027-2050078</t>
  </si>
  <si>
    <t>KidsZone Preschool (2013) Ltd</t>
  </si>
  <si>
    <t>06-7554999</t>
  </si>
  <si>
    <t>kidszonepreschool@xtra.co.nz</t>
  </si>
  <si>
    <t>3 Parakau Road</t>
  </si>
  <si>
    <t>Tania Shaw</t>
  </si>
  <si>
    <t>New Plymouth 4312</t>
  </si>
  <si>
    <t>Hanmer Springs Playcentre</t>
  </si>
  <si>
    <t>03-3772540</t>
  </si>
  <si>
    <t>Cheltenham Street</t>
  </si>
  <si>
    <t>Hanmer Springs</t>
  </si>
  <si>
    <t>West Ward</t>
  </si>
  <si>
    <t>Rebecca Congalton</t>
  </si>
  <si>
    <t>03-3772-540</t>
  </si>
  <si>
    <t>ASPIRE Learning L2</t>
  </si>
  <si>
    <t>09-272 4273</t>
  </si>
  <si>
    <t>enquiries@aspirelearning.co.nz</t>
  </si>
  <si>
    <t>6B Jack Conway Avenue</t>
  </si>
  <si>
    <t>Tangiao Wiperi</t>
  </si>
  <si>
    <t>40 Tinaku Road</t>
  </si>
  <si>
    <t>Nurtured at Home - Auckland 1</t>
  </si>
  <si>
    <t>0800-221 177</t>
  </si>
  <si>
    <t>helen@nurturedathome.co.nz</t>
  </si>
  <si>
    <t>1E Cain Road</t>
  </si>
  <si>
    <t>Penrose</t>
  </si>
  <si>
    <t xml:space="preserve">Helen Parker </t>
  </si>
  <si>
    <t>Li'l Champs Educare 2</t>
  </si>
  <si>
    <t>09-2772556</t>
  </si>
  <si>
    <t>pgrover77@gmail.com</t>
  </si>
  <si>
    <t>431 Great South Road</t>
  </si>
  <si>
    <t>Prakash Grover</t>
  </si>
  <si>
    <t>4 Drumconnell Drive</t>
  </si>
  <si>
    <t>09-273 3577</t>
  </si>
  <si>
    <t>Halswell Learning Tree</t>
  </si>
  <si>
    <t>03-3225538</t>
  </si>
  <si>
    <t>halswelllearningtree@outlook.com</t>
  </si>
  <si>
    <t>349 Halswell Road</t>
  </si>
  <si>
    <t>Shanel de Schot</t>
  </si>
  <si>
    <t>Te Papapa Preschool</t>
  </si>
  <si>
    <t>09-634 7387</t>
  </si>
  <si>
    <t>admin@tpps.school.nz</t>
  </si>
  <si>
    <t>219 Mount Smart Road</t>
  </si>
  <si>
    <t>Elizabeth Ferris</t>
  </si>
  <si>
    <t>106/135 Grafton Road</t>
  </si>
  <si>
    <t>09-261 2438</t>
  </si>
  <si>
    <t>BestStart Greenwood Street</t>
  </si>
  <si>
    <t>07-846 0579</t>
  </si>
  <si>
    <t>107 Greenwood Street</t>
  </si>
  <si>
    <t>Butterfly Preschool</t>
  </si>
  <si>
    <t>06-7578344</t>
  </si>
  <si>
    <t>21 Normanby Street</t>
  </si>
  <si>
    <t>Vickie Donaldson</t>
  </si>
  <si>
    <t>8 Puni Street</t>
  </si>
  <si>
    <t>06-7574677</t>
  </si>
  <si>
    <t>Te Kōpae Reo o Tupoho</t>
  </si>
  <si>
    <t>06- 3490554</t>
  </si>
  <si>
    <t>admintekopaereo@xtra.co.nz</t>
  </si>
  <si>
    <t>18 Cross Street</t>
  </si>
  <si>
    <t>Turuhira Hautapu-Hefa</t>
  </si>
  <si>
    <t>Whanganui 4501</t>
  </si>
  <si>
    <t>022-1335017</t>
  </si>
  <si>
    <t>Little Steps Montessori Preschool</t>
  </si>
  <si>
    <t>09-444 3934</t>
  </si>
  <si>
    <t>littlestepsalbany@gmail.com</t>
  </si>
  <si>
    <t>29-31 Omega Street</t>
  </si>
  <si>
    <t>Mary Annequin</t>
  </si>
  <si>
    <t>P O Box 302746</t>
  </si>
  <si>
    <t>Auckland 0751</t>
  </si>
  <si>
    <t>Busy Bees Coopers Beach</t>
  </si>
  <si>
    <t>09-406 1002</t>
  </si>
  <si>
    <t>info@coopers.busybees.org.nz</t>
  </si>
  <si>
    <t>21 Coopers Drive</t>
  </si>
  <si>
    <t>Mangonui</t>
  </si>
  <si>
    <t>09-271 6428</t>
  </si>
  <si>
    <t>flatbush@brilliantminds.co.nz</t>
  </si>
  <si>
    <t>20 McKittrick Avenue</t>
  </si>
  <si>
    <t>Donegal Park West</t>
  </si>
  <si>
    <t>BestStart Waitangirua</t>
  </si>
  <si>
    <t>04-2359404</t>
  </si>
  <si>
    <t>waitangirua@best-start.org</t>
  </si>
  <si>
    <t>3 Button Lane</t>
  </si>
  <si>
    <t>Hope Preschool</t>
  </si>
  <si>
    <t>03-2037057</t>
  </si>
  <si>
    <t>admin@hopepreschool.co.nz</t>
  </si>
  <si>
    <t>1 Carlyle Street</t>
  </si>
  <si>
    <t>Mataura</t>
  </si>
  <si>
    <t>Mataura Ward</t>
  </si>
  <si>
    <t>Lisa Thomas</t>
  </si>
  <si>
    <t>Mataura 9356</t>
  </si>
  <si>
    <t>'Api Fakakoloa Tolu</t>
  </si>
  <si>
    <t>Topa.Tait@apifakakoloa.co.nz</t>
  </si>
  <si>
    <t>'Api Fakakoloa Fa</t>
  </si>
  <si>
    <t>09-6240938</t>
  </si>
  <si>
    <t>apifakakoloa@xtra.co.nz</t>
  </si>
  <si>
    <t>Red Robin Nanny Agency Ltd</t>
  </si>
  <si>
    <t>09-2153900</t>
  </si>
  <si>
    <t>andrea@redrobin.co.nz</t>
  </si>
  <si>
    <t>161a Point Chevalier Road</t>
  </si>
  <si>
    <t>Andrea  McErlean</t>
  </si>
  <si>
    <t>161A Point Chevalier Road</t>
  </si>
  <si>
    <t>North Clyde Kindergarten</t>
  </si>
  <si>
    <t>ntw@napierkindergartens.co.nz</t>
  </si>
  <si>
    <t>55 Freyberg Street</t>
  </si>
  <si>
    <t>Te Puna Early Learning Centre</t>
  </si>
  <si>
    <t>07-5524017</t>
  </si>
  <si>
    <t>4 Te Puna Road</t>
  </si>
  <si>
    <t>Karen Rowling</t>
  </si>
  <si>
    <t>434 Joyce Road</t>
  </si>
  <si>
    <t>Tauranga 3173</t>
  </si>
  <si>
    <t>Peacocks Early Learning Centre Rockfield</t>
  </si>
  <si>
    <t>41 Rockfield Road</t>
  </si>
  <si>
    <t>Church Corner Nest</t>
  </si>
  <si>
    <t>67 Main South Road</t>
  </si>
  <si>
    <t>502 Halswell Road</t>
  </si>
  <si>
    <t>Home2Grow Childcare 2</t>
  </si>
  <si>
    <t>0508-466 324</t>
  </si>
  <si>
    <t>Busy Bees Roscommon Road</t>
  </si>
  <si>
    <t>09-2693087</t>
  </si>
  <si>
    <t>manager@roscommon.busybees.org.nz</t>
  </si>
  <si>
    <t>421 B Roscommon Road</t>
  </si>
  <si>
    <t>Faapine Old</t>
  </si>
  <si>
    <t>09-269 3087</t>
  </si>
  <si>
    <t>Jumpstart School</t>
  </si>
  <si>
    <t>06-7510026</t>
  </si>
  <si>
    <t>amy@jumpstartpreschool.co.nz</t>
  </si>
  <si>
    <t>55A Rimu Street</t>
  </si>
  <si>
    <t>Amy Fale</t>
  </si>
  <si>
    <t>10 Barrett Road</t>
  </si>
  <si>
    <t>06-7511643</t>
  </si>
  <si>
    <t>Playdays Montessori</t>
  </si>
  <si>
    <t>09-835 3847</t>
  </si>
  <si>
    <t>rachsusie@gmail.com</t>
  </si>
  <si>
    <t>12 Temuri Place</t>
  </si>
  <si>
    <t>Glendene North West</t>
  </si>
  <si>
    <t>Rachel Balasingam</t>
  </si>
  <si>
    <t>Kids Count - Kelvin Road</t>
  </si>
  <si>
    <t>09-295 0008</t>
  </si>
  <si>
    <t>kelvin@kidscount.co.nz</t>
  </si>
  <si>
    <t>22 Kelvin Road</t>
  </si>
  <si>
    <t>Just Four Kids Ltd</t>
  </si>
  <si>
    <t>03-217 3970</t>
  </si>
  <si>
    <t>294 Dee Street</t>
  </si>
  <si>
    <t>Avenal</t>
  </si>
  <si>
    <t>Suzanne  McNatty</t>
  </si>
  <si>
    <t>11 Layard Street</t>
  </si>
  <si>
    <t>03-2173970</t>
  </si>
  <si>
    <t>Iqra Educare</t>
  </si>
  <si>
    <t>07-8550568</t>
  </si>
  <si>
    <t>admin@iqraeducare.ac.nz</t>
  </si>
  <si>
    <t>921 Heaphy Terrace</t>
  </si>
  <si>
    <t>Muslim</t>
  </si>
  <si>
    <t>Asad Mohsin</t>
  </si>
  <si>
    <t>P O Box 665</t>
  </si>
  <si>
    <t>Waikato Mail Centre</t>
  </si>
  <si>
    <t>Lollipops Educare Takanini</t>
  </si>
  <si>
    <t>cm.takanini@ledu.co.nz</t>
  </si>
  <si>
    <t>64a Walter Strevens Drive</t>
  </si>
  <si>
    <t>BestStart Porchester Road</t>
  </si>
  <si>
    <t>09-267 8617</t>
  </si>
  <si>
    <t>porchester@best-start.org</t>
  </si>
  <si>
    <t>504 Porchester Road</t>
  </si>
  <si>
    <t>Harewood Rd Montessori by Busy Bees</t>
  </si>
  <si>
    <t>03-3525025</t>
  </si>
  <si>
    <t>59 Harewood Road</t>
  </si>
  <si>
    <t>Papanui West</t>
  </si>
  <si>
    <t>Leigh McDonald</t>
  </si>
  <si>
    <t>Montessori House of Children - Wairere Drive</t>
  </si>
  <si>
    <t>07-2820893</t>
  </si>
  <si>
    <t>ceo@mhoc.co.nz</t>
  </si>
  <si>
    <t>697A Wairere Drive</t>
  </si>
  <si>
    <t>Fairview Downs</t>
  </si>
  <si>
    <t>Muhammad Shabbir</t>
  </si>
  <si>
    <t>Nga Puawai o Kaikohekohe</t>
  </si>
  <si>
    <t>09-401 1222</t>
  </si>
  <si>
    <t>33 Tawanui Road</t>
  </si>
  <si>
    <t>Ngatokorua Maxwell</t>
  </si>
  <si>
    <t>P O Box 75748</t>
  </si>
  <si>
    <t>Te Kōhanga reo o Kawakawa Mai Tawhiti</t>
  </si>
  <si>
    <t>06-864 4616</t>
  </si>
  <si>
    <t>campbell@kkmt.school.nz</t>
  </si>
  <si>
    <t>Te Kura Kaupapa Maori o Kawakawa Mai Tawhiti 22 Wharf Road</t>
  </si>
  <si>
    <t>Hicks Bay</t>
  </si>
  <si>
    <t>East Cape</t>
  </si>
  <si>
    <t xml:space="preserve">Campbell Dewes </t>
  </si>
  <si>
    <t>06-8644616</t>
  </si>
  <si>
    <t>Little Tui Early Childhood Centre</t>
  </si>
  <si>
    <t>07-843 3659</t>
  </si>
  <si>
    <t>office@littletui.co.nz</t>
  </si>
  <si>
    <t>4 Bruce Avenue</t>
  </si>
  <si>
    <t>Komal Kaur</t>
  </si>
  <si>
    <t>11 Hensley Crescent</t>
  </si>
  <si>
    <t>021-1113474</t>
  </si>
  <si>
    <t>Tamariki Station Ltd</t>
  </si>
  <si>
    <t>07-8627171</t>
  </si>
  <si>
    <t>station@tamarikistation.co.nz</t>
  </si>
  <si>
    <t>31 Station Road</t>
  </si>
  <si>
    <t>Erin Staples</t>
  </si>
  <si>
    <t>Moko Club</t>
  </si>
  <si>
    <t>juanita@kowhai.biz</t>
  </si>
  <si>
    <t>Huntly West Primary School Paki Street</t>
  </si>
  <si>
    <t>Juanita Vosloo</t>
  </si>
  <si>
    <t>07-9813650</t>
  </si>
  <si>
    <t>Nurtured at Home - Auckland 2</t>
  </si>
  <si>
    <t>1 E Cain Road</t>
  </si>
  <si>
    <t>Active Explorers Glenfield Kea</t>
  </si>
  <si>
    <t>09-4440077</t>
  </si>
  <si>
    <t>494 Glenfield Road</t>
  </si>
  <si>
    <t>Bizzy Kidz Childcare</t>
  </si>
  <si>
    <t>09-633 0400</t>
  </si>
  <si>
    <t>info@bizzykidzchildcare.co.nz</t>
  </si>
  <si>
    <t>16 Mahunga Drive</t>
  </si>
  <si>
    <t>Ranelle Robinson</t>
  </si>
  <si>
    <t>C/O NSATax Level 1, 5 Crummer Road</t>
  </si>
  <si>
    <t>Blossoms Educare Riverside</t>
  </si>
  <si>
    <t>09-2768527</t>
  </si>
  <si>
    <t>1 Cracroft Street</t>
  </si>
  <si>
    <t>Sunny Side Early Educare</t>
  </si>
  <si>
    <t>ssee@sunnysideece.co.nz</t>
  </si>
  <si>
    <t>2 Horne Street</t>
  </si>
  <si>
    <t>He Qi</t>
  </si>
  <si>
    <t>021-617588</t>
  </si>
  <si>
    <t>Go Bananas Childcare</t>
  </si>
  <si>
    <t>07-8481004</t>
  </si>
  <si>
    <t>5 - 9 Hall Lane</t>
  </si>
  <si>
    <t>A1 Kids Childcare Centre</t>
  </si>
  <si>
    <t>09-2378111</t>
  </si>
  <si>
    <t>130 George Street</t>
  </si>
  <si>
    <t>Chenchen  Li</t>
  </si>
  <si>
    <t xml:space="preserve">14 Mellick Place </t>
  </si>
  <si>
    <t>Nurtured at Home (Bay) 1</t>
  </si>
  <si>
    <t>103A Fifteenth Avenue</t>
  </si>
  <si>
    <t>Aimee Willoughby</t>
  </si>
  <si>
    <t>Haywood Cottage Montessori</t>
  </si>
  <si>
    <t>03-6938989</t>
  </si>
  <si>
    <t>42 Huffey Street</t>
  </si>
  <si>
    <t>Sally Sharp</t>
  </si>
  <si>
    <t>Geraldine 7930</t>
  </si>
  <si>
    <t>03-6939079</t>
  </si>
  <si>
    <t>Hobsonville Point Early Learning Centre</t>
  </si>
  <si>
    <t>09-557 0817</t>
  </si>
  <si>
    <t>hpelc@kaitiakikindergartens.org.nz</t>
  </si>
  <si>
    <t>18 De Havilland Road</t>
  </si>
  <si>
    <t>Hobsonville Point Catalina Bay</t>
  </si>
  <si>
    <t>Sunbeams Private Kindergarten</t>
  </si>
  <si>
    <t>09-8153113</t>
  </si>
  <si>
    <t>info@sunbeams.co.nz</t>
  </si>
  <si>
    <t>11 Myrtle Street</t>
  </si>
  <si>
    <t>Genevieve Hathaway</t>
  </si>
  <si>
    <t>85 Lynbrooke Ave</t>
  </si>
  <si>
    <t>09-6265956</t>
  </si>
  <si>
    <t>Te Puawaitanga o Atareta Playcentre</t>
  </si>
  <si>
    <t>09-5220063</t>
  </si>
  <si>
    <t>6 Minto Road</t>
  </si>
  <si>
    <t>Creators Waipa</t>
  </si>
  <si>
    <t>021-2417305</t>
  </si>
  <si>
    <t>91 Chapel Drive</t>
  </si>
  <si>
    <t>Kym Gibson</t>
  </si>
  <si>
    <t>P O Box 10462</t>
  </si>
  <si>
    <t>Hamilton 3241</t>
  </si>
  <si>
    <t>027-4851212</t>
  </si>
  <si>
    <t>Scuola Montessori (15th Avenue)</t>
  </si>
  <si>
    <t>182 15th Avenue</t>
  </si>
  <si>
    <t>Kaliloa Home-Based ECE</t>
  </si>
  <si>
    <t xml:space="preserve">021- </t>
  </si>
  <si>
    <t>kaliloa.education@gmail.com</t>
  </si>
  <si>
    <t>7 Princes Street</t>
  </si>
  <si>
    <t>Vaivaifolau Kailahi</t>
  </si>
  <si>
    <t>7 Princes St</t>
  </si>
  <si>
    <t>09-3911211</t>
  </si>
  <si>
    <t>Te Tipu Whenua Early Childhood Centre</t>
  </si>
  <si>
    <t>06-6500713</t>
  </si>
  <si>
    <t>ttw.flaxmere@gmail.com</t>
  </si>
  <si>
    <t>151 Flamere Avenue</t>
  </si>
  <si>
    <t>Amy Potter</t>
  </si>
  <si>
    <t>P O Box 5113</t>
  </si>
  <si>
    <t>Napier 4145</t>
  </si>
  <si>
    <t>021-0380129</t>
  </si>
  <si>
    <t>Nurture@Home Tahi</t>
  </si>
  <si>
    <t>Janelle  Johnson Gardiner</t>
  </si>
  <si>
    <t>03-5476631</t>
  </si>
  <si>
    <t>Montessori Little Hands</t>
  </si>
  <si>
    <t>07-2807284</t>
  </si>
  <si>
    <t>309 Rutherford Street</t>
  </si>
  <si>
    <t>Christopher FitzPatrick</t>
  </si>
  <si>
    <t>07-280 7284</t>
  </si>
  <si>
    <t>All About Children - Weymouth</t>
  </si>
  <si>
    <t>436weymouthroad@allaboutchildren.co.nz</t>
  </si>
  <si>
    <t>436 Weymouth Road</t>
  </si>
  <si>
    <t>Little Rugrats Woodville</t>
  </si>
  <si>
    <t>06-376 1003</t>
  </si>
  <si>
    <t>manager.rugrats@gmail.com</t>
  </si>
  <si>
    <t>85 Vogel Street</t>
  </si>
  <si>
    <t>Woodville</t>
  </si>
  <si>
    <t>Alison Sturgess</t>
  </si>
  <si>
    <t>1 Wyndham Street</t>
  </si>
  <si>
    <t>Ashhurst 4810</t>
  </si>
  <si>
    <t>Country Village Preschool</t>
  </si>
  <si>
    <t>09-2393930</t>
  </si>
  <si>
    <t>countryvillage@xtra.co.nz</t>
  </si>
  <si>
    <t>1070 Paerata Rd</t>
  </si>
  <si>
    <t>Michelle Flay</t>
  </si>
  <si>
    <t>09-2320259</t>
  </si>
  <si>
    <t>Fun 'N' Play Childcare Centre</t>
  </si>
  <si>
    <t>09-2782733</t>
  </si>
  <si>
    <t>gordon@funnplay.co.nz</t>
  </si>
  <si>
    <t>99 Portage Road</t>
  </si>
  <si>
    <t>Papatoetoe North West</t>
  </si>
  <si>
    <t>Drury 2579</t>
  </si>
  <si>
    <t>BestStart Fendalton</t>
  </si>
  <si>
    <t>03-3510502</t>
  </si>
  <si>
    <t>fendalton@best-start.org</t>
  </si>
  <si>
    <t>80 Fendalton Road</t>
  </si>
  <si>
    <t>Holmwood</t>
  </si>
  <si>
    <t>Manaia View Kindergarten</t>
  </si>
  <si>
    <t>09-438 2565</t>
  </si>
  <si>
    <t>64 Murdoch Crescent Otaika</t>
  </si>
  <si>
    <t>Little Preschoolers</t>
  </si>
  <si>
    <t>07-8431030</t>
  </si>
  <si>
    <t>2 Morrison Crescent</t>
  </si>
  <si>
    <t>Donna-Lee Johnston</t>
  </si>
  <si>
    <t>Hamilton 3206</t>
  </si>
  <si>
    <t>07-8438418</t>
  </si>
  <si>
    <t>Reggio Bambini Private Preschool &amp; Infant Centre</t>
  </si>
  <si>
    <t>04-2323093</t>
  </si>
  <si>
    <t>reggiobambini@gmail.com</t>
  </si>
  <si>
    <t>24 Main Road</t>
  </si>
  <si>
    <t>Kimberley Pye</t>
  </si>
  <si>
    <t>99 Aotea Drive</t>
  </si>
  <si>
    <t>Porirua 5024</t>
  </si>
  <si>
    <t>The Fire Station Early Learning Centre</t>
  </si>
  <si>
    <t>su@millieshouse.co.nz</t>
  </si>
  <si>
    <t>2 Waipani Road</t>
  </si>
  <si>
    <t>Millie's House Daly Street</t>
  </si>
  <si>
    <t>04-9799849</t>
  </si>
  <si>
    <t>paula@millieshouse.co.nz</t>
  </si>
  <si>
    <t>5 Daly Street</t>
  </si>
  <si>
    <t>C/- Su Costa 17 Hobson Circle, 151 Bassett Road</t>
  </si>
  <si>
    <t>Fairlie Early Learners</t>
  </si>
  <si>
    <t>03-6856263</t>
  </si>
  <si>
    <t>admin@fairlieearlylearners.co.nz</t>
  </si>
  <si>
    <t>19 Hamilton Street</t>
  </si>
  <si>
    <t>Tania Metcalf</t>
  </si>
  <si>
    <t>Fairlie 7925</t>
  </si>
  <si>
    <t>Busy Bees Papamoa Beach</t>
  </si>
  <si>
    <t>07-5623672</t>
  </si>
  <si>
    <t>info@papamoa.busybees.org.nz</t>
  </si>
  <si>
    <t>105 Wairakei Avenue</t>
  </si>
  <si>
    <t>Jennifer Sibley</t>
  </si>
  <si>
    <t>Te Waenganui Childcare Centre</t>
  </si>
  <si>
    <t>09-402 7227</t>
  </si>
  <si>
    <t>1 Ward Drive</t>
  </si>
  <si>
    <t>Opua</t>
  </si>
  <si>
    <t>Ōpua (Far North District)</t>
  </si>
  <si>
    <t>Judith Simpson</t>
  </si>
  <si>
    <t>P O Box 332</t>
  </si>
  <si>
    <t>Paihia 0247</t>
  </si>
  <si>
    <t>Coast Kids on Karepiro</t>
  </si>
  <si>
    <t>09-4242866</t>
  </si>
  <si>
    <t>leonie@coast-kids.co.nz</t>
  </si>
  <si>
    <t>16 Karepiro Drive</t>
  </si>
  <si>
    <t>Leonie Linklater</t>
  </si>
  <si>
    <t>09-424 2866</t>
  </si>
  <si>
    <t>Nurtured at Home - Auckland 3</t>
  </si>
  <si>
    <t>Bambinos Manukau Early Childhood Centre</t>
  </si>
  <si>
    <t>09-262 0227</t>
  </si>
  <si>
    <t>Keti@bambinos.co.nz</t>
  </si>
  <si>
    <t>813 Great South Road</t>
  </si>
  <si>
    <t>09-8151206</t>
  </si>
  <si>
    <t>BestStart Powells Road Kindy</t>
  </si>
  <si>
    <t>07-8540739</t>
  </si>
  <si>
    <t>48 Powells Road</t>
  </si>
  <si>
    <t>Rockmybaby Homebased Childcare Hawke's Bay</t>
  </si>
  <si>
    <t>0800-567566</t>
  </si>
  <si>
    <t>4F Donnelly Street</t>
  </si>
  <si>
    <t xml:space="preserve">Ursula Maidens </t>
  </si>
  <si>
    <t>0800-762569</t>
  </si>
  <si>
    <t>Morrinsville Kids Ltd</t>
  </si>
  <si>
    <t>07-8895508</t>
  </si>
  <si>
    <t>info@morrinsvillekids.co.nz</t>
  </si>
  <si>
    <t>373 Thames Street</t>
  </si>
  <si>
    <t>Sandra Croker</t>
  </si>
  <si>
    <t>P O Box 396</t>
  </si>
  <si>
    <t>Morrinsville 3340</t>
  </si>
  <si>
    <t>027-2878384</t>
  </si>
  <si>
    <t>Growing Learners Childcare &amp; Preschool</t>
  </si>
  <si>
    <t>09-2660640</t>
  </si>
  <si>
    <t>4 Moncrieff Avenue</t>
  </si>
  <si>
    <t>Clendon Park</t>
  </si>
  <si>
    <t>Kavita Bhatia</t>
  </si>
  <si>
    <t>14 Beltany Drive</t>
  </si>
  <si>
    <t>Auckland 2103</t>
  </si>
  <si>
    <t>09-2687200</t>
  </si>
  <si>
    <t>06-3574113</t>
  </si>
  <si>
    <t>303 Karamu Road North</t>
  </si>
  <si>
    <t>Emma Anderson</t>
  </si>
  <si>
    <t>022-4773607</t>
  </si>
  <si>
    <t>Whitianga Explorers 2 Ltd t/a Peanuts ELC</t>
  </si>
  <si>
    <t>07-2119499</t>
  </si>
  <si>
    <t>2 Austin Drive</t>
  </si>
  <si>
    <t>Whitianga North</t>
  </si>
  <si>
    <t>Whitianga 3570</t>
  </si>
  <si>
    <t>The Point Early Childhood Centre</t>
  </si>
  <si>
    <t>09-8464118</t>
  </si>
  <si>
    <t>hello@thepointchildcare.co.nz</t>
  </si>
  <si>
    <t>16 Buxton Street</t>
  </si>
  <si>
    <t>Point Chevalier North</t>
  </si>
  <si>
    <t>Palms Educare (Browns Bay)</t>
  </si>
  <si>
    <t>09-8805181</t>
  </si>
  <si>
    <t>mellyyang0319@gmail.com</t>
  </si>
  <si>
    <t>26-28 Anzac Road</t>
  </si>
  <si>
    <t>Fang Yang</t>
  </si>
  <si>
    <t>39 Wright Road RD 4</t>
  </si>
  <si>
    <t>Auckland 0794</t>
  </si>
  <si>
    <t>09-4739293</t>
  </si>
  <si>
    <t>Nau Mai Mokopuna</t>
  </si>
  <si>
    <t>09-408 1478</t>
  </si>
  <si>
    <t>manager@naumaimokopuna.com</t>
  </si>
  <si>
    <t>4 Pukepoto Road</t>
  </si>
  <si>
    <t>Karlene Andrews</t>
  </si>
  <si>
    <t>1512 Far North Road RD 1</t>
  </si>
  <si>
    <t>Awanui 0486</t>
  </si>
  <si>
    <t>09-406 7598</t>
  </si>
  <si>
    <t>Sovereign Star Nursery and Preschool</t>
  </si>
  <si>
    <t>03-2601023</t>
  </si>
  <si>
    <t>admin@sovereignstarpreschool.co.nz</t>
  </si>
  <si>
    <t>414 William Street</t>
  </si>
  <si>
    <t>Sovereign Palms</t>
  </si>
  <si>
    <t>He Wang Philpott</t>
  </si>
  <si>
    <t>Kaiapoi 7691</t>
  </si>
  <si>
    <t>03-9803962</t>
  </si>
  <si>
    <t>Te Kōhanga Reo o Hinerangi</t>
  </si>
  <si>
    <t>07-325 3705</t>
  </si>
  <si>
    <t>9860 State Highway 35, RD 3</t>
  </si>
  <si>
    <t>Child's Time Penrose</t>
  </si>
  <si>
    <t>09-5800043</t>
  </si>
  <si>
    <t>penrose@childstime.co.nz</t>
  </si>
  <si>
    <t>155 Penrose Road</t>
  </si>
  <si>
    <t>Kate Henry</t>
  </si>
  <si>
    <t>67 Churchouse Road</t>
  </si>
  <si>
    <t>Nurtured at Home Bay (2)</t>
  </si>
  <si>
    <t>Biggles Early Learning Limited</t>
  </si>
  <si>
    <t>07-576 9197</t>
  </si>
  <si>
    <t>203 Ngatai Road</t>
  </si>
  <si>
    <t>Joanna Biggs</t>
  </si>
  <si>
    <t>P O Box 4420</t>
  </si>
  <si>
    <t>Tauranga 3149</t>
  </si>
  <si>
    <t>07-5752866</t>
  </si>
  <si>
    <t>Chrysalis Early Learning Centre</t>
  </si>
  <si>
    <t>09-9640514</t>
  </si>
  <si>
    <t>1 Jomac Place</t>
  </si>
  <si>
    <t>Lollipops Swanson</t>
  </si>
  <si>
    <t>09-835 1900</t>
  </si>
  <si>
    <t>114 Swanson Road</t>
  </si>
  <si>
    <t>Lorraine Duncumb</t>
  </si>
  <si>
    <t>09-306 3756</t>
  </si>
  <si>
    <t>Te Kōhao Kōhungahunga</t>
  </si>
  <si>
    <t>07-8565479</t>
  </si>
  <si>
    <t>elc@tekohaohealth.co.nz</t>
  </si>
  <si>
    <t>60 Tennyson Road</t>
  </si>
  <si>
    <t>Tere Gilbert</t>
  </si>
  <si>
    <t>P O Box 7107</t>
  </si>
  <si>
    <t>07-8530065</t>
  </si>
  <si>
    <t>Te Kaahui Ako o Tainui</t>
  </si>
  <si>
    <t>No-1 Home Based Childcare &amp; Education Service</t>
  </si>
  <si>
    <t>03-None given</t>
  </si>
  <si>
    <t>Riverglade Childcare</t>
  </si>
  <si>
    <t>07-8629202</t>
  </si>
  <si>
    <t>rivergladechildcare@gmail.com</t>
  </si>
  <si>
    <t>63 Belmont Road</t>
  </si>
  <si>
    <t>Learning Adventures Levin</t>
  </si>
  <si>
    <t>06-3670277</t>
  </si>
  <si>
    <t>cm.levin@learningadventures.co.nz</t>
  </si>
  <si>
    <t>40 Weraroa Road</t>
  </si>
  <si>
    <t>Levin West</t>
  </si>
  <si>
    <t>Carmella Rangiuia</t>
  </si>
  <si>
    <t>Sunflowers Preschool Limited</t>
  </si>
  <si>
    <t>03-9751532</t>
  </si>
  <si>
    <t>45 Seymour Street</t>
  </si>
  <si>
    <t>Hawarden</t>
  </si>
  <si>
    <t>Upper Hurunui</t>
  </si>
  <si>
    <t>Nicola Gardner</t>
  </si>
  <si>
    <t>P O Box 96</t>
  </si>
  <si>
    <t>Hawarden 7348</t>
  </si>
  <si>
    <t>Awhi Educare @ Glenholme</t>
  </si>
  <si>
    <t>07-348 1489</t>
  </si>
  <si>
    <t>149 Ranolf Street</t>
  </si>
  <si>
    <t>Poppies Preschool Gardiners Road</t>
  </si>
  <si>
    <t>03-3594007</t>
  </si>
  <si>
    <t>gardiners@poppiespreschool.co.nz</t>
  </si>
  <si>
    <t>344 Gardiners Road</t>
  </si>
  <si>
    <t>Harewood</t>
  </si>
  <si>
    <t>Clearwater</t>
  </si>
  <si>
    <t>Jeanette Allison</t>
  </si>
  <si>
    <t>Wintercreek RD RD1</t>
  </si>
  <si>
    <t>Rangiora 7471</t>
  </si>
  <si>
    <t>03-3131554</t>
  </si>
  <si>
    <t>Kidsfirst Kindergartens Diamond Harbour</t>
  </si>
  <si>
    <t>03-3293391</t>
  </si>
  <si>
    <t>diamondharbour@kidsfirst.org.nz</t>
  </si>
  <si>
    <t>13 Hunters Road</t>
  </si>
  <si>
    <t>Diamond Harbour</t>
  </si>
  <si>
    <t>Curious Minds Early Learning Miramar</t>
  </si>
  <si>
    <t>04-3888343</t>
  </si>
  <si>
    <t>info@miramarchildcare.co.nz</t>
  </si>
  <si>
    <t>392 Broadway</t>
  </si>
  <si>
    <t>Miramar South</t>
  </si>
  <si>
    <t>Nanaksar Educare Centre</t>
  </si>
  <si>
    <t>09-2662071</t>
  </si>
  <si>
    <t>71 Great South Road</t>
  </si>
  <si>
    <t>Organic Kids Limited</t>
  </si>
  <si>
    <t>louandbec@hotmail.com</t>
  </si>
  <si>
    <t>85 Kainga Road</t>
  </si>
  <si>
    <t>Styx</t>
  </si>
  <si>
    <t>Louise Main</t>
  </si>
  <si>
    <t>Christchurch 8083</t>
  </si>
  <si>
    <t>Mighty Minds Montessori House of Children</t>
  </si>
  <si>
    <t>03-4536333</t>
  </si>
  <si>
    <t>66 Springhill Road</t>
  </si>
  <si>
    <t>Mornington</t>
  </si>
  <si>
    <t>Mary Wijesinghe</t>
  </si>
  <si>
    <t>Flat1, 39 Arthur Street</t>
  </si>
  <si>
    <t>Dunedin Central</t>
  </si>
  <si>
    <t>Dunedin 9016</t>
  </si>
  <si>
    <t>Back2Nature - Koru</t>
  </si>
  <si>
    <t>021-031 5575</t>
  </si>
  <si>
    <t>office@back2naturechildcare.co.nz</t>
  </si>
  <si>
    <t>52 Denby Crescent</t>
  </si>
  <si>
    <t>Jenny-Maree Hamilton</t>
  </si>
  <si>
    <t>31 Ogle Crescent, Kamo</t>
  </si>
  <si>
    <t>Waatea Early Childhood Centre</t>
  </si>
  <si>
    <t>09-2759480</t>
  </si>
  <si>
    <t>admin@waateaece.co.nz</t>
  </si>
  <si>
    <t>31 Calthorpe Close</t>
  </si>
  <si>
    <t>Favona West</t>
  </si>
  <si>
    <t>Tania Rangiheuea</t>
  </si>
  <si>
    <t>P O Box 23398</t>
  </si>
  <si>
    <t>09-6222665</t>
  </si>
  <si>
    <t>NatureSpace Early Learning</t>
  </si>
  <si>
    <t>06-3588900</t>
  </si>
  <si>
    <t>165 Tutaki Road</t>
  </si>
  <si>
    <t>Whakarongo</t>
  </si>
  <si>
    <t>Lisa Sae</t>
  </si>
  <si>
    <t>12 Tabak Crescent</t>
  </si>
  <si>
    <t>Palmerston North 4412</t>
  </si>
  <si>
    <t>027-229 9096</t>
  </si>
  <si>
    <t>Omokoroa Pre School</t>
  </si>
  <si>
    <t>07-5482626</t>
  </si>
  <si>
    <t>144 Margaret Drive</t>
  </si>
  <si>
    <t>Robyn Haaker</t>
  </si>
  <si>
    <t>Seedlings Nature Kindergarten</t>
  </si>
  <si>
    <t>06-7586694</t>
  </si>
  <si>
    <t>19 Hadley Drive, RD 1</t>
  </si>
  <si>
    <t>Tania Mitchell</t>
  </si>
  <si>
    <t>New Plymouth 4371</t>
  </si>
  <si>
    <t>Blossoms Educare Takanini</t>
  </si>
  <si>
    <t>239 Porchester Road</t>
  </si>
  <si>
    <t>Takanini East</t>
  </si>
  <si>
    <t>BestStart Papakura</t>
  </si>
  <si>
    <t>09-550 0845</t>
  </si>
  <si>
    <t>papakura@best-start.org</t>
  </si>
  <si>
    <t>4 View Road</t>
  </si>
  <si>
    <t>Te Kōhanga Reo O Ngāti Hineaute Ki Rangitaane o Manawatū</t>
  </si>
  <si>
    <t>06-355-3931</t>
  </si>
  <si>
    <t>117 - 119 Highbury Avenue</t>
  </si>
  <si>
    <t>Little Einsteins Montessori (MacDonald Street)</t>
  </si>
  <si>
    <t>07-5725916</t>
  </si>
  <si>
    <t>1 MacDonald Street</t>
  </si>
  <si>
    <t>Emma Louise Booth</t>
  </si>
  <si>
    <t>Tauranga 3116</t>
  </si>
  <si>
    <t>07-574 7789</t>
  </si>
  <si>
    <t>No-1 Home Based Childcare &amp; Education Service 2</t>
  </si>
  <si>
    <t>Akoteu Sia-ae-toutaiola</t>
  </si>
  <si>
    <t>09-2794894</t>
  </si>
  <si>
    <t>12 Claude Ave</t>
  </si>
  <si>
    <t>Mary-Anne Toetu'u</t>
  </si>
  <si>
    <t>4 Sabre Place</t>
  </si>
  <si>
    <t>Kaliloa Home-Based ECE 2</t>
  </si>
  <si>
    <t>09-2574618</t>
  </si>
  <si>
    <t>Little Farm Pre- School and Nursery</t>
  </si>
  <si>
    <t>04-2986166</t>
  </si>
  <si>
    <t>62 Ratanui Road</t>
  </si>
  <si>
    <t>Paraparaumu North</t>
  </si>
  <si>
    <t>'Api Fakakoloa Nima</t>
  </si>
  <si>
    <t>topa.tait@apifakakoloa.co.nz</t>
  </si>
  <si>
    <t>Pakuranga Montessori by Busy Bees</t>
  </si>
  <si>
    <t>Jolene.Stadler@busybee.org.nz</t>
  </si>
  <si>
    <t>65 Reeves Road</t>
  </si>
  <si>
    <t>Nurtured at Home - Wellington 6</t>
  </si>
  <si>
    <t>Glenbrae KIDS Early Learning Centre</t>
  </si>
  <si>
    <t>09-578 0493</t>
  </si>
  <si>
    <t>office@glenbraekids.co.nz</t>
  </si>
  <si>
    <t>C/- 103 Leybourne Circle</t>
  </si>
  <si>
    <t>No-1 Home Based Childcare &amp; Education Service 3</t>
  </si>
  <si>
    <t>09-4153389</t>
  </si>
  <si>
    <t>brett@no-1group.co.nz</t>
  </si>
  <si>
    <t>Wairakei Kindergarten</t>
  </si>
  <si>
    <t>07-542 1250</t>
  </si>
  <si>
    <t>101 Wairakei Avenue</t>
  </si>
  <si>
    <t>Real Kids Early Learning Centre</t>
  </si>
  <si>
    <t>021-627 458</t>
  </si>
  <si>
    <t>info@realkidsnz.co.nz</t>
  </si>
  <si>
    <t>327 Hobsonville Road</t>
  </si>
  <si>
    <t>Christopher Barlow</t>
  </si>
  <si>
    <t>646 Ridge Road</t>
  </si>
  <si>
    <t>09-4127456</t>
  </si>
  <si>
    <t>Nurture Early Learning - Onehunga</t>
  </si>
  <si>
    <t>09-282 4624</t>
  </si>
  <si>
    <t>tkroef@nurtureearlylearning.co.nz</t>
  </si>
  <si>
    <t>364 Onehunga Mall</t>
  </si>
  <si>
    <t>Te Puna Reo o Pukehinahina</t>
  </si>
  <si>
    <t>07-5776869</t>
  </si>
  <si>
    <t>C/o Gate Pa School, 900 Cameron Road</t>
  </si>
  <si>
    <t>Lisa Steed</t>
  </si>
  <si>
    <t>900 Cameron Road</t>
  </si>
  <si>
    <t>Te Puna Reo o Puawai</t>
  </si>
  <si>
    <t>07-3459109</t>
  </si>
  <si>
    <t>77-79 Pohutukawa Drive</t>
  </si>
  <si>
    <t>Nicola Amotawa</t>
  </si>
  <si>
    <t>P O Box 7057</t>
  </si>
  <si>
    <t>Kaipara Kids Early Learning Centre</t>
  </si>
  <si>
    <t>09-431 8765</t>
  </si>
  <si>
    <t>office@kaiparakids.co.nz</t>
  </si>
  <si>
    <t>182 Hurndall Street</t>
  </si>
  <si>
    <t>Michelle Cannon</t>
  </si>
  <si>
    <t>278 Mountain Road RD 2</t>
  </si>
  <si>
    <t>Maungaturoto 0587</t>
  </si>
  <si>
    <t>Nurtured At Home (Gisborne) 1</t>
  </si>
  <si>
    <t>027-4632595</t>
  </si>
  <si>
    <t>234 Bankwood Rd</t>
  </si>
  <si>
    <t>Andrea Windelev</t>
  </si>
  <si>
    <t>021-632 233</t>
  </si>
  <si>
    <t>Puawai Childcare Centre</t>
  </si>
  <si>
    <t>06-9297965</t>
  </si>
  <si>
    <t>35 Perry Street</t>
  </si>
  <si>
    <t>Jolene Newbery</t>
  </si>
  <si>
    <t>BestStart Naenae</t>
  </si>
  <si>
    <t>04-550 0610</t>
  </si>
  <si>
    <t>naenae@best-start.org</t>
  </si>
  <si>
    <t>244 Naenae Road</t>
  </si>
  <si>
    <t>Naenae North</t>
  </si>
  <si>
    <t>KIDS CAVE</t>
  </si>
  <si>
    <t>07-8491985</t>
  </si>
  <si>
    <t>19 Kahu Crescent</t>
  </si>
  <si>
    <t>Vishal Shukla</t>
  </si>
  <si>
    <t>308 Grandview Road</t>
  </si>
  <si>
    <t>021-1535232</t>
  </si>
  <si>
    <t>Mighty Minds Educare</t>
  </si>
  <si>
    <t>09-525 6868</t>
  </si>
  <si>
    <t>Level 1, Unit 7 531 Great South Road</t>
  </si>
  <si>
    <t>Cheng-Jung Lin</t>
  </si>
  <si>
    <t>11A Pakuranga Road</t>
  </si>
  <si>
    <t>Lifewise ECE Waimumu Road</t>
  </si>
  <si>
    <t>09-2823015</t>
  </si>
  <si>
    <t>112 Waimumu Road</t>
  </si>
  <si>
    <t>Massey South</t>
  </si>
  <si>
    <t>Bell St Early Learning Centre Ltd - Martinborough</t>
  </si>
  <si>
    <t>admin@bellst.co.nz</t>
  </si>
  <si>
    <t>14 Kitchener Street</t>
  </si>
  <si>
    <t>Martinborough</t>
  </si>
  <si>
    <t>Martinborough Ward</t>
  </si>
  <si>
    <t>09-9730544</t>
  </si>
  <si>
    <t>info@piccolopark.co.nz</t>
  </si>
  <si>
    <t>415 Tirakau Drive</t>
  </si>
  <si>
    <t>Huntington Park</t>
  </si>
  <si>
    <t>Piritahi Childcare</t>
  </si>
  <si>
    <t>09-3720022</t>
  </si>
  <si>
    <t>piritahichildcare@xtra.co.nz</t>
  </si>
  <si>
    <t>53 Tahatai Road</t>
  </si>
  <si>
    <t>Judy Davis</t>
  </si>
  <si>
    <t>P O Box 588</t>
  </si>
  <si>
    <t>Waiheke Island 1081</t>
  </si>
  <si>
    <t>Ngapuna Early Learning Centre</t>
  </si>
  <si>
    <t>022-0118304</t>
  </si>
  <si>
    <t>23 Hona Road</t>
  </si>
  <si>
    <t>Ngapuna</t>
  </si>
  <si>
    <t>Maria Dansey</t>
  </si>
  <si>
    <t>48 Wynne Gray Avenue</t>
  </si>
  <si>
    <t>The Salvation Army Early Childhood Education Centre</t>
  </si>
  <si>
    <t>09-9054619</t>
  </si>
  <si>
    <t>mtwellington.ecec@salvationarmy.org.nz</t>
  </si>
  <si>
    <t>18 Allright Place</t>
  </si>
  <si>
    <t>Mount Wellington Industrial</t>
  </si>
  <si>
    <t>Helen Armstrong</t>
  </si>
  <si>
    <t>No-1 Home Based Childcare &amp; Education Service 4</t>
  </si>
  <si>
    <t>Tuitui Educare</t>
  </si>
  <si>
    <t>09-2144857</t>
  </si>
  <si>
    <t>info@tuituieducare.co.nz</t>
  </si>
  <si>
    <t>4 Browns Road</t>
  </si>
  <si>
    <t>Fiona He</t>
  </si>
  <si>
    <t>20a Baird Street</t>
  </si>
  <si>
    <t>021-0621697</t>
  </si>
  <si>
    <t>'Api Fakakoloa Ono</t>
  </si>
  <si>
    <t>Hand and Hand Childcare Centre</t>
  </si>
  <si>
    <t>09-2727086</t>
  </si>
  <si>
    <t>flatbush@handandhand.co.nz</t>
  </si>
  <si>
    <t xml:space="preserve"> 30 Manchester Drive</t>
  </si>
  <si>
    <t>Mengmeng (Mel) Zhu</t>
  </si>
  <si>
    <t>90 Michaels Avenue</t>
  </si>
  <si>
    <t>021-02380338</t>
  </si>
  <si>
    <t>Wee Nippers Mosgiel Ltd</t>
  </si>
  <si>
    <t>0508-9336477</t>
  </si>
  <si>
    <t>1 Ayrshire Drive</t>
  </si>
  <si>
    <t>Mosgiel East</t>
  </si>
  <si>
    <t>Natalie Tisdall</t>
  </si>
  <si>
    <t>03-4553337</t>
  </si>
  <si>
    <t>Cust Preschool</t>
  </si>
  <si>
    <t>03-3102343</t>
  </si>
  <si>
    <t>custpreschool@gmail.com</t>
  </si>
  <si>
    <t>452 Early's Road</t>
  </si>
  <si>
    <t>Cust</t>
  </si>
  <si>
    <t>Starvation Hill-Cust</t>
  </si>
  <si>
    <t>Amy Blatch</t>
  </si>
  <si>
    <t>P O Box 1</t>
  </si>
  <si>
    <t>Cust 7444</t>
  </si>
  <si>
    <t>03-3125492</t>
  </si>
  <si>
    <t>Inspiring Minds Montessori Pre-School</t>
  </si>
  <si>
    <t>06-355 3354</t>
  </si>
  <si>
    <t>11 Matipo Street</t>
  </si>
  <si>
    <t>Takaro North</t>
  </si>
  <si>
    <t>Rihana Lathiff</t>
  </si>
  <si>
    <t>26A Collingwood Street</t>
  </si>
  <si>
    <t>First Years Learning Centre</t>
  </si>
  <si>
    <t>06-927 5402</t>
  </si>
  <si>
    <t>38 Smithfield Road</t>
  </si>
  <si>
    <t>Tawhero</t>
  </si>
  <si>
    <t>Katrina Culhane</t>
  </si>
  <si>
    <t>Whanganui 4500</t>
  </si>
  <si>
    <t>06-9275402</t>
  </si>
  <si>
    <t>Kindercare Learning Centres - Wigram Skies (219)</t>
  </si>
  <si>
    <t>03-3221717</t>
  </si>
  <si>
    <t>wigramskies@kindercare.co.nz</t>
  </si>
  <si>
    <t>151 Corsair Drive</t>
  </si>
  <si>
    <t>Wigram North</t>
  </si>
  <si>
    <t>Kindercare Learning Centres - Fairfield</t>
  </si>
  <si>
    <t>07-8550045</t>
  </si>
  <si>
    <t>fairfield@kindercare.co.nz</t>
  </si>
  <si>
    <t>355 Peachgrove Road</t>
  </si>
  <si>
    <t>Love and Learn Care and Education</t>
  </si>
  <si>
    <t>06-3437953</t>
  </si>
  <si>
    <t>65 Hakeke Street</t>
  </si>
  <si>
    <t>Whanganui East-Williams Domain</t>
  </si>
  <si>
    <t>Marie Butturini</t>
  </si>
  <si>
    <t>1 Woburn Place</t>
  </si>
  <si>
    <t>St Margaret's Pre-school</t>
  </si>
  <si>
    <t>03-3792000</t>
  </si>
  <si>
    <t>preschool@stmargarets.school.nz</t>
  </si>
  <si>
    <t>12 Winchester Street</t>
  </si>
  <si>
    <t>Diana Patchett</t>
  </si>
  <si>
    <t>PO Box 25094</t>
  </si>
  <si>
    <t>Christchurch 8144</t>
  </si>
  <si>
    <t>BestStart Marne Street</t>
  </si>
  <si>
    <t>06-3530092</t>
  </si>
  <si>
    <t>17-19 Marne Street</t>
  </si>
  <si>
    <t>Natural Wonders Early Learning Centre</t>
  </si>
  <si>
    <t>09-4237773</t>
  </si>
  <si>
    <t>51 Davies Road</t>
  </si>
  <si>
    <t>Meaghan Cook</t>
  </si>
  <si>
    <t>Wellsford 0900</t>
  </si>
  <si>
    <t>Valleys Little and Junior Treasures</t>
  </si>
  <si>
    <t>09-4377714/4591023</t>
  </si>
  <si>
    <t>valleyslittletreasures@gmail.com</t>
  </si>
  <si>
    <t>1 &amp; 2 Paranui Crescent</t>
  </si>
  <si>
    <t>Amy Griffiths</t>
  </si>
  <si>
    <t>2 Paranui Crescent</t>
  </si>
  <si>
    <t>09-459 1023</t>
  </si>
  <si>
    <t>Pokeno Explorers Ltd t/a Urban Explorers</t>
  </si>
  <si>
    <t>09-9477958</t>
  </si>
  <si>
    <t>info@urbanexplorers.co.nz</t>
  </si>
  <si>
    <t>12 Helenslee Road</t>
  </si>
  <si>
    <t>Pōkeno North</t>
  </si>
  <si>
    <t>Robyn Lamont</t>
  </si>
  <si>
    <t>2c Wilton Street</t>
  </si>
  <si>
    <t>021-0487245</t>
  </si>
  <si>
    <t>Scallywaggs Tots &amp; Toddlers</t>
  </si>
  <si>
    <t>5 Russell Street</t>
  </si>
  <si>
    <t>Halswell Nest Early Learning</t>
  </si>
  <si>
    <t>03-3221121</t>
  </si>
  <si>
    <t>Halswell South</t>
  </si>
  <si>
    <t>Giggles and Scribbles Early Learning Centre Limited</t>
  </si>
  <si>
    <t>03-3253 350</t>
  </si>
  <si>
    <t>office@gselc.co.nz</t>
  </si>
  <si>
    <t>584 Birchs Road</t>
  </si>
  <si>
    <t>P O Box 69259</t>
  </si>
  <si>
    <t>Christchurch 7608</t>
  </si>
  <si>
    <t>Nurtured at Home - Auckland 5</t>
  </si>
  <si>
    <t>Educare Kāpiti</t>
  </si>
  <si>
    <t>027-8129092</t>
  </si>
  <si>
    <t>lucy.d@educare.co.nz</t>
  </si>
  <si>
    <t>10 Tararua Street</t>
  </si>
  <si>
    <t>Lucy Duncan</t>
  </si>
  <si>
    <t>11 Wairau Drive</t>
  </si>
  <si>
    <t>Kids Cove ELC, Albany</t>
  </si>
  <si>
    <t>09-4444028</t>
  </si>
  <si>
    <t>10 Corinthian Drive</t>
  </si>
  <si>
    <t>Nōku Te Ao Ki Te Pā</t>
  </si>
  <si>
    <t>03-3856570</t>
  </si>
  <si>
    <t>7 McLean Street</t>
  </si>
  <si>
    <t>Dyanna Stirling</t>
  </si>
  <si>
    <t>6 Birchgrove Gardens</t>
  </si>
  <si>
    <t>03-385 6570</t>
  </si>
  <si>
    <t>Bright Kidz Childcare</t>
  </si>
  <si>
    <t xml:space="preserve">027- </t>
  </si>
  <si>
    <t>144 Buckland Road</t>
  </si>
  <si>
    <t>Massey Road South</t>
  </si>
  <si>
    <t>Rajul Kothari</t>
  </si>
  <si>
    <t>10 Mission Heights Drive</t>
  </si>
  <si>
    <t>Little Rock Preschool</t>
  </si>
  <si>
    <t>littlerockpreschool2019@gmail.com</t>
  </si>
  <si>
    <t>1056 Brighton Road</t>
  </si>
  <si>
    <t>Brighton</t>
  </si>
  <si>
    <t>Karen McCauley</t>
  </si>
  <si>
    <t>121 Main South Road</t>
  </si>
  <si>
    <t>East Taieri</t>
  </si>
  <si>
    <t>Mosgiel 9024</t>
  </si>
  <si>
    <t>The Gardens Education Mill Road Limited</t>
  </si>
  <si>
    <t>09-2666612</t>
  </si>
  <si>
    <t>millroad@thegardens.co.nz</t>
  </si>
  <si>
    <t>310 Mill Road</t>
  </si>
  <si>
    <t>Ardmore</t>
  </si>
  <si>
    <t>Auckland 2576</t>
  </si>
  <si>
    <t>Kia ora Kids at Home Childcare  1</t>
  </si>
  <si>
    <t>027-5281668</t>
  </si>
  <si>
    <t>info@awachildcare.co.nz</t>
  </si>
  <si>
    <t>Spotted Frog Preschool</t>
  </si>
  <si>
    <t>09-6222107</t>
  </si>
  <si>
    <t>emmalucygoodwin@hotmail.com</t>
  </si>
  <si>
    <t>41 B McIntyre Road</t>
  </si>
  <si>
    <t>Emma Goodwin</t>
  </si>
  <si>
    <t>71B McIntyre Road</t>
  </si>
  <si>
    <t>021-08225164</t>
  </si>
  <si>
    <t>The Secret Garden Huapai</t>
  </si>
  <si>
    <t>09-4129995</t>
  </si>
  <si>
    <t>info@thesecretgardenhuapai.co.nz</t>
  </si>
  <si>
    <t>399 Main Road</t>
  </si>
  <si>
    <t>Jodi Browne</t>
  </si>
  <si>
    <t>1 Grassfield Place</t>
  </si>
  <si>
    <t>Auckland 0812</t>
  </si>
  <si>
    <t>Nurtured at Home Waikato 1</t>
  </si>
  <si>
    <t>Pandas Home Care</t>
  </si>
  <si>
    <t>03-3180818</t>
  </si>
  <si>
    <t>6 Protea Place</t>
  </si>
  <si>
    <t>Awatea North</t>
  </si>
  <si>
    <t>Yao  Tong</t>
  </si>
  <si>
    <t>Newbies Early Learning Centre</t>
  </si>
  <si>
    <t>09-418 4648</t>
  </si>
  <si>
    <t>204 Lake Road</t>
  </si>
  <si>
    <t>Mandy Jones</t>
  </si>
  <si>
    <t>18 Le Roy Terrace</t>
  </si>
  <si>
    <t>09-4196297</t>
  </si>
  <si>
    <t>07-9269277</t>
  </si>
  <si>
    <t>58 Panorama Drive, RD 5</t>
  </si>
  <si>
    <t>58 Panorama Drive</t>
  </si>
  <si>
    <t>Pohutukawa Preschool</t>
  </si>
  <si>
    <t>07-3087752</t>
  </si>
  <si>
    <t>53-55 James Street</t>
  </si>
  <si>
    <t>Kopeopeo</t>
  </si>
  <si>
    <t>Nicole Fleming</t>
  </si>
  <si>
    <t>409a West Bank Road RD 2</t>
  </si>
  <si>
    <t>Stokes Valley Community Childcare Centre Inc.</t>
  </si>
  <si>
    <t>04-5637279</t>
  </si>
  <si>
    <t>finance.svccc@gmail.com</t>
  </si>
  <si>
    <t>126 Stokes Valley Road</t>
  </si>
  <si>
    <t>Sara McLean</t>
  </si>
  <si>
    <t>P O Box 37138</t>
  </si>
  <si>
    <t>Lower Hutt 5019</t>
  </si>
  <si>
    <t>027-499 6242</t>
  </si>
  <si>
    <t>Happy Hearts Riverhead Early Learning Centre</t>
  </si>
  <si>
    <t>09-4127745</t>
  </si>
  <si>
    <t>office@happyheartselc.co.nz</t>
  </si>
  <si>
    <t>2 Albert Street</t>
  </si>
  <si>
    <t>Alina Cook</t>
  </si>
  <si>
    <t>Riverhead 0820</t>
  </si>
  <si>
    <t>Ferrymead Preschool and Nursery</t>
  </si>
  <si>
    <t>03-3848026</t>
  </si>
  <si>
    <t>admin@ferrymeadpreschool.co.nz</t>
  </si>
  <si>
    <t>12 E Settlers Crescent</t>
  </si>
  <si>
    <t>Ferrymead</t>
  </si>
  <si>
    <t>Brookhaven-Ferrymead</t>
  </si>
  <si>
    <t>Tamasine Glassford</t>
  </si>
  <si>
    <t>Christchurch 8023</t>
  </si>
  <si>
    <t>03-3840097</t>
  </si>
  <si>
    <t>AoKids/Papakura</t>
  </si>
  <si>
    <t>09-2981960</t>
  </si>
  <si>
    <t>1 Prictor St</t>
  </si>
  <si>
    <t>PO Box 76107</t>
  </si>
  <si>
    <t>Kids Connect</t>
  </si>
  <si>
    <t>09-9654489</t>
  </si>
  <si>
    <t>shambhavi@kidsconnect.co.nz</t>
  </si>
  <si>
    <t>Unit 15, 217 - 225 Great South Road</t>
  </si>
  <si>
    <t>Shambhavi Shirsat</t>
  </si>
  <si>
    <t>15 Heathridge Place</t>
  </si>
  <si>
    <t>Pebbles Montessori Cashmere</t>
  </si>
  <si>
    <t>03-928 2285</t>
  </si>
  <si>
    <t>admin@pebbles.nz</t>
  </si>
  <si>
    <t>26 Colombo Street</t>
  </si>
  <si>
    <t>Anisa MacLean</t>
  </si>
  <si>
    <t>021-08175270</t>
  </si>
  <si>
    <t>Kiddy Winkles Westgate</t>
  </si>
  <si>
    <t>09-8321212</t>
  </si>
  <si>
    <t>allen@kiddywinkles.co.nz</t>
  </si>
  <si>
    <t>19 Fernhill Drive</t>
  </si>
  <si>
    <t>Westgate Central</t>
  </si>
  <si>
    <t>Allen Court</t>
  </si>
  <si>
    <t>P O Box 301514</t>
  </si>
  <si>
    <t>Busy Bees Grandview Road</t>
  </si>
  <si>
    <t>021-894999</t>
  </si>
  <si>
    <t>info@busybees.org.nz</t>
  </si>
  <si>
    <t>162 Grandview Road</t>
  </si>
  <si>
    <t>Celeste Marsh</t>
  </si>
  <si>
    <t>027-2566648</t>
  </si>
  <si>
    <t>BestStart Faringdon</t>
  </si>
  <si>
    <t>03-5502076</t>
  </si>
  <si>
    <t>faringdon@best-start.org</t>
  </si>
  <si>
    <t>53 Chandler Way</t>
  </si>
  <si>
    <t>Faringdon</t>
  </si>
  <si>
    <t>Puawai - Homebased Childcare</t>
  </si>
  <si>
    <t>0800-427829</t>
  </si>
  <si>
    <t>puawai_homebased@outlook.com</t>
  </si>
  <si>
    <t>21 Addington Avenue</t>
  </si>
  <si>
    <t>Mavis Taratu</t>
  </si>
  <si>
    <t>P O Box 276093</t>
  </si>
  <si>
    <t>BestStart Prestons</t>
  </si>
  <si>
    <t xml:space="preserve">03-5502075         </t>
  </si>
  <si>
    <t>prestons@best-start.org</t>
  </si>
  <si>
    <t>64 Te Korari Street</t>
  </si>
  <si>
    <t>Prestons</t>
  </si>
  <si>
    <t>Bloesem Early Learning Centre</t>
  </si>
  <si>
    <t>07-5734123</t>
  </si>
  <si>
    <t>109 Cameron Road</t>
  </si>
  <si>
    <t>121A Oceanview Road</t>
  </si>
  <si>
    <t>Te Kōhanga Reo o Ngā Manu Tui</t>
  </si>
  <si>
    <t>06-3451019</t>
  </si>
  <si>
    <t>40 Brunswick Road</t>
  </si>
  <si>
    <t>YMCA Community Early Years Learning Centre</t>
  </si>
  <si>
    <t>06-3496117</t>
  </si>
  <si>
    <t>125 Grey Street</t>
  </si>
  <si>
    <t>Andrew Savage</t>
  </si>
  <si>
    <t>P O Box 622</t>
  </si>
  <si>
    <t>021-384211</t>
  </si>
  <si>
    <t>Te Rito, Te Kāinga Reo</t>
  </si>
  <si>
    <t>23 Walters Way</t>
  </si>
  <si>
    <t>Cable Bay-Kaitaia</t>
  </si>
  <si>
    <t>Kumeu Montessori Preschool</t>
  </si>
  <si>
    <t>09-4129885</t>
  </si>
  <si>
    <t>managers@kumeumontessori.co.nz</t>
  </si>
  <si>
    <t>8 Grivelle Street</t>
  </si>
  <si>
    <t>Danielle McNaughton</t>
  </si>
  <si>
    <t>183 Bayer Road RD 1</t>
  </si>
  <si>
    <t>North Shore City 0994</t>
  </si>
  <si>
    <t>+64  0211239113</t>
  </si>
  <si>
    <t>Multilingual Kids</t>
  </si>
  <si>
    <t>09-4820914</t>
  </si>
  <si>
    <t>9 Altair Place</t>
  </si>
  <si>
    <t>Elena  Orlova</t>
  </si>
  <si>
    <t>BestStart Portage Road Kindy</t>
  </si>
  <si>
    <t>portage.kindy@best-start.org</t>
  </si>
  <si>
    <t>17-19 Portage Road</t>
  </si>
  <si>
    <t>Mount Wellington South West</t>
  </si>
  <si>
    <t>Cherry Grove Childcare and Family Centre</t>
  </si>
  <si>
    <t>06-8774488</t>
  </si>
  <si>
    <t>enquiries@cherrygrove.co.nz</t>
  </si>
  <si>
    <t>95 Napier Road</t>
  </si>
  <si>
    <t>Brendon Dawson</t>
  </si>
  <si>
    <t>P O Box 8212</t>
  </si>
  <si>
    <t>Havelock North 4130</t>
  </si>
  <si>
    <t>027-5646414</t>
  </si>
  <si>
    <t>Li'l Champs Educare 3</t>
  </si>
  <si>
    <t>09-2712273</t>
  </si>
  <si>
    <t>admin@lilchamps.co.nz</t>
  </si>
  <si>
    <t>479 B Ormiston Road</t>
  </si>
  <si>
    <t>Tuscany Heights</t>
  </si>
  <si>
    <t>Rupa Kaur</t>
  </si>
  <si>
    <t>479B Ormiston Road</t>
  </si>
  <si>
    <t>Mauri</t>
  </si>
  <si>
    <t>carol@mauri.net.nz</t>
  </si>
  <si>
    <t>2 Blencowe Street</t>
  </si>
  <si>
    <t>Carol Reti</t>
  </si>
  <si>
    <t>AhiKaa Childcare Charitable Trust</t>
  </si>
  <si>
    <t>09-408 3729</t>
  </si>
  <si>
    <t>365 Kumi Road, Awanui</t>
  </si>
  <si>
    <t>Teri Norman</t>
  </si>
  <si>
    <t>334 Pairatahi Road, RD 3</t>
  </si>
  <si>
    <t>Home Grown Education</t>
  </si>
  <si>
    <t>09-2166797</t>
  </si>
  <si>
    <t>admin@homegrowned.co.nz</t>
  </si>
  <si>
    <t>12 Rosella Rd</t>
  </si>
  <si>
    <t>Casey Smith</t>
  </si>
  <si>
    <t>P O Box 86012</t>
  </si>
  <si>
    <t>09-2747966</t>
  </si>
  <si>
    <t>Bright Beginnings Early Learning Centre - Panmure</t>
  </si>
  <si>
    <t>09-570 7427</t>
  </si>
  <si>
    <t>8 Kings Road</t>
  </si>
  <si>
    <t>Nikita Kohli</t>
  </si>
  <si>
    <t>09-5344 733</t>
  </si>
  <si>
    <t>Busy Bees Hastings</t>
  </si>
  <si>
    <t>06-8706950</t>
  </si>
  <si>
    <t>info@hastings.busybees.org.nz</t>
  </si>
  <si>
    <t>923 Southampton Street West</t>
  </si>
  <si>
    <t>Tracey  James</t>
  </si>
  <si>
    <t>Wonder Home-based ECE</t>
  </si>
  <si>
    <t>vetikailahi@gmail.com</t>
  </si>
  <si>
    <t>47 A Valiant Street</t>
  </si>
  <si>
    <t>Vaopina Kailahi</t>
  </si>
  <si>
    <t>manaiaece@gmail.com</t>
  </si>
  <si>
    <t>132 Wireless Road</t>
  </si>
  <si>
    <t>Brooke Lisle</t>
  </si>
  <si>
    <t>9 Tahetoka Lane</t>
  </si>
  <si>
    <t>BestStart Karaka</t>
  </si>
  <si>
    <t>09-2962937</t>
  </si>
  <si>
    <t>karaka@best-start.org</t>
  </si>
  <si>
    <t>71 Hingaia Rd</t>
  </si>
  <si>
    <t>Littlelees Preschool</t>
  </si>
  <si>
    <t>07-8556699</t>
  </si>
  <si>
    <t>littleleespreschool@gmail.com</t>
  </si>
  <si>
    <t>91 Thomas Road</t>
  </si>
  <si>
    <t>Yan Ma</t>
  </si>
  <si>
    <t>Good Beginnings Early Learning Centre</t>
  </si>
  <si>
    <t>06-3558501</t>
  </si>
  <si>
    <t>28 Shamrock Street</t>
  </si>
  <si>
    <t>Lynne Crosswell</t>
  </si>
  <si>
    <t>95 Willow Park Drive RD 11</t>
  </si>
  <si>
    <t>Masterton 5871</t>
  </si>
  <si>
    <t>06-3570613</t>
  </si>
  <si>
    <t>Evergreen Early Learning Centre</t>
  </si>
  <si>
    <t>07-4445051</t>
  </si>
  <si>
    <t>584B Ruakura Road</t>
  </si>
  <si>
    <t>Newstead</t>
  </si>
  <si>
    <t>Heidi Lewis</t>
  </si>
  <si>
    <t>Hamilton 3286</t>
  </si>
  <si>
    <t>Khandallah Nursery School</t>
  </si>
  <si>
    <t>027-399 4888</t>
  </si>
  <si>
    <t>enrolments@nurseryschool.co.nz</t>
  </si>
  <si>
    <t>3 Station Road</t>
  </si>
  <si>
    <t>Peter Reynolds</t>
  </si>
  <si>
    <t>Kelburn</t>
  </si>
  <si>
    <t>027-4776226</t>
  </si>
  <si>
    <t>Rockmybaby Hawke's Bay 2</t>
  </si>
  <si>
    <t>ursula@rockmybaby.co.nz</t>
  </si>
  <si>
    <t>BestStart Pyes Pa</t>
  </si>
  <si>
    <t>07-5621130</t>
  </si>
  <si>
    <t>83 Pyes Pa Road</t>
  </si>
  <si>
    <t>Pyes Pa North</t>
  </si>
  <si>
    <t>Kauri Learners, Early Education, Whitianga</t>
  </si>
  <si>
    <t>07-8665513</t>
  </si>
  <si>
    <t>office.kaurilearners@gmail.com</t>
  </si>
  <si>
    <t>16 South Highway</t>
  </si>
  <si>
    <t>Kelly McKinney</t>
  </si>
  <si>
    <t>PO Box 429</t>
  </si>
  <si>
    <t>07-8665002</t>
  </si>
  <si>
    <t>Peachgrove Road Educare Ltd</t>
  </si>
  <si>
    <t>07-8583552</t>
  </si>
  <si>
    <t>93a Peachgrove Road</t>
  </si>
  <si>
    <t>Paula Ruston</t>
  </si>
  <si>
    <t>027-2683406</t>
  </si>
  <si>
    <t>Fatamanu Aoga Niue Early Learning Centre</t>
  </si>
  <si>
    <t>09-2715502</t>
  </si>
  <si>
    <t>fatamanu@fatamanu.school.nz</t>
  </si>
  <si>
    <t>52S - E  Otara Road</t>
  </si>
  <si>
    <t>Einoliatama Poimatagi</t>
  </si>
  <si>
    <t>P O Box 61122</t>
  </si>
  <si>
    <t>09-238 2866</t>
  </si>
  <si>
    <t>Pukekohe Early Learning Centre</t>
  </si>
  <si>
    <t>09-2388 585</t>
  </si>
  <si>
    <t>hello@kohe.co.nz</t>
  </si>
  <si>
    <t>1 Harrington Avenue</t>
  </si>
  <si>
    <t>Amy Bethune</t>
  </si>
  <si>
    <t>38 Michaels Avenue</t>
  </si>
  <si>
    <t>Good Seeds Children's Centre (Mt Wellington)</t>
  </si>
  <si>
    <t>09- 275 1065</t>
  </si>
  <si>
    <t>11 Peace Avenue</t>
  </si>
  <si>
    <t>Mount Wellington South East</t>
  </si>
  <si>
    <t>Educare Totara Park</t>
  </si>
  <si>
    <t>09-971 7577</t>
  </si>
  <si>
    <t>11 Wairau Drive, Totara Parklands</t>
  </si>
  <si>
    <t>Stepping Stones @ Braebrook</t>
  </si>
  <si>
    <t>03-3072088</t>
  </si>
  <si>
    <t>makayla@steppingstones.net.nz</t>
  </si>
  <si>
    <t>1-3 Redhaven Rise</t>
  </si>
  <si>
    <t>Makayla Cromie</t>
  </si>
  <si>
    <t xml:space="preserve">1-3 Redhaven Rise </t>
  </si>
  <si>
    <t>027-372 9992</t>
  </si>
  <si>
    <t>Poimaino 2 Homebased Chidcare</t>
  </si>
  <si>
    <t>09-3022639</t>
  </si>
  <si>
    <t>asinate@poimaino.co.nz</t>
  </si>
  <si>
    <t>44 Chelburn Cres</t>
  </si>
  <si>
    <t>Asinate Akolo</t>
  </si>
  <si>
    <t>P O Box 86044</t>
  </si>
  <si>
    <t>09-2755251</t>
  </si>
  <si>
    <t>Little Settlers</t>
  </si>
  <si>
    <t>09-2360266</t>
  </si>
  <si>
    <t>sam@littlesettlers.co.nz</t>
  </si>
  <si>
    <t>127 Bombay Road</t>
  </si>
  <si>
    <t>Kids at Play Timaru</t>
  </si>
  <si>
    <t>03-9715194</t>
  </si>
  <si>
    <t>kidsatplaynz@outlook.com</t>
  </si>
  <si>
    <t>225 Selwyn Street</t>
  </si>
  <si>
    <t>Marchwiel</t>
  </si>
  <si>
    <t>Fiona  Frew</t>
  </si>
  <si>
    <t>Kids at Play 11 Dyson St</t>
  </si>
  <si>
    <t>Temuka 7920</t>
  </si>
  <si>
    <t>03-6974984</t>
  </si>
  <si>
    <t>Poimaino 1 Homebased Childcare</t>
  </si>
  <si>
    <t>44 Chelburn Cresent</t>
  </si>
  <si>
    <t>Bumblebees Childcare Centre</t>
  </si>
  <si>
    <t>09-9729406</t>
  </si>
  <si>
    <t>info@bumblebeeschildcare.co.nz</t>
  </si>
  <si>
    <t>4 Taniwha Street</t>
  </si>
  <si>
    <t>Matthew Aspin</t>
  </si>
  <si>
    <t>P O Box 251365</t>
  </si>
  <si>
    <t>09-5762487</t>
  </si>
  <si>
    <t>Molly's Preschool</t>
  </si>
  <si>
    <t>09-8450055</t>
  </si>
  <si>
    <t>info@mollyspreschool.com</t>
  </si>
  <si>
    <t>75 St Lukes Road</t>
  </si>
  <si>
    <t>Ying Lin</t>
  </si>
  <si>
    <t>Farmyard Preschool</t>
  </si>
  <si>
    <t>04-5285528</t>
  </si>
  <si>
    <t>gaylene@summerlea.co.nz</t>
  </si>
  <si>
    <t>44 Somme Road</t>
  </si>
  <si>
    <t>Trentham South</t>
  </si>
  <si>
    <t>Mountainside Educare Ltd</t>
  </si>
  <si>
    <t>admin@mountainsideeducare.co.nz</t>
  </si>
  <si>
    <t>47 Kingfisher Crescent</t>
  </si>
  <si>
    <t>Elizabeth Hale</t>
  </si>
  <si>
    <t>Moko Club Ngāruawāhia</t>
  </si>
  <si>
    <t>027-5566455</t>
  </si>
  <si>
    <t>26-28 George Street</t>
  </si>
  <si>
    <t>Madia Diamond</t>
  </si>
  <si>
    <t>14 Kent Street</t>
  </si>
  <si>
    <t>Ngaruawahia 3720</t>
  </si>
  <si>
    <t>Little One's Garden Early Education Centre</t>
  </si>
  <si>
    <t>09-2799486</t>
  </si>
  <si>
    <t>admin@littleoneschildcare.co.nz</t>
  </si>
  <si>
    <t>82 McLean Ave</t>
  </si>
  <si>
    <t>Aiqing (Carol) Guan</t>
  </si>
  <si>
    <t>82 McLean Avenue</t>
  </si>
  <si>
    <t>09-5253868</t>
  </si>
  <si>
    <t>Cute Kids</t>
  </si>
  <si>
    <t>09-3904578</t>
  </si>
  <si>
    <t>veronicanne@hotmail.com</t>
  </si>
  <si>
    <t>Level 1, Quad 7 Building  6 Leonard Isitt Drive</t>
  </si>
  <si>
    <t>Veronica Fulivai</t>
  </si>
  <si>
    <t>P O Box 53157</t>
  </si>
  <si>
    <t xml:space="preserve">Auckland 2022 </t>
  </si>
  <si>
    <t>027-249 6056</t>
  </si>
  <si>
    <t>Peacocks Early Learning Centre Epsom</t>
  </si>
  <si>
    <t>09-6300553 Ext 1</t>
  </si>
  <si>
    <t>203 Manukau Road</t>
  </si>
  <si>
    <t>Blessings for Life Kaitaia</t>
  </si>
  <si>
    <t>09-4080501</t>
  </si>
  <si>
    <t>21 Melba Street</t>
  </si>
  <si>
    <t>Mokopuna ki Roscommon</t>
  </si>
  <si>
    <t>39-41 Burundi Ave</t>
  </si>
  <si>
    <t>Fun Place Kindergarten</t>
  </si>
  <si>
    <t>07-8675513</t>
  </si>
  <si>
    <t>437 Hauraki Road</t>
  </si>
  <si>
    <t>Above and Beyond The Lakes Ltd</t>
  </si>
  <si>
    <t>250 Lakes Boulevard</t>
  </si>
  <si>
    <t>Pyes Pa West</t>
  </si>
  <si>
    <t>Colleen  Fryett</t>
  </si>
  <si>
    <t>Ako Adventures</t>
  </si>
  <si>
    <t>09-266 6285</t>
  </si>
  <si>
    <t>22 Russell Road</t>
  </si>
  <si>
    <t>Samara Strugnell</t>
  </si>
  <si>
    <t>18 Logan Way</t>
  </si>
  <si>
    <t>Enriching Otara Early Learning Centre</t>
  </si>
  <si>
    <t>09-2733492</t>
  </si>
  <si>
    <t>66 Lovegrove Cres</t>
  </si>
  <si>
    <t>Kalolaine Tautakitaki</t>
  </si>
  <si>
    <t>09-6223050</t>
  </si>
  <si>
    <t>Nurtured at Home Waikato 5</t>
  </si>
  <si>
    <t>Bridge Kids</t>
  </si>
  <si>
    <t>09-622 0963</t>
  </si>
  <si>
    <t>office@bridgekids.co.nz</t>
  </si>
  <si>
    <t>4 Rimu Road</t>
  </si>
  <si>
    <t>Paula Hawkings</t>
  </si>
  <si>
    <t>3/39 Arney Road</t>
  </si>
  <si>
    <t>'Api Fakakoloa Mangere Kakariki</t>
  </si>
  <si>
    <t>66 Lovegrove Cresent</t>
  </si>
  <si>
    <t>Lollipops  Paraparaumu</t>
  </si>
  <si>
    <t>04-9740720</t>
  </si>
  <si>
    <t>48 Ihakara Street</t>
  </si>
  <si>
    <t>Rebecca McLachlan</t>
  </si>
  <si>
    <t>Little Ants Childcare</t>
  </si>
  <si>
    <t>09-2350172</t>
  </si>
  <si>
    <t>18 Martyn St (Entrance 11 Domain St)</t>
  </si>
  <si>
    <t>Ranji Prakash</t>
  </si>
  <si>
    <t>7 Heritage Rise</t>
  </si>
  <si>
    <t>021-266 0987</t>
  </si>
  <si>
    <t>Love Kids Home Based ECE Service</t>
  </si>
  <si>
    <t>09-626 0590</t>
  </si>
  <si>
    <t>31 Quona Avenue</t>
  </si>
  <si>
    <t>Mount Roskill South East</t>
  </si>
  <si>
    <t>Yan Zeng</t>
  </si>
  <si>
    <t>09-3072968</t>
  </si>
  <si>
    <t>Kaliloa Home-based ECE 3</t>
  </si>
  <si>
    <t>Seedlings Education 3</t>
  </si>
  <si>
    <t>Tiny Turtles Educare</t>
  </si>
  <si>
    <t>09-2989887</t>
  </si>
  <si>
    <t>info@ececentres.co.nz</t>
  </si>
  <si>
    <t>80 Sutton Crescent</t>
  </si>
  <si>
    <t>Parul Gupta</t>
  </si>
  <si>
    <t>09-5705277</t>
  </si>
  <si>
    <t>Wonder Home-based ECE 2</t>
  </si>
  <si>
    <t>contact.anawonder@gmail.com</t>
  </si>
  <si>
    <t>Fountain City Montessori</t>
  </si>
  <si>
    <t>07-8552696</t>
  </si>
  <si>
    <t>2D Brooklyn Road</t>
  </si>
  <si>
    <t>Rowena Harper</t>
  </si>
  <si>
    <t>P O Box 24014</t>
  </si>
  <si>
    <t>Hamilton 3283</t>
  </si>
  <si>
    <t>Pukeko Treehouse</t>
  </si>
  <si>
    <t>07-8478978</t>
  </si>
  <si>
    <t>64 Avalon Drive</t>
  </si>
  <si>
    <t>Tiny Nation Christchurch</t>
  </si>
  <si>
    <t>209 Karamu Road</t>
  </si>
  <si>
    <t>Tegan Williams</t>
  </si>
  <si>
    <t>022-4550633</t>
  </si>
  <si>
    <t>Little Hands Childcare &amp; Early Learning Centre</t>
  </si>
  <si>
    <t>09-2799946</t>
  </si>
  <si>
    <t>Info@littlehands.co.nz</t>
  </si>
  <si>
    <t>20 Middlemore Crescent</t>
  </si>
  <si>
    <t>Sunaina Bhatia</t>
  </si>
  <si>
    <t>09-2714887</t>
  </si>
  <si>
    <t>09-2158334</t>
  </si>
  <si>
    <t>karyn@nestlingstauranga.co.nz</t>
  </si>
  <si>
    <t>4 Solomon Street</t>
  </si>
  <si>
    <t>Karyn Bradford</t>
  </si>
  <si>
    <t>07-9250311</t>
  </si>
  <si>
    <t>Poimaino 3 Homebased Childcare</t>
  </si>
  <si>
    <t>Poimaino 4 Homebased Childcare</t>
  </si>
  <si>
    <t>Educare Warkworth</t>
  </si>
  <si>
    <t>09-4259941</t>
  </si>
  <si>
    <t>warkworth.manager@educare.co.nz</t>
  </si>
  <si>
    <t>8 Fairwater Road, The Grange</t>
  </si>
  <si>
    <t>Nicola Bowyer</t>
  </si>
  <si>
    <t>Unit 17, Grange Business Park 67 - 69 Auckland Road</t>
  </si>
  <si>
    <t>Warkworth 0910</t>
  </si>
  <si>
    <t>09-425 9941</t>
  </si>
  <si>
    <t>Home2Grow Childcare 3</t>
  </si>
  <si>
    <t>0508-466324</t>
  </si>
  <si>
    <t>Royals Early Learning Centre</t>
  </si>
  <si>
    <t>06-2812703</t>
  </si>
  <si>
    <t>manager@royals.co.nz</t>
  </si>
  <si>
    <t>391 Te Mata Road</t>
  </si>
  <si>
    <t>New Life Churches of N.Z.</t>
  </si>
  <si>
    <t>Mangateretere</t>
  </si>
  <si>
    <t>Kim Campbell</t>
  </si>
  <si>
    <t>P O Box 8904</t>
  </si>
  <si>
    <t>Pukeko ELC</t>
  </si>
  <si>
    <t>09-4260950</t>
  </si>
  <si>
    <t>63 Kauri Road</t>
  </si>
  <si>
    <t>Stanmore Bay East</t>
  </si>
  <si>
    <t>Siew Mei Ou Yang</t>
  </si>
  <si>
    <t>14 Rakino Avenue</t>
  </si>
  <si>
    <t>Auckland 0930</t>
  </si>
  <si>
    <t>The Children's Garden</t>
  </si>
  <si>
    <t>03-5530665</t>
  </si>
  <si>
    <t>390 Main Road</t>
  </si>
  <si>
    <t>Natasha Kibble</t>
  </si>
  <si>
    <t>31 Waterhouse Street</t>
  </si>
  <si>
    <t>Enner Glynn</t>
  </si>
  <si>
    <t>Mt Wellies Childcare</t>
  </si>
  <si>
    <t>09-5731293</t>
  </si>
  <si>
    <t>info@mtwellies.co.nz</t>
  </si>
  <si>
    <t>Mt Wellies Childcare Centre 31-35 Carbine Road</t>
  </si>
  <si>
    <t>Matthew Richardson</t>
  </si>
  <si>
    <t>31/35 Carbine Road</t>
  </si>
  <si>
    <t>Auckland 1060</t>
  </si>
  <si>
    <t>Rockmybaby Homebased Auckland S1</t>
  </si>
  <si>
    <t>Unit F 4 Donnelly Street</t>
  </si>
  <si>
    <t>Amy Williamson</t>
  </si>
  <si>
    <t>Bella Montessori Preschool Limited</t>
  </si>
  <si>
    <t>03-3276066</t>
  </si>
  <si>
    <t>14 Carew Street</t>
  </si>
  <si>
    <t>Kaiapoi Central</t>
  </si>
  <si>
    <t>Christine Kirkeby</t>
  </si>
  <si>
    <t>Kaiapoi 7630</t>
  </si>
  <si>
    <t>BestStart Waikite Valley Kindy</t>
  </si>
  <si>
    <t>07-562 4623</t>
  </si>
  <si>
    <t>1080 Waikite Valley Road, RD</t>
  </si>
  <si>
    <t>Waikite Valley</t>
  </si>
  <si>
    <t>Harper Park Early learning Centre</t>
  </si>
  <si>
    <t>027-3596045</t>
  </si>
  <si>
    <t>240 Park street</t>
  </si>
  <si>
    <t>Ann-Marie Wall</t>
  </si>
  <si>
    <t>240 Park Street</t>
  </si>
  <si>
    <t>Hokitika 7810</t>
  </si>
  <si>
    <t>03-7556523</t>
  </si>
  <si>
    <t>Little Beans Preschool Limited</t>
  </si>
  <si>
    <t>03-3891691</t>
  </si>
  <si>
    <t>info@littlebeans.co.nz</t>
  </si>
  <si>
    <t>12 Slater Street</t>
  </si>
  <si>
    <t>Anthony Agrella</t>
  </si>
  <si>
    <t>Christchurch 8013</t>
  </si>
  <si>
    <t>03-9260014</t>
  </si>
  <si>
    <t>PAUA ECE 5</t>
  </si>
  <si>
    <t>06-344-7282</t>
  </si>
  <si>
    <t>185 Victoria Avenue</t>
  </si>
  <si>
    <t>Lea Gardner</t>
  </si>
  <si>
    <t>P O Box 4083</t>
  </si>
  <si>
    <t>Whanganui 4541</t>
  </si>
  <si>
    <t>Te Whare Whitinga o te Rā</t>
  </si>
  <si>
    <t>07-4601349</t>
  </si>
  <si>
    <t>34 Sunrise Avenue</t>
  </si>
  <si>
    <t>Bobbette Harrington</t>
  </si>
  <si>
    <t>P O Box 7044</t>
  </si>
  <si>
    <t>Dreamers Nest Montessori Early Learning Centre</t>
  </si>
  <si>
    <t>09-3200502</t>
  </si>
  <si>
    <t>maya@dreamersnest.org</t>
  </si>
  <si>
    <t>99 Centreway Road</t>
  </si>
  <si>
    <t>Zhaoyue Tan</t>
  </si>
  <si>
    <t>9 Harvard Street</t>
  </si>
  <si>
    <t>Auckland 0616</t>
  </si>
  <si>
    <t>021-619303</t>
  </si>
  <si>
    <t>Willows Early Learning Centre</t>
  </si>
  <si>
    <t>03-4458100</t>
  </si>
  <si>
    <t>willowsece@gmail.com</t>
  </si>
  <si>
    <t>20 Pinot Noir Drive</t>
  </si>
  <si>
    <t>James Westgate</t>
  </si>
  <si>
    <t>8 Amber Close</t>
  </si>
  <si>
    <t>Cromwell 9310</t>
  </si>
  <si>
    <t>Maheno Kindergarten</t>
  </si>
  <si>
    <t>03-434 2422</t>
  </si>
  <si>
    <t>ht.maheno@oamarukindergarten.co.nz</t>
  </si>
  <si>
    <t>13 Gifford Street</t>
  </si>
  <si>
    <t>Maheno</t>
  </si>
  <si>
    <t>Corriedale Ward</t>
  </si>
  <si>
    <t>Waitaki Ara Kāhui Ako</t>
  </si>
  <si>
    <t>BestStart Brooklyn</t>
  </si>
  <si>
    <t>07-858 3038</t>
  </si>
  <si>
    <t>1 Gillies Avenue</t>
  </si>
  <si>
    <t>Launch active early learning</t>
  </si>
  <si>
    <t>06-2112999</t>
  </si>
  <si>
    <t>hastings@launchactive.co.nz</t>
  </si>
  <si>
    <t>1305 Pakowhai Road</t>
  </si>
  <si>
    <t>Sophie Tabernacle</t>
  </si>
  <si>
    <t>Co Kids</t>
  </si>
  <si>
    <t>09-2167706</t>
  </si>
  <si>
    <t>mikeb@CoKids.co.nz</t>
  </si>
  <si>
    <t>301 Lincoln Road, 1</t>
  </si>
  <si>
    <t xml:space="preserve">Mike  Brown </t>
  </si>
  <si>
    <t>P O Box 9108</t>
  </si>
  <si>
    <t>09-8389484</t>
  </si>
  <si>
    <t>Luna Montessori Preschool</t>
  </si>
  <si>
    <t>021- 2810089</t>
  </si>
  <si>
    <t>admin@lunamontessori.com</t>
  </si>
  <si>
    <t>10 Blenheim Street</t>
  </si>
  <si>
    <t>Faye Luna Gronberg</t>
  </si>
  <si>
    <t>ASPIRE Learning L3</t>
  </si>
  <si>
    <t>09-2724273</t>
  </si>
  <si>
    <t>BestStart Richmond Kindy</t>
  </si>
  <si>
    <t>07-5626277</t>
  </si>
  <si>
    <t>98 Richmond Avenue</t>
  </si>
  <si>
    <t>New Shoots Children's Centre - Sandhurst</t>
  </si>
  <si>
    <t>07-2811859</t>
  </si>
  <si>
    <t>sandhurst@newshoots.co.nz</t>
  </si>
  <si>
    <t>520 Gloucester Road</t>
  </si>
  <si>
    <t>Pacific Lakes</t>
  </si>
  <si>
    <t>Blossoms Educare Mangere</t>
  </si>
  <si>
    <t>09-255 5263</t>
  </si>
  <si>
    <t>448 Massey Road</t>
  </si>
  <si>
    <t>MyKindy Onehunga</t>
  </si>
  <si>
    <t>09-218 8129</t>
  </si>
  <si>
    <t>manageronehunga@mykindy.nz</t>
  </si>
  <si>
    <t>204 - 206 Captain Springs Road</t>
  </si>
  <si>
    <t>Caring Kids Childcare</t>
  </si>
  <si>
    <t>07-9290209</t>
  </si>
  <si>
    <t>9 Newton Street</t>
  </si>
  <si>
    <t>Opal Higgins</t>
  </si>
  <si>
    <t>5 Westgate Street</t>
  </si>
  <si>
    <t>021-1830852</t>
  </si>
  <si>
    <t>Glorious Kids Homebased Childcare</t>
  </si>
  <si>
    <t>09-8364572</t>
  </si>
  <si>
    <t>2 Harvest Drive</t>
  </si>
  <si>
    <t>Ranjila Chand</t>
  </si>
  <si>
    <t>Endeavours Kindergarten</t>
  </si>
  <si>
    <t>07-8533044</t>
  </si>
  <si>
    <t>2 Halyard Close</t>
  </si>
  <si>
    <t>Patsy Paul</t>
  </si>
  <si>
    <t>13 Ramsey Street</t>
  </si>
  <si>
    <t>021-642777</t>
  </si>
  <si>
    <t>Seedlings Education 4</t>
  </si>
  <si>
    <t>Essence of the Pacific Early Learning Centre</t>
  </si>
  <si>
    <t>07-3479895</t>
  </si>
  <si>
    <t>130 Sunset Road</t>
  </si>
  <si>
    <t>Jacqueline Pointon</t>
  </si>
  <si>
    <t>1334 Hinemoa Street</t>
  </si>
  <si>
    <t>A Place to Grow</t>
  </si>
  <si>
    <t>06-323 2047</t>
  </si>
  <si>
    <t>32 Church Street</t>
  </si>
  <si>
    <t>Shelley Toki</t>
  </si>
  <si>
    <t>100 West Street</t>
  </si>
  <si>
    <t>Feilding 4702</t>
  </si>
  <si>
    <t>06-3232047</t>
  </si>
  <si>
    <t>Wanaexcel Education Hub</t>
  </si>
  <si>
    <t>03-4284258</t>
  </si>
  <si>
    <t>admin@wanaexcel.co.nz</t>
  </si>
  <si>
    <t>11 Cliff Wilson St</t>
  </si>
  <si>
    <t>Wānaka North</t>
  </si>
  <si>
    <t>Sharyn Thomas</t>
  </si>
  <si>
    <t>11 Cliff Wilson Street</t>
  </si>
  <si>
    <t>03-428 4258</t>
  </si>
  <si>
    <t>Little Hearts Childcare</t>
  </si>
  <si>
    <t>09-2757202</t>
  </si>
  <si>
    <t>anuthippa@gmail.com</t>
  </si>
  <si>
    <t>3 Imrie Ave</t>
  </si>
  <si>
    <t>Māngere Mascot</t>
  </si>
  <si>
    <t>Anuradha Thippabathini</t>
  </si>
  <si>
    <t>60 Crossandra Drive</t>
  </si>
  <si>
    <t>Lifewise ECE Glen Eden</t>
  </si>
  <si>
    <t>09-3025390</t>
  </si>
  <si>
    <t>kateew@lifewise.org.nz</t>
  </si>
  <si>
    <t>302 West Coast Road</t>
  </si>
  <si>
    <t>Galaxy Childcare - Pasifika Bilingual</t>
  </si>
  <si>
    <t>admin@galaxychildcare.co.nz</t>
  </si>
  <si>
    <t>26 Hunua Road</t>
  </si>
  <si>
    <t>No-1 Home Based Childcare &amp; Education Service 5</t>
  </si>
  <si>
    <t>Unit C 38 William Pickering Drive</t>
  </si>
  <si>
    <t>Starship Play Service: Greenlane Surgical Unit</t>
  </si>
  <si>
    <t>Greenlane Clinical Centre Reception K, Building 4, Level 2, 214 Greenlane West</t>
  </si>
  <si>
    <t>Busy Bees Westgate</t>
  </si>
  <si>
    <t>09-833 4440</t>
  </si>
  <si>
    <t>info@westgate.busybees.org.nz</t>
  </si>
  <si>
    <t>575 Don Buck Road</t>
  </si>
  <si>
    <t>Deborah Howard</t>
  </si>
  <si>
    <t>Busy Bees Apollo</t>
  </si>
  <si>
    <t>09-4866111</t>
  </si>
  <si>
    <t>info@apollo.busybees.org.nz</t>
  </si>
  <si>
    <t>56 Apollo Drive</t>
  </si>
  <si>
    <t>Shuling Chen</t>
  </si>
  <si>
    <t>09-486 6111</t>
  </si>
  <si>
    <t>The Rumpus Room Waterview</t>
  </si>
  <si>
    <t>09-8209204</t>
  </si>
  <si>
    <t>5 Alford Street</t>
  </si>
  <si>
    <t>Ficino Montessori Preschool</t>
  </si>
  <si>
    <t>09-8692098</t>
  </si>
  <si>
    <t>preschoolmgr@ficino.school.nz</t>
  </si>
  <si>
    <t>29 Esplanade Road</t>
  </si>
  <si>
    <t>Mt Eden</t>
  </si>
  <si>
    <t>Peter Crompton</t>
  </si>
  <si>
    <t>Finico Preschool, 29 Esplanade Road</t>
  </si>
  <si>
    <t>09-6233385</t>
  </si>
  <si>
    <t>Early Years - Rotokauri LTD</t>
  </si>
  <si>
    <t>021-735578</t>
  </si>
  <si>
    <t>29 Gilchrist Street</t>
  </si>
  <si>
    <t>Kylie Whibley</t>
  </si>
  <si>
    <t>Aurora Homebased Childcare Services</t>
  </si>
  <si>
    <t>09-2723253</t>
  </si>
  <si>
    <t>hulitatangitau@gmail.com</t>
  </si>
  <si>
    <t>3 Treviso Place</t>
  </si>
  <si>
    <t>Hulita Tangitau</t>
  </si>
  <si>
    <t>Kiddz Homebased Childcare</t>
  </si>
  <si>
    <t>03-3887287</t>
  </si>
  <si>
    <t>Busy Bees Dargaville</t>
  </si>
  <si>
    <t>09-439 0220</t>
  </si>
  <si>
    <t>90 Logan Street</t>
  </si>
  <si>
    <t>Aurora Tamariki Early Years Care and Kindergarten</t>
  </si>
  <si>
    <t>027-8288348</t>
  </si>
  <si>
    <t>351 Pine Hill Road</t>
  </si>
  <si>
    <t>Pine Hill</t>
  </si>
  <si>
    <t>Pine Hill-Dalmore</t>
  </si>
  <si>
    <t>Adrienne Easton</t>
  </si>
  <si>
    <t>Liberton</t>
  </si>
  <si>
    <t xml:space="preserve">Dunedin </t>
  </si>
  <si>
    <t>Little Vines Learning Centre</t>
  </si>
  <si>
    <t>09-2700378</t>
  </si>
  <si>
    <t>55 Vine Street</t>
  </si>
  <si>
    <t>Chao-Lin Chi</t>
  </si>
  <si>
    <t>55 Vines Street</t>
  </si>
  <si>
    <t>The Wishing Tree Early Learning Centre</t>
  </si>
  <si>
    <t>info@wishingtree.ac.nz</t>
  </si>
  <si>
    <t>21 Boundary Road</t>
  </si>
  <si>
    <t>Naveen Behal</t>
  </si>
  <si>
    <t>07-8849248</t>
  </si>
  <si>
    <t>teacher@hotmail.co.nz</t>
  </si>
  <si>
    <t>8 Ngutumanga Road</t>
  </si>
  <si>
    <t>Teresa Saunders</t>
  </si>
  <si>
    <t>Te Aroha 3393</t>
  </si>
  <si>
    <t>Kiwi Kids Childcare Limited</t>
  </si>
  <si>
    <t>09- 275 7271</t>
  </si>
  <si>
    <t>10 Robertson Road</t>
  </si>
  <si>
    <t>Mangere Central</t>
  </si>
  <si>
    <t>Mohammed Azaad</t>
  </si>
  <si>
    <t>42 Kautami Avenue</t>
  </si>
  <si>
    <t>Tadpoles Early Childhood Centre</t>
  </si>
  <si>
    <t>09-6361173</t>
  </si>
  <si>
    <t>admin@tadpoles.co.nz</t>
  </si>
  <si>
    <t>73 Mountain Road</t>
  </si>
  <si>
    <t>Lucinda Taylor</t>
  </si>
  <si>
    <t>12A Mona Avenue</t>
  </si>
  <si>
    <t>09-323878</t>
  </si>
  <si>
    <t>Te Kōhanga Reo o Te Awhina</t>
  </si>
  <si>
    <t>03-528 7517</t>
  </si>
  <si>
    <t>115 Pah Street</t>
  </si>
  <si>
    <t>Neemo Childcare Centre</t>
  </si>
  <si>
    <t>09-480 9655</t>
  </si>
  <si>
    <t>info@neemochildcare.co.nz</t>
  </si>
  <si>
    <t>51 Eban Avenue</t>
  </si>
  <si>
    <t>Nipul Girish</t>
  </si>
  <si>
    <t>Magic Sparks Cuba</t>
  </si>
  <si>
    <t>06-357 0744</t>
  </si>
  <si>
    <t>198 Cuba Street</t>
  </si>
  <si>
    <t>Marites Strange</t>
  </si>
  <si>
    <t>027-3464143</t>
  </si>
  <si>
    <t>The Children's House Greymouth</t>
  </si>
  <si>
    <t>03-7686221</t>
  </si>
  <si>
    <t>37 Alexander street</t>
  </si>
  <si>
    <t>Anthea Ferris</t>
  </si>
  <si>
    <t>88 Clifton Road</t>
  </si>
  <si>
    <t>03-7556221</t>
  </si>
  <si>
    <t>Te whare Manaaki</t>
  </si>
  <si>
    <t>craig.vercoe@ntk.org.nz</t>
  </si>
  <si>
    <t>Nelson hospital Tipahi street,</t>
  </si>
  <si>
    <t>Nelson South</t>
  </si>
  <si>
    <t>Victory</t>
  </si>
  <si>
    <t>Elm Tree Early Learning Centre</t>
  </si>
  <si>
    <t>07-5779053</t>
  </si>
  <si>
    <t>nicola@elmtree.co.nz</t>
  </si>
  <si>
    <t>16 Mission Street</t>
  </si>
  <si>
    <t>Nicola Brown</t>
  </si>
  <si>
    <t>P O Box 14238</t>
  </si>
  <si>
    <t>4woods Early Learning Centre</t>
  </si>
  <si>
    <t>07-5735788</t>
  </si>
  <si>
    <t>4woods@kinect.co.nz</t>
  </si>
  <si>
    <t>100 Cameron Road</t>
  </si>
  <si>
    <t>Te Puke South</t>
  </si>
  <si>
    <t>Nicole Ellwood</t>
  </si>
  <si>
    <t xml:space="preserve">Te Puke </t>
  </si>
  <si>
    <t>Te Pākārito</t>
  </si>
  <si>
    <t>07-2626006</t>
  </si>
  <si>
    <t>tepakaritoltd@gmail.com</t>
  </si>
  <si>
    <t>28 Railway Road</t>
  </si>
  <si>
    <t>Tiffy Te Moni</t>
  </si>
  <si>
    <t>07-3489764</t>
  </si>
  <si>
    <t>Thrive Early Learning Centre</t>
  </si>
  <si>
    <t>03-5778866</t>
  </si>
  <si>
    <t>gemma@thriveelc.com</t>
  </si>
  <si>
    <t>203 Howick Road</t>
  </si>
  <si>
    <t>Gemma Webster</t>
  </si>
  <si>
    <t>3 Safe Street</t>
  </si>
  <si>
    <t>027-376 0605</t>
  </si>
  <si>
    <t>Little Wonders Pegasus</t>
  </si>
  <si>
    <t>03-6629060</t>
  </si>
  <si>
    <t>cm.pegasus@littlewonders.nz</t>
  </si>
  <si>
    <t>154 Infinity Drive</t>
  </si>
  <si>
    <t>Pegasus</t>
  </si>
  <si>
    <t>Leigh Power</t>
  </si>
  <si>
    <t>Te Kōhanga Reo O Tika Tonu</t>
  </si>
  <si>
    <t>06-870 1619</t>
  </si>
  <si>
    <t>whanau@k08b117.kohanga.ac.nz</t>
  </si>
  <si>
    <t>Matahiwi Marae -Haumoana 345 Lawn Road</t>
  </si>
  <si>
    <t>BestStart East Tamaki Road</t>
  </si>
  <si>
    <t>09-972 4662</t>
  </si>
  <si>
    <t>botanyjunction@best-start.org</t>
  </si>
  <si>
    <t>38 East Tamaki Road</t>
  </si>
  <si>
    <t>Kaleidoscope Childcare Centre</t>
  </si>
  <si>
    <t>07-5786337</t>
  </si>
  <si>
    <t>106 Eleventh Avenue</t>
  </si>
  <si>
    <t>Marama Vryer</t>
  </si>
  <si>
    <t>07-975 0034</t>
  </si>
  <si>
    <t>New Shoots Children's Centre - Pakuranga</t>
  </si>
  <si>
    <t>09-2818218</t>
  </si>
  <si>
    <t>pakuranga@newshoots.co.nz</t>
  </si>
  <si>
    <t>149 Cascades Road</t>
  </si>
  <si>
    <t>Kelly Lambert</t>
  </si>
  <si>
    <t>09-3203479</t>
  </si>
  <si>
    <t>Seedlings Early Learning Centre Knights Stream Park</t>
  </si>
  <si>
    <t>03-2601435</t>
  </si>
  <si>
    <t>8 Killarney Avenue</t>
  </si>
  <si>
    <t>Nature's Wonder</t>
  </si>
  <si>
    <t>06-764 7006</t>
  </si>
  <si>
    <t>27 Stanners Street</t>
  </si>
  <si>
    <t>Mellanie Ogle</t>
  </si>
  <si>
    <t>289 High Street</t>
  </si>
  <si>
    <t>Eltham 4322</t>
  </si>
  <si>
    <t>06-764 8917</t>
  </si>
  <si>
    <t>House of Wonder Chartwell by Busy Bees</t>
  </si>
  <si>
    <t>07-2820986</t>
  </si>
  <si>
    <t>info@howchartwell.busybees.org.nz</t>
  </si>
  <si>
    <t>33-41 Rutherford Street</t>
  </si>
  <si>
    <t>Danielle Edwards</t>
  </si>
  <si>
    <t>06-2820986</t>
  </si>
  <si>
    <t>Little Waves Early Learning Centre</t>
  </si>
  <si>
    <t>04-299 6133</t>
  </si>
  <si>
    <t>sam@aboutkids.co.nz</t>
  </si>
  <si>
    <t>304 Kāpiti Road</t>
  </si>
  <si>
    <t>Paraparaumu Beach East</t>
  </si>
  <si>
    <t>Samantha Sando</t>
  </si>
  <si>
    <t>47 Old Haurere Road</t>
  </si>
  <si>
    <t>Ōtaki 5582</t>
  </si>
  <si>
    <t>04-2986163</t>
  </si>
  <si>
    <t>Happy Kids At Home Childcare</t>
  </si>
  <si>
    <t>happykidsathome01@gmail.com</t>
  </si>
  <si>
    <t>4 Kenmure Ave</t>
  </si>
  <si>
    <t>Xueling Qi</t>
  </si>
  <si>
    <t>Magicland Childcare</t>
  </si>
  <si>
    <t>09-6002003</t>
  </si>
  <si>
    <t>magiclandchildcare.albany@gmail.com</t>
  </si>
  <si>
    <t>287 Oteha Valley Road</t>
  </si>
  <si>
    <t>Ningning Li</t>
  </si>
  <si>
    <t>287 Oteha Valley Rd</t>
  </si>
  <si>
    <t>77 Mahunga Drive</t>
  </si>
  <si>
    <t>Favona</t>
  </si>
  <si>
    <t>Busy Bees Terrace End</t>
  </si>
  <si>
    <t>06-354 2624</t>
  </si>
  <si>
    <t>104 - 110 Napier Road</t>
  </si>
  <si>
    <t>Amanda Twigge</t>
  </si>
  <si>
    <t>Just Four Kids Southland - Otago</t>
  </si>
  <si>
    <t>Playtopia Educare</t>
  </si>
  <si>
    <t>07-3501341</t>
  </si>
  <si>
    <t>2 Ti Street</t>
  </si>
  <si>
    <t>Stems from Home 3</t>
  </si>
  <si>
    <t>Step Ahead</t>
  </si>
  <si>
    <t>09-435 2825</t>
  </si>
  <si>
    <t>13 Grant Street</t>
  </si>
  <si>
    <t>Vicky Brandso</t>
  </si>
  <si>
    <t>23 Moody Avenue</t>
  </si>
  <si>
    <t>Curious Cubs City Early Learning Centre</t>
  </si>
  <si>
    <t>07-8394130</t>
  </si>
  <si>
    <t>Jenni@curiouscubs.co.nz</t>
  </si>
  <si>
    <t>150 Tristram Street</t>
  </si>
  <si>
    <t>Jennifer Potter</t>
  </si>
  <si>
    <t>021-599875</t>
  </si>
  <si>
    <t>Gore Preschool</t>
  </si>
  <si>
    <t>03-208 4242</t>
  </si>
  <si>
    <t>15 Pomona Street</t>
  </si>
  <si>
    <t>Jacqueline Burns</t>
  </si>
  <si>
    <t>36D Kewa Road</t>
  </si>
  <si>
    <t>027-4447497</t>
  </si>
  <si>
    <t>Champion Kids Early Childhood Education</t>
  </si>
  <si>
    <t>03-5444378</t>
  </si>
  <si>
    <t>office@championkids.nz</t>
  </si>
  <si>
    <t>60 Champion Road</t>
  </si>
  <si>
    <t xml:space="preserve">Hana  Taylor </t>
  </si>
  <si>
    <t>Atamai Education &amp; Care</t>
  </si>
  <si>
    <t>09-2748818</t>
  </si>
  <si>
    <t>losa.pouli@atamaieducare.co.nz</t>
  </si>
  <si>
    <t>18H Polaris Place</t>
  </si>
  <si>
    <t>Losa Pouli</t>
  </si>
  <si>
    <t>P O Box 58605</t>
  </si>
  <si>
    <t>Vintage Kids One Tree Hill</t>
  </si>
  <si>
    <t>09-6222608</t>
  </si>
  <si>
    <t>sheree@vintagekids.nz</t>
  </si>
  <si>
    <t>70 Mariri Road</t>
  </si>
  <si>
    <t>BestStart Cranford Street</t>
  </si>
  <si>
    <t>03-926 3597</t>
  </si>
  <si>
    <t>137-139 Cranford Street</t>
  </si>
  <si>
    <t>Nga Taonga Aroha Early Childhood Centre</t>
  </si>
  <si>
    <t>09-2830480</t>
  </si>
  <si>
    <t>ngataongaaroha@taonga.org.nz</t>
  </si>
  <si>
    <t>183 Bairds Road</t>
  </si>
  <si>
    <t>Grow ECE</t>
  </si>
  <si>
    <t>07-9297718</t>
  </si>
  <si>
    <t>58 Ashley Place</t>
  </si>
  <si>
    <t>Wairakei West</t>
  </si>
  <si>
    <t>Nicola Thompson</t>
  </si>
  <si>
    <t>Educare Adventure</t>
  </si>
  <si>
    <t>04-2347931</t>
  </si>
  <si>
    <t>adventure@educare.co.nz</t>
  </si>
  <si>
    <t>34 Resolution Drive</t>
  </si>
  <si>
    <t>Endeavour West</t>
  </si>
  <si>
    <t>Aroha Te Rangi</t>
  </si>
  <si>
    <t>The Toy Maker's Cottage Preschool</t>
  </si>
  <si>
    <t>09-3784542</t>
  </si>
  <si>
    <t>caron@thetoymakerscottage.school.nz</t>
  </si>
  <si>
    <t>1 Partridge Street</t>
  </si>
  <si>
    <t>Caron Michael</t>
  </si>
  <si>
    <t>Pohutukawa Kindergarten Glendowie</t>
  </si>
  <si>
    <t>09-5287160</t>
  </si>
  <si>
    <t>151 West Tamaki Road</t>
  </si>
  <si>
    <t>Hillpark Preschool (2021) Limited</t>
  </si>
  <si>
    <t>09-2392577</t>
  </si>
  <si>
    <t>hillparkpreschool@gmail.com</t>
  </si>
  <si>
    <t>192 Helenslee Road</t>
  </si>
  <si>
    <t>Angelique Dervin</t>
  </si>
  <si>
    <t>13 Horomia Road</t>
  </si>
  <si>
    <t>09-2969339</t>
  </si>
  <si>
    <t>Star Kids Childcare</t>
  </si>
  <si>
    <t>17 Clayton Road</t>
  </si>
  <si>
    <t>79 Lynbrooke Ave</t>
  </si>
  <si>
    <t>Grow Early Education Ltd</t>
  </si>
  <si>
    <t>07-8274442</t>
  </si>
  <si>
    <t>manager@growcambridge.org</t>
  </si>
  <si>
    <t>Grow Early Education Kaniera Terrace</t>
  </si>
  <si>
    <t>Jayne Dahlberg</t>
  </si>
  <si>
    <t>Grow Early education Kaniera Terrace</t>
  </si>
  <si>
    <t>027-3838977</t>
  </si>
  <si>
    <t>Annabel's Educare - Arlington</t>
  </si>
  <si>
    <t>03-3136346</t>
  </si>
  <si>
    <t>ar@annabelseducare.co.nz</t>
  </si>
  <si>
    <t>26 Sandown Boulevard</t>
  </si>
  <si>
    <t>Rangiora North West</t>
  </si>
  <si>
    <t>Precious Years Learning Centre</t>
  </si>
  <si>
    <t>09-4191826</t>
  </si>
  <si>
    <t>info@preciousyears.co.nz</t>
  </si>
  <si>
    <t>213 Eskdale Road</t>
  </si>
  <si>
    <t>Raewyn Solomon</t>
  </si>
  <si>
    <t>2/171 Deep Creek Road</t>
  </si>
  <si>
    <t>Rainbow Kids Childcare</t>
  </si>
  <si>
    <t>07-9499204</t>
  </si>
  <si>
    <t>accounts@rainbowkids.co.nz</t>
  </si>
  <si>
    <t>191 Angelsea Street</t>
  </si>
  <si>
    <t>Nicole Turner</t>
  </si>
  <si>
    <t>P O Box 1056</t>
  </si>
  <si>
    <t>027-8280247</t>
  </si>
  <si>
    <t>Northcote Early Learning Centre</t>
  </si>
  <si>
    <t>09-8692400</t>
  </si>
  <si>
    <t>admin@northcote-elc.co.nz</t>
  </si>
  <si>
    <t>50 Lake Road</t>
  </si>
  <si>
    <t>Early Connections Childcare Centre</t>
  </si>
  <si>
    <t>09-5366099</t>
  </si>
  <si>
    <t>admin@earlyconnections.co.nz</t>
  </si>
  <si>
    <t>66 Seventh View Ave</t>
  </si>
  <si>
    <t>Loren Baldwin</t>
  </si>
  <si>
    <t>3 Te Makuru Lane</t>
  </si>
  <si>
    <t>Auckland 2018</t>
  </si>
  <si>
    <t>Village Kids Limited</t>
  </si>
  <si>
    <t>021-1309980</t>
  </si>
  <si>
    <t>team@villagekidsnz.co.nz</t>
  </si>
  <si>
    <t>198 Redvale Road</t>
  </si>
  <si>
    <t>Sarah Richards</t>
  </si>
  <si>
    <t>RD1 198 Redvale Road</t>
  </si>
  <si>
    <t>Richmond 7081</t>
  </si>
  <si>
    <t>Tendershoots Kindergarten Waitoa</t>
  </si>
  <si>
    <t>07-8871695</t>
  </si>
  <si>
    <t>3932 State Highway 26</t>
  </si>
  <si>
    <t>07-8848867</t>
  </si>
  <si>
    <t>All About Children - 51 Mahia</t>
  </si>
  <si>
    <t>51mahiaroad@allaboutchildren.co.nz</t>
  </si>
  <si>
    <t>51 Mahia Road</t>
  </si>
  <si>
    <t>The Owls Nest Preschool Limited</t>
  </si>
  <si>
    <t>03-3234144</t>
  </si>
  <si>
    <t>69 Englefield Road</t>
  </si>
  <si>
    <t>Reggio Emilia</t>
  </si>
  <si>
    <t>Graham Henderson</t>
  </si>
  <si>
    <t>Murchison Kindergarten</t>
  </si>
  <si>
    <t>03-5239398</t>
  </si>
  <si>
    <t>murchisonkindergarten@ntk.org.nz</t>
  </si>
  <si>
    <t>23 Hampton street</t>
  </si>
  <si>
    <t>Murchison</t>
  </si>
  <si>
    <t>Murchison-Nelson Lakes</t>
  </si>
  <si>
    <t>Lakes-Murchison Ward</t>
  </si>
  <si>
    <t>TOSI Area Schools Community of Learning</t>
  </si>
  <si>
    <t>Henderson Early Learning Centre</t>
  </si>
  <si>
    <t>09-88382288</t>
  </si>
  <si>
    <t>growwithmeeducation@gmail.com</t>
  </si>
  <si>
    <t>26 Longburn Road</t>
  </si>
  <si>
    <t>Yuening Wei</t>
  </si>
  <si>
    <t>401B Rosedale Road</t>
  </si>
  <si>
    <t>09-836 0896</t>
  </si>
  <si>
    <t>Scribbles Early Education Centre - Mt Roskill</t>
  </si>
  <si>
    <t>marina@scribbles.kiwi.nz</t>
  </si>
  <si>
    <t>941 Dominion Road</t>
  </si>
  <si>
    <t>Marina Grgicevich</t>
  </si>
  <si>
    <t>Wakari Hospital Early Childhood Centre</t>
  </si>
  <si>
    <t>03-4709198</t>
  </si>
  <si>
    <t>Wakari Hospital 371 Taieri Road</t>
  </si>
  <si>
    <t>Sally Ensor</t>
  </si>
  <si>
    <t>201 Great King Street</t>
  </si>
  <si>
    <t>03-470 9198</t>
  </si>
  <si>
    <t>Little House Montessori</t>
  </si>
  <si>
    <t>03-2600420</t>
  </si>
  <si>
    <t>info@littlehousemontessori.co.nz</t>
  </si>
  <si>
    <t>4 Little Gem Road</t>
  </si>
  <si>
    <t>Maria Guia</t>
  </si>
  <si>
    <t>Busy Bees Motueka</t>
  </si>
  <si>
    <t>03-5285299</t>
  </si>
  <si>
    <t>info@motueka.busybees.org.nz</t>
  </si>
  <si>
    <t>473 High street</t>
  </si>
  <si>
    <t>Holly Murray</t>
  </si>
  <si>
    <t>Fetu Aolele Multicultural ECE Service</t>
  </si>
  <si>
    <t>Canterbury Educare Prestons Preschool</t>
  </si>
  <si>
    <t>03-3838275</t>
  </si>
  <si>
    <t>admin@prestonspreschool.co.nz</t>
  </si>
  <si>
    <t>8 Te Rito Street</t>
  </si>
  <si>
    <t>Kristal Morgan</t>
  </si>
  <si>
    <t>6 Te Rito Street</t>
  </si>
  <si>
    <t>Blossoms Educare Rolleston Limited</t>
  </si>
  <si>
    <t>03-347 0562</t>
  </si>
  <si>
    <t>shona@blossomseducare.co.nz</t>
  </si>
  <si>
    <t>325 Dunns Crossing Road RD8</t>
  </si>
  <si>
    <t>Springston</t>
  </si>
  <si>
    <t>Shona Petersen</t>
  </si>
  <si>
    <t>P O Box 202199</t>
  </si>
  <si>
    <t>Southgate</t>
  </si>
  <si>
    <t>Takanini 2246</t>
  </si>
  <si>
    <t>021-246 8003</t>
  </si>
  <si>
    <t>Little Mascots Early Learning Centre</t>
  </si>
  <si>
    <t>09-2569695</t>
  </si>
  <si>
    <t>mangere@littlemascots.co.nz</t>
  </si>
  <si>
    <t>623 Massey Road</t>
  </si>
  <si>
    <t>Navzad  Cooverji</t>
  </si>
  <si>
    <t>29K Paparoa Road</t>
  </si>
  <si>
    <t>South Auckland 2014</t>
  </si>
  <si>
    <t>janine.bayley@educationangels.co.nz</t>
  </si>
  <si>
    <t>11 Buchanan Street</t>
  </si>
  <si>
    <t>Janine  Bayley</t>
  </si>
  <si>
    <t>027-8706413</t>
  </si>
  <si>
    <t>Tamariki Footsteps Christian Community Preschool</t>
  </si>
  <si>
    <t>09-2650316</t>
  </si>
  <si>
    <t>tamarikifootsteps@gmail.com</t>
  </si>
  <si>
    <t>86 Bairds Road</t>
  </si>
  <si>
    <t>Emma Tavai Brown</t>
  </si>
  <si>
    <t>45 Aronia Way</t>
  </si>
  <si>
    <t>Goodwood Heights</t>
  </si>
  <si>
    <t>Manukau 2105</t>
  </si>
  <si>
    <t>09-2637282</t>
  </si>
  <si>
    <t>Barnardos Hornby Pasifika Early Learning Centre</t>
  </si>
  <si>
    <t>PasifikaELC@Barnardos.org.nz</t>
  </si>
  <si>
    <t>190 A Waterloo Road</t>
  </si>
  <si>
    <t>Se'e Brewster</t>
  </si>
  <si>
    <t>03-344 0271</t>
  </si>
  <si>
    <t>Everest Learning Ltd</t>
  </si>
  <si>
    <t>021-2794803</t>
  </si>
  <si>
    <t>admin@everest.org.nz</t>
  </si>
  <si>
    <t>24 King Street</t>
  </si>
  <si>
    <t>Denise McCorry</t>
  </si>
  <si>
    <t>09-2981665</t>
  </si>
  <si>
    <t>2/199 Papamoa Beach Road</t>
  </si>
  <si>
    <t>Fiona Gordon</t>
  </si>
  <si>
    <t>027-2277744</t>
  </si>
  <si>
    <t>Kuddles In-Home Childcare &amp; Education - 5</t>
  </si>
  <si>
    <t>09-62556621</t>
  </si>
  <si>
    <t>Montessori Invercargill</t>
  </si>
  <si>
    <t>03-2166077</t>
  </si>
  <si>
    <t>375 Tweed Street</t>
  </si>
  <si>
    <t>Georgetown</t>
  </si>
  <si>
    <t>Rosemary Cardoso</t>
  </si>
  <si>
    <t>Invercargill 9812</t>
  </si>
  <si>
    <t>Trillium Montessori School Ltd.</t>
  </si>
  <si>
    <t>03-3446355</t>
  </si>
  <si>
    <t>info@trilliummontessori.co.nz</t>
  </si>
  <si>
    <t>132 Springs Road</t>
  </si>
  <si>
    <t>Maria Mendis</t>
  </si>
  <si>
    <t>132 Spring Road</t>
  </si>
  <si>
    <t>03-3428010</t>
  </si>
  <si>
    <t>Educare Orewa</t>
  </si>
  <si>
    <t>09-426 8909</t>
  </si>
  <si>
    <t>orewa@educare.co.nz</t>
  </si>
  <si>
    <t>46 Centreway Road</t>
  </si>
  <si>
    <t>Samantha Ranwell</t>
  </si>
  <si>
    <t>Building Blocks 2</t>
  </si>
  <si>
    <t>06-353 5222</t>
  </si>
  <si>
    <t>Kid Country St Johns</t>
  </si>
  <si>
    <t>09-2803153</t>
  </si>
  <si>
    <t>joe@kidcountrystjohns.co.nz</t>
  </si>
  <si>
    <t>40 Morrin Road</t>
  </si>
  <si>
    <t>Chiu Chun Lam</t>
  </si>
  <si>
    <t>P O Box 128520</t>
  </si>
  <si>
    <t>Te Puna O Te Aroha Puna Reo</t>
  </si>
  <si>
    <t>09-2326941</t>
  </si>
  <si>
    <t>25 Heather Green Ave</t>
  </si>
  <si>
    <t>Meremere</t>
  </si>
  <si>
    <t>Lauren Wismans</t>
  </si>
  <si>
    <t>Strawberry Garden Childcare</t>
  </si>
  <si>
    <t>06-8366614</t>
  </si>
  <si>
    <t>strawberrygardenchildcare@gmail.com</t>
  </si>
  <si>
    <t>1 Onehunga Road</t>
  </si>
  <si>
    <t>Bayview</t>
  </si>
  <si>
    <t>Vanessa Munford</t>
  </si>
  <si>
    <t>Owlets Forest Early Learning Centre</t>
  </si>
  <si>
    <t>07-8838665</t>
  </si>
  <si>
    <t>info@owlets.co.nz</t>
  </si>
  <si>
    <t>17 Neal Street</t>
  </si>
  <si>
    <t>Rachelle Colebrook</t>
  </si>
  <si>
    <t>Putaruru 3411</t>
  </si>
  <si>
    <t>Little Acorns Childcare Ltd</t>
  </si>
  <si>
    <t>06-3554444</t>
  </si>
  <si>
    <t>46A Bennett Street</t>
  </si>
  <si>
    <t>John Maher</t>
  </si>
  <si>
    <t>46a Bennett Street</t>
  </si>
  <si>
    <t>06-354 7023</t>
  </si>
  <si>
    <t>Pasifika Learning Centre</t>
  </si>
  <si>
    <t>06-3447471</t>
  </si>
  <si>
    <t>27 Totara Street</t>
  </si>
  <si>
    <t>Hellen Puhipuhi</t>
  </si>
  <si>
    <t>P O Box 5103</t>
  </si>
  <si>
    <t>06-3442705</t>
  </si>
  <si>
    <t>Apples Childcare and Learning Centre Onehunga</t>
  </si>
  <si>
    <t>info@appleschildcare.co.nz</t>
  </si>
  <si>
    <t>20 Cameron Street</t>
  </si>
  <si>
    <t>Central Hastings Early Learning Centre</t>
  </si>
  <si>
    <t>06-8789886</t>
  </si>
  <si>
    <t>office@chelc.co.nz</t>
  </si>
  <si>
    <t>511 Hastings Street  South</t>
  </si>
  <si>
    <t>Sarah Gray</t>
  </si>
  <si>
    <t>P O Box 410</t>
  </si>
  <si>
    <t xml:space="preserve">Hastings </t>
  </si>
  <si>
    <t>Poimaino 5 Homebased Childcare</t>
  </si>
  <si>
    <t>44 Chelburn Crescent</t>
  </si>
  <si>
    <t>Poimaino 6 Homebased Childcare</t>
  </si>
  <si>
    <t>KC Birkenhead Trust</t>
  </si>
  <si>
    <t>09-4800088</t>
  </si>
  <si>
    <t>office@kidsco.co.nz</t>
  </si>
  <si>
    <t>21 Parkhill Road</t>
  </si>
  <si>
    <t>Tracy Morton</t>
  </si>
  <si>
    <t>2 Fitzpatrick Place, Chatswood</t>
  </si>
  <si>
    <t>Town and Country Kids</t>
  </si>
  <si>
    <t>09-238 6640</t>
  </si>
  <si>
    <t>pukekohe@kidscount.co.nz</t>
  </si>
  <si>
    <t>25 Puriri Road</t>
  </si>
  <si>
    <t>The Blue Cottage</t>
  </si>
  <si>
    <t>07-3944262</t>
  </si>
  <si>
    <t>info@thebluecottage.co.nz</t>
  </si>
  <si>
    <t>2 Te Rito Way</t>
  </si>
  <si>
    <t>Joanna Cantlon</t>
  </si>
  <si>
    <t>101 Blake Boulevard</t>
  </si>
  <si>
    <t>No-1 Home Based Childcare &amp; Education Service 6</t>
  </si>
  <si>
    <t>6  Tarndale Grove</t>
  </si>
  <si>
    <t>Active Explorers - Kaiapoi</t>
  </si>
  <si>
    <t>03-6629067</t>
  </si>
  <si>
    <t>leonie.mcbride@eeg.co.nz</t>
  </si>
  <si>
    <t>306 Beach Road</t>
  </si>
  <si>
    <t>Leonie McBride</t>
  </si>
  <si>
    <t>027-5324740</t>
  </si>
  <si>
    <t>Gems Kōwhai</t>
  </si>
  <si>
    <t>03-4282116</t>
  </si>
  <si>
    <t>accounts@gems.net.nz</t>
  </si>
  <si>
    <t>55 Stalker Road</t>
  </si>
  <si>
    <t>Shotover Country</t>
  </si>
  <si>
    <t>Kim Begg</t>
  </si>
  <si>
    <t>027-3686242</t>
  </si>
  <si>
    <t>Blossoms Educare Glen Innes</t>
  </si>
  <si>
    <t>09-2838530</t>
  </si>
  <si>
    <t>171 Pilkington Road</t>
  </si>
  <si>
    <t>Blossoms Home Based Childcare</t>
  </si>
  <si>
    <t>027-4247540</t>
  </si>
  <si>
    <t>28a Mc Artney Street</t>
  </si>
  <si>
    <t xml:space="preserve">Janine  Collett </t>
  </si>
  <si>
    <t xml:space="preserve">4139 State Highway 63 RD 1 </t>
  </si>
  <si>
    <t xml:space="preserve">Blenheim 7271 </t>
  </si>
  <si>
    <t>Treasure Tree Home-Based Childcare</t>
  </si>
  <si>
    <t>09-4422086</t>
  </si>
  <si>
    <t>treasuretreeinhome@gmail.com</t>
  </si>
  <si>
    <t>50 Anzac Road</t>
  </si>
  <si>
    <t>Lili Wang</t>
  </si>
  <si>
    <t>P O Box 40830</t>
  </si>
  <si>
    <t>09-2751699</t>
  </si>
  <si>
    <t>134 McKenzie Road</t>
  </si>
  <si>
    <t>19B Aldersgarte Road</t>
  </si>
  <si>
    <t>Educare Tamahere</t>
  </si>
  <si>
    <t>0800-736 824</t>
  </si>
  <si>
    <t>tamahere@educare.co.nz</t>
  </si>
  <si>
    <t>25 Tamahere Drive</t>
  </si>
  <si>
    <t>Tamahere South</t>
  </si>
  <si>
    <t>Stefanie Wallis</t>
  </si>
  <si>
    <t>021-1092225</t>
  </si>
  <si>
    <t>Beach Kids Waihi</t>
  </si>
  <si>
    <t>07-8639022</t>
  </si>
  <si>
    <t>waihi@beachkids.co.nz</t>
  </si>
  <si>
    <t>4 Elliott Street</t>
  </si>
  <si>
    <t>Graham Coulter</t>
  </si>
  <si>
    <t>76 Dillon Street</t>
  </si>
  <si>
    <t>07-8635700</t>
  </si>
  <si>
    <t>Te Puna Reo o Te Kōhao</t>
  </si>
  <si>
    <t>62 Tennyson Road</t>
  </si>
  <si>
    <t>Nurtured at Home Waikato 3</t>
  </si>
  <si>
    <t>Our Kids Early Learning Centre - Onehunga</t>
  </si>
  <si>
    <t>09-636 1395</t>
  </si>
  <si>
    <t>onehunga@ourkidsearlylearning.co.nz</t>
  </si>
  <si>
    <t>208a Church Street</t>
  </si>
  <si>
    <t>Leaps &amp; Bounds</t>
  </si>
  <si>
    <t>09-2350201</t>
  </si>
  <si>
    <t>info@leapsandbounds.nz</t>
  </si>
  <si>
    <t>40 King Street</t>
  </si>
  <si>
    <t>Tamara Tarr</t>
  </si>
  <si>
    <t>76 Vandeleur Avenue</t>
  </si>
  <si>
    <t>Auckland 0623</t>
  </si>
  <si>
    <t>Bright Beginnings Early Learning Centre - Mt Roskill</t>
  </si>
  <si>
    <t>09- 627 7287</t>
  </si>
  <si>
    <t>143 White Swan Road</t>
  </si>
  <si>
    <t>19 Santa Ana Drive</t>
  </si>
  <si>
    <t>Avalon Childcare Centre</t>
  </si>
  <si>
    <t>30 Avalon Drive</t>
  </si>
  <si>
    <t>Ursula  Hafliger</t>
  </si>
  <si>
    <t>45 Cunningham Road</t>
  </si>
  <si>
    <t>Beerescourt</t>
  </si>
  <si>
    <t>022-0849 649</t>
  </si>
  <si>
    <t>The Willows</t>
  </si>
  <si>
    <t>03-3511904</t>
  </si>
  <si>
    <t>248 Wairakei Road</t>
  </si>
  <si>
    <t>Bryndwr</t>
  </si>
  <si>
    <t>Melissa Hempstalk</t>
  </si>
  <si>
    <t>03-3236292</t>
  </si>
  <si>
    <t>Wonder Kidz</t>
  </si>
  <si>
    <t>09-8891666</t>
  </si>
  <si>
    <t>wonderkidzece@gmail.com</t>
  </si>
  <si>
    <t>1 Glenalmond Road</t>
  </si>
  <si>
    <t>Qian Yang</t>
  </si>
  <si>
    <t>BestStart Mangere East 3</t>
  </si>
  <si>
    <t>mangereeast@best-start.org</t>
  </si>
  <si>
    <t>44 Tennessee Ave</t>
  </si>
  <si>
    <t>Kindercare Learning Centres - Flagstaff</t>
  </si>
  <si>
    <t>07-2620848</t>
  </si>
  <si>
    <t>flagstaff@kindercare.co.nz</t>
  </si>
  <si>
    <t>380 Borman Road</t>
  </si>
  <si>
    <t>Co Kids Christchurch Limited</t>
  </si>
  <si>
    <t>03-3650542</t>
  </si>
  <si>
    <t>felicity@cokids.co.nz</t>
  </si>
  <si>
    <t>Unit 3, 1 Pilgram Place</t>
  </si>
  <si>
    <t>Sydenham Central</t>
  </si>
  <si>
    <t>Felicity Rea</t>
  </si>
  <si>
    <t>022-5416202</t>
  </si>
  <si>
    <t>Mini Thinkers</t>
  </si>
  <si>
    <t>0800-2 84465</t>
  </si>
  <si>
    <t>hello@minithinkers.co.nz</t>
  </si>
  <si>
    <t>11 Musselburgh Rise</t>
  </si>
  <si>
    <t>Macaela van Aart</t>
  </si>
  <si>
    <t>11 Musseburgh Rise</t>
  </si>
  <si>
    <t>Dunedin 9013</t>
  </si>
  <si>
    <t>Kakapa Atu Home Base</t>
  </si>
  <si>
    <t>09-5764541</t>
  </si>
  <si>
    <t>kakapaatu@gmail.com</t>
  </si>
  <si>
    <t>28 Bukem Place</t>
  </si>
  <si>
    <t>Heleine Feki</t>
  </si>
  <si>
    <t>28 Bukem</t>
  </si>
  <si>
    <t>Future Kids Preschool Te Rapa</t>
  </si>
  <si>
    <t>07-8506191</t>
  </si>
  <si>
    <t>75 Church Road</t>
  </si>
  <si>
    <t>Shay Dixon</t>
  </si>
  <si>
    <t>P O Box 10615</t>
  </si>
  <si>
    <t>027-5994996</t>
  </si>
  <si>
    <t>BestStart Warrington</t>
  </si>
  <si>
    <t>03-3859340</t>
  </si>
  <si>
    <t>129-131 Warrington Street</t>
  </si>
  <si>
    <t>Homebased Childcare Ltd 2</t>
  </si>
  <si>
    <t>Immanuel Preschool (Favona Rd)</t>
  </si>
  <si>
    <t>09-9625237</t>
  </si>
  <si>
    <t>15 Favona Road</t>
  </si>
  <si>
    <t>Busy Bees Gladstone Road</t>
  </si>
  <si>
    <t>06-8673690</t>
  </si>
  <si>
    <t>info@gladstoneroad.busybees.org.nz</t>
  </si>
  <si>
    <t>481 Gladstone Road</t>
  </si>
  <si>
    <t>Te Hapara East</t>
  </si>
  <si>
    <t>Anahera Kent</t>
  </si>
  <si>
    <t>06-867 3690</t>
  </si>
  <si>
    <t>Explorers Early Learning Centre</t>
  </si>
  <si>
    <t>07-9747579</t>
  </si>
  <si>
    <t>office@explorerselc.co.nz</t>
  </si>
  <si>
    <t>34 George Street</t>
  </si>
  <si>
    <t>Ronelle Taylor</t>
  </si>
  <si>
    <t>Te Kuiti 3190</t>
  </si>
  <si>
    <t>07-8738446</t>
  </si>
  <si>
    <t>Busy Bees Te Kauwhata</t>
  </si>
  <si>
    <t>07-2801503</t>
  </si>
  <si>
    <t>18 Te Kauwhata Road</t>
  </si>
  <si>
    <t>Joanne Ranby</t>
  </si>
  <si>
    <t>The Wildlings In-Home Childcare</t>
  </si>
  <si>
    <t>admin@thewildlings.co.nz</t>
  </si>
  <si>
    <t>Larce Kippen</t>
  </si>
  <si>
    <t>Little Kiwi Explorers</t>
  </si>
  <si>
    <t>229 Ranzau Road</t>
  </si>
  <si>
    <t xml:space="preserve">Rebecca  Dudley </t>
  </si>
  <si>
    <t xml:space="preserve">03-5446963 </t>
  </si>
  <si>
    <t>Young World Childcare Centre</t>
  </si>
  <si>
    <t>09-8495669</t>
  </si>
  <si>
    <t>youngworldece@gmail.com</t>
  </si>
  <si>
    <t>2 Hallam Street</t>
  </si>
  <si>
    <t>Sukhwinder Kaur</t>
  </si>
  <si>
    <t>Peninsula Kids</t>
  </si>
  <si>
    <t>09-3909112</t>
  </si>
  <si>
    <t>168 Bayswater Avenue</t>
  </si>
  <si>
    <t>Lihan Liu</t>
  </si>
  <si>
    <t>36d Kewa Road</t>
  </si>
  <si>
    <t>021-688989</t>
  </si>
  <si>
    <t>Oakfields - Little Oaks Preschool Ltd</t>
  </si>
  <si>
    <t>03-3149686</t>
  </si>
  <si>
    <t>info@littleoakspreschool.co.nz</t>
  </si>
  <si>
    <t>1 Rosewood Drive</t>
  </si>
  <si>
    <t>Joanne Macfarlane</t>
  </si>
  <si>
    <t>P O Box 137</t>
  </si>
  <si>
    <t>Christchurch 7481</t>
  </si>
  <si>
    <t>03-319 2895</t>
  </si>
  <si>
    <t>Rockmybaby Q3</t>
  </si>
  <si>
    <t>info@rockmybaby.co.nz</t>
  </si>
  <si>
    <t>Anita Sharland</t>
  </si>
  <si>
    <t>Lightbulb ELC Childcare</t>
  </si>
  <si>
    <t>09- 5735049</t>
  </si>
  <si>
    <t>hello@lightbulblearning.co.nz</t>
  </si>
  <si>
    <t>3 Pacific Rise</t>
  </si>
  <si>
    <t>11A Seaview Road</t>
  </si>
  <si>
    <t>Little Monkeys At Home</t>
  </si>
  <si>
    <t>06-358 8262</t>
  </si>
  <si>
    <t>Palmerston North 4414</t>
  </si>
  <si>
    <t>Blossoms Educare Rangiora Limited</t>
  </si>
  <si>
    <t>03-3135812</t>
  </si>
  <si>
    <t>8-10 Johns Road</t>
  </si>
  <si>
    <t>Lilybrook</t>
  </si>
  <si>
    <t>22 Ryan Road RD RD4</t>
  </si>
  <si>
    <t>0800-102237</t>
  </si>
  <si>
    <t>Cosmo Kids</t>
  </si>
  <si>
    <t>09-5286481</t>
  </si>
  <si>
    <t>Lyn@cosmokids.co.nz</t>
  </si>
  <si>
    <t>Level 3 125 Queen Street</t>
  </si>
  <si>
    <t>Queen Street</t>
  </si>
  <si>
    <t>Lynette Creagh</t>
  </si>
  <si>
    <t>31A Awatea Road</t>
  </si>
  <si>
    <t>Auckland 1052</t>
  </si>
  <si>
    <t>021-189 6824</t>
  </si>
  <si>
    <t>angie@educationangels.co.nz</t>
  </si>
  <si>
    <t>Angela Stead</t>
  </si>
  <si>
    <t>Little Explorers Early Learning Centre</t>
  </si>
  <si>
    <t>07-8397297</t>
  </si>
  <si>
    <t>manager@littleexplorers.co.nz</t>
  </si>
  <si>
    <t>3 Rukuhia Road</t>
  </si>
  <si>
    <t>Rukuhia</t>
  </si>
  <si>
    <t>Alana Templeton</t>
  </si>
  <si>
    <t>P O Box 8</t>
  </si>
  <si>
    <t>Hamilton 3261</t>
  </si>
  <si>
    <t>07-8293363</t>
  </si>
  <si>
    <t>Pt Chevalier Kindergarten</t>
  </si>
  <si>
    <t>09-8460897</t>
  </si>
  <si>
    <t>ptchevalier@aka.org.nz</t>
  </si>
  <si>
    <t>90 - 94 Walmer Road</t>
  </si>
  <si>
    <t>Nurture and Bloom Early Learning Centre - Te Anau</t>
  </si>
  <si>
    <t>55 Pounamu Drive</t>
  </si>
  <si>
    <t>Katrina van der Gulik</t>
  </si>
  <si>
    <t>35 Pohewa Road</t>
  </si>
  <si>
    <t>Kanuka Corner Early Childhood Centre</t>
  </si>
  <si>
    <t>03-4437783</t>
  </si>
  <si>
    <t>Kanuka Corner Early Childhood Centre 2 Francis Lane</t>
  </si>
  <si>
    <t>Lake Hāwea</t>
  </si>
  <si>
    <t>Anique  Williams</t>
  </si>
  <si>
    <t>7 Ellie Street</t>
  </si>
  <si>
    <t>Wanaka 9382</t>
  </si>
  <si>
    <t>BestStart Kelvin Grove</t>
  </si>
  <si>
    <t>06-2800625</t>
  </si>
  <si>
    <t>2 Roberts Line</t>
  </si>
  <si>
    <t>Royal Oak (Palmerston North City)</t>
  </si>
  <si>
    <t>Barnardos Early Learning Centre Wellington Central</t>
  </si>
  <si>
    <t>04-3812302</t>
  </si>
  <si>
    <t>wellingtoncentralelc@barnardos.org.nz</t>
  </si>
  <si>
    <t>74 Webb Street</t>
  </si>
  <si>
    <t>Te Aro</t>
  </si>
  <si>
    <t>Vivian West</t>
  </si>
  <si>
    <t>Deirdre Fawcet</t>
  </si>
  <si>
    <t>027-4468647</t>
  </si>
  <si>
    <t>Purerehua Early Learning Centre</t>
  </si>
  <si>
    <t>07-3860332</t>
  </si>
  <si>
    <t>kylee@tuwharetoa-matauranga.iwi.nz</t>
  </si>
  <si>
    <t>22 Waipapa Road</t>
  </si>
  <si>
    <t>Kylee Hema</t>
  </si>
  <si>
    <t>Turangi 3334</t>
  </si>
  <si>
    <t>027-2440713</t>
  </si>
  <si>
    <t>Lollipops Lynfield</t>
  </si>
  <si>
    <t>09-8694054 Ext 2</t>
  </si>
  <si>
    <t>cm.lynfield@ledu.co.nz</t>
  </si>
  <si>
    <t>602 Hillsborough Road, Level 1</t>
  </si>
  <si>
    <t>Layla Esau</t>
  </si>
  <si>
    <t>09-869 4054</t>
  </si>
  <si>
    <t>Kindercare Learning Centres - Palmerston North</t>
  </si>
  <si>
    <t>06-2602090</t>
  </si>
  <si>
    <t>palmerstonnorth@kindercare.co.nz</t>
  </si>
  <si>
    <t>321 Featherston Street</t>
  </si>
  <si>
    <t>Palmerston North Hospital</t>
  </si>
  <si>
    <t>Samantha Perry</t>
  </si>
  <si>
    <t>Busy Bees Silverdale</t>
  </si>
  <si>
    <t>09-4261377</t>
  </si>
  <si>
    <t>manager@silverdale.busybees.co.nz</t>
  </si>
  <si>
    <t>2104 A East Coast Road, RD3</t>
  </si>
  <si>
    <t>Dana Henderson</t>
  </si>
  <si>
    <t>09-426 1377</t>
  </si>
  <si>
    <t>Kidsfirst Kindergartens West Rolleston</t>
  </si>
  <si>
    <t>03-7414620</t>
  </si>
  <si>
    <t>78 Granite Drive</t>
  </si>
  <si>
    <t>Lake Tekapo Kindergarten</t>
  </si>
  <si>
    <t>03-6806212</t>
  </si>
  <si>
    <t>laketekapo.kindergarten@sck.nz</t>
  </si>
  <si>
    <t>4-5 Aorangi Crescent</t>
  </si>
  <si>
    <t>Lake Tekapo</t>
  </si>
  <si>
    <t>Mackenzie Lakes</t>
  </si>
  <si>
    <t>Tekapo Ward</t>
  </si>
  <si>
    <t>Borman Village Kids</t>
  </si>
  <si>
    <t>07-9602125</t>
  </si>
  <si>
    <t>todd@bormanvillagekids.co.nz</t>
  </si>
  <si>
    <t>70 Hare Puke Drive</t>
  </si>
  <si>
    <t>Todd Painter</t>
  </si>
  <si>
    <t>021-361832</t>
  </si>
  <si>
    <t>Level 2. Suite 4 93 Dominion Road</t>
  </si>
  <si>
    <t>Lydia Ge</t>
  </si>
  <si>
    <t>Kimbolton Kindergarten</t>
  </si>
  <si>
    <t>06-280 3212</t>
  </si>
  <si>
    <t>kimbolton@wmkindergartens.org.nz</t>
  </si>
  <si>
    <t>4 Lind Street</t>
  </si>
  <si>
    <t>Kimbolton</t>
  </si>
  <si>
    <t>Kiwitea</t>
  </si>
  <si>
    <t>BestStart Silverstream</t>
  </si>
  <si>
    <t>03-9265892</t>
  </si>
  <si>
    <t>silverstream@best-start.org</t>
  </si>
  <si>
    <t>265 Island Road</t>
  </si>
  <si>
    <t>Silverstream (Waimakariri District)</t>
  </si>
  <si>
    <t>Kids Count Lenore Rd</t>
  </si>
  <si>
    <t>09-2751149</t>
  </si>
  <si>
    <t>lenore@kidscount.co.nz</t>
  </si>
  <si>
    <t>46 Lenore Road</t>
  </si>
  <si>
    <t>Kindercare Learning Centres - Christchurch CBD</t>
  </si>
  <si>
    <t>03-260 3290</t>
  </si>
  <si>
    <t>armagh@kindercare.co.nz</t>
  </si>
  <si>
    <t>227 Armagh Street</t>
  </si>
  <si>
    <t>Christchurch Central-East</t>
  </si>
  <si>
    <t>Little Wings Early Childhood Education &amp; Care Centre</t>
  </si>
  <si>
    <t>09-212 8559</t>
  </si>
  <si>
    <t>info@littlewingsece.co.nz</t>
  </si>
  <si>
    <t>88 Main Highway</t>
  </si>
  <si>
    <t>41 Koraha Street</t>
  </si>
  <si>
    <t>Just Kids Merrington</t>
  </si>
  <si>
    <t>03-3738032</t>
  </si>
  <si>
    <t>13 Merrington Crescent</t>
  </si>
  <si>
    <t>Bexley</t>
  </si>
  <si>
    <t>Kerry Rutherford</t>
  </si>
  <si>
    <t>81 Bickerton Street</t>
  </si>
  <si>
    <t>Christchurch 8061</t>
  </si>
  <si>
    <t>New Shoots Children's Centre - Westgate</t>
  </si>
  <si>
    <t>09-8693977</t>
  </si>
  <si>
    <t>Westgate@newshoots.co.nz</t>
  </si>
  <si>
    <t>1 Kawakawa Place</t>
  </si>
  <si>
    <t>Remarkable Start Early Learning</t>
  </si>
  <si>
    <t>03-4418985</t>
  </si>
  <si>
    <t>info@remarkablestart.co.nz</t>
  </si>
  <si>
    <t>Remarkable Start  4 Mountain Ash Drive</t>
  </si>
  <si>
    <t>Candice Stewart</t>
  </si>
  <si>
    <t>P O Box 91101</t>
  </si>
  <si>
    <t>Wakatipu</t>
  </si>
  <si>
    <t>Queenstown 9439</t>
  </si>
  <si>
    <t>Nurtured at Home Waikato 4</t>
  </si>
  <si>
    <t>Tiny Explorers Early Learning Centre</t>
  </si>
  <si>
    <t>09-4222360</t>
  </si>
  <si>
    <t>admin@tinyexplorers.co.nz</t>
  </si>
  <si>
    <t>56 Woodcocks Road</t>
  </si>
  <si>
    <t>Sonya Page</t>
  </si>
  <si>
    <t>Little Pohutukawa Preschool</t>
  </si>
  <si>
    <t>09-479 3387</t>
  </si>
  <si>
    <t>roslyn@littlepohutukawa.co.nz</t>
  </si>
  <si>
    <t>87 Apollo Drive</t>
  </si>
  <si>
    <t>Roslyn (47380) Jephson</t>
  </si>
  <si>
    <t>87 Riverhead Point Drive</t>
  </si>
  <si>
    <t>The Tree House Early Learning</t>
  </si>
  <si>
    <t>03-5475565</t>
  </si>
  <si>
    <t>9 Warren Kelly Street</t>
  </si>
  <si>
    <t xml:space="preserve">Jenna  Sigglekow </t>
  </si>
  <si>
    <t xml:space="preserve">9 Warren Kelly Street </t>
  </si>
  <si>
    <t>Little Climbers Homebased Education and Childcare</t>
  </si>
  <si>
    <t>Bloom Early Learning and Play</t>
  </si>
  <si>
    <t>07-5422866</t>
  </si>
  <si>
    <t>193A Parton Road</t>
  </si>
  <si>
    <t>Keri Maunder</t>
  </si>
  <si>
    <t>P O Box 13421</t>
  </si>
  <si>
    <t>Tauranga 3141</t>
  </si>
  <si>
    <t>All About Children - Reggio</t>
  </si>
  <si>
    <t>429 Great South Road</t>
  </si>
  <si>
    <t>The Learning Nest</t>
  </si>
  <si>
    <t>07-8706299</t>
  </si>
  <si>
    <t>info@thelearningnest.nz</t>
  </si>
  <si>
    <t>88b Teasdale Street</t>
  </si>
  <si>
    <t>Amy Strawbridge</t>
  </si>
  <si>
    <t>88 Teasdale Street</t>
  </si>
  <si>
    <t>Manaaki Childcare Limited</t>
  </si>
  <si>
    <t>09-4074121</t>
  </si>
  <si>
    <t>enquiries.manaaki@xtra.co.nz</t>
  </si>
  <si>
    <t>331C Waipapa Road</t>
  </si>
  <si>
    <t>Waipapa</t>
  </si>
  <si>
    <t>Alcyon Komene</t>
  </si>
  <si>
    <t>331C Waipapa Road RD 2</t>
  </si>
  <si>
    <t>Kerikeri 0295</t>
  </si>
  <si>
    <t>Imagine That Preschool</t>
  </si>
  <si>
    <t>07-9751222</t>
  </si>
  <si>
    <t>108 Lakes Boulevard</t>
  </si>
  <si>
    <t>Pyes Pa North West</t>
  </si>
  <si>
    <t>Anna MacNeill</t>
  </si>
  <si>
    <t>60 Tilby Drive</t>
  </si>
  <si>
    <t>Ngā Reo e Rua</t>
  </si>
  <si>
    <t>07-5739447</t>
  </si>
  <si>
    <t>20 Malcolm Avenue</t>
  </si>
  <si>
    <t>Geoffrey Rice</t>
  </si>
  <si>
    <t>C/o Nga Poutoko A Mua Ltd 1152A Eruera Street</t>
  </si>
  <si>
    <t>07-3481106</t>
  </si>
  <si>
    <t>Omanu Preschool</t>
  </si>
  <si>
    <t>07-5753625</t>
  </si>
  <si>
    <t>20 Tui Street</t>
  </si>
  <si>
    <t>Omanu</t>
  </si>
  <si>
    <t>Helena van der Merwe</t>
  </si>
  <si>
    <t>Rivercity Preschool</t>
  </si>
  <si>
    <t>06-3450680</t>
  </si>
  <si>
    <t>manager@rivercitypreschool.co.nz</t>
  </si>
  <si>
    <t>45 Campbell Street</t>
  </si>
  <si>
    <t>Cornmarket</t>
  </si>
  <si>
    <t>Christine Warren</t>
  </si>
  <si>
    <t>18 Lagoon Way</t>
  </si>
  <si>
    <t>027-3450680</t>
  </si>
  <si>
    <t>Millie's House Connolly Street</t>
  </si>
  <si>
    <t>04-5860545</t>
  </si>
  <si>
    <t>19 Connolly Street</t>
  </si>
  <si>
    <t>Rockmybaby Waikato</t>
  </si>
  <si>
    <t>Kylee Jhaveri</t>
  </si>
  <si>
    <t>Dreamcatchers Homebased Education and Care</t>
  </si>
  <si>
    <t>dreamcatcherschildcare@gmail.com</t>
  </si>
  <si>
    <t>16 Rongopai Place</t>
  </si>
  <si>
    <t>Mary-Ann Parrish</t>
  </si>
  <si>
    <t>Little Pearls Educare Centre - Mt Roskill</t>
  </si>
  <si>
    <t xml:space="preserve">09-216 7838 </t>
  </si>
  <si>
    <t>mtroskill@littlepearls.org.nz</t>
  </si>
  <si>
    <t>3 Radnor Rd</t>
  </si>
  <si>
    <t>Mount Roskill Central North</t>
  </si>
  <si>
    <t>Dominion Childcare Centre</t>
  </si>
  <si>
    <t>09-6294888</t>
  </si>
  <si>
    <t>murrayyee@xtra.co.nz</t>
  </si>
  <si>
    <t>825 Dominion Road</t>
  </si>
  <si>
    <t>Murray Yee</t>
  </si>
  <si>
    <t>P O Box 9800</t>
  </si>
  <si>
    <t>Little Sparrows Educare (Leamington)</t>
  </si>
  <si>
    <t>07-8234073</t>
  </si>
  <si>
    <t>nicole@littlesparrows.co.nz</t>
  </si>
  <si>
    <t>22 Froude Street</t>
  </si>
  <si>
    <t>Leamington South</t>
  </si>
  <si>
    <t>Nicole Honiss</t>
  </si>
  <si>
    <t>P O Box 13012</t>
  </si>
  <si>
    <t>ACG Tauranga Preschool</t>
  </si>
  <si>
    <t>07-2130130</t>
  </si>
  <si>
    <t>6 Keenan Road</t>
  </si>
  <si>
    <t>Keenan Road</t>
  </si>
  <si>
    <t>Sandeep Kaur</t>
  </si>
  <si>
    <t>027-8602497</t>
  </si>
  <si>
    <t>A Child's Place Early Learning Centre</t>
  </si>
  <si>
    <t>09-4128117</t>
  </si>
  <si>
    <t>info@achildsplace.co.nz</t>
  </si>
  <si>
    <t>1 A Tapu Road</t>
  </si>
  <si>
    <t>Megan Browne</t>
  </si>
  <si>
    <t>1 Walton Street</t>
  </si>
  <si>
    <t>Taeaofou I Puaseisei Preschool - Winthrop</t>
  </si>
  <si>
    <t>09-2757813</t>
  </si>
  <si>
    <t>37 Winthrop Way</t>
  </si>
  <si>
    <t>New Shoots Children's Centre - Hobsonville</t>
  </si>
  <si>
    <t>09-8693997</t>
  </si>
  <si>
    <t>hobsonville@newshoots.co.nz</t>
  </si>
  <si>
    <t>102 Hobsonville Road</t>
  </si>
  <si>
    <t>Magic Sparks Kāpiti Ltd</t>
  </si>
  <si>
    <t>04-2972680</t>
  </si>
  <si>
    <t>110 Amohia Street</t>
  </si>
  <si>
    <t>Jayden Forrest</t>
  </si>
  <si>
    <t>027-460 9329</t>
  </si>
  <si>
    <t>Beststart Melling</t>
  </si>
  <si>
    <t>04-566-5429</t>
  </si>
  <si>
    <t>melling@best-start.org</t>
  </si>
  <si>
    <t>2 Connolly Street</t>
  </si>
  <si>
    <t>North East Valley Baptist Community Centre</t>
  </si>
  <si>
    <t>03-473 9413</t>
  </si>
  <si>
    <t>270 North Road</t>
  </si>
  <si>
    <t>Amy Souquet</t>
  </si>
  <si>
    <t>Kindercare Learning Centres - Aidanfield</t>
  </si>
  <si>
    <t>03-2605076</t>
  </si>
  <si>
    <t>aidanfield@kindercare.co.nz</t>
  </si>
  <si>
    <t>1 Templetons Road</t>
  </si>
  <si>
    <t>Brainwaves Preschool</t>
  </si>
  <si>
    <t>09-4270001</t>
  </si>
  <si>
    <t>91 Small Road</t>
  </si>
  <si>
    <t xml:space="preserve">18 Forest Glen </t>
  </si>
  <si>
    <t>Hatchlings ECE Ltd</t>
  </si>
  <si>
    <t>07-8436911</t>
  </si>
  <si>
    <t>hatchlings.educare@gmail.com</t>
  </si>
  <si>
    <t>9 Homestead Place</t>
  </si>
  <si>
    <t>Champa James</t>
  </si>
  <si>
    <t>Little Climbers Homebased Education and Childcare Licence - 2</t>
  </si>
  <si>
    <t>ritu.jain@littleclimbers.co.nz</t>
  </si>
  <si>
    <t>East Tamaki Heights</t>
  </si>
  <si>
    <t>Nelson Park Kindergarten Toddler and Baby</t>
  </si>
  <si>
    <t>06-8355998</t>
  </si>
  <si>
    <t>41 Kennedy Road</t>
  </si>
  <si>
    <t>Hilary  Scott-Ker</t>
  </si>
  <si>
    <t>29 Hardington Street</t>
  </si>
  <si>
    <t>022-1099881</t>
  </si>
  <si>
    <t>Little Moments Child Care Ltd</t>
  </si>
  <si>
    <t>07-3124909</t>
  </si>
  <si>
    <t>littlemomentschildcare18@gmail.com</t>
  </si>
  <si>
    <t>60a West End Road</t>
  </si>
  <si>
    <t>Yvonne Porter</t>
  </si>
  <si>
    <t xml:space="preserve">Ohope </t>
  </si>
  <si>
    <t>Te Puna Manawa o Whakaue</t>
  </si>
  <si>
    <t>2B Ranolf Street</t>
  </si>
  <si>
    <t>Merehira Savage</t>
  </si>
  <si>
    <t>Rotorua South</t>
  </si>
  <si>
    <t>Rotorua 3045</t>
  </si>
  <si>
    <t>Annabel's Educare - West Melton</t>
  </si>
  <si>
    <t>03-3471603</t>
  </si>
  <si>
    <t>wm@annabelseducare.co.nz</t>
  </si>
  <si>
    <t>8 Kingsdowne Drive</t>
  </si>
  <si>
    <t>Busy Bees Hobsonville</t>
  </si>
  <si>
    <t>09-281 4202</t>
  </si>
  <si>
    <t>info@hobsonville.busybees.org.nz</t>
  </si>
  <si>
    <t>2 Workspace Drive</t>
  </si>
  <si>
    <t>Shelley Crook</t>
  </si>
  <si>
    <t>All About Children - Opaheke</t>
  </si>
  <si>
    <t>manager.opaheke@allaboutchildren.co.nz</t>
  </si>
  <si>
    <t>336 Great South Road</t>
  </si>
  <si>
    <t>Inspire Early Learning Centre</t>
  </si>
  <si>
    <t>preenika_singh@yahoo.com</t>
  </si>
  <si>
    <t>95 Dominion Road</t>
  </si>
  <si>
    <t>Preenika Singh</t>
  </si>
  <si>
    <t>13 Alluvial Street</t>
  </si>
  <si>
    <t>Nurtured at Home - Taranaki 1</t>
  </si>
  <si>
    <t>Te Ako o te Tui Early Childhood Centre - Grafton</t>
  </si>
  <si>
    <t>09-9236729</t>
  </si>
  <si>
    <t>9 Park Ave</t>
  </si>
  <si>
    <t>Just Kidz Flatbush</t>
  </si>
  <si>
    <t>09-2650033</t>
  </si>
  <si>
    <t>wei.luo@justkidz.co.nz</t>
  </si>
  <si>
    <t>64 Thomas Road</t>
  </si>
  <si>
    <t>Donegal Park East</t>
  </si>
  <si>
    <t>Wei Luo</t>
  </si>
  <si>
    <t>Atamai Education &amp; Care East</t>
  </si>
  <si>
    <t>Sugartree Lane Preschool</t>
  </si>
  <si>
    <t>09-216 4521</t>
  </si>
  <si>
    <t>info.sugartreelanepreschool@gmail.com</t>
  </si>
  <si>
    <t>Unit 1 145 Nelson St</t>
  </si>
  <si>
    <t>Victoria Park</t>
  </si>
  <si>
    <t>Malcolm Clarke</t>
  </si>
  <si>
    <t>1/27 Vine Street</t>
  </si>
  <si>
    <t>Active Explorers Papakura</t>
  </si>
  <si>
    <t>cm.papakura@activeexplorers.co.nz</t>
  </si>
  <si>
    <t>989 Papakura - Clevedon Road</t>
  </si>
  <si>
    <t>Twin Parks Rise</t>
  </si>
  <si>
    <t>Katie Quayle</t>
  </si>
  <si>
    <t>Little Doves Early Learning Centre</t>
  </si>
  <si>
    <t>sjones@littledoves.nz</t>
  </si>
  <si>
    <t>Sarah Jones</t>
  </si>
  <si>
    <t>Aspire Learning Home Based Childcare</t>
  </si>
  <si>
    <t>Te Puna Ako ki Tōtara Puku</t>
  </si>
  <si>
    <t>34 Patapu Street</t>
  </si>
  <si>
    <t>Magical Years Childcare Centre</t>
  </si>
  <si>
    <t>09-8181285</t>
  </si>
  <si>
    <t>info@magicalyears.co.nz</t>
  </si>
  <si>
    <t>4249 Great North Road</t>
  </si>
  <si>
    <t>Amindra Kumar</t>
  </si>
  <si>
    <t xml:space="preserve">4249 Great North Rd </t>
  </si>
  <si>
    <t>Busy Bees Ormiston Road</t>
  </si>
  <si>
    <t>09-952 9040</t>
  </si>
  <si>
    <t>manager@ormiston.busybees.org.nz</t>
  </si>
  <si>
    <t>58 Ormiston Road</t>
  </si>
  <si>
    <t>Hannah Ross</t>
  </si>
  <si>
    <t>Pt England KIDS Early Learning Centre</t>
  </si>
  <si>
    <t>office@teuilakids.co.nz</t>
  </si>
  <si>
    <t>2 Erima Ave</t>
  </si>
  <si>
    <t>Ria Tuala</t>
  </si>
  <si>
    <t>Jumpstart Nursery</t>
  </si>
  <si>
    <t>06-7570026</t>
  </si>
  <si>
    <t>info@jumpstartpreschool.co.nz</t>
  </si>
  <si>
    <t>11 Wallath Road</t>
  </si>
  <si>
    <t>Hurdon</t>
  </si>
  <si>
    <t>Little Explorers Early Learning Centre Waiuku</t>
  </si>
  <si>
    <t>09-947 9781</t>
  </si>
  <si>
    <t>8 Valley Road</t>
  </si>
  <si>
    <t>95c Highbrook Way RD9</t>
  </si>
  <si>
    <t xml:space="preserve">07-829 3363 </t>
  </si>
  <si>
    <t>Kai Kids Preschool</t>
  </si>
  <si>
    <t>022-1763470</t>
  </si>
  <si>
    <t>office@kaikidspreschool.co.nz</t>
  </si>
  <si>
    <t>46 Eddystone Street</t>
  </si>
  <si>
    <t>Kaitangata</t>
  </si>
  <si>
    <t>Kaitangata-Matau</t>
  </si>
  <si>
    <t>Kaitangata-Matau Ward</t>
  </si>
  <si>
    <t>Saskia Webber</t>
  </si>
  <si>
    <t>Kaitangata 9210</t>
  </si>
  <si>
    <t>Equippers Kids Early Learning Centre</t>
  </si>
  <si>
    <t>0800-375347</t>
  </si>
  <si>
    <t>info@equipperskids.com</t>
  </si>
  <si>
    <t>9 Gladding Place</t>
  </si>
  <si>
    <t>Susan Willis-Baker</t>
  </si>
  <si>
    <t>P O Box 97024</t>
  </si>
  <si>
    <t>0800-375 437</t>
  </si>
  <si>
    <t>Above &amp; Beyond Tauriko</t>
  </si>
  <si>
    <t>57 Taurikoura Drive</t>
  </si>
  <si>
    <t>Sweet Pea Early Learning Centre</t>
  </si>
  <si>
    <t>03-3120715</t>
  </si>
  <si>
    <t>admin@sweetpea.nz</t>
  </si>
  <si>
    <t>Unit 2 468 Mandeville Road</t>
  </si>
  <si>
    <t>Ohoka</t>
  </si>
  <si>
    <t>Mandeville</t>
  </si>
  <si>
    <t>Prabashini Pillay</t>
  </si>
  <si>
    <t>Christchurch 7692</t>
  </si>
  <si>
    <t>Kuddles In-Home Childcare &amp; Education - 6</t>
  </si>
  <si>
    <t>Li'l Champs Montessori Early Learning Centre</t>
  </si>
  <si>
    <t>43 Aviemore Drive</t>
  </si>
  <si>
    <t>19C Aldersgate Road</t>
  </si>
  <si>
    <t>Kowhai Corner Learning Centre</t>
  </si>
  <si>
    <t>kowhaicorner@gmail.com</t>
  </si>
  <si>
    <t>29a Purdy Street</t>
  </si>
  <si>
    <t>BestStart Oraha Road</t>
  </si>
  <si>
    <t>09-2828170</t>
  </si>
  <si>
    <t>oraha@best-start.org</t>
  </si>
  <si>
    <t>105 Oraha Road</t>
  </si>
  <si>
    <t>04-3899781 Ext 64402</t>
  </si>
  <si>
    <t>4 Normanby Street</t>
  </si>
  <si>
    <t>Salvation Army</t>
  </si>
  <si>
    <t>Emily Small</t>
  </si>
  <si>
    <t>Next Generation</t>
  </si>
  <si>
    <t>09-4893156</t>
  </si>
  <si>
    <t>15 Gatman Street</t>
  </si>
  <si>
    <t>BestStart Borman Road</t>
  </si>
  <si>
    <t>07-9742140</t>
  </si>
  <si>
    <t>272 Borman Road</t>
  </si>
  <si>
    <t>New Shoots Children's Centre - Matamata</t>
  </si>
  <si>
    <t>07-4443040</t>
  </si>
  <si>
    <t>6 Peria Road</t>
  </si>
  <si>
    <t>SUPERKIDZ Early Learning Centre</t>
  </si>
  <si>
    <t>09-6244004</t>
  </si>
  <si>
    <t>2 Turama Road</t>
  </si>
  <si>
    <t>68B Ayton Drive, Totara Vale</t>
  </si>
  <si>
    <t>Athenree Montessori</t>
  </si>
  <si>
    <t>07-2148251</t>
  </si>
  <si>
    <t>vanessa@athenreemontessori.co.nz</t>
  </si>
  <si>
    <t>101 Athenree Road</t>
  </si>
  <si>
    <t>Athenree</t>
  </si>
  <si>
    <t>Vanessa Burgess</t>
  </si>
  <si>
    <t xml:space="preserve">101 Athenree Road </t>
  </si>
  <si>
    <t>Waihi Beach 3177</t>
  </si>
  <si>
    <t>021-02878135</t>
  </si>
  <si>
    <t>Aurora Homebased childcare Services 2</t>
  </si>
  <si>
    <t>Little Ducklings</t>
  </si>
  <si>
    <t>09-2775712</t>
  </si>
  <si>
    <t>2 Hillside Road</t>
  </si>
  <si>
    <t>Vikas Bansal</t>
  </si>
  <si>
    <t>4 Sambrooke Crescent</t>
  </si>
  <si>
    <t>New Shoots Children's Centre - Whenuapai</t>
  </si>
  <si>
    <t>09-8696050</t>
  </si>
  <si>
    <t>whenuapai@newshoots.co.nz</t>
  </si>
  <si>
    <t>1-9 Maramara Road</t>
  </si>
  <si>
    <t>Rutherford Street Kindergarten</t>
  </si>
  <si>
    <t>021-02527025</t>
  </si>
  <si>
    <t>manager@rutherfordstkinder.co.nz</t>
  </si>
  <si>
    <t>233 Rutherford Street</t>
  </si>
  <si>
    <t>Rutherford</t>
  </si>
  <si>
    <t>Amber  Rae</t>
  </si>
  <si>
    <t>Nelson 7010</t>
  </si>
  <si>
    <t>House of Wonder Gisborne by Busy Bees</t>
  </si>
  <si>
    <t>06-777 0029</t>
  </si>
  <si>
    <t>info@howgisborne.busybees.org.nz</t>
  </si>
  <si>
    <t>11-19 Pitt Street</t>
  </si>
  <si>
    <t>Midway</t>
  </si>
  <si>
    <t>Gisborne Central</t>
  </si>
  <si>
    <t>Nikki Ellmers</t>
  </si>
  <si>
    <t>06-7770029</t>
  </si>
  <si>
    <t>Bumblebees Whitford Childcare Centre</t>
  </si>
  <si>
    <t>09-2189677</t>
  </si>
  <si>
    <t>whitford@bumblebeeschildcare.co.nz</t>
  </si>
  <si>
    <t>9 Whitford-Maraetai Road</t>
  </si>
  <si>
    <t>Anna Craigen</t>
  </si>
  <si>
    <t>40 Intrepid Crescent</t>
  </si>
  <si>
    <t>He Manu Hou Trust</t>
  </si>
  <si>
    <t>admin@hemanuhou.nz</t>
  </si>
  <si>
    <t>50 Bridge Street</t>
  </si>
  <si>
    <t>Washdyke</t>
  </si>
  <si>
    <t>Andrew Russell</t>
  </si>
  <si>
    <t>50 Bridge Road</t>
  </si>
  <si>
    <t>Timaru 7910</t>
  </si>
  <si>
    <t>022-626 0349</t>
  </si>
  <si>
    <t>Kids Cove Infant &amp; Toddlers Albany</t>
  </si>
  <si>
    <t>09-9749806</t>
  </si>
  <si>
    <t>2 Oracle Drive</t>
  </si>
  <si>
    <t>All About Children - Lower Hutt</t>
  </si>
  <si>
    <t>04-5770380</t>
  </si>
  <si>
    <t>22 Gregory Street</t>
  </si>
  <si>
    <t>Fisipuamanogi Taula</t>
  </si>
  <si>
    <t>62 Connell Street</t>
  </si>
  <si>
    <t>Gumboots &amp; Grasshoppers Childcare &amp; Learning Centre</t>
  </si>
  <si>
    <t>07-5950514</t>
  </si>
  <si>
    <t>info@gumbootsandgrasshoppers.co.nz</t>
  </si>
  <si>
    <t>708 Te Kowhai Road</t>
  </si>
  <si>
    <t>Lynette Tecofsky</t>
  </si>
  <si>
    <t>PO Box 29022 Te Kowhai</t>
  </si>
  <si>
    <t>Hamilton 3263</t>
  </si>
  <si>
    <t>07-8719294</t>
  </si>
  <si>
    <t>Havelock North Family Centre</t>
  </si>
  <si>
    <t>06-8758033</t>
  </si>
  <si>
    <t>info@hnfc.co.nz</t>
  </si>
  <si>
    <t>14 Middle Road</t>
  </si>
  <si>
    <t>Little Troopers Early Learning Centre</t>
  </si>
  <si>
    <t>07-3503369</t>
  </si>
  <si>
    <t>littletrooperselc@hotmail.com</t>
  </si>
  <si>
    <t>320 Malfroy Road</t>
  </si>
  <si>
    <t>Pomare</t>
  </si>
  <si>
    <t>Carol Amiri</t>
  </si>
  <si>
    <t>14A Hood Street</t>
  </si>
  <si>
    <t>Happy Valley Education &amp; Care</t>
  </si>
  <si>
    <t>09-884 3995</t>
  </si>
  <si>
    <t>Level 1, Unit 32 203 Kirkbride Road</t>
  </si>
  <si>
    <t>RuiQi Yang</t>
  </si>
  <si>
    <t>Reach Forward Early Learning Centre - Warkworth</t>
  </si>
  <si>
    <t>09-2833433</t>
  </si>
  <si>
    <t>linda.ward@reachforward.co.nz</t>
  </si>
  <si>
    <t>11 Falls Street</t>
  </si>
  <si>
    <t>Kia ora Kids at Home Childcare 2</t>
  </si>
  <si>
    <t>BestStart Taita</t>
  </si>
  <si>
    <t>04-2810009</t>
  </si>
  <si>
    <t>14 Tocker Street</t>
  </si>
  <si>
    <t>Educare Tawa</t>
  </si>
  <si>
    <t>04-4711984</t>
  </si>
  <si>
    <t>10 Surrey Street</t>
  </si>
  <si>
    <t>Fetu Ah Chan</t>
  </si>
  <si>
    <t>027-2269881</t>
  </si>
  <si>
    <t>Small Wonders Childcare Centre</t>
  </si>
  <si>
    <t>04-938 7969</t>
  </si>
  <si>
    <t>17 Alexander Road</t>
  </si>
  <si>
    <t>Raumati South</t>
  </si>
  <si>
    <t>Kapiti Coast</t>
  </si>
  <si>
    <t>Alice Third</t>
  </si>
  <si>
    <t>Raumati Beach 5032</t>
  </si>
  <si>
    <t>Junior Junction (St Jude)</t>
  </si>
  <si>
    <t>09-8283232</t>
  </si>
  <si>
    <t>stjude@juniorjunction.co.nz</t>
  </si>
  <si>
    <t>25 St Jude Street</t>
  </si>
  <si>
    <t>Alaina Olliver</t>
  </si>
  <si>
    <t>09-2185885</t>
  </si>
  <si>
    <t>Little Rose Home-based Childcare</t>
  </si>
  <si>
    <t>09-6306481</t>
  </si>
  <si>
    <t>jaliyan@kinect.co.nz</t>
  </si>
  <si>
    <t>19A Statesman Street</t>
  </si>
  <si>
    <t>Ekanayake Nugapitiya</t>
  </si>
  <si>
    <t>Little Feet Childcare Centre (Yates Rd)</t>
  </si>
  <si>
    <t>26 Yates Road</t>
  </si>
  <si>
    <t>Pohutukawa Kidz</t>
  </si>
  <si>
    <t>09-2187877</t>
  </si>
  <si>
    <t>44/1 Wakelin Road</t>
  </si>
  <si>
    <t>Seema Arora</t>
  </si>
  <si>
    <t>44/1  Wakelin Road</t>
  </si>
  <si>
    <t>09-2822464</t>
  </si>
  <si>
    <t>Blue Duck Early Learning Centre</t>
  </si>
  <si>
    <t>03-236 7117</t>
  </si>
  <si>
    <t>127 Dejoux Road</t>
  </si>
  <si>
    <t>Tina Hardie</t>
  </si>
  <si>
    <t>16 Broughton Place</t>
  </si>
  <si>
    <t>Te Anau 9600</t>
  </si>
  <si>
    <t>Nurtured at Home - Wellington 2</t>
  </si>
  <si>
    <t>Mar Addai Catholic Preschool</t>
  </si>
  <si>
    <t>09-2501434</t>
  </si>
  <si>
    <t>maraddai@xtra.co.nz</t>
  </si>
  <si>
    <t>505 Great South Road</t>
  </si>
  <si>
    <t>Manukau 2025</t>
  </si>
  <si>
    <t>Te Rito, Te Whare Reo</t>
  </si>
  <si>
    <t>09-4080 559</t>
  </si>
  <si>
    <t>terito.donni@gmail.com</t>
  </si>
  <si>
    <t>8 Church Road</t>
  </si>
  <si>
    <t>Grow Active Balfour Terrace</t>
  </si>
  <si>
    <t>03-3662260</t>
  </si>
  <si>
    <t>3 Balfour Terrace</t>
  </si>
  <si>
    <t>Christchurch Central-South</t>
  </si>
  <si>
    <t>Kim Grant</t>
  </si>
  <si>
    <t>BestStart Pinnacles</t>
  </si>
  <si>
    <t>03-4434650</t>
  </si>
  <si>
    <t>1 Northlake Drive</t>
  </si>
  <si>
    <t>Northlake</t>
  </si>
  <si>
    <t>Kiddie Garden Learning Corner</t>
  </si>
  <si>
    <t>09- 2830352</t>
  </si>
  <si>
    <t>2 Morrin Street</t>
  </si>
  <si>
    <t>Yiqian Jiang</t>
  </si>
  <si>
    <t>Piece of Cake Education</t>
  </si>
  <si>
    <t>louisefifteen@gmail.com</t>
  </si>
  <si>
    <t>51 Bannings Way</t>
  </si>
  <si>
    <t>Ding Cai</t>
  </si>
  <si>
    <t>09-8200736</t>
  </si>
  <si>
    <t>Willow Tree Early Learning Centre</t>
  </si>
  <si>
    <t>09-6220441</t>
  </si>
  <si>
    <t>dayna@willowtreelearning.co.nz</t>
  </si>
  <si>
    <t>93 Selwyn Street</t>
  </si>
  <si>
    <t>Dayna Aubrey</t>
  </si>
  <si>
    <t>77A Benson Road</t>
  </si>
  <si>
    <t>Pokeno Child Care Centre</t>
  </si>
  <si>
    <t>pokenochildcare@gmail.com</t>
  </si>
  <si>
    <t>17 Pokeno Road</t>
  </si>
  <si>
    <t>Pōkeno South</t>
  </si>
  <si>
    <t>Jasvir  Lall</t>
  </si>
  <si>
    <t>P O Box 2721225</t>
  </si>
  <si>
    <t>Little Blue Penguin Preschool and Nursery</t>
  </si>
  <si>
    <t>03-9259489</t>
  </si>
  <si>
    <t>office@littlebluepenguin.co.nz</t>
  </si>
  <si>
    <t>Bishopdale South</t>
  </si>
  <si>
    <t>Aranga Early Childhood Centre</t>
  </si>
  <si>
    <t>aranga@taonga.org.nz</t>
  </si>
  <si>
    <t>32 Riverton Drive, Riverton Reserve</t>
  </si>
  <si>
    <t>Randwick Park West</t>
  </si>
  <si>
    <t>Busy Bees Silverdale Central</t>
  </si>
  <si>
    <t>09-281 4303</t>
  </si>
  <si>
    <t>manager@silverdalecentral.busybees.org.nz</t>
  </si>
  <si>
    <t>2 Weir Lane</t>
  </si>
  <si>
    <t>Rebecca Clark</t>
  </si>
  <si>
    <t>Otamarakau Kindergarten</t>
  </si>
  <si>
    <t>06-5333340</t>
  </si>
  <si>
    <t>2244 Old Coach Road, RD 6</t>
  </si>
  <si>
    <t>Atawhai Kids</t>
  </si>
  <si>
    <t>03-5452233</t>
  </si>
  <si>
    <t>8 Hodgson Place</t>
  </si>
  <si>
    <t>Atawhai</t>
  </si>
  <si>
    <t>Robyn McQueen</t>
  </si>
  <si>
    <t>240 Wakapuaka Road RD 1</t>
  </si>
  <si>
    <t xml:space="preserve">Nelson </t>
  </si>
  <si>
    <t>Creative Garden Early Learning Centre - Papakura</t>
  </si>
  <si>
    <t>09-2724042</t>
  </si>
  <si>
    <t>papakura@creativegarden.nz</t>
  </si>
  <si>
    <t>166 Old Wairoa Road</t>
  </si>
  <si>
    <t>Karey Webber</t>
  </si>
  <si>
    <t>09-296 8166</t>
  </si>
  <si>
    <t>Learning Links Childcare Hector Drive</t>
  </si>
  <si>
    <t>07-595 0543</t>
  </si>
  <si>
    <t>manager.llhd@learninglinkschildcare.co.nz</t>
  </si>
  <si>
    <t>38 Hector Drive</t>
  </si>
  <si>
    <t>Co Kids Thorndon</t>
  </si>
  <si>
    <t>04-2122500</t>
  </si>
  <si>
    <t>gulnara@cokids.co.nz</t>
  </si>
  <si>
    <t>170 Thorndon Quay</t>
  </si>
  <si>
    <t>Stephen Piper</t>
  </si>
  <si>
    <t>04-801 9970</t>
  </si>
  <si>
    <t>Learning Bee Montessori</t>
  </si>
  <si>
    <t>52 Langdons Road</t>
  </si>
  <si>
    <t>Tai Ying Lin</t>
  </si>
  <si>
    <t>79A Middleton Road</t>
  </si>
  <si>
    <t>03-348 7068</t>
  </si>
  <si>
    <t>Seeds Early Learning Centre</t>
  </si>
  <si>
    <t>09-218 8333</t>
  </si>
  <si>
    <t>info@seedselc.co.nz</t>
  </si>
  <si>
    <t>Unit H  1-9 Red Hills Road</t>
  </si>
  <si>
    <t>51 James Laurie St</t>
  </si>
  <si>
    <t>Nurture Early Learning Red Beach</t>
  </si>
  <si>
    <t>09-283 7438</t>
  </si>
  <si>
    <t>145 Hibiscus Coast Highway</t>
  </si>
  <si>
    <t>Chasing Joy Early Learning</t>
  </si>
  <si>
    <t>09-2813615</t>
  </si>
  <si>
    <t>manager@chasingjoy.co.nz</t>
  </si>
  <si>
    <t>49 Mahutonga Avenue</t>
  </si>
  <si>
    <t>Stuart Thornell</t>
  </si>
  <si>
    <t>29 Greenhithe Road</t>
  </si>
  <si>
    <t>09-4137652</t>
  </si>
  <si>
    <t>Kind Hands Ltd</t>
  </si>
  <si>
    <t>19 Morningside Road</t>
  </si>
  <si>
    <t>Sharlene Clements</t>
  </si>
  <si>
    <t>19 Morningside Road, Morningside</t>
  </si>
  <si>
    <t>09-459 7383</t>
  </si>
  <si>
    <t>St Lukes Mokopuna Apii Punanga Reo Inc</t>
  </si>
  <si>
    <t>07-8861345</t>
  </si>
  <si>
    <t>10 Kelso Street</t>
  </si>
  <si>
    <t>Teokotai Tarai</t>
  </si>
  <si>
    <t>P O Box 384</t>
  </si>
  <si>
    <t>The Haven Early Learning - Belmont</t>
  </si>
  <si>
    <t>09-966 1005</t>
  </si>
  <si>
    <t>belmont@havenearlylearning.nz</t>
  </si>
  <si>
    <t>9 Preston Ave</t>
  </si>
  <si>
    <t>Lucy Pratt</t>
  </si>
  <si>
    <t>9 Preston Avenue</t>
  </si>
  <si>
    <t>Peacocks Early Learning - Stonefields</t>
  </si>
  <si>
    <t>31 Purchas Hill Drive</t>
  </si>
  <si>
    <t>Stonefields East</t>
  </si>
  <si>
    <t>Montessori Oamaru by Busy Bees</t>
  </si>
  <si>
    <t>03-9010500</t>
  </si>
  <si>
    <t>6 Regina Lane</t>
  </si>
  <si>
    <t>Oamaru North Milner Park</t>
  </si>
  <si>
    <t>Rebecca Koberstein</t>
  </si>
  <si>
    <t>BestStart Coast Boulevard</t>
  </si>
  <si>
    <t>07-2810618</t>
  </si>
  <si>
    <t>15 Coast Boulevard</t>
  </si>
  <si>
    <t>Little Coasties by Busy Bees</t>
  </si>
  <si>
    <t>09- 777 6017</t>
  </si>
  <si>
    <t>info@coasties.busybees.org.nz</t>
  </si>
  <si>
    <t>841 Whangaparaoa Rd</t>
  </si>
  <si>
    <t>Hibiscus Coast</t>
  </si>
  <si>
    <t>Donna Fribrant-Katz</t>
  </si>
  <si>
    <t>09-7776017</t>
  </si>
  <si>
    <t>Rotokauri Early Education Centre</t>
  </si>
  <si>
    <t>07-8495599</t>
  </si>
  <si>
    <t>681 Arthur Porter Drive</t>
  </si>
  <si>
    <t>My Kindy Kelston</t>
  </si>
  <si>
    <t>09-818 2000</t>
  </si>
  <si>
    <t>20 Sabulite Road</t>
  </si>
  <si>
    <t>Learning Links Te Awamutu</t>
  </si>
  <si>
    <t>07-280  7973</t>
  </si>
  <si>
    <t>jo@learninglinkschildcare.co.nz</t>
  </si>
  <si>
    <t>488 Alexandra Street</t>
  </si>
  <si>
    <t>Bloomfields Preschool Limited</t>
  </si>
  <si>
    <t>03-3147726</t>
  </si>
  <si>
    <t>145 Mt Brown Road</t>
  </si>
  <si>
    <t>Ashley Forest</t>
  </si>
  <si>
    <t>Gina Carr</t>
  </si>
  <si>
    <t>448 Mt Brown Road</t>
  </si>
  <si>
    <t>Amberley RD 2</t>
  </si>
  <si>
    <t>04-3147767</t>
  </si>
  <si>
    <t>The DEN: Discover Education in Nature</t>
  </si>
  <si>
    <t>06-281 2588</t>
  </si>
  <si>
    <t>sindy@discovertheden.co.nz</t>
  </si>
  <si>
    <t>1 Cato Road</t>
  </si>
  <si>
    <t>Poraiti Hills</t>
  </si>
  <si>
    <t>Sindy Cormack</t>
  </si>
  <si>
    <t>P O Box 7178</t>
  </si>
  <si>
    <t>Napier 4112</t>
  </si>
  <si>
    <t>027-3657689</t>
  </si>
  <si>
    <t>Busy Bees Te Rapa</t>
  </si>
  <si>
    <t>07-949 8335</t>
  </si>
  <si>
    <t>562  Te Rapa Road</t>
  </si>
  <si>
    <t>Sunita Kumar</t>
  </si>
  <si>
    <t>021-2050284</t>
  </si>
  <si>
    <t>Little Buddies Learning Centre 2</t>
  </si>
  <si>
    <t>09-6273119</t>
  </si>
  <si>
    <t>enacnz@gmail.com</t>
  </si>
  <si>
    <t>58 Somerset Road</t>
  </si>
  <si>
    <t>Ena  Chaudhry</t>
  </si>
  <si>
    <t>15 Erson Ave</t>
  </si>
  <si>
    <t>Future Focus - Papamoa Beach</t>
  </si>
  <si>
    <t>07-5725491</t>
  </si>
  <si>
    <t>2 Dickson Road</t>
  </si>
  <si>
    <t>Papamoa Beach North</t>
  </si>
  <si>
    <t>Brittany Fannin</t>
  </si>
  <si>
    <t>532 Gloucester Road</t>
  </si>
  <si>
    <t>Tauranga 3175</t>
  </si>
  <si>
    <t>027-9505687</t>
  </si>
  <si>
    <t>Just Kidz Albany</t>
  </si>
  <si>
    <t>09-4141014</t>
  </si>
  <si>
    <t>maggie.xu@justkidz.co.nz</t>
  </si>
  <si>
    <t>5 William Pickering Drive</t>
  </si>
  <si>
    <t>Maggie Xu</t>
  </si>
  <si>
    <t>021-1457955</t>
  </si>
  <si>
    <t>Discovery Junction</t>
  </si>
  <si>
    <t>03-3322211</t>
  </si>
  <si>
    <t>info@discoveryjunction.co.nz</t>
  </si>
  <si>
    <t>36 Cholmondeley Avenue</t>
  </si>
  <si>
    <t>Sandy Holmes</t>
  </si>
  <si>
    <t>36 Cholmondeley Avenue RD 0</t>
  </si>
  <si>
    <t>The Secret Garden Preschool</t>
  </si>
  <si>
    <t>09-5329175</t>
  </si>
  <si>
    <t>info@thesecretgardenpreschool.co.nz</t>
  </si>
  <si>
    <t>105 Moore Street</t>
  </si>
  <si>
    <t>Educare Pokeno</t>
  </si>
  <si>
    <t>09-232 6794</t>
  </si>
  <si>
    <t>pokeno@educare.co.nz</t>
  </si>
  <si>
    <t>66 Pokeno Road</t>
  </si>
  <si>
    <t>Diane Mitchell</t>
  </si>
  <si>
    <t>Educare Pukekohe</t>
  </si>
  <si>
    <t>09-2381840</t>
  </si>
  <si>
    <t>pukeko@educare.co.nz</t>
  </si>
  <si>
    <t>144 Kitchener Road</t>
  </si>
  <si>
    <t>Paula Hutching</t>
  </si>
  <si>
    <t>Laugh Observe Learn Early Childhood Educare</t>
  </si>
  <si>
    <t>06-6512837</t>
  </si>
  <si>
    <t>admin@lol4ece.nz</t>
  </si>
  <si>
    <t>400 St Aubyn Street East</t>
  </si>
  <si>
    <t>Wendy Greaves</t>
  </si>
  <si>
    <t>Parkvale</t>
  </si>
  <si>
    <t>021-682639</t>
  </si>
  <si>
    <t>Little Loves Early Learning Centre</t>
  </si>
  <si>
    <t>09-6662020</t>
  </si>
  <si>
    <t>32 Pooks Road</t>
  </si>
  <si>
    <t>Rānui South East</t>
  </si>
  <si>
    <t>Mandeep Kaur</t>
  </si>
  <si>
    <t>C/- 32 Pooks Road</t>
  </si>
  <si>
    <t>09-8168169</t>
  </si>
  <si>
    <t>Active Explorers Helensville</t>
  </si>
  <si>
    <t>cm.helensville@activeexplorers.co.nz</t>
  </si>
  <si>
    <t>14 Commercial Road</t>
  </si>
  <si>
    <t xml:space="preserve">Maria  Van Acker </t>
  </si>
  <si>
    <t>09-777 5001</t>
  </si>
  <si>
    <t>Mini Me In-Home Childcare Service</t>
  </si>
  <si>
    <t>09-.</t>
  </si>
  <si>
    <t>info@minimechildcare.com</t>
  </si>
  <si>
    <t>96 Oaktree Avenue</t>
  </si>
  <si>
    <t>Ying (Lynn) Lin</t>
  </si>
  <si>
    <t>96 OakTree Avenue</t>
  </si>
  <si>
    <t>09-4788863</t>
  </si>
  <si>
    <t>Three Trees Learning Centre</t>
  </si>
  <si>
    <t>03-4200786</t>
  </si>
  <si>
    <t>learning@threetreeslearningcentre.co.nz</t>
  </si>
  <si>
    <t>14 Learners Road</t>
  </si>
  <si>
    <t xml:space="preserve">7 Cameron Crescent </t>
  </si>
  <si>
    <t>Ruru House Limited</t>
  </si>
  <si>
    <t>anna@ruruhouse.co.nz</t>
  </si>
  <si>
    <t>246 Richmond Road</t>
  </si>
  <si>
    <t>Lepperton</t>
  </si>
  <si>
    <t>Lepperton-Brixton</t>
  </si>
  <si>
    <t>Anna Ryder</t>
  </si>
  <si>
    <t>246 Richmond Road RD 3</t>
  </si>
  <si>
    <t>New Plymouth 4373</t>
  </si>
  <si>
    <t>Campbells Bay Early Learning Centre</t>
  </si>
  <si>
    <t>kendall@campbellsbay-elc.co.nz</t>
  </si>
  <si>
    <t>218 - 220 Beach Road</t>
  </si>
  <si>
    <t>Kendall Botha</t>
  </si>
  <si>
    <t>Educare Kaiapoi</t>
  </si>
  <si>
    <t>03-327 0471</t>
  </si>
  <si>
    <t>Unit 3 1 Hakarau Road</t>
  </si>
  <si>
    <t>Vanessa Mahaki</t>
  </si>
  <si>
    <t>03-3135076</t>
  </si>
  <si>
    <t>Tui Art Early Learning Centre</t>
  </si>
  <si>
    <t>09-214 7724</t>
  </si>
  <si>
    <t>11A Aeroview Drive</t>
  </si>
  <si>
    <t>Xiuchun (Maggie) Yu</t>
  </si>
  <si>
    <t>11a Aeroview Drive</t>
  </si>
  <si>
    <t>The Blue Cottage Early Learning Otumoetai Road</t>
  </si>
  <si>
    <t>07-5700234</t>
  </si>
  <si>
    <t>157 Otumoetai Road</t>
  </si>
  <si>
    <t>BestStart Faringdon East</t>
  </si>
  <si>
    <t>03-9263562</t>
  </si>
  <si>
    <t>526 East Maddisons Road</t>
  </si>
  <si>
    <t>Montessori House Atelier de Bambini</t>
  </si>
  <si>
    <t>03-4640143</t>
  </si>
  <si>
    <t>31 Nairn Street</t>
  </si>
  <si>
    <t>Joan Marie Gepte</t>
  </si>
  <si>
    <t>Atelier de Bambini 31 Nairn Street</t>
  </si>
  <si>
    <t>03-453 4809</t>
  </si>
  <si>
    <t>Sancta Maria Montessori Preschool (Sherborne)</t>
  </si>
  <si>
    <t>021-0554566</t>
  </si>
  <si>
    <t>127 Sherborne Street</t>
  </si>
  <si>
    <t>Garden of Life</t>
  </si>
  <si>
    <t>07-2819616</t>
  </si>
  <si>
    <t>34 Geddes Road</t>
  </si>
  <si>
    <t>Seynia Watene-Kidwell</t>
  </si>
  <si>
    <t>38a Petrie Street</t>
  </si>
  <si>
    <t>Little Feet Childcare Centre (Yates Rd 2)</t>
  </si>
  <si>
    <t>07-2555526</t>
  </si>
  <si>
    <t>BestStart Omokoroa</t>
  </si>
  <si>
    <t>07-9751990</t>
  </si>
  <si>
    <t>2 Ridge Drive</t>
  </si>
  <si>
    <t>BestStart Botany Junction</t>
  </si>
  <si>
    <t>admin.support@best-start.org</t>
  </si>
  <si>
    <t>99 Michael Jones Drive</t>
  </si>
  <si>
    <t>Glorious Kids Homebased Childcare 1</t>
  </si>
  <si>
    <t>Pandas Home-Based Childcare</t>
  </si>
  <si>
    <t>pandashomecare@gmail.com</t>
  </si>
  <si>
    <t>Southern Cross Campus Preschool</t>
  </si>
  <si>
    <t>09-2754559</t>
  </si>
  <si>
    <t>fkeni@southerncross.school.nz</t>
  </si>
  <si>
    <t>253 Buckland Road</t>
  </si>
  <si>
    <t>Flrorrin  Keni</t>
  </si>
  <si>
    <t>PO Box 43242</t>
  </si>
  <si>
    <t>Dandy &amp; Lion House</t>
  </si>
  <si>
    <t>home@dandyandlion.co.nz</t>
  </si>
  <si>
    <t>3 School Road</t>
  </si>
  <si>
    <t>Catherine East</t>
  </si>
  <si>
    <t>P O Box 58827</t>
  </si>
  <si>
    <t>City Impact Church Childcare Balclutha</t>
  </si>
  <si>
    <t>03-4182818</t>
  </si>
  <si>
    <t>rebekah.ware@cityimpactchurch.com</t>
  </si>
  <si>
    <t>59 Clyde Street</t>
  </si>
  <si>
    <t>Rebekah Ware</t>
  </si>
  <si>
    <t>PO Box 35211</t>
  </si>
  <si>
    <t>Auckland 35211</t>
  </si>
  <si>
    <t>027-4620508</t>
  </si>
  <si>
    <t>Papakura Childcare</t>
  </si>
  <si>
    <t>09-217 1020</t>
  </si>
  <si>
    <t>info@papakurachildcare.co.nz</t>
  </si>
  <si>
    <t>10 Menary Street</t>
  </si>
  <si>
    <t>Whānau Tree House</t>
  </si>
  <si>
    <t>78 Lees Grove</t>
  </si>
  <si>
    <t>Monica Hakaraia</t>
  </si>
  <si>
    <t>59 Lees Grove</t>
  </si>
  <si>
    <t>022-062 1001</t>
  </si>
  <si>
    <t>Mini Miners</t>
  </si>
  <si>
    <t>lucy@miniminers.co.nz</t>
  </si>
  <si>
    <t>109 Sealey Street</t>
  </si>
  <si>
    <t>Lucy Faulkner</t>
  </si>
  <si>
    <t>217 Pinnacle Hill Road RD 1</t>
  </si>
  <si>
    <t>Bombay 2675</t>
  </si>
  <si>
    <t>021-0729476</t>
  </si>
  <si>
    <t>Eduplay Childcare Westgate</t>
  </si>
  <si>
    <t>0800-21539</t>
  </si>
  <si>
    <t>7 Northside Drive</t>
  </si>
  <si>
    <t>P O Box 29152</t>
  </si>
  <si>
    <t>Early Discoveries Waimahia</t>
  </si>
  <si>
    <t>47 Kaimoana Road</t>
  </si>
  <si>
    <t>Te Aroha o te Ngakau</t>
  </si>
  <si>
    <t>022-0352896</t>
  </si>
  <si>
    <t>84 Pine Drive</t>
  </si>
  <si>
    <t>Cyrus Hingston</t>
  </si>
  <si>
    <t>Blooming Buds Early Learning Centre</t>
  </si>
  <si>
    <t>09-818 1001</t>
  </si>
  <si>
    <t>manager@bloomingbuds.co.nz</t>
  </si>
  <si>
    <t>373 West Coast Road</t>
  </si>
  <si>
    <t>Reetu Passi</t>
  </si>
  <si>
    <t>09-8181001</t>
  </si>
  <si>
    <t>Te Puna Kindergarten</t>
  </si>
  <si>
    <t>07-5525736</t>
  </si>
  <si>
    <t>17C Minden Road, RD 6</t>
  </si>
  <si>
    <t>Minden</t>
  </si>
  <si>
    <t>Busy Bees Taupo</t>
  </si>
  <si>
    <t>06-5758955</t>
  </si>
  <si>
    <t>6 Opepe Street</t>
  </si>
  <si>
    <t>Te Kōhanga Reo Ki Puhinui</t>
  </si>
  <si>
    <t>09-250 1211</t>
  </si>
  <si>
    <t>218 Puhinui Road</t>
  </si>
  <si>
    <t>Happy Kiddy Huapai Early Learning Centre</t>
  </si>
  <si>
    <t>09-4122025</t>
  </si>
  <si>
    <t>huapai@justkidz.co.nz</t>
  </si>
  <si>
    <t>335 Main Road</t>
  </si>
  <si>
    <t>8 Taha Road</t>
  </si>
  <si>
    <t>Kids at Play Ranfurly</t>
  </si>
  <si>
    <t>03-4277291</t>
  </si>
  <si>
    <t>27 Bute Street</t>
  </si>
  <si>
    <t>Nicole Bungard</t>
  </si>
  <si>
    <t>027-465 1736</t>
  </si>
  <si>
    <t>Grow Active Welles St</t>
  </si>
  <si>
    <t>03-9259651</t>
  </si>
  <si>
    <t>12 Welles St</t>
  </si>
  <si>
    <t>Jennifer Fisher</t>
  </si>
  <si>
    <t>Future Focus - Terrace Views</t>
  </si>
  <si>
    <t>07-2424432</t>
  </si>
  <si>
    <t>20 Hills View Drive</t>
  </si>
  <si>
    <t>Danielle Holland</t>
  </si>
  <si>
    <t>26 Cornwall Road</t>
  </si>
  <si>
    <t>Papatoetoe East</t>
  </si>
  <si>
    <t>5 Barbarich Drive</t>
  </si>
  <si>
    <t>BestStart Glen Eden</t>
  </si>
  <si>
    <t>4155 Great North Road</t>
  </si>
  <si>
    <t>Woodlands Preschool Limited - Dallington</t>
  </si>
  <si>
    <t>21 Coopers Road</t>
  </si>
  <si>
    <t>Hand and Hand Early Learning Centre - Hobsonville</t>
  </si>
  <si>
    <t>021-960909</t>
  </si>
  <si>
    <t>44 Hobsonville Road</t>
  </si>
  <si>
    <t>Te Korowai Early Learning Centre</t>
  </si>
  <si>
    <t>13 Coles Place</t>
  </si>
  <si>
    <t>Aqsa Mohsan</t>
  </si>
  <si>
    <t>18 Castellina Drive</t>
  </si>
  <si>
    <t>Papakura 2113</t>
  </si>
  <si>
    <t>Childz Choice Preschool</t>
  </si>
  <si>
    <t>09-6009131</t>
  </si>
  <si>
    <t>childzchoice@gmail.com</t>
  </si>
  <si>
    <t>36 Reding Street</t>
  </si>
  <si>
    <t>Payal Gupra</t>
  </si>
  <si>
    <t>70 Takanini School Road</t>
  </si>
  <si>
    <t>Nurtured At Home - Taranaki 3</t>
  </si>
  <si>
    <t>207 Gill Street</t>
  </si>
  <si>
    <t>Cherry Grove @ 101</t>
  </si>
  <si>
    <t xml:space="preserve">06-8774488 </t>
  </si>
  <si>
    <t>101 Napier Road</t>
  </si>
  <si>
    <t xml:space="preserve">Havelock North </t>
  </si>
  <si>
    <t>Ellerton Preschool</t>
  </si>
  <si>
    <t>09-2813203</t>
  </si>
  <si>
    <t>ellertonps@outlook.com</t>
  </si>
  <si>
    <t>22 Ellerton Road</t>
  </si>
  <si>
    <t>Enu Chung</t>
  </si>
  <si>
    <t>2303/3 Northcroft Street</t>
  </si>
  <si>
    <t>Kindercare Learning Centres - Auckland CBD (Preschool)</t>
  </si>
  <si>
    <t>09-6005924</t>
  </si>
  <si>
    <t>customspreschool@kindercare.co.nz</t>
  </si>
  <si>
    <t>29 Customs Street - Level 2</t>
  </si>
  <si>
    <t>Magnolia Montessori Ltd</t>
  </si>
  <si>
    <t>027-5360492</t>
  </si>
  <si>
    <t>22A Taylor Street</t>
  </si>
  <si>
    <t>Star Educare</t>
  </si>
  <si>
    <t>lodha.rrajul@gmail.com</t>
  </si>
  <si>
    <t>98 East Tamaki Road</t>
  </si>
  <si>
    <t>BestStart Kauri Flats</t>
  </si>
  <si>
    <t>09-5582336</t>
  </si>
  <si>
    <t>kauriflats@best-start.org</t>
  </si>
  <si>
    <t>15 Castlepoint Avenue</t>
  </si>
  <si>
    <t>Discovery Junction Styx Mill Ltd</t>
  </si>
  <si>
    <t>03-3590091</t>
  </si>
  <si>
    <t>info.styx@discoveryjunction.co.nz</t>
  </si>
  <si>
    <t>139 Styx Mill Road</t>
  </si>
  <si>
    <t>Casebrook</t>
  </si>
  <si>
    <t>Regents Park</t>
  </si>
  <si>
    <t>Nadeine Manderson</t>
  </si>
  <si>
    <t>03-359 0091</t>
  </si>
  <si>
    <t>Tui Early Learners</t>
  </si>
  <si>
    <t>06-280 2622</t>
  </si>
  <si>
    <t>5 Lytton Street</t>
  </si>
  <si>
    <t>Kimbolton West</t>
  </si>
  <si>
    <t>16b Osborne Tce</t>
  </si>
  <si>
    <t>Trend Tots</t>
  </si>
  <si>
    <t>021-965 594</t>
  </si>
  <si>
    <t>info@trendtots.co.nz</t>
  </si>
  <si>
    <t>28A Royston Street</t>
  </si>
  <si>
    <t>Faizal Muhammad</t>
  </si>
  <si>
    <t>P O Box 76633</t>
  </si>
  <si>
    <t>Piccolo Park Mt Richmond</t>
  </si>
  <si>
    <t>09-2170665</t>
  </si>
  <si>
    <t>576 Mount Wellington Highway</t>
  </si>
  <si>
    <t>Narisa Daud</t>
  </si>
  <si>
    <t>Educare Albert St</t>
  </si>
  <si>
    <t>09-2380662</t>
  </si>
  <si>
    <t>albertst@educare.co.nz</t>
  </si>
  <si>
    <t>6-8 Albert Street</t>
  </si>
  <si>
    <t>Joanna Brown</t>
  </si>
  <si>
    <t>Millie's House - Armagh St</t>
  </si>
  <si>
    <t>03-3650095</t>
  </si>
  <si>
    <t>The Old Courthouse 85 Armagh Street</t>
  </si>
  <si>
    <t>Richard Blackwood</t>
  </si>
  <si>
    <t xml:space="preserve">The Old Courthouse 85 Armagh Street </t>
  </si>
  <si>
    <t>Omaka Early Learning Centre</t>
  </si>
  <si>
    <t>03-579 5629</t>
  </si>
  <si>
    <t>25 Spitfire Drive</t>
  </si>
  <si>
    <t>Burleigh</t>
  </si>
  <si>
    <t>Megan Stevens</t>
  </si>
  <si>
    <t>Omaka</t>
  </si>
  <si>
    <t>Greerton Early Learning Centre</t>
  </si>
  <si>
    <t>07-5776105</t>
  </si>
  <si>
    <t>1 Emmett Street</t>
  </si>
  <si>
    <t>Clara Sands</t>
  </si>
  <si>
    <t>74B Oliver Road RD 1</t>
  </si>
  <si>
    <t>Te Kōhanga Reo o Te Puawaitanga o Te Pito Mata</t>
  </si>
  <si>
    <t>06-8706005</t>
  </si>
  <si>
    <t>tkr116118@gmail.com</t>
  </si>
  <si>
    <t>904 Freyberg Street</t>
  </si>
  <si>
    <t>Raceway Park</t>
  </si>
  <si>
    <t>Red Robin Nanny Agency 2</t>
  </si>
  <si>
    <t>161A Point Chevalier Rd</t>
  </si>
  <si>
    <t>BestStart Cambridge</t>
  </si>
  <si>
    <t>07-2810819</t>
  </si>
  <si>
    <t>55-57 Shakespeare Street</t>
  </si>
  <si>
    <t>Penguins School of Early Learning 2</t>
  </si>
  <si>
    <t>Daisies Early Education and Care Centre</t>
  </si>
  <si>
    <t>06-461 6013</t>
  </si>
  <si>
    <t>3 Earp Street</t>
  </si>
  <si>
    <t>Johnsonville North</t>
  </si>
  <si>
    <t>Linda Meade</t>
  </si>
  <si>
    <t>5 Earp Street</t>
  </si>
  <si>
    <t>04-470 3783</t>
  </si>
  <si>
    <t>Bear Park Hobsonville Point</t>
  </si>
  <si>
    <t>172 - 190 Buckley Avenue</t>
  </si>
  <si>
    <t>Little Seed Early Learning Centre</t>
  </si>
  <si>
    <t>09-576 0795</t>
  </si>
  <si>
    <t>27 Ben Lomond Crescent</t>
  </si>
  <si>
    <t>Zhenfeng Zhao</t>
  </si>
  <si>
    <t>42 Reelick Avenue</t>
  </si>
  <si>
    <t>Marsden Childcare Centre</t>
  </si>
  <si>
    <t>5 Waiwarawara Drive East</t>
  </si>
  <si>
    <t>Leanne Berkers</t>
  </si>
  <si>
    <t>12 Kowi Lakes Drive</t>
  </si>
  <si>
    <t>One Tree Point 0118</t>
  </si>
  <si>
    <t>Our Kids Early Learning Centre - Mataki Way</t>
  </si>
  <si>
    <t>anita@ourkidsearlylearning.co.nz</t>
  </si>
  <si>
    <t>3 Mataki Way</t>
  </si>
  <si>
    <t>Nurtured at Home - Wellington 3</t>
  </si>
  <si>
    <t>Future Stars Early Learning Centre</t>
  </si>
  <si>
    <t>09-2000786</t>
  </si>
  <si>
    <t>info@futurestarselc.co.nz</t>
  </si>
  <si>
    <t>66 Archibald Road</t>
  </si>
  <si>
    <t>Fauziah Fauziah</t>
  </si>
  <si>
    <t>16 Kora Ave</t>
  </si>
  <si>
    <t>Mountaineers Childcare &amp; Education</t>
  </si>
  <si>
    <t>07-8719770</t>
  </si>
  <si>
    <t>1375 McClure Street</t>
  </si>
  <si>
    <t>Lorraine Phillips</t>
  </si>
  <si>
    <t>1375 McClure Street RD 6</t>
  </si>
  <si>
    <t>Pirongia 3876</t>
  </si>
  <si>
    <t>The Redwoods Country Kindergarten</t>
  </si>
  <si>
    <t>021-1939454</t>
  </si>
  <si>
    <t>admin@theredwoodskindergarten.co.nz</t>
  </si>
  <si>
    <t>346 Tukapa Street</t>
  </si>
  <si>
    <t>Janis Forsythe</t>
  </si>
  <si>
    <t>346 Tukapa Street RD 1</t>
  </si>
  <si>
    <t>BestStart Barrington</t>
  </si>
  <si>
    <t>03-9262948</t>
  </si>
  <si>
    <t>46 Bewdley Street</t>
  </si>
  <si>
    <t>Little Geckos Childcare Centre</t>
  </si>
  <si>
    <t>09-459 1860</t>
  </si>
  <si>
    <t>11 Deveron Street</t>
  </si>
  <si>
    <t>St Peter's Anglican Preschool</t>
  </si>
  <si>
    <t>03-3485608</t>
  </si>
  <si>
    <t>lizo@mcctrust.nz</t>
  </si>
  <si>
    <t>25 Yaldhurst Road</t>
  </si>
  <si>
    <t>Sockburn North</t>
  </si>
  <si>
    <t>Elizabeth Orr</t>
  </si>
  <si>
    <t>Tauriko Tots</t>
  </si>
  <si>
    <t>07-5433990</t>
  </si>
  <si>
    <t>204 Taurikura Drive</t>
  </si>
  <si>
    <t>Michelle Patrickson</t>
  </si>
  <si>
    <t>16 Galloway Crescent</t>
  </si>
  <si>
    <t>027-4336963</t>
  </si>
  <si>
    <t>Kindercare Learning Centres - Paraparaumu</t>
  </si>
  <si>
    <t>04-2604730</t>
  </si>
  <si>
    <t>paraparaumu@kindercare.co.nz</t>
  </si>
  <si>
    <t>1 Hudson Place</t>
  </si>
  <si>
    <t>Havelock North Early Learning Centre</t>
  </si>
  <si>
    <t>06-8774656</t>
  </si>
  <si>
    <t>lmeducation2019@gmail.com</t>
  </si>
  <si>
    <t>12 Campbell Street</t>
  </si>
  <si>
    <t>Iona</t>
  </si>
  <si>
    <t>Michelle Edwards</t>
  </si>
  <si>
    <t>818 Cook Place</t>
  </si>
  <si>
    <t>027-4767102</t>
  </si>
  <si>
    <t>Tamariki Ei Tiare Punanga Reo</t>
  </si>
  <si>
    <t>Rockmybaby Homebased</t>
  </si>
  <si>
    <t>021-582820</t>
  </si>
  <si>
    <t>sharni@rockmybaby.co.nz</t>
  </si>
  <si>
    <t>12a Russell St</t>
  </si>
  <si>
    <t>Claire Webb</t>
  </si>
  <si>
    <t>021-588818</t>
  </si>
  <si>
    <t>Central Kids Kindergartens - Kinloch</t>
  </si>
  <si>
    <t>C/o Kinloch Community Hall 14 Mata Place</t>
  </si>
  <si>
    <t>Kinloch-Taupo</t>
  </si>
  <si>
    <t>Kinloch</t>
  </si>
  <si>
    <t>Mauri Tupu</t>
  </si>
  <si>
    <t>021-547 299</t>
  </si>
  <si>
    <t>The Stables Montessori</t>
  </si>
  <si>
    <t>03-3221108</t>
  </si>
  <si>
    <t>office@stableshalswell.nz</t>
  </si>
  <si>
    <t>10 Franco Road</t>
  </si>
  <si>
    <t>Busy Bees Featherston Street</t>
  </si>
  <si>
    <t>06-929 4177</t>
  </si>
  <si>
    <t>617 Featherston Street</t>
  </si>
  <si>
    <t>Cassandra Katene</t>
  </si>
  <si>
    <t>027-5340647</t>
  </si>
  <si>
    <t>Stepping Stones Education &amp; Care</t>
  </si>
  <si>
    <t>021-311955</t>
  </si>
  <si>
    <t>shirley_sun@xtra.co.nz</t>
  </si>
  <si>
    <t>Stonefields West</t>
  </si>
  <si>
    <t>New Shoots Childrens Centre - The Lakes</t>
  </si>
  <si>
    <t>07-5431734</t>
  </si>
  <si>
    <t>2 Flack Street</t>
  </si>
  <si>
    <t>Cool Kids Montessori Early Learning Centre</t>
  </si>
  <si>
    <t>09-6262999</t>
  </si>
  <si>
    <t>hscheema100@yahoo.com</t>
  </si>
  <si>
    <t>43 Canberra Ave</t>
  </si>
  <si>
    <t>Harpal Cheema</t>
  </si>
  <si>
    <t>7 Formosa Court</t>
  </si>
  <si>
    <t>Miniwhais</t>
  </si>
  <si>
    <t>09-431 4747</t>
  </si>
  <si>
    <t>5 Robert Hastie Drive</t>
  </si>
  <si>
    <t>Mangawhai Rural</t>
  </si>
  <si>
    <t>Natasha Lee</t>
  </si>
  <si>
    <t>P O Box 228</t>
  </si>
  <si>
    <t>Mangawhai 0540</t>
  </si>
  <si>
    <t>Te Kōhanga Reo Te Taunga Mai o Nga Mokopuna</t>
  </si>
  <si>
    <t>07-949 4185</t>
  </si>
  <si>
    <t>Tauwhare Pa 780 Tauwhare Road</t>
  </si>
  <si>
    <t>Biggles @ The Mount</t>
  </si>
  <si>
    <t xml:space="preserve">07-282 8451 </t>
  </si>
  <si>
    <t>416 Maunganui Road</t>
  </si>
  <si>
    <t>BestStart Huntington</t>
  </si>
  <si>
    <t>28 Borman Road</t>
  </si>
  <si>
    <t>Montessori Children's House Kerikeri</t>
  </si>
  <si>
    <t>09-945 6479</t>
  </si>
  <si>
    <t>47 Hobson Avenue</t>
  </si>
  <si>
    <t>Aneshree Tikaram</t>
  </si>
  <si>
    <t>Te Kōhanga Reo o Taurangi</t>
  </si>
  <si>
    <t>140 Whakataha Road</t>
  </si>
  <si>
    <t>Waimate North</t>
  </si>
  <si>
    <t>Kiddie Academy Early Learning Centre</t>
  </si>
  <si>
    <t>93-97 Victoria Street</t>
  </si>
  <si>
    <t>Navpreet Talwar</t>
  </si>
  <si>
    <t>P O Box 41486</t>
  </si>
  <si>
    <t>Tapawera Kindergarten</t>
  </si>
  <si>
    <t>Tapawera Area School 40 Main Road</t>
  </si>
  <si>
    <t>Tapawera</t>
  </si>
  <si>
    <t>Golden Downs</t>
  </si>
  <si>
    <t>Fountain City Montessori Tawa Street</t>
  </si>
  <si>
    <t>103 Tawa Street</t>
  </si>
  <si>
    <t>Tiny Nation Hawkes Bay</t>
  </si>
  <si>
    <t>0800-8469628</t>
  </si>
  <si>
    <t>Tracy  Caldwell</t>
  </si>
  <si>
    <t>Toki Explorers</t>
  </si>
  <si>
    <t>09-4203278</t>
  </si>
  <si>
    <t>admin@tokiexplorers.co.nz</t>
  </si>
  <si>
    <t>1174 Kahikatea Flat Road</t>
  </si>
  <si>
    <t>Waitoki-Auckland</t>
  </si>
  <si>
    <t>Kaukapakapa Rural</t>
  </si>
  <si>
    <t>1174 Kahikatea Flat Road RD 1</t>
  </si>
  <si>
    <t>Auckland 0871</t>
  </si>
  <si>
    <t>BestStart Waiata Shores</t>
  </si>
  <si>
    <t>09-9745048</t>
  </si>
  <si>
    <t>waiatashores@best-start.org</t>
  </si>
  <si>
    <t>26 Gosper Road</t>
  </si>
  <si>
    <t>Gems Rata</t>
  </si>
  <si>
    <t>6 Thirteenth Avenue</t>
  </si>
  <si>
    <t>Marianne Beer</t>
  </si>
  <si>
    <t>021-666389</t>
  </si>
  <si>
    <t>Nature's Point Childcare</t>
  </si>
  <si>
    <t>0508-696288</t>
  </si>
  <si>
    <t>info@naturespoint.co.nz</t>
  </si>
  <si>
    <t>30 Beach Road</t>
  </si>
  <si>
    <t>Educare One Tree Point</t>
  </si>
  <si>
    <t>09-432 7924</t>
  </si>
  <si>
    <t>onetreepoint@educare.co.nz</t>
  </si>
  <si>
    <t>159 One Tree Point Road</t>
  </si>
  <si>
    <t>One Tree Point</t>
  </si>
  <si>
    <t>The Learning Barn</t>
  </si>
  <si>
    <t>93b Poplar Street</t>
  </si>
  <si>
    <t>Gleniti</t>
  </si>
  <si>
    <t>Josephine Russell</t>
  </si>
  <si>
    <t>93B Poplar Street</t>
  </si>
  <si>
    <t xml:space="preserve">Timaru </t>
  </si>
  <si>
    <t>027-8798735</t>
  </si>
  <si>
    <t>Oma Rapeti Early Learning Centre Kumeu</t>
  </si>
  <si>
    <t>09-213 4292</t>
  </si>
  <si>
    <t>kumeu@omarapeti.net.nz</t>
  </si>
  <si>
    <t>371 Main Road</t>
  </si>
  <si>
    <t>Shannon Docherty</t>
  </si>
  <si>
    <t>19B Masons Avenue</t>
  </si>
  <si>
    <t>Just Like Home Childcare</t>
  </si>
  <si>
    <t>027-574 5109</t>
  </si>
  <si>
    <t>Unit 12, Apartment 36 20 Studholme Road</t>
  </si>
  <si>
    <t>Wānaka West</t>
  </si>
  <si>
    <t>Jeanette Fotheringham</t>
  </si>
  <si>
    <t>03-4411230</t>
  </si>
  <si>
    <t>BestStart Shelly Bay Road</t>
  </si>
  <si>
    <t>09-5581765</t>
  </si>
  <si>
    <t>jane.burke@best-start.org</t>
  </si>
  <si>
    <t>27 Shelly Bay Road</t>
  </si>
  <si>
    <t>Treetops ELC Pukekohe</t>
  </si>
  <si>
    <t>021-1727454</t>
  </si>
  <si>
    <t>1246 Paerata Road</t>
  </si>
  <si>
    <t>P O Box 444</t>
  </si>
  <si>
    <t>South Auckland 2340</t>
  </si>
  <si>
    <t>Play and Learn - Karaka West</t>
  </si>
  <si>
    <t>59 McKenzie Road, Kingseat</t>
  </si>
  <si>
    <t>Merryland Childcare Centre</t>
  </si>
  <si>
    <t>09-6002352</t>
  </si>
  <si>
    <t>rahuldixit.nz@gmail.com</t>
  </si>
  <si>
    <t>74 Mt Albert Road</t>
  </si>
  <si>
    <t>Janice  D'Souza</t>
  </si>
  <si>
    <t>Pukehina Kidettes Early Education Centre</t>
  </si>
  <si>
    <t>1762 Old Coach Road</t>
  </si>
  <si>
    <t>Pukehina</t>
  </si>
  <si>
    <t>Bee's Garden Homebased Childcare</t>
  </si>
  <si>
    <t>021-08207277</t>
  </si>
  <si>
    <t>2/239 St Johns Road</t>
  </si>
  <si>
    <t>Xiyi Yuan</t>
  </si>
  <si>
    <t>34 Steward Road</t>
  </si>
  <si>
    <t>Fantails Childcare - Estate</t>
  </si>
  <si>
    <t>09-2229001</t>
  </si>
  <si>
    <t>estate@fantailschildcare.co.nz</t>
  </si>
  <si>
    <t>1669 Dairy Flat Highway, Silverdale</t>
  </si>
  <si>
    <t>Dairy Flat North</t>
  </si>
  <si>
    <t>Learning Links Rewi Street</t>
  </si>
  <si>
    <t>07-280 7973</t>
  </si>
  <si>
    <t>81 Rewi Street</t>
  </si>
  <si>
    <t>No</t>
  </si>
  <si>
    <t>Cozy Corner Educare</t>
  </si>
  <si>
    <t>09-5270966</t>
  </si>
  <si>
    <t>info@cozycorner.co.nz</t>
  </si>
  <si>
    <t>79 Pilkington Road</t>
  </si>
  <si>
    <t>Chaxiang (Irene) Zhao</t>
  </si>
  <si>
    <t>09-4766336</t>
  </si>
  <si>
    <t>Future Kids Preschool New Plymouth</t>
  </si>
  <si>
    <t>shay@futurekids.co.nz</t>
  </si>
  <si>
    <t>1 Swans Road</t>
  </si>
  <si>
    <t>Haylie Bocock</t>
  </si>
  <si>
    <t>06-753 4318</t>
  </si>
  <si>
    <t>Laugh and Learn</t>
  </si>
  <si>
    <t>09-6003180</t>
  </si>
  <si>
    <t>info@laughandlearn.co.nz</t>
  </si>
  <si>
    <t>60 Cascades Road</t>
  </si>
  <si>
    <t>Tania Hempleman</t>
  </si>
  <si>
    <t>Ilam Montessori Preschool</t>
  </si>
  <si>
    <t>03-9347079</t>
  </si>
  <si>
    <t>169 Ilam Road</t>
  </si>
  <si>
    <t>Ilam North</t>
  </si>
  <si>
    <t>Xianru Ou</t>
  </si>
  <si>
    <t>48 Oakhampton Street</t>
  </si>
  <si>
    <t>021-2524395</t>
  </si>
  <si>
    <t>The Meadows Early Learning Centre</t>
  </si>
  <si>
    <t>165c Matangi Road</t>
  </si>
  <si>
    <t>Tamahere North</t>
  </si>
  <si>
    <t>Joann Radford</t>
  </si>
  <si>
    <t>Hamilton 3284</t>
  </si>
  <si>
    <t>021-751676</t>
  </si>
  <si>
    <t>Just Kidz Kelston</t>
  </si>
  <si>
    <t>Kelston@justkidz.co.nz</t>
  </si>
  <si>
    <t>Unit 2-18, 16 West Coast Road</t>
  </si>
  <si>
    <t>P O Box 302177</t>
  </si>
  <si>
    <t>Nest Early Learning Centre</t>
  </si>
  <si>
    <t>07-3046161</t>
  </si>
  <si>
    <t>hello@nestonmatai.co.nz</t>
  </si>
  <si>
    <t>1 Matai Street</t>
  </si>
  <si>
    <t>Liane Davidson</t>
  </si>
  <si>
    <t>85D Mimiha Ridge Road, RD 4</t>
  </si>
  <si>
    <t>07-3222246</t>
  </si>
  <si>
    <t>Explore &amp; Flourish</t>
  </si>
  <si>
    <t>07-5712030</t>
  </si>
  <si>
    <t>251b Waihi Road</t>
  </si>
  <si>
    <t>Dion Mair</t>
  </si>
  <si>
    <t>BestStart Totara Park</t>
  </si>
  <si>
    <t>04-9747150</t>
  </si>
  <si>
    <t>totarapark@best-start.org</t>
  </si>
  <si>
    <t>1 - 15 Turon Crescent</t>
  </si>
  <si>
    <t>Little Minds Early Learning Centre</t>
  </si>
  <si>
    <t>0800-673825</t>
  </si>
  <si>
    <t>penny@littlemindselc.co.nz</t>
  </si>
  <si>
    <t>44 Barrett Road</t>
  </si>
  <si>
    <t>Whalers Gate</t>
  </si>
  <si>
    <t>Penelope Gore</t>
  </si>
  <si>
    <t>P O Box 691</t>
  </si>
  <si>
    <t>022-0946689</t>
  </si>
  <si>
    <t>Hatch Early Learning Centre</t>
  </si>
  <si>
    <t>03-2602356</t>
  </si>
  <si>
    <t>learning@hatchelc.co.nz</t>
  </si>
  <si>
    <t>15 Norris Street</t>
  </si>
  <si>
    <t>Meri Wynen</t>
  </si>
  <si>
    <t>15  Norris Street</t>
  </si>
  <si>
    <t>Prebbleton 7604</t>
  </si>
  <si>
    <t>Little Steps Early Childhood Education Centre Limited</t>
  </si>
  <si>
    <t>06-7650367</t>
  </si>
  <si>
    <t>littlesteps.ece@gmail.com</t>
  </si>
  <si>
    <t>145 Broadway</t>
  </si>
  <si>
    <t>Wendy Hinton</t>
  </si>
  <si>
    <t>Stratford 4332</t>
  </si>
  <si>
    <t>Scallywaggs Kindergarten &amp; Care Waipawa</t>
  </si>
  <si>
    <t>robyn@sprouts.co.nz</t>
  </si>
  <si>
    <t>40 Watts Street</t>
  </si>
  <si>
    <t>twinkle twinkle</t>
  </si>
  <si>
    <t>07-5715909</t>
  </si>
  <si>
    <t>413 Maunganui Road</t>
  </si>
  <si>
    <t>Roseanne Crombie</t>
  </si>
  <si>
    <t>45 Panorama Drive</t>
  </si>
  <si>
    <t>07-544 7221</t>
  </si>
  <si>
    <t>Busy Bees Hamilton East</t>
  </si>
  <si>
    <t>07-8562255</t>
  </si>
  <si>
    <t>48 Peachgrove Rd</t>
  </si>
  <si>
    <t>Leonie Martin</t>
  </si>
  <si>
    <t>Clendon Kids Early Learning Centre</t>
  </si>
  <si>
    <t>1 Balwyn Place</t>
  </si>
  <si>
    <t>Haywood Cottage Montessori (Nido)</t>
  </si>
  <si>
    <t>03-6936160</t>
  </si>
  <si>
    <t>cottagenurseryschool@xtra.co.nz</t>
  </si>
  <si>
    <t>107 Talbot Street</t>
  </si>
  <si>
    <t>House of Wonder Cambridge by Busy Bees</t>
  </si>
  <si>
    <t>07-9294070</t>
  </si>
  <si>
    <t>info@howcambridge.busybees.org.nz</t>
  </si>
  <si>
    <t>3/94 Queen Street, Lakewood</t>
  </si>
  <si>
    <t>Luana Karl</t>
  </si>
  <si>
    <t>09-9284070</t>
  </si>
  <si>
    <t>Your Place Childcare</t>
  </si>
  <si>
    <t>09-4210445</t>
  </si>
  <si>
    <t>mel@yourplacechildcare.co.nz</t>
  </si>
  <si>
    <t>165 Wainui Road</t>
  </si>
  <si>
    <t>Jalaine Armstrong</t>
  </si>
  <si>
    <t>Launch Waipukurau</t>
  </si>
  <si>
    <t>06-2114268</t>
  </si>
  <si>
    <t>50 Takapau Road</t>
  </si>
  <si>
    <t>Sarah  Martin</t>
  </si>
  <si>
    <t>Barnardos Early Learning Centre Te Rapa</t>
  </si>
  <si>
    <t>07-8491325</t>
  </si>
  <si>
    <t>1 Storey Avenue</t>
  </si>
  <si>
    <t>Paridhi Bohra</t>
  </si>
  <si>
    <t>Koru Homebased Childcare</t>
  </si>
  <si>
    <t>027-5181180</t>
  </si>
  <si>
    <t>admin@koruece.co.nz</t>
  </si>
  <si>
    <t>8A Derby Downs Place</t>
  </si>
  <si>
    <t>Zhen Xin</t>
  </si>
  <si>
    <t>ACG Parnell Early Learning School</t>
  </si>
  <si>
    <t>09-3081656</t>
  </si>
  <si>
    <t>Manu.Mahe@acgedu.com</t>
  </si>
  <si>
    <t>110 Park Road</t>
  </si>
  <si>
    <t>Shujing  Qi</t>
  </si>
  <si>
    <t>Happy Turtle Childcare</t>
  </si>
  <si>
    <t>09-2962764</t>
  </si>
  <si>
    <t>107 Old Wairoa Road</t>
  </si>
  <si>
    <t>Kashmira Sheth</t>
  </si>
  <si>
    <t>BestStart Papamoa Plaza</t>
  </si>
  <si>
    <t>07-2810914</t>
  </si>
  <si>
    <t>7 Gravatt Road</t>
  </si>
  <si>
    <t>Palm Beach South-Gravatt</t>
  </si>
  <si>
    <t>Remarkable Kids Learning Centre</t>
  </si>
  <si>
    <t>09-2185858</t>
  </si>
  <si>
    <t>michelle@remarkablekids.co.nz</t>
  </si>
  <si>
    <t>10 Kawakawa Place</t>
  </si>
  <si>
    <t>Rouyun Liao</t>
  </si>
  <si>
    <t>City Impact Church Childcare - North Shore</t>
  </si>
  <si>
    <t>09-4770309</t>
  </si>
  <si>
    <t>790-792 East Coast Rd</t>
  </si>
  <si>
    <t>Almira Malyn Remon</t>
  </si>
  <si>
    <t>Education Angels 2</t>
  </si>
  <si>
    <t>Level 2, Suite 4 93 Dominion Road</t>
  </si>
  <si>
    <t>Xing Ge</t>
  </si>
  <si>
    <t>Sunlight ECE Education</t>
  </si>
  <si>
    <t>09-9750611</t>
  </si>
  <si>
    <t>50 County Road</t>
  </si>
  <si>
    <t>Zheng Feng</t>
  </si>
  <si>
    <t>Tiny Nation Taranaki Whanganui</t>
  </si>
  <si>
    <t>027-4567800</t>
  </si>
  <si>
    <t>Jeanette Beard</t>
  </si>
  <si>
    <t>06-345 2600</t>
  </si>
  <si>
    <t>New Shoots Children's Centre - Bayfair</t>
  </si>
  <si>
    <t>07-5759351</t>
  </si>
  <si>
    <t>1E Salt Avenue</t>
  </si>
  <si>
    <t>Summerhill Early Learning</t>
  </si>
  <si>
    <t>06-2804535</t>
  </si>
  <si>
    <t>summerhill@rka.org.nz</t>
  </si>
  <si>
    <t>203 Ruapehu Drive</t>
  </si>
  <si>
    <t>Summerhill-Palmerston North</t>
  </si>
  <si>
    <t>Poutoa</t>
  </si>
  <si>
    <t>Junior Junction (Kumeu)</t>
  </si>
  <si>
    <t>kumeu@juniorjunction.co.nz</t>
  </si>
  <si>
    <t>21 Access Road, Kumeu</t>
  </si>
  <si>
    <t>Genius Kids Early Childhood Educational Centre</t>
  </si>
  <si>
    <t>09-826 8289</t>
  </si>
  <si>
    <t>admin@geniuskids.co.nz</t>
  </si>
  <si>
    <t>93 Golf Road</t>
  </si>
  <si>
    <t>Pingping Huang</t>
  </si>
  <si>
    <t>Childsteps Early Learning Centre</t>
  </si>
  <si>
    <t>09-5211186</t>
  </si>
  <si>
    <t>reception@childsteps.co.nz</t>
  </si>
  <si>
    <t>8 Merfield Street</t>
  </si>
  <si>
    <t>Anthony Major</t>
  </si>
  <si>
    <t>P O Box 25272</t>
  </si>
  <si>
    <t>09-5758818</t>
  </si>
  <si>
    <t>Gingerbread Cottage Network 3</t>
  </si>
  <si>
    <t>027-4728535</t>
  </si>
  <si>
    <t>First Years Baby Care</t>
  </si>
  <si>
    <t>44A Smithfield Road</t>
  </si>
  <si>
    <t>Kuddles In-Home Childcare &amp; Education - 7</t>
  </si>
  <si>
    <t>The Village Early Learning Centre</t>
  </si>
  <si>
    <t>09-6263511</t>
  </si>
  <si>
    <t>taniavv@xtra.co.nz</t>
  </si>
  <si>
    <t>7 Kinross Street</t>
  </si>
  <si>
    <t>Tania van Velzen</t>
  </si>
  <si>
    <t>28C Edmund Street</t>
  </si>
  <si>
    <t>09-444 7543</t>
  </si>
  <si>
    <t>Pacific Early Learning</t>
  </si>
  <si>
    <t>09-5519550</t>
  </si>
  <si>
    <t>pacificearlylearning@cmka.org.nz</t>
  </si>
  <si>
    <t>119 R Rowandale Avenue</t>
  </si>
  <si>
    <t>Tiny Voices Napier</t>
  </si>
  <si>
    <t>06-2117983</t>
  </si>
  <si>
    <t>esther@tinyvoices.co.nz</t>
  </si>
  <si>
    <t>147 Carlyle Street</t>
  </si>
  <si>
    <t>Hospital Hill</t>
  </si>
  <si>
    <t>Esther  Gonzalez</t>
  </si>
  <si>
    <t>P O Box 137030</t>
  </si>
  <si>
    <t>06-4779595</t>
  </si>
  <si>
    <t>Grow Active Essex Street</t>
  </si>
  <si>
    <t>03-9258381</t>
  </si>
  <si>
    <t>essex@growactive.nz</t>
  </si>
  <si>
    <t>29 Essex Street</t>
  </si>
  <si>
    <t>Philipstown</t>
  </si>
  <si>
    <t>Lancaster Park</t>
  </si>
  <si>
    <t>Nicola Perkins</t>
  </si>
  <si>
    <t>03-925 8381</t>
  </si>
  <si>
    <t>Tamariki Station Ainslie Ltd</t>
  </si>
  <si>
    <t>07-8627141</t>
  </si>
  <si>
    <t>ainslie@tamarikistation.co.nz</t>
  </si>
  <si>
    <t>25 Ainslie Road</t>
  </si>
  <si>
    <t>Kid Country Kumeu</t>
  </si>
  <si>
    <t>09-222 0758</t>
  </si>
  <si>
    <t>admin@kidcountrykumeu.co.nz</t>
  </si>
  <si>
    <t>455 Taupaki Road</t>
  </si>
  <si>
    <t>Jessica Cooper</t>
  </si>
  <si>
    <t>455 Taupaki Road RD 2</t>
  </si>
  <si>
    <t>Kumeu 0892</t>
  </si>
  <si>
    <t>Tiny Voices Hobsonville</t>
  </si>
  <si>
    <t>021-287 3567</t>
  </si>
  <si>
    <t>106 Hobsonville Road</t>
  </si>
  <si>
    <t>Tracy Bedford</t>
  </si>
  <si>
    <t>09-4154205</t>
  </si>
  <si>
    <t>Galaxy Childcare - Mahia</t>
  </si>
  <si>
    <t>09-2667412</t>
  </si>
  <si>
    <t>info@galaxychildcare.co.nz</t>
  </si>
  <si>
    <t>80 Mahia Road</t>
  </si>
  <si>
    <t>Busy Bees Feilding</t>
  </si>
  <si>
    <t>06-929 5423</t>
  </si>
  <si>
    <t>9 Gladstone Street</t>
  </si>
  <si>
    <t>Alexandra Riddy</t>
  </si>
  <si>
    <t>06-9295423</t>
  </si>
  <si>
    <t>Biggles Childcare (Henderson)</t>
  </si>
  <si>
    <t>marco_farmand@yahoo.com</t>
  </si>
  <si>
    <t>77 Rathgar Road</t>
  </si>
  <si>
    <t>Tiny Voices Silverdale</t>
  </si>
  <si>
    <t>09-9475151</t>
  </si>
  <si>
    <t>tracy@tinyvoices.co.nz</t>
  </si>
  <si>
    <t>3 Brian Smith Drive</t>
  </si>
  <si>
    <t>Nurture@Home Rua</t>
  </si>
  <si>
    <t>027-284 6630</t>
  </si>
  <si>
    <t>Parkside Playcentre</t>
  </si>
  <si>
    <t>35 Harper Street</t>
  </si>
  <si>
    <t>Parkside</t>
  </si>
  <si>
    <t>BestStart Dixon Heights</t>
  </si>
  <si>
    <t>07-9292578</t>
  </si>
  <si>
    <t>74-76 Cabourne Drive</t>
  </si>
  <si>
    <t>Te Kōhanga Reo o Ngā Pihi o Te Purapura Pai</t>
  </si>
  <si>
    <t>09-2792264</t>
  </si>
  <si>
    <t>Birkenhead College  140 Birkdale Road</t>
  </si>
  <si>
    <t>New Sprout In-Home</t>
  </si>
  <si>
    <t>021-0387628</t>
  </si>
  <si>
    <t>newsproutinhome@gmail.com</t>
  </si>
  <si>
    <t>30B Bracken Avenue</t>
  </si>
  <si>
    <t>Go Bananas Childcare Horotiu</t>
  </si>
  <si>
    <t>07-9499466</t>
  </si>
  <si>
    <t>15 Evolution Drive</t>
  </si>
  <si>
    <t>Tiny Nation Nelson, Marlborough, West Coast 2</t>
  </si>
  <si>
    <t>027-4443831</t>
  </si>
  <si>
    <t>trish@tinynation.co.nz</t>
  </si>
  <si>
    <t>Patricia Baird</t>
  </si>
  <si>
    <t>Above and Beyond In The City Ltd</t>
  </si>
  <si>
    <t>18 Selwyn Street</t>
  </si>
  <si>
    <t>Te Pūtahitanga o te Rukenga o Ngā Wai</t>
  </si>
  <si>
    <t>07-8668786</t>
  </si>
  <si>
    <t>22 Goldfields Road</t>
  </si>
  <si>
    <t>Lorraine Tuhoe</t>
  </si>
  <si>
    <t>Coromandel 3581</t>
  </si>
  <si>
    <t>Windsor Montessori Preschool</t>
  </si>
  <si>
    <t>03-213 0816</t>
  </si>
  <si>
    <t>Windsor Montessori Preschool 99 Wilton Street</t>
  </si>
  <si>
    <t>Cynthia  Copeland</t>
  </si>
  <si>
    <t>99 Wilton Street</t>
  </si>
  <si>
    <t>Farmhouse Preschool and Nursery</t>
  </si>
  <si>
    <t>06-3672471</t>
  </si>
  <si>
    <t>191 Roslyn Road</t>
  </si>
  <si>
    <t>Waitarere</t>
  </si>
  <si>
    <t>Mighty Minds Educare Mt Wellington</t>
  </si>
  <si>
    <t>509/517 Ellerslie Panmure Highway</t>
  </si>
  <si>
    <t>Chia-Chih (Cheryl) Cheng</t>
  </si>
  <si>
    <t xml:space="preserve">36 Sea Spray Drive </t>
  </si>
  <si>
    <t>AoKids|Naenae</t>
  </si>
  <si>
    <t>04-5670688</t>
  </si>
  <si>
    <t>35 Wheatley Street</t>
  </si>
  <si>
    <t>Malo Taeao</t>
  </si>
  <si>
    <t>022-6713060</t>
  </si>
  <si>
    <t>Te Kōhanga Reo o Te Rāhuitanga</t>
  </si>
  <si>
    <t>09-216 8043</t>
  </si>
  <si>
    <t>50 Settlement Road</t>
  </si>
  <si>
    <t>Go Bananas Childcare Mount Wellington</t>
  </si>
  <si>
    <t>200 Mt Wellington Highway</t>
  </si>
  <si>
    <t>Mount Wellington Central</t>
  </si>
  <si>
    <t xml:space="preserve">Manwinder (Bobby) Gill </t>
  </si>
  <si>
    <t>021-710378</t>
  </si>
  <si>
    <t>Growing Roots Early Learning Centre</t>
  </si>
  <si>
    <t>09-963 9387</t>
  </si>
  <si>
    <t>jyotsna.growingroots@gmail.com</t>
  </si>
  <si>
    <t>151 Lincoln Road</t>
  </si>
  <si>
    <t>Jyotsna Bhalla</t>
  </si>
  <si>
    <t>Go Bananas Childcare Highland Park</t>
  </si>
  <si>
    <t>20 Dun Robin Place</t>
  </si>
  <si>
    <t>Go Bananas Childcare Target Rd</t>
  </si>
  <si>
    <t>09-2158714</t>
  </si>
  <si>
    <t>126 Target Road</t>
  </si>
  <si>
    <t>Wairau Valley</t>
  </si>
  <si>
    <t>Go Bananas Childcare Te Atatu</t>
  </si>
  <si>
    <t>543 Te Atatu South Road</t>
  </si>
  <si>
    <t>Manwinder Gill</t>
  </si>
  <si>
    <t>021-710 378</t>
  </si>
  <si>
    <t>Go Bananas Childcare Kelston</t>
  </si>
  <si>
    <t>4038 Great North Road</t>
  </si>
  <si>
    <t>Go Bananas Childcare Papatoetoe</t>
  </si>
  <si>
    <t>79 Kolmar Road</t>
  </si>
  <si>
    <t>Go Bananas Childcare Rata Street</t>
  </si>
  <si>
    <t>15 Rata Street</t>
  </si>
  <si>
    <t>Blossoms Educare Otara</t>
  </si>
  <si>
    <t>09-2130855</t>
  </si>
  <si>
    <t>195 Bairds Road</t>
  </si>
  <si>
    <t>Ranui Christian Preschool</t>
  </si>
  <si>
    <t>09-8320844</t>
  </si>
  <si>
    <t>4 Ranui Station Road</t>
  </si>
  <si>
    <t>Janine Rahui</t>
  </si>
  <si>
    <t>09-8349049</t>
  </si>
  <si>
    <t>Bright Beginnings Early Learning Centre - Howick</t>
  </si>
  <si>
    <t>09-533 0022</t>
  </si>
  <si>
    <t>howick@bbelc.co.nz</t>
  </si>
  <si>
    <t>110 Ridge Road</t>
  </si>
  <si>
    <t>Tiny Nation Southland</t>
  </si>
  <si>
    <t>Genna Hayward</t>
  </si>
  <si>
    <t>Seven Oaks Preschool</t>
  </si>
  <si>
    <t>027-2078414</t>
  </si>
  <si>
    <t>office@sevenoakspreschool.co.nz</t>
  </si>
  <si>
    <t>77 Murphys Road</t>
  </si>
  <si>
    <t>Halswell South West</t>
  </si>
  <si>
    <t>Jessie Jones</t>
  </si>
  <si>
    <t>028-85142183</t>
  </si>
  <si>
    <t>Tiny Nation Q1 Wellington</t>
  </si>
  <si>
    <t>04-5664637</t>
  </si>
  <si>
    <t>Natalie Buckley</t>
  </si>
  <si>
    <t>0800-8469628466</t>
  </si>
  <si>
    <t>Halswell Quarry Preschool</t>
  </si>
  <si>
    <t>027-2401414</t>
  </si>
  <si>
    <t>discover@halswellquarrypreschool.nz</t>
  </si>
  <si>
    <t>2 Irvines Track</t>
  </si>
  <si>
    <t>Halswell South East</t>
  </si>
  <si>
    <t>Kathryn Palliser</t>
  </si>
  <si>
    <t>25 Kennedys Bush Road</t>
  </si>
  <si>
    <t>03-347 4910</t>
  </si>
  <si>
    <t>Happy Kids Parrs Park Early Learning Centre</t>
  </si>
  <si>
    <t>09-8130836</t>
  </si>
  <si>
    <t>115 Seymour Road</t>
  </si>
  <si>
    <t>2/459 Blockhouse Bay Road</t>
  </si>
  <si>
    <t>Newbies Birkdale Early Learning Centre</t>
  </si>
  <si>
    <t>09-2162935</t>
  </si>
  <si>
    <t>126 Birkdale Road</t>
  </si>
  <si>
    <t>Amanda Jones</t>
  </si>
  <si>
    <t>Nettie Riley Kindergarten</t>
  </si>
  <si>
    <t>04-567 0142</t>
  </si>
  <si>
    <t>135 Witako Street</t>
  </si>
  <si>
    <t>Epuni</t>
  </si>
  <si>
    <t>Barnardos Early Learning Lower Hutt</t>
  </si>
  <si>
    <t>04-5699877</t>
  </si>
  <si>
    <t>218 Waterloo Road</t>
  </si>
  <si>
    <t>Trisha Ward</t>
  </si>
  <si>
    <t>Tai O Fenua Kindergarten</t>
  </si>
  <si>
    <t>07-5782918</t>
  </si>
  <si>
    <t>40 Twenty Second Avenue</t>
  </si>
  <si>
    <t>New Shoots Childrens Centre - Kerikeri</t>
  </si>
  <si>
    <t>09-4016085</t>
  </si>
  <si>
    <t>2 Aranga Road</t>
  </si>
  <si>
    <t>Rachel Bolger</t>
  </si>
  <si>
    <t>027-351 7908</t>
  </si>
  <si>
    <t>Little Hands Childcare (Otara)</t>
  </si>
  <si>
    <t>09-2156998</t>
  </si>
  <si>
    <t>2 Tindall Crescent</t>
  </si>
  <si>
    <t>29 Carousel Crescent</t>
  </si>
  <si>
    <t>Manukau 2016</t>
  </si>
  <si>
    <t>'Alaha Manongi Home Based Childcare</t>
  </si>
  <si>
    <t>09-2146333</t>
  </si>
  <si>
    <t>sulietipauuvale@yahoo.co.nz</t>
  </si>
  <si>
    <t>47 Ferguson Street</t>
  </si>
  <si>
    <t>Sulieti Pauuvale Moa</t>
  </si>
  <si>
    <t>2/47 Ferguson Street</t>
  </si>
  <si>
    <t>Nurtured at Home - Wellington 4</t>
  </si>
  <si>
    <t>Te Kōhanga Reo o Waimamaku</t>
  </si>
  <si>
    <t>WHANAU@K01E047.kohanga.ac.nz</t>
  </si>
  <si>
    <t>14 Beach Road</t>
  </si>
  <si>
    <t>Tamarau Early Learning Centre</t>
  </si>
  <si>
    <t>06-8688152</t>
  </si>
  <si>
    <t>tamarauelc@outlook.com</t>
  </si>
  <si>
    <t>2 Newton St</t>
  </si>
  <si>
    <t>Tamarau</t>
  </si>
  <si>
    <t>Christine Taare</t>
  </si>
  <si>
    <t>30 DeLatour Rd</t>
  </si>
  <si>
    <t>022-0708958</t>
  </si>
  <si>
    <t>Little Flyers Early Learning</t>
  </si>
  <si>
    <t>06-3450121</t>
  </si>
  <si>
    <t>68A Harrison Street</t>
  </si>
  <si>
    <t>Katie Fitzgerald</t>
  </si>
  <si>
    <t>027-3256594</t>
  </si>
  <si>
    <t>Poupoutunoa Kindergarten</t>
  </si>
  <si>
    <t>03-976 6752</t>
  </si>
  <si>
    <t>6 Westra Street</t>
  </si>
  <si>
    <t>Clinton</t>
  </si>
  <si>
    <t>Clinton Ward</t>
  </si>
  <si>
    <t>BestStart Whangaparaoa</t>
  </si>
  <si>
    <t>09-4241877</t>
  </si>
  <si>
    <t>719 Whangaparaoa Road</t>
  </si>
  <si>
    <t>Arkles Bay</t>
  </si>
  <si>
    <t>The Children's Ark</t>
  </si>
  <si>
    <t>09-473 0242</t>
  </si>
  <si>
    <t>admin@childrensark.co.nz</t>
  </si>
  <si>
    <t>282 Glenvar Road</t>
  </si>
  <si>
    <t>Awaruku</t>
  </si>
  <si>
    <t>Susan Trace</t>
  </si>
  <si>
    <t>09-4794342</t>
  </si>
  <si>
    <t>Kiddz Homebased Childcare 1</t>
  </si>
  <si>
    <t>MiniDale Explorers</t>
  </si>
  <si>
    <t>09-4211474</t>
  </si>
  <si>
    <t>admin@minidaleexplorers.co.nz</t>
  </si>
  <si>
    <t>2 Archibald Drive, Milldale</t>
  </si>
  <si>
    <t>Old MacDonalds Childcare Morrinsville</t>
  </si>
  <si>
    <t>07-8890999</t>
  </si>
  <si>
    <t>morrinsville@oldmacdonalds.co.nz</t>
  </si>
  <si>
    <t>591 Kuranui Road</t>
  </si>
  <si>
    <t>Tracey Aubin</t>
  </si>
  <si>
    <t>593 Kuranui Road RD 2</t>
  </si>
  <si>
    <t>Morrinsville 3372</t>
  </si>
  <si>
    <t>Te Puna Reo o Hinemataroa Montessori</t>
  </si>
  <si>
    <t>07-2429004</t>
  </si>
  <si>
    <t>44a McKenzie Street</t>
  </si>
  <si>
    <t>Puna Reo, Montessori</t>
  </si>
  <si>
    <t>Te Ata-Ruahine Ruawai</t>
  </si>
  <si>
    <t>Taneatua 3123</t>
  </si>
  <si>
    <t>Lots of Hugs Broadway</t>
  </si>
  <si>
    <t>06-3550330</t>
  </si>
  <si>
    <t>broadway@lotsofhugschildcare.co.nz</t>
  </si>
  <si>
    <t>257 Broadway Ave</t>
  </si>
  <si>
    <t>BestStart Halswell Junction</t>
  </si>
  <si>
    <t>03-9749423</t>
  </si>
  <si>
    <t>halswelljunction@best-start.org</t>
  </si>
  <si>
    <t>386 Halswell Junction Road</t>
  </si>
  <si>
    <t>Oaklands West</t>
  </si>
  <si>
    <t>Freckles Early Learning Centre</t>
  </si>
  <si>
    <t>03-347 0291</t>
  </si>
  <si>
    <t>Freckles@best-start.org</t>
  </si>
  <si>
    <t>48 Branthwaite Drive</t>
  </si>
  <si>
    <t>Rolleston South East</t>
  </si>
  <si>
    <t>Awesome Kiwis Childcare Ltd</t>
  </si>
  <si>
    <t>09-2640306</t>
  </si>
  <si>
    <t>awesomekiwis2020@gmail.com</t>
  </si>
  <si>
    <t>222 Browns Road</t>
  </si>
  <si>
    <t>Burbank</t>
  </si>
  <si>
    <t xml:space="preserve">Ragni  Lata </t>
  </si>
  <si>
    <t>09-264 0306</t>
  </si>
  <si>
    <t>Love and Joy Early Learning Centre Limited</t>
  </si>
  <si>
    <t>09-626 0681</t>
  </si>
  <si>
    <t>loveandjoyece@gmail.com</t>
  </si>
  <si>
    <t>5 Denize Road</t>
  </si>
  <si>
    <t xml:space="preserve">Li  Zhang </t>
  </si>
  <si>
    <t>59B Heaphy Street</t>
  </si>
  <si>
    <t>09-6260681</t>
  </si>
  <si>
    <t>The Village Co - ELC</t>
  </si>
  <si>
    <t>021-281 2201</t>
  </si>
  <si>
    <t>info@thevillageco.co.nz</t>
  </si>
  <si>
    <t>49 Third View Avenue</t>
  </si>
  <si>
    <t>Vivien Bartley</t>
  </si>
  <si>
    <t>Beachlands 2018</t>
  </si>
  <si>
    <t>Aukilani Kids</t>
  </si>
  <si>
    <t>09-280 3893</t>
  </si>
  <si>
    <t>96 Lansford Crescent</t>
  </si>
  <si>
    <t xml:space="preserve">Lynette Reed </t>
  </si>
  <si>
    <t>New Shoots Children's Centre - Greenhithe</t>
  </si>
  <si>
    <t xml:space="preserve">09-307 0005 </t>
  </si>
  <si>
    <t>31 Chester Avenue</t>
  </si>
  <si>
    <t>Kelly  Lambert</t>
  </si>
  <si>
    <t>021-535844</t>
  </si>
  <si>
    <t>Flagstaff Childcare Ltd</t>
  </si>
  <si>
    <t>9 Halcione Close</t>
  </si>
  <si>
    <t>Creative Garden Early Learning Centre</t>
  </si>
  <si>
    <t>09-2590101</t>
  </si>
  <si>
    <t>otahuhu@creativegarden.nz</t>
  </si>
  <si>
    <t>25 Albert Street</t>
  </si>
  <si>
    <t>Ōtāhuhu North East</t>
  </si>
  <si>
    <t>Dongli (Suzy) Zhao</t>
  </si>
  <si>
    <t>Massey Child Care Centre - Albany</t>
  </si>
  <si>
    <t>09-212 7200</t>
  </si>
  <si>
    <t>533 Albany Highway</t>
  </si>
  <si>
    <t xml:space="preserve">Emma  Cunliffe </t>
  </si>
  <si>
    <t>Private Bag 11222</t>
  </si>
  <si>
    <t>Palmerston North 4442</t>
  </si>
  <si>
    <t>09-212 7201</t>
  </si>
  <si>
    <t>Kirwee Treehouse Early Learning Centre</t>
  </si>
  <si>
    <t>36 School Lane</t>
  </si>
  <si>
    <t>Kirwee</t>
  </si>
  <si>
    <t>Jessica Boyes</t>
  </si>
  <si>
    <t>Christchurch 7571</t>
  </si>
  <si>
    <t xml:space="preserve">Te Hū o Kākāpōtahi Kāhui Ako </t>
  </si>
  <si>
    <t>Te Kōhanga Reo o Ngati Kahu</t>
  </si>
  <si>
    <t>50 Adamson Road</t>
  </si>
  <si>
    <t>Dazzling Stars Early Learning Centre</t>
  </si>
  <si>
    <t>09-2152571</t>
  </si>
  <si>
    <t>contactpersondselc@gmail.com</t>
  </si>
  <si>
    <t>512 Swanson Road</t>
  </si>
  <si>
    <t>Barinder Kaur</t>
  </si>
  <si>
    <t>37 Wellfield Drive</t>
  </si>
  <si>
    <t>09-215 2571</t>
  </si>
  <si>
    <t>Little Sparrows Preschool</t>
  </si>
  <si>
    <t>07-8232921</t>
  </si>
  <si>
    <t>231 Lamb St</t>
  </si>
  <si>
    <t>House of Wonder Christchurch by Busy Bees</t>
  </si>
  <si>
    <t>03-5952369</t>
  </si>
  <si>
    <t>2 Bangor Street</t>
  </si>
  <si>
    <t>Nesa Iosua</t>
  </si>
  <si>
    <t>BestStart Pukekohe West</t>
  </si>
  <si>
    <t>09-2828378</t>
  </si>
  <si>
    <t>56 Jutland Road</t>
  </si>
  <si>
    <t xml:space="preserve">Jane  Burke </t>
  </si>
  <si>
    <t>New Shoots Children's Centre - Hillcrest</t>
  </si>
  <si>
    <t xml:space="preserve">09-307 0034 </t>
  </si>
  <si>
    <t>hillcrest@newshoots.co.nz</t>
  </si>
  <si>
    <t>7 Argus Place</t>
  </si>
  <si>
    <t>Giraffe Early Learning Center</t>
  </si>
  <si>
    <t>0800-309000</t>
  </si>
  <si>
    <t>info@gece.co.nz</t>
  </si>
  <si>
    <t>529 Mount Albert Road</t>
  </si>
  <si>
    <t xml:space="preserve">Steven  Xue </t>
  </si>
  <si>
    <t>PO Box 87481</t>
  </si>
  <si>
    <t>Starting Line Home Based Childcare</t>
  </si>
  <si>
    <t>027-6889998</t>
  </si>
  <si>
    <t>admin@startingline.org.nz</t>
  </si>
  <si>
    <t>22 Raumati Road</t>
  </si>
  <si>
    <t>Remuera Waiata</t>
  </si>
  <si>
    <t>Yan Chen</t>
  </si>
  <si>
    <t>Tiny Voices Wellington</t>
  </si>
  <si>
    <t>04-213 9791</t>
  </si>
  <si>
    <t>cmwellington@tinyvoices.co.nz</t>
  </si>
  <si>
    <t>The Grand Arcade 76 Boulcott Street</t>
  </si>
  <si>
    <t>Anne Marie Seremak</t>
  </si>
  <si>
    <t>Peekaboo Childcare Forrest Hill</t>
  </si>
  <si>
    <t>09-4101222</t>
  </si>
  <si>
    <t>2 Marsh Avenue</t>
  </si>
  <si>
    <t xml:space="preserve">297 Beach Road </t>
  </si>
  <si>
    <t>Park Estate Early Learning</t>
  </si>
  <si>
    <t>38 Park Estate Road</t>
  </si>
  <si>
    <t>Seven Stars Kindergarten</t>
  </si>
  <si>
    <t>027-8377827</t>
  </si>
  <si>
    <t>272 Don Buck Road</t>
  </si>
  <si>
    <t xml:space="preserve">15 Pendlebury Street </t>
  </si>
  <si>
    <t>Kids in the View Early Learning</t>
  </si>
  <si>
    <t>021-887534</t>
  </si>
  <si>
    <t>6 Boyack Drive</t>
  </si>
  <si>
    <t>Penni-Marie Harris</t>
  </si>
  <si>
    <t>6 Boyack Drive,Temple View</t>
  </si>
  <si>
    <t>Hamilton 3218</t>
  </si>
  <si>
    <t>BestStart Huntsbury</t>
  </si>
  <si>
    <t>03-9740692</t>
  </si>
  <si>
    <t>huntsbury@best-start.org</t>
  </si>
  <si>
    <t>3 Wilsons Road South</t>
  </si>
  <si>
    <t>Mighty Mind Kids Early Learning Centre</t>
  </si>
  <si>
    <t>32 Driver Road</t>
  </si>
  <si>
    <t>The Nest Limited</t>
  </si>
  <si>
    <t>027-9670708</t>
  </si>
  <si>
    <t>19 Cloten Road</t>
  </si>
  <si>
    <t>Nicola Briggs</t>
  </si>
  <si>
    <t>Little Thinkers Private Kindergarten</t>
  </si>
  <si>
    <t>07-8232555</t>
  </si>
  <si>
    <t>hello@littlethinkers.co.nz</t>
  </si>
  <si>
    <t>1896 Cambridge Road</t>
  </si>
  <si>
    <t>Ilonca  Raymond</t>
  </si>
  <si>
    <t>69 Grey Street</t>
  </si>
  <si>
    <t>027-2747332</t>
  </si>
  <si>
    <t>Dream Catchers Preschool</t>
  </si>
  <si>
    <t>106 Rhinevale Close</t>
  </si>
  <si>
    <t>Western Heights (Auckland)</t>
  </si>
  <si>
    <t>Congqiao Yang</t>
  </si>
  <si>
    <t xml:space="preserve">106 Rhinevale Close </t>
  </si>
  <si>
    <t>Khandallah Little School 2</t>
  </si>
  <si>
    <t>027-399 6996</t>
  </si>
  <si>
    <t>1 Baroda Street</t>
  </si>
  <si>
    <t>Khandallah Reserve</t>
  </si>
  <si>
    <t>Hand and Hand Early Learning Centre, Hamilton</t>
  </si>
  <si>
    <t>09-9497686</t>
  </si>
  <si>
    <t>281 Clarkin Road</t>
  </si>
  <si>
    <t>Porritt</t>
  </si>
  <si>
    <t>Jody Binnie</t>
  </si>
  <si>
    <t>P O Box 85050</t>
  </si>
  <si>
    <t>Auckland 1545</t>
  </si>
  <si>
    <t>Riselaw Road Playcentre</t>
  </si>
  <si>
    <t>027-4646722</t>
  </si>
  <si>
    <t>Education Hub 38 Riselaw Road</t>
  </si>
  <si>
    <t>Calton Hill</t>
  </si>
  <si>
    <t>Nikki Bolton</t>
  </si>
  <si>
    <t>Cuddles Early Learning Centre</t>
  </si>
  <si>
    <t>021-0766668</t>
  </si>
  <si>
    <t>cm@cuddleselc.co.nz</t>
  </si>
  <si>
    <t>12 Greendale Avenue</t>
  </si>
  <si>
    <t>Avonhead East</t>
  </si>
  <si>
    <t>Siân White</t>
  </si>
  <si>
    <t>30 Francis Ave</t>
  </si>
  <si>
    <t>03-3578900</t>
  </si>
  <si>
    <t>Go Bananas Childcare Takanini</t>
  </si>
  <si>
    <t>0800-462626</t>
  </si>
  <si>
    <t>20 Walters Road</t>
  </si>
  <si>
    <t>Takanini Central</t>
  </si>
  <si>
    <t>Twinkle Star Home-based Childcare Limited</t>
  </si>
  <si>
    <t>09-3203125</t>
  </si>
  <si>
    <t>info@twinklestars.co.nz</t>
  </si>
  <si>
    <t>8 Thyme Court</t>
  </si>
  <si>
    <t xml:space="preserve">Tanveer Cheema </t>
  </si>
  <si>
    <t xml:space="preserve">8 Thyme Court </t>
  </si>
  <si>
    <t>03-217 0771</t>
  </si>
  <si>
    <t>105 Racecourse Road</t>
  </si>
  <si>
    <t>117 Racecourse Road</t>
  </si>
  <si>
    <t>Pokeno Playcentre</t>
  </si>
  <si>
    <t>54 Pokeno Road, Pokeno</t>
  </si>
  <si>
    <t>Kiwi Iti Early Learning Centre Ltd</t>
  </si>
  <si>
    <t>07-5610508</t>
  </si>
  <si>
    <t>kiwiitiearlylearning@outlook.com</t>
  </si>
  <si>
    <t>19 Kennedy Drive</t>
  </si>
  <si>
    <t>Emma Clews</t>
  </si>
  <si>
    <t>Early Smiles Childcare &amp; Learning Centre</t>
  </si>
  <si>
    <t>021-129 5138</t>
  </si>
  <si>
    <t>7 Ainwick Road</t>
  </si>
  <si>
    <t xml:space="preserve">Basil  Taha </t>
  </si>
  <si>
    <t xml:space="preserve">7 Ainwick Road </t>
  </si>
  <si>
    <t>KiwiEd</t>
  </si>
  <si>
    <t>021-149 0204</t>
  </si>
  <si>
    <t>15 View Ridge Road</t>
  </si>
  <si>
    <t>Rānui South West</t>
  </si>
  <si>
    <t xml:space="preserve">Kirsty  Hall </t>
  </si>
  <si>
    <t>15 View Ridge Drive</t>
  </si>
  <si>
    <t>Ravenswood Stars Nursery &amp; Preschool</t>
  </si>
  <si>
    <t>03-6629991</t>
  </si>
  <si>
    <t>8 Clayton Place</t>
  </si>
  <si>
    <t>Ravenswood</t>
  </si>
  <si>
    <t>Woodend 7610</t>
  </si>
  <si>
    <t>Little Firefly Early Learning Centre</t>
  </si>
  <si>
    <t>021-2074147</t>
  </si>
  <si>
    <t>Samantha Harrison</t>
  </si>
  <si>
    <t>69 Commercial road</t>
  </si>
  <si>
    <t>Glengarry Early Learning Centre</t>
  </si>
  <si>
    <t>09-8131444</t>
  </si>
  <si>
    <t>glengarryelc@hotmail.com</t>
  </si>
  <si>
    <t>21 Glengarry Road</t>
  </si>
  <si>
    <t>Wild and Love Early Learning Village</t>
  </si>
  <si>
    <t>027-555 3595</t>
  </si>
  <si>
    <t>17 Catherine McLean Road</t>
  </si>
  <si>
    <t>Zhongyang Chen</t>
  </si>
  <si>
    <t>17 Catherine Mclean Road Pukekohe</t>
  </si>
  <si>
    <t>BestStart Silverdale</t>
  </si>
  <si>
    <t>09-9711149</t>
  </si>
  <si>
    <t>4 Alberto Lane</t>
  </si>
  <si>
    <t>Happy Learning Childcare</t>
  </si>
  <si>
    <t>09-2801588</t>
  </si>
  <si>
    <t>info@hlchildcare.co.nz</t>
  </si>
  <si>
    <t>4019 Great North Road</t>
  </si>
  <si>
    <t>Peter Jiang</t>
  </si>
  <si>
    <t xml:space="preserve">4019 Great North Road </t>
  </si>
  <si>
    <t>09-280 1588</t>
  </si>
  <si>
    <t>BestStart Birkdale</t>
  </si>
  <si>
    <t>09-2828395</t>
  </si>
  <si>
    <t>33 Salisbury Road</t>
  </si>
  <si>
    <t>Galaxy Childcare - East Tamaki</t>
  </si>
  <si>
    <t>148 East Tamaki Road</t>
  </si>
  <si>
    <t>Sunita Kant</t>
  </si>
  <si>
    <t>The Oaks Montessori</t>
  </si>
  <si>
    <t>danielle@randdeducation.nz</t>
  </si>
  <si>
    <t>1 Charles Upham Drive</t>
  </si>
  <si>
    <t>Wilde Meadow Limited</t>
  </si>
  <si>
    <t>09-8181432</t>
  </si>
  <si>
    <t>594 West Coast Road</t>
  </si>
  <si>
    <t xml:space="preserve">Kerry  Leonard </t>
  </si>
  <si>
    <t>027-446 3197</t>
  </si>
  <si>
    <t>Little House Montessori Preschool Central</t>
  </si>
  <si>
    <t>021-0510985</t>
  </si>
  <si>
    <t>404 Barbadoes Street</t>
  </si>
  <si>
    <t>Christchurch Central-North</t>
  </si>
  <si>
    <t>Mudpies and Butterflies</t>
  </si>
  <si>
    <t>09-9631772</t>
  </si>
  <si>
    <t>admin@mudpiesandbutterflies.co.nz</t>
  </si>
  <si>
    <t>89-91 Kingseat Road</t>
  </si>
  <si>
    <t xml:space="preserve">Hailee  Minty </t>
  </si>
  <si>
    <t>64 Edgewater Parade</t>
  </si>
  <si>
    <t>09-9731772</t>
  </si>
  <si>
    <t>BestStart Flat Bush School Road</t>
  </si>
  <si>
    <t>09-282 8409</t>
  </si>
  <si>
    <t>303 Flat Bush School Road</t>
  </si>
  <si>
    <t>Bremner Ridge</t>
  </si>
  <si>
    <t>Little Guys Early Learning Centre</t>
  </si>
  <si>
    <t>09-8697660</t>
  </si>
  <si>
    <t>hello@littleguyslearning.co.nz</t>
  </si>
  <si>
    <t>65 Blackbridge Road, Karaka</t>
  </si>
  <si>
    <t xml:space="preserve">Sally  Guy </t>
  </si>
  <si>
    <t>540 Karaka Road</t>
  </si>
  <si>
    <t>Auckland 2580</t>
  </si>
  <si>
    <t>022-3543693</t>
  </si>
  <si>
    <t>Young Learners Early Childhood Education Centre</t>
  </si>
  <si>
    <t>021-1068054</t>
  </si>
  <si>
    <t>2 Airdrie Road</t>
  </si>
  <si>
    <t xml:space="preserve">Chan Wang </t>
  </si>
  <si>
    <t xml:space="preserve">2 Airdrie Road, </t>
  </si>
  <si>
    <t>BestStart Ferry Road</t>
  </si>
  <si>
    <t>03-9308462</t>
  </si>
  <si>
    <t>533 Ferry Road</t>
  </si>
  <si>
    <t>Little Monkeys at Home</t>
  </si>
  <si>
    <t>office@littlemonkeys.nz</t>
  </si>
  <si>
    <t>Bernadette Dunstan</t>
  </si>
  <si>
    <t>022-4591361</t>
  </si>
  <si>
    <t>Piccolo Park Dannemora Limited</t>
  </si>
  <si>
    <t>09-394 3355</t>
  </si>
  <si>
    <t>508 Chapel Road</t>
  </si>
  <si>
    <t xml:space="preserve">Narisa Daud </t>
  </si>
  <si>
    <t>021-142 4436</t>
  </si>
  <si>
    <t>Acorns Homebased Education and Childcare</t>
  </si>
  <si>
    <t>namdeepsingh07@gmail.com</t>
  </si>
  <si>
    <t>20 Southridge Road</t>
  </si>
  <si>
    <t>Namdeep Singh</t>
  </si>
  <si>
    <t>021-10348192</t>
  </si>
  <si>
    <t>Kiddy Winkles Huapai</t>
  </si>
  <si>
    <t>53 Station Road</t>
  </si>
  <si>
    <t>Happy Hive Early Learning Centre</t>
  </si>
  <si>
    <t>09-2422420</t>
  </si>
  <si>
    <t>caththorpe@googlemail.com</t>
  </si>
  <si>
    <t>45 Greenhithe Road</t>
  </si>
  <si>
    <t>BestStart Te Whāriki</t>
  </si>
  <si>
    <t>03-9265778</t>
  </si>
  <si>
    <t>TeWhariki@best-start.org</t>
  </si>
  <si>
    <t>4 Te Raki Drive</t>
  </si>
  <si>
    <t>Lincoln South</t>
  </si>
  <si>
    <t>Little Ranges Early Learning Centre</t>
  </si>
  <si>
    <t>027-03944024</t>
  </si>
  <si>
    <t>info@littleranges.co.nz</t>
  </si>
  <si>
    <t>Unit 1/10 Woodford Avenue</t>
  </si>
  <si>
    <t>Sharlene  Waetford</t>
  </si>
  <si>
    <t xml:space="preserve">12 Arrow Road </t>
  </si>
  <si>
    <t>027-3944024</t>
  </si>
  <si>
    <t>Brightlands Childcare Centre, Airport Oaks</t>
  </si>
  <si>
    <t>09-2184993</t>
  </si>
  <si>
    <t>45 McKenzie Road</t>
  </si>
  <si>
    <t>Setaita Po'ese</t>
  </si>
  <si>
    <t xml:space="preserve">562 Te Rapa Road </t>
  </si>
  <si>
    <t>Future Focus - The Boulevard</t>
  </si>
  <si>
    <t>07-2424232</t>
  </si>
  <si>
    <t>183 The Boulevard</t>
  </si>
  <si>
    <t>Wairakei East-Te Tumu</t>
  </si>
  <si>
    <t>Rose McLiver</t>
  </si>
  <si>
    <t>Just Kidz Henderson</t>
  </si>
  <si>
    <t>021-155 5663</t>
  </si>
  <si>
    <t>131 Lincoln Road</t>
  </si>
  <si>
    <t>Hong Pan</t>
  </si>
  <si>
    <t xml:space="preserve">49 Myland Drive </t>
  </si>
  <si>
    <t>Jeanna Newton</t>
  </si>
  <si>
    <t>022-6513122</t>
  </si>
  <si>
    <t>Westpark Early Learning</t>
  </si>
  <si>
    <t>03-3107755</t>
  </si>
  <si>
    <t>libby@4es.nz</t>
  </si>
  <si>
    <t>59 Westpark Boulevard</t>
  </si>
  <si>
    <t>Olivia Cunniffe</t>
  </si>
  <si>
    <t>Christchurch 7471</t>
  </si>
  <si>
    <t>Kiddie Star ECE Homebased</t>
  </si>
  <si>
    <t>022-2746668</t>
  </si>
  <si>
    <t>1/2 Langford Street</t>
  </si>
  <si>
    <t>BestStart Murphys Park</t>
  </si>
  <si>
    <t>09-558-4639</t>
  </si>
  <si>
    <t>1 Picturesque Drive</t>
  </si>
  <si>
    <t>Ormiston South East</t>
  </si>
  <si>
    <t>Te Pito o te Puna Wai o Waipapa - Hagley Community Preschool</t>
  </si>
  <si>
    <t>03-364 5158</t>
  </si>
  <si>
    <t>preschool@hagley.school.nz</t>
  </si>
  <si>
    <t>510 Hagley Ave</t>
  </si>
  <si>
    <t>Tracy Summerton</t>
  </si>
  <si>
    <t>P O Box 3084</t>
  </si>
  <si>
    <t>Christchurch 8140</t>
  </si>
  <si>
    <t>Deb's Place Early Learning Centre</t>
  </si>
  <si>
    <t>03-3384470</t>
  </si>
  <si>
    <t>debbie@debsearlylearning.com</t>
  </si>
  <si>
    <t>29 Macaulay Street</t>
  </si>
  <si>
    <t>Addington</t>
  </si>
  <si>
    <t>Addington West</t>
  </si>
  <si>
    <t>Debra Watts</t>
  </si>
  <si>
    <t>Waipara 7474</t>
  </si>
  <si>
    <t>BestStart Kensington Crossing</t>
  </si>
  <si>
    <t>09-459 1442</t>
  </si>
  <si>
    <t>kensingtoncrossing@best-start.org</t>
  </si>
  <si>
    <t>8 Kensington Avenue</t>
  </si>
  <si>
    <t>BestStart Highfield</t>
  </si>
  <si>
    <t>03-9749457</t>
  </si>
  <si>
    <t>40 Douglas Street</t>
  </si>
  <si>
    <t>Highfield North</t>
  </si>
  <si>
    <t>Dandelions and Dragonflies</t>
  </si>
  <si>
    <t>09-2429100</t>
  </si>
  <si>
    <t>29 Hall Road, RD2</t>
  </si>
  <si>
    <t>Catherine Darby</t>
  </si>
  <si>
    <t>Co Star Early Learning Centre</t>
  </si>
  <si>
    <t>09-4409890</t>
  </si>
  <si>
    <t>79 Chivalry Road</t>
  </si>
  <si>
    <t xml:space="preserve">Lei  Lei </t>
  </si>
  <si>
    <t xml:space="preserve">79 Chivalry Road </t>
  </si>
  <si>
    <t>022-17562323</t>
  </si>
  <si>
    <t>Papatoetoe Kids Early Learning Centre</t>
  </si>
  <si>
    <t>021-144 0018</t>
  </si>
  <si>
    <t>68 Station Road</t>
  </si>
  <si>
    <t xml:space="preserve">Ria  Tuala </t>
  </si>
  <si>
    <t>021-1662017</t>
  </si>
  <si>
    <t>Wonder Kids Lower Hutt</t>
  </si>
  <si>
    <t>1122 High Street</t>
  </si>
  <si>
    <t>Karthikayan Palaniveloo</t>
  </si>
  <si>
    <t>Blessings for Life Riverside</t>
  </si>
  <si>
    <t>09-408 2001</t>
  </si>
  <si>
    <t>New Shoots Childrens' Centre - Miniland</t>
  </si>
  <si>
    <t>09-218 2997</t>
  </si>
  <si>
    <t>11 Sunnyview Road</t>
  </si>
  <si>
    <t>P O Box 101455</t>
  </si>
  <si>
    <t>Auckland 0745</t>
  </si>
  <si>
    <t>Just Kidz Ormiston</t>
  </si>
  <si>
    <t>021-08072108</t>
  </si>
  <si>
    <t>ormiston@justkidz.co.nz</t>
  </si>
  <si>
    <t>Shop C-80A &amp; C-80B Ormiston Town Centre, Ormiston &amp; Mahy Road</t>
  </si>
  <si>
    <t>Ormiston North</t>
  </si>
  <si>
    <t>Jie (Zoey)  Zhou</t>
  </si>
  <si>
    <t>20 Dilworth Avenue</t>
  </si>
  <si>
    <t>Nurtured at Home - Wellington 5</t>
  </si>
  <si>
    <t>The Forest ECE Ltd</t>
  </si>
  <si>
    <t>027-2333376</t>
  </si>
  <si>
    <t>59 Te Miro Road</t>
  </si>
  <si>
    <t>Te Miro</t>
  </si>
  <si>
    <t>Karapiro</t>
  </si>
  <si>
    <t>Maungatautari General Ward</t>
  </si>
  <si>
    <t>Joanna Maddison</t>
  </si>
  <si>
    <t>73 Te Miro Road</t>
  </si>
  <si>
    <t>Cambridge 3496</t>
  </si>
  <si>
    <t>Kidz Park Albany Child Care Centre</t>
  </si>
  <si>
    <t>09-3000696</t>
  </si>
  <si>
    <t>25 Corban Avenue</t>
  </si>
  <si>
    <t>Wendi Wang</t>
  </si>
  <si>
    <t>Tiny Nation Bay of Plenty</t>
  </si>
  <si>
    <t>0800-846 9628466</t>
  </si>
  <si>
    <t>Rebecca Hesson</t>
  </si>
  <si>
    <t>021-2044665</t>
  </si>
  <si>
    <t>Aniwaniwa - (The Rainbow) - Stars</t>
  </si>
  <si>
    <t>021-0255 0097</t>
  </si>
  <si>
    <t>43 Harley Street</t>
  </si>
  <si>
    <t>Varleen Kaur</t>
  </si>
  <si>
    <t>Kakapo Creek Children's Garden</t>
  </si>
  <si>
    <t xml:space="preserve">09-410 2181 </t>
  </si>
  <si>
    <t>409 Beach Road</t>
  </si>
  <si>
    <t>Mairangi Bay South</t>
  </si>
  <si>
    <t>Kaye McKean</t>
  </si>
  <si>
    <t xml:space="preserve">117 East Coast Road </t>
  </si>
  <si>
    <t>Footsteps Adventist Early Learning Centre</t>
  </si>
  <si>
    <t>06-3575827</t>
  </si>
  <si>
    <t>86/90 Pitt Street</t>
  </si>
  <si>
    <t>Joy Reye</t>
  </si>
  <si>
    <t>86-90 Pitt Street</t>
  </si>
  <si>
    <t>06-357 5827</t>
  </si>
  <si>
    <t>Lower North Island Christian Community of Learning</t>
  </si>
  <si>
    <t>The Bee Hive</t>
  </si>
  <si>
    <t>09-836 6271</t>
  </si>
  <si>
    <t>98 Glen Road</t>
  </si>
  <si>
    <t>Jo-Anne  Compton</t>
  </si>
  <si>
    <t xml:space="preserve">319 Henderson Valley Road </t>
  </si>
  <si>
    <t>Besthope Early Learning Centre</t>
  </si>
  <si>
    <t>022-066 2733</t>
  </si>
  <si>
    <t>117 Seddon Street</t>
  </si>
  <si>
    <t>Bing Qin Zhang</t>
  </si>
  <si>
    <t>Northern Southland Kindergarten</t>
  </si>
  <si>
    <t>03-2487870</t>
  </si>
  <si>
    <t>4 Helena Street</t>
  </si>
  <si>
    <t>Lumsden</t>
  </si>
  <si>
    <t>Lumsden-Balfour</t>
  </si>
  <si>
    <t>Kingdomcity Childcare</t>
  </si>
  <si>
    <t>09-4861655</t>
  </si>
  <si>
    <t>2/20 The Warehouse Way</t>
  </si>
  <si>
    <t>Caitlin Meadows</t>
  </si>
  <si>
    <t>Tiny Nation Otago</t>
  </si>
  <si>
    <t>Morgan Brieseman</t>
  </si>
  <si>
    <t>Settlement Road Early Learning</t>
  </si>
  <si>
    <t>104 Settlement Road</t>
  </si>
  <si>
    <t>Little Hoiho</t>
  </si>
  <si>
    <t>5 Ovenden Street</t>
  </si>
  <si>
    <t>Owaka</t>
  </si>
  <si>
    <t>Catlins</t>
  </si>
  <si>
    <t>Catlins Ward</t>
  </si>
  <si>
    <t>Lisa Foster</t>
  </si>
  <si>
    <t>9 Barrs Falls Road, RD2</t>
  </si>
  <si>
    <t>Owaka 9586</t>
  </si>
  <si>
    <t>020-40285758</t>
  </si>
  <si>
    <t>Divine Early Learning Centre</t>
  </si>
  <si>
    <t>022-648 8752</t>
  </si>
  <si>
    <t>124 Rathgar Road</t>
  </si>
  <si>
    <t xml:space="preserve">Tevita  Talakai </t>
  </si>
  <si>
    <t>245 Penrose Road</t>
  </si>
  <si>
    <t>027-676 7053</t>
  </si>
  <si>
    <t>Hands at Play Aotearoa</t>
  </si>
  <si>
    <t>022-426 8127</t>
  </si>
  <si>
    <t>43 Glass Rooad</t>
  </si>
  <si>
    <t>Marlo  Camacho</t>
  </si>
  <si>
    <t xml:space="preserve">43 Glass Road </t>
  </si>
  <si>
    <t>Happy Hearts Early Learning Centre - Red Beach Ltd</t>
  </si>
  <si>
    <t>09-972 7745</t>
  </si>
  <si>
    <t>6 Nga Wai Lane</t>
  </si>
  <si>
    <t>113 Riverhead Road RD 2</t>
  </si>
  <si>
    <t>Lighthouse Childcare</t>
  </si>
  <si>
    <t>027-5502776</t>
  </si>
  <si>
    <t>250 Nelson St</t>
  </si>
  <si>
    <t>Tanya Thom</t>
  </si>
  <si>
    <t>250 Nelson Street</t>
  </si>
  <si>
    <t>Invercargill 9012</t>
  </si>
  <si>
    <t>Little Learners Dinsdale Ltd</t>
  </si>
  <si>
    <t>07-8460404</t>
  </si>
  <si>
    <t>30 Tuhikaramea Road</t>
  </si>
  <si>
    <t>Samantha Broome</t>
  </si>
  <si>
    <t>BestStart Sir Tristram Avenue</t>
  </si>
  <si>
    <t>07-8502050</t>
  </si>
  <si>
    <t>sirtristram@best-start.org</t>
  </si>
  <si>
    <t>6 Sir Tristram Avenue</t>
  </si>
  <si>
    <t>Mangawhai Village Preschool</t>
  </si>
  <si>
    <t>021-225 5511</t>
  </si>
  <si>
    <t>admin@mvpreschool.co.nz</t>
  </si>
  <si>
    <t>1D Molesworth Drive</t>
  </si>
  <si>
    <t>Polina Korneva</t>
  </si>
  <si>
    <t>Unit 202, 168 Hobson Street</t>
  </si>
  <si>
    <t>09-945 3976</t>
  </si>
  <si>
    <t>Jigsaw Preschool Yaldhurst</t>
  </si>
  <si>
    <t>03-3411066</t>
  </si>
  <si>
    <t>trish@jigsawpreschools.co.nz</t>
  </si>
  <si>
    <t>120 Sir John McKenzie Ave</t>
  </si>
  <si>
    <t>Patricia Ireland</t>
  </si>
  <si>
    <t>P O Box 29297</t>
  </si>
  <si>
    <t>Christchurch 8014</t>
  </si>
  <si>
    <t>BestStart Delta Avenue</t>
  </si>
  <si>
    <t>09-8280866</t>
  </si>
  <si>
    <t>52 Delta Avenue</t>
  </si>
  <si>
    <t>New Lynn North</t>
  </si>
  <si>
    <t>Wild at Heart Homebased Education</t>
  </si>
  <si>
    <t>admin@wildathearteducation.co.nz</t>
  </si>
  <si>
    <t>335 Marshmans Rd</t>
  </si>
  <si>
    <t>Ashley</t>
  </si>
  <si>
    <t>Ashley-Sefton</t>
  </si>
  <si>
    <t>Jessica Kerr</t>
  </si>
  <si>
    <t>335 Marshmans Road</t>
  </si>
  <si>
    <t>Rangiora 7477</t>
  </si>
  <si>
    <t>03-3470490</t>
  </si>
  <si>
    <t>1 Rangatira Street</t>
  </si>
  <si>
    <t>Rolleston South Central</t>
  </si>
  <si>
    <t>Shannen Hawkins</t>
  </si>
  <si>
    <t>021-2757531</t>
  </si>
  <si>
    <t>Little Footsteps - Taylor Pass Road</t>
  </si>
  <si>
    <t>027-2510020</t>
  </si>
  <si>
    <t>info@littlefootsteps.co.nz</t>
  </si>
  <si>
    <t>49 Taylor Pass Road</t>
  </si>
  <si>
    <t>Witherlea West</t>
  </si>
  <si>
    <t>Victoria Templeton</t>
  </si>
  <si>
    <t>102 Scott Street</t>
  </si>
  <si>
    <t xml:space="preserve">Blenheim </t>
  </si>
  <si>
    <t>Launch Queen Street</t>
  </si>
  <si>
    <t>021-857055</t>
  </si>
  <si>
    <t>406 Queen Street East</t>
  </si>
  <si>
    <t>Adrie Henrico</t>
  </si>
  <si>
    <t>06-2117607</t>
  </si>
  <si>
    <t>Little Cubs Early Learning Centre</t>
  </si>
  <si>
    <t>03-5502776</t>
  </si>
  <si>
    <t>100 Ensors Road</t>
  </si>
  <si>
    <t>Ensors</t>
  </si>
  <si>
    <t>Jeslyn Yong</t>
  </si>
  <si>
    <t>10 Scott Avenue</t>
  </si>
  <si>
    <t>Little Village Preschool</t>
  </si>
  <si>
    <t>46 Ambler Avenue</t>
  </si>
  <si>
    <t>51 James Laurie Street</t>
  </si>
  <si>
    <t>Remarkable Start Jacks Point Ltd</t>
  </si>
  <si>
    <t>120 Māori Jack Road</t>
  </si>
  <si>
    <t>Jacks Point</t>
  </si>
  <si>
    <t>Remarkable Start Jacks Point 120 Maori Jack Road</t>
  </si>
  <si>
    <t>Queenstown 9371</t>
  </si>
  <si>
    <t>Kaleido Early Learning Centre</t>
  </si>
  <si>
    <t>09-2148336</t>
  </si>
  <si>
    <t>103 Clevedon Road</t>
  </si>
  <si>
    <t>Kizna Ren</t>
  </si>
  <si>
    <t>BestStart Beach Haven</t>
  </si>
  <si>
    <t>09-558 4463</t>
  </si>
  <si>
    <t>199 Beach Haven Road</t>
  </si>
  <si>
    <t>Vintage Kids - Point Chevalier</t>
  </si>
  <si>
    <t>09-242 1980</t>
  </si>
  <si>
    <t>10 Kiwi Road</t>
  </si>
  <si>
    <t>10 Kiwi Raod</t>
  </si>
  <si>
    <t>Ako Tahi</t>
  </si>
  <si>
    <t>021-02929206</t>
  </si>
  <si>
    <t>office@akotahi.co.nz</t>
  </si>
  <si>
    <t>29 Crosby Street</t>
  </si>
  <si>
    <t>Christine Reid</t>
  </si>
  <si>
    <t>Aroha 4 Kidz Home-Based Childcare</t>
  </si>
  <si>
    <t>022-0830913</t>
  </si>
  <si>
    <t>24 Moho Lane</t>
  </si>
  <si>
    <t>Takanini South</t>
  </si>
  <si>
    <t>Satbir Kaur</t>
  </si>
  <si>
    <t xml:space="preserve">24 Moho Lane </t>
  </si>
  <si>
    <t>oneCHILD Ta'i Tamati Turanga Rangatira</t>
  </si>
  <si>
    <t>09-256 0245</t>
  </si>
  <si>
    <t>291 Naylors Drive</t>
  </si>
  <si>
    <t>Heng Chen</t>
  </si>
  <si>
    <t>P O Box 43328</t>
  </si>
  <si>
    <t>Trend Tots Childcare</t>
  </si>
  <si>
    <t>28A Royston Street,  Rosehill</t>
  </si>
  <si>
    <t>The Treehouse Private Kindergarten and Nursery</t>
  </si>
  <si>
    <t>07-5786909</t>
  </si>
  <si>
    <t>282b Cambridge Road</t>
  </si>
  <si>
    <t>Kathryn Clout</t>
  </si>
  <si>
    <t>41 Westview Place</t>
  </si>
  <si>
    <t>Featherston Street Montessori by Busy Bees</t>
  </si>
  <si>
    <t>06-929 4176</t>
  </si>
  <si>
    <t>615A Featherston Street</t>
  </si>
  <si>
    <t>Little House Montessori Zinnia Way</t>
  </si>
  <si>
    <t>4 Zinnia Way</t>
  </si>
  <si>
    <t>8 Rich Terrace</t>
  </si>
  <si>
    <t>Little Climbers Early Learning Centre (Otara)</t>
  </si>
  <si>
    <t>6 Ashton Avenue</t>
  </si>
  <si>
    <t>Millidale Explorers</t>
  </si>
  <si>
    <t>09-421 0234</t>
  </si>
  <si>
    <t>139 Ahutoetoe Road, Milldale</t>
  </si>
  <si>
    <t>Tindalls Garden ECE</t>
  </si>
  <si>
    <t>09-4240637</t>
  </si>
  <si>
    <t>1121 Whangaparaoa Road</t>
  </si>
  <si>
    <t>Tindalls Beach</t>
  </si>
  <si>
    <t>Tindalls-Matakatia</t>
  </si>
  <si>
    <t>Roxanne Barker</t>
  </si>
  <si>
    <t>201 Whangaparaoa Road</t>
  </si>
  <si>
    <t>Red Beach 0932</t>
  </si>
  <si>
    <t>Te Kōhanga Reo o Tōmairangi 2</t>
  </si>
  <si>
    <t>021-1478255</t>
  </si>
  <si>
    <t>47 Mary St</t>
  </si>
  <si>
    <t>Mangapapa North</t>
  </si>
  <si>
    <t xml:space="preserve">Mihi  Tashkoff </t>
  </si>
  <si>
    <t>027-2830840</t>
  </si>
  <si>
    <t>Gaia (Earth) Forest Preschool</t>
  </si>
  <si>
    <t>09-2422154</t>
  </si>
  <si>
    <t>childcare@forestpreschool.co.nz</t>
  </si>
  <si>
    <t>49 Grande Vue Road</t>
  </si>
  <si>
    <t>BestStart Paerata Rise</t>
  </si>
  <si>
    <t>09-281 1094</t>
  </si>
  <si>
    <t>20 Jonah Lomu Drive</t>
  </si>
  <si>
    <t>Paerata</t>
  </si>
  <si>
    <t>Ramarama</t>
  </si>
  <si>
    <t>Muddy Toes ELC Stanmore Bay</t>
  </si>
  <si>
    <t>09-424 0622</t>
  </si>
  <si>
    <t>5a Poplar Road</t>
  </si>
  <si>
    <t>PO Box 152</t>
  </si>
  <si>
    <t>Matakana</t>
  </si>
  <si>
    <t>Rhyme and Reason - Early Learning Centre</t>
  </si>
  <si>
    <t>03-3650005</t>
  </si>
  <si>
    <t>info@rhyme.co.nz</t>
  </si>
  <si>
    <t>112 Opawa Road</t>
  </si>
  <si>
    <t>Jemma Smithson</t>
  </si>
  <si>
    <t>C/- 154a Fisher Avenue</t>
  </si>
  <si>
    <t>Little Bunny Childcare</t>
  </si>
  <si>
    <t>09-217 6669</t>
  </si>
  <si>
    <t>info@littlebunny.co.nz</t>
  </si>
  <si>
    <t>54 Browns Road</t>
  </si>
  <si>
    <t>17 Springcrest Drive</t>
  </si>
  <si>
    <t>Universal Kids</t>
  </si>
  <si>
    <t>09-835 1699</t>
  </si>
  <si>
    <t>Unit A7 192 Universal Drive</t>
  </si>
  <si>
    <t>022-0457736</t>
  </si>
  <si>
    <t>21 Francis Brown Avenue</t>
  </si>
  <si>
    <t>Maureen Ngaira</t>
  </si>
  <si>
    <t>New Shoots Children's Centre - Ramarama</t>
  </si>
  <si>
    <t>09-2948510</t>
  </si>
  <si>
    <t>10 Talus Drive</t>
  </si>
  <si>
    <t>Drury South Crossing</t>
  </si>
  <si>
    <t>Stella Maris Te Aho Tāhuhu o Te Matauranga Katorika</t>
  </si>
  <si>
    <t>06-8630428</t>
  </si>
  <si>
    <t>admin@stellamaris.cdh.nz</t>
  </si>
  <si>
    <t>44 Campion Rd</t>
  </si>
  <si>
    <t>Bridget Armstrong</t>
  </si>
  <si>
    <t>Nurture and Bloom Early Learning Centre-Te Rapa</t>
  </si>
  <si>
    <t>021-739318</t>
  </si>
  <si>
    <t>24 Brent Greig Lane</t>
  </si>
  <si>
    <t>Burbush</t>
  </si>
  <si>
    <t>Megan Locker</t>
  </si>
  <si>
    <t>60 Laxon Road</t>
  </si>
  <si>
    <t>Hamilton 3288</t>
  </si>
  <si>
    <t>07-2604119</t>
  </si>
  <si>
    <t>KiwiEd 2</t>
  </si>
  <si>
    <t>Kushla Ryan</t>
  </si>
  <si>
    <t>09-4784990</t>
  </si>
  <si>
    <t>Kidfirst Childcare Limited</t>
  </si>
  <si>
    <t>48A Oriana Avenue</t>
  </si>
  <si>
    <t>Jingying Wang</t>
  </si>
  <si>
    <t>Blossoms Educare Papatoetoe</t>
  </si>
  <si>
    <t>09-2176501</t>
  </si>
  <si>
    <t>papatoetoe@blossomseducare.co.nz</t>
  </si>
  <si>
    <t>159 Tui Road</t>
  </si>
  <si>
    <t>Auckland 2246</t>
  </si>
  <si>
    <t>The Wilderness</t>
  </si>
  <si>
    <t>03-3650200</t>
  </si>
  <si>
    <t>483a Yaldhurst Road</t>
  </si>
  <si>
    <t>Russley</t>
  </si>
  <si>
    <t>Amber James</t>
  </si>
  <si>
    <t>Christchurch 7676</t>
  </si>
  <si>
    <t>021-528905</t>
  </si>
  <si>
    <t>Te Kohanga Reo o Te Rangitaamiro</t>
  </si>
  <si>
    <t>021-0604102</t>
  </si>
  <si>
    <t>44 Moorhouse Street</t>
  </si>
  <si>
    <t>Beachlands Brilliant Minds Early Childhood Centre</t>
  </si>
  <si>
    <t>09-536 4635</t>
  </si>
  <si>
    <t>19 Wakelin Road</t>
  </si>
  <si>
    <t>Auckland 016</t>
  </si>
  <si>
    <t>Home Grown Kids – Canterbury</t>
  </si>
  <si>
    <t>027-2715429</t>
  </si>
  <si>
    <t>57a Spring Street</t>
  </si>
  <si>
    <t>Aotea Early Learning Centre</t>
  </si>
  <si>
    <t>09-4290600</t>
  </si>
  <si>
    <t>c/- Playcentre Building  50 Kaitoke Lane, Claris</t>
  </si>
  <si>
    <t>Nicola Watts</t>
  </si>
  <si>
    <t>c/- Playcentre Building Claris</t>
  </si>
  <si>
    <t>Auckland 0991</t>
  </si>
  <si>
    <t>Little Climbers Early Learning Centre - Pukekohe</t>
  </si>
  <si>
    <t>09-9631020</t>
  </si>
  <si>
    <t>122 Helvetia Road</t>
  </si>
  <si>
    <t>Growing Wings Early Learning Centre</t>
  </si>
  <si>
    <t>admin@growingwingselc.co.nz</t>
  </si>
  <si>
    <t>New Shoots Children's Centre - Coatesville</t>
  </si>
  <si>
    <t>09-3040030</t>
  </si>
  <si>
    <t>coatesville@newshoots.co.nz</t>
  </si>
  <si>
    <t>302 Coatesville Riverhead Highway</t>
  </si>
  <si>
    <t>Fonua 'Alaha Manongi Kindergarten</t>
  </si>
  <si>
    <t>09-2769009</t>
  </si>
  <si>
    <t>27 Fort Street</t>
  </si>
  <si>
    <t>09-3001807</t>
  </si>
  <si>
    <t>Kindercare Learning Centres - Warkworth</t>
  </si>
  <si>
    <t>027-7005300</t>
  </si>
  <si>
    <t>24 Mansel Drive</t>
  </si>
  <si>
    <t>Ponsonby Montessori Kindergarten II</t>
  </si>
  <si>
    <t>09-3600568</t>
  </si>
  <si>
    <t>136 Richmond Road</t>
  </si>
  <si>
    <t>Rose and Clive Early Learning Centre</t>
  </si>
  <si>
    <t>022-1879015</t>
  </si>
  <si>
    <t>7 Tetley Street</t>
  </si>
  <si>
    <t>Amy Hamihana</t>
  </si>
  <si>
    <t>197 Harris Road</t>
  </si>
  <si>
    <t>Whangarei 0175</t>
  </si>
  <si>
    <t>027-6304122</t>
  </si>
  <si>
    <t>Learning Curves Montessori Lincoln</t>
  </si>
  <si>
    <t>027-0274589959</t>
  </si>
  <si>
    <t>emily@lcmontessori.co.nz</t>
  </si>
  <si>
    <t>35 O'Reilly Road</t>
  </si>
  <si>
    <t xml:space="preserve">Emily  Street </t>
  </si>
  <si>
    <t xml:space="preserve">82 Warrington Street </t>
  </si>
  <si>
    <t>027-3489258</t>
  </si>
  <si>
    <t>BestStart Bremner Road</t>
  </si>
  <si>
    <t>09-2502659</t>
  </si>
  <si>
    <t>2 Tributary Parade</t>
  </si>
  <si>
    <t>Drury West</t>
  </si>
  <si>
    <t>Āwhina Pēpi</t>
  </si>
  <si>
    <t>0800-762 569</t>
  </si>
  <si>
    <t>34 Te Aute Road</t>
  </si>
  <si>
    <t>Saint Kentigern Preschool</t>
  </si>
  <si>
    <t>09-520 8814</t>
  </si>
  <si>
    <t>82 Shore Road</t>
  </si>
  <si>
    <t>Remuera North</t>
  </si>
  <si>
    <t>Megan Storey</t>
  </si>
  <si>
    <t>130 Pakuranga Road</t>
  </si>
  <si>
    <t>09-5208814</t>
  </si>
  <si>
    <t>Educare Porirua LTD</t>
  </si>
  <si>
    <t>04-2374899</t>
  </si>
  <si>
    <t>13-15 Awarua Street</t>
  </si>
  <si>
    <t>Tessa Drowley</t>
  </si>
  <si>
    <t>3 Gray Street</t>
  </si>
  <si>
    <t>Go Bananas Childcare Hari Centre</t>
  </si>
  <si>
    <t>47 Kolmar Road</t>
  </si>
  <si>
    <t>PO Box 82266</t>
  </si>
  <si>
    <t>Kadimah Preschool</t>
  </si>
  <si>
    <t>09-7777577 Ext 3</t>
  </si>
  <si>
    <t>514 Remuera Road</t>
  </si>
  <si>
    <t>Vinita White</t>
  </si>
  <si>
    <t>Te Rua Kopere Whare Kohungahunga</t>
  </si>
  <si>
    <t>021-2851967</t>
  </si>
  <si>
    <t>66 Morrison Road</t>
  </si>
  <si>
    <t>Vicki Biddle-Clarke</t>
  </si>
  <si>
    <t xml:space="preserve">Taneatua </t>
  </si>
  <si>
    <t>Backyard Kids Limited</t>
  </si>
  <si>
    <t>021-971313</t>
  </si>
  <si>
    <t>1 Ngāti Ngarongo Road</t>
  </si>
  <si>
    <t>Alice Pritchard</t>
  </si>
  <si>
    <t>15 Kauri Road</t>
  </si>
  <si>
    <t xml:space="preserve">Waikanae </t>
  </si>
  <si>
    <t>WanaExcel B4 School</t>
  </si>
  <si>
    <t>25 Reece Crescent</t>
  </si>
  <si>
    <t>Busy Bees Church Street</t>
  </si>
  <si>
    <t>06-9294175</t>
  </si>
  <si>
    <t>539 Church Street</t>
  </si>
  <si>
    <t>Papaioea South</t>
  </si>
  <si>
    <t>Natalie Martin</t>
  </si>
  <si>
    <t>Go Bananas Childcare Swanson</t>
  </si>
  <si>
    <t>41 Candia Road</t>
  </si>
  <si>
    <t>Tic Tac Toe Educare Little Sprouts Kindergarten</t>
  </si>
  <si>
    <t>50 Onslow Street</t>
  </si>
  <si>
    <t>Happy Sprouts Hamilton Limited</t>
  </si>
  <si>
    <t>7 Bains Ave</t>
  </si>
  <si>
    <t>P O Box 67</t>
  </si>
  <si>
    <t>Otorohanga 3900</t>
  </si>
  <si>
    <t>Tui's Corner ECE Centre</t>
  </si>
  <si>
    <t>3 &amp; 5 Moreton Drive</t>
  </si>
  <si>
    <t>Lesley Cox</t>
  </si>
  <si>
    <t>3 Moreton Drive</t>
  </si>
  <si>
    <t>020-419 03690</t>
  </si>
  <si>
    <t>Future Kids Preschool Hāwera</t>
  </si>
  <si>
    <t>06-2780050</t>
  </si>
  <si>
    <t>219 Glover Road Hawera</t>
  </si>
  <si>
    <t>Amanda Hovey</t>
  </si>
  <si>
    <t>219 Glover Road</t>
  </si>
  <si>
    <t>027-2665167</t>
  </si>
  <si>
    <t>BestStart Hanleys Farm</t>
  </si>
  <si>
    <t>03-9265563</t>
  </si>
  <si>
    <t>1 Spur Ridge Rise</t>
  </si>
  <si>
    <t>Pamela Thomas</t>
  </si>
  <si>
    <t>BestStart Berryfields Crossing</t>
  </si>
  <si>
    <t>03-9265561</t>
  </si>
  <si>
    <t>BestStart Berryfield Crossing 14 Berryfields Drive</t>
  </si>
  <si>
    <t>Richmond West (Tasman District)</t>
  </si>
  <si>
    <t>Elizabeth Kelly</t>
  </si>
  <si>
    <t>Magic Sparks Nature Preschool</t>
  </si>
  <si>
    <t>187 Ruahine Street</t>
  </si>
  <si>
    <t>Barnardos Early Learning Awhi Tairāwhiti</t>
  </si>
  <si>
    <t>06-8691341</t>
  </si>
  <si>
    <t>TairawhitiELC@barnardos.org.nz</t>
  </si>
  <si>
    <t>25 Ormond Road</t>
  </si>
  <si>
    <t>Quannah Nickerson</t>
  </si>
  <si>
    <t>Flora and Fauna Early Learning Centre</t>
  </si>
  <si>
    <t>027-8825002</t>
  </si>
  <si>
    <t>admin@floraandfaunaearlylearning.co.nz</t>
  </si>
  <si>
    <t>166 Hangawera Road</t>
  </si>
  <si>
    <t>Alesha Smith</t>
  </si>
  <si>
    <t>483 Scotsman Valley Road</t>
  </si>
  <si>
    <t>Hamilton 3371</t>
  </si>
  <si>
    <t>Kidsfirst Kindergartens East Rolleston</t>
  </si>
  <si>
    <t>03-4214879</t>
  </si>
  <si>
    <t>121 Shillingford Boulevard</t>
  </si>
  <si>
    <t>03-338 1303</t>
  </si>
  <si>
    <t>WildHeart - Makuru Mātā</t>
  </si>
  <si>
    <t>03-244 0486</t>
  </si>
  <si>
    <t>learning@wildheartece.co.nz</t>
  </si>
  <si>
    <t>27 Kate Sheppard Drive</t>
  </si>
  <si>
    <t>Rolleston 7615</t>
  </si>
  <si>
    <t>Selwyn Kids HB 2</t>
  </si>
  <si>
    <t>60-62 Rolleston Drive</t>
  </si>
  <si>
    <t>Manawa Children's Village</t>
  </si>
  <si>
    <t>021-587 213</t>
  </si>
  <si>
    <t>70 Ward Street</t>
  </si>
  <si>
    <t>Wallaceville</t>
  </si>
  <si>
    <t>Tessa McTaylor</t>
  </si>
  <si>
    <t>Ngaruawahia 3877</t>
  </si>
  <si>
    <t>BestStart Milson Line</t>
  </si>
  <si>
    <t>09-9278852</t>
  </si>
  <si>
    <t>61-63 Milson Line</t>
  </si>
  <si>
    <t>Milson South</t>
  </si>
  <si>
    <t>BestStart Lakeside Village</t>
  </si>
  <si>
    <t>07-2807253</t>
  </si>
  <si>
    <t>187 Rimu Street</t>
  </si>
  <si>
    <t>Te Kauwhata West</t>
  </si>
  <si>
    <t>Kaute Pasifika ECE Limited Partnership</t>
  </si>
  <si>
    <t>07-5950425</t>
  </si>
  <si>
    <t>100 Seddon Road</t>
  </si>
  <si>
    <t>Trisha (Annette) Tamaki</t>
  </si>
  <si>
    <t>The Pudney Hub</t>
  </si>
  <si>
    <t>glenn@pudneyhub.com</t>
  </si>
  <si>
    <t>46 Kennedy Road</t>
  </si>
  <si>
    <t>Glenn Bond</t>
  </si>
  <si>
    <t>291 State Highway 5</t>
  </si>
  <si>
    <t>Napier 4182</t>
  </si>
  <si>
    <t>Mamma Bear Whanganui</t>
  </si>
  <si>
    <t>027-3382122</t>
  </si>
  <si>
    <t>2 Koromiko Road</t>
  </si>
  <si>
    <t>Kylie McLean</t>
  </si>
  <si>
    <t>8 Shadbolt Drive</t>
  </si>
  <si>
    <t>Cambridge 3432</t>
  </si>
  <si>
    <t>Future Focus - Livingstone Drive</t>
  </si>
  <si>
    <t>41 Livingstone Drive</t>
  </si>
  <si>
    <t>Renee Pahuru</t>
  </si>
  <si>
    <t>021-2673513</t>
  </si>
  <si>
    <t>Te Puna Reo o Manga Tangaroa</t>
  </si>
  <si>
    <t>clara@teputahi.co.nz</t>
  </si>
  <si>
    <t>28 Windsor Road</t>
  </si>
  <si>
    <t>Clara Aperahama-Kopa</t>
  </si>
  <si>
    <t>P O Box 172</t>
  </si>
  <si>
    <t>Wildflowers ELC</t>
  </si>
  <si>
    <t>03-9275038</t>
  </si>
  <si>
    <t>info@wildflowerselc.co.nz</t>
  </si>
  <si>
    <t>8 Central Park Lane</t>
  </si>
  <si>
    <t>Hannah Burns</t>
  </si>
  <si>
    <t>Mountainview Montessori Preschool</t>
  </si>
  <si>
    <t>07-2815015</t>
  </si>
  <si>
    <t>111 Onslow Street</t>
  </si>
  <si>
    <t>Mohini Nath</t>
  </si>
  <si>
    <t xml:space="preserve">Kawerau </t>
  </si>
  <si>
    <t>09-8285440</t>
  </si>
  <si>
    <t>House of Wonder Forest Lake</t>
  </si>
  <si>
    <t>022-0706954</t>
  </si>
  <si>
    <t>83 Forest Lake Rd</t>
  </si>
  <si>
    <t>Parkview Preschool</t>
  </si>
  <si>
    <t>info@parkviewpreschool.nz</t>
  </si>
  <si>
    <t>173-175 Rautawhiri Road</t>
  </si>
  <si>
    <t>Kiddie Star Home-based 2</t>
  </si>
  <si>
    <t>021-710668</t>
  </si>
  <si>
    <t>Barnardos Early Learning Home Based Kāpiti/Horowhenua</t>
  </si>
  <si>
    <t>027-2213482</t>
  </si>
  <si>
    <t>100 Tory Street</t>
  </si>
  <si>
    <t>Vivian East</t>
  </si>
  <si>
    <t>Carleen  Whatford</t>
  </si>
  <si>
    <t>The Oaks Early Learning Centre</t>
  </si>
  <si>
    <t>03-307 1275</t>
  </si>
  <si>
    <t>475 &amp; 477 West Street</t>
  </si>
  <si>
    <t>Ashleigh May</t>
  </si>
  <si>
    <t>239 Springfield Road West</t>
  </si>
  <si>
    <t>Ashburton 7776</t>
  </si>
  <si>
    <t>027-779 1057</t>
  </si>
  <si>
    <t>Te Kōhanga Reo O Te Kaokaoroa o Patetere</t>
  </si>
  <si>
    <t>07-882 1233</t>
  </si>
  <si>
    <t>117 Buckland Street</t>
  </si>
  <si>
    <t>Dream Catchers Early Learning Service</t>
  </si>
  <si>
    <t>09-963 9183</t>
  </si>
  <si>
    <t>1-3 Taimana Place</t>
  </si>
  <si>
    <t>Greenhithe South</t>
  </si>
  <si>
    <t>1 Taimana Place</t>
  </si>
  <si>
    <t>The Harbour Haven</t>
  </si>
  <si>
    <t>130 Pinecrest Drive</t>
  </si>
  <si>
    <t>Gulf Harbour South</t>
  </si>
  <si>
    <t>Brianna Marsh</t>
  </si>
  <si>
    <t>Little Royals Montessori Preschool</t>
  </si>
  <si>
    <t>027-511 1333</t>
  </si>
  <si>
    <t>littleroyalsmontessori@gmail.com</t>
  </si>
  <si>
    <t>Unit 1-3 138 Royal Road, Royal Heights</t>
  </si>
  <si>
    <t>Royal Heights North</t>
  </si>
  <si>
    <t>Xinyue Wang</t>
  </si>
  <si>
    <t>2a Melrose Road East</t>
  </si>
  <si>
    <t>Little Oaks Montessori</t>
  </si>
  <si>
    <t>027-7417156</t>
  </si>
  <si>
    <t>155 South Street</t>
  </si>
  <si>
    <t>Alice Cook</t>
  </si>
  <si>
    <t>The Montessori Preschool - Mt Albert</t>
  </si>
  <si>
    <t>4 Sainsbury Road</t>
  </si>
  <si>
    <t>Candy Cuddles Early Childhood Centre</t>
  </si>
  <si>
    <t>09-296 0202</t>
  </si>
  <si>
    <t>candycuddles13@gmail.com</t>
  </si>
  <si>
    <t>13 Princess Street</t>
  </si>
  <si>
    <t>Pushbhinder Kaur</t>
  </si>
  <si>
    <t>36 Amaretto Avenue</t>
  </si>
  <si>
    <t xml:space="preserve">09-296 0202 </t>
  </si>
  <si>
    <t>Curious Minds Early Learning</t>
  </si>
  <si>
    <t>03-9744650</t>
  </si>
  <si>
    <t>Level 1, 5 Mile Retail 30 Grant Road</t>
  </si>
  <si>
    <t>Sinead Harrington</t>
  </si>
  <si>
    <t>Tiny Voices Herne Bay</t>
  </si>
  <si>
    <t>09-973 4091</t>
  </si>
  <si>
    <t>sophie@tinyvoices.co.nz</t>
  </si>
  <si>
    <t>1/272 Jervois Road</t>
  </si>
  <si>
    <t>Mayada Ali</t>
  </si>
  <si>
    <t>Stem Montessori</t>
  </si>
  <si>
    <t>022-0425661</t>
  </si>
  <si>
    <t>8 Lincoln Road</t>
  </si>
  <si>
    <t>Hillmorton</t>
  </si>
  <si>
    <t>79a Middleton Road</t>
  </si>
  <si>
    <t>Little Ferns Early Learning Centre</t>
  </si>
  <si>
    <t>03-3470050</t>
  </si>
  <si>
    <t>17 Broadlands Drive</t>
  </si>
  <si>
    <t>Kirwee 7571</t>
  </si>
  <si>
    <t>BestStart Orewa West</t>
  </si>
  <si>
    <t>orewa.manager@best-start.org</t>
  </si>
  <si>
    <t>2 Sunnyheights Road, Orewa</t>
  </si>
  <si>
    <t>Orewa West</t>
  </si>
  <si>
    <t>09-250 4136</t>
  </si>
  <si>
    <t>Go Bananas Childcare Alfriston</t>
  </si>
  <si>
    <t>0800-462 626</t>
  </si>
  <si>
    <t>120 Alfriston Road</t>
  </si>
  <si>
    <t>Smart Kids Educare</t>
  </si>
  <si>
    <t>227 Balmoral Road</t>
  </si>
  <si>
    <t>Balmoral</t>
  </si>
  <si>
    <t>Amit Jain</t>
  </si>
  <si>
    <t>Blue Duck Childcare (Waihopai) Limited</t>
  </si>
  <si>
    <t>167 Bill Richardson Drive</t>
  </si>
  <si>
    <t>56 Takitimu Drive</t>
  </si>
  <si>
    <t>027-7367117</t>
  </si>
  <si>
    <t>BestStart Bayfair</t>
  </si>
  <si>
    <t>07-5759045</t>
  </si>
  <si>
    <t>49 Farm Street</t>
  </si>
  <si>
    <t>Tamariki Ora Learning Centre Ltd</t>
  </si>
  <si>
    <t>albert.samuel@tamarikiora.org</t>
  </si>
  <si>
    <t>3 Pua Street</t>
  </si>
  <si>
    <t>Albert  Samuel</t>
  </si>
  <si>
    <t>P O Box 0</t>
  </si>
  <si>
    <t>027-8000994</t>
  </si>
  <si>
    <t>Te Puna Reo o Te Ahi Kaikōura a Tama ki Te Rangi</t>
  </si>
  <si>
    <t>021-0557278</t>
  </si>
  <si>
    <t>Hapuku School 596 Kincaid Road</t>
  </si>
  <si>
    <t>Hapuku</t>
  </si>
  <si>
    <t>Kaikoura</t>
  </si>
  <si>
    <t>Kaikoura District</t>
  </si>
  <si>
    <t>Kaikōura Ranges</t>
  </si>
  <si>
    <t>Kahurangi Stone</t>
  </si>
  <si>
    <t>596 Kincaid Road</t>
  </si>
  <si>
    <t>Kaikoura 7300</t>
  </si>
  <si>
    <t>Sunflowers ECE</t>
  </si>
  <si>
    <t>09-5588294</t>
  </si>
  <si>
    <t>200 Lakeside Drive</t>
  </si>
  <si>
    <t>Jennifer COOK</t>
  </si>
  <si>
    <t>200 Lakeside Drive, Orewa</t>
  </si>
  <si>
    <t>021-0490864</t>
  </si>
  <si>
    <t>Mornington Kindergarten</t>
  </si>
  <si>
    <t>03-4534489</t>
  </si>
  <si>
    <t>95 English Ave</t>
  </si>
  <si>
    <t>Maryhill</t>
  </si>
  <si>
    <t>Aplus ECE Service Limited</t>
  </si>
  <si>
    <t>2A Luke Place</t>
  </si>
  <si>
    <t>Nancy Li</t>
  </si>
  <si>
    <t xml:space="preserve">2A Luke Place </t>
  </si>
  <si>
    <t>Early Achievers Homebased Childcare</t>
  </si>
  <si>
    <t>1A Balfour Street</t>
  </si>
  <si>
    <t>Jiasi Wang</t>
  </si>
  <si>
    <t>022-509 1123</t>
  </si>
  <si>
    <t>Creative Garden Early learning Centre Mangere</t>
  </si>
  <si>
    <t>09-259 3000</t>
  </si>
  <si>
    <t>300 Massey Road</t>
  </si>
  <si>
    <t>Rachael Heron</t>
  </si>
  <si>
    <t>Busy Bees Stoke</t>
  </si>
  <si>
    <t>03-9295418</t>
  </si>
  <si>
    <t>441 Nayland Road</t>
  </si>
  <si>
    <t>Saxton</t>
  </si>
  <si>
    <t>Chloe Kemp</t>
  </si>
  <si>
    <t>Little Parrots</t>
  </si>
  <si>
    <t>020-4727768</t>
  </si>
  <si>
    <t>32 Gloucester Road</t>
  </si>
  <si>
    <t>BestStart Kotātā Heights</t>
  </si>
  <si>
    <t>09-5581079</t>
  </si>
  <si>
    <t>25 Kotātā Rise, Port Whangārei</t>
  </si>
  <si>
    <t>Motueka Steiner Kindergarten</t>
  </si>
  <si>
    <t>03-528 6453</t>
  </si>
  <si>
    <t>Motueka Steiner Kindergarten 165 Robinson Road</t>
  </si>
  <si>
    <t>Lower Moutere</t>
  </si>
  <si>
    <t>Amy Weber</t>
  </si>
  <si>
    <t>P O Box 224</t>
  </si>
  <si>
    <t>Motueka 7143</t>
  </si>
  <si>
    <t>Tōtara Kids Early Learning Centre</t>
  </si>
  <si>
    <t>027-7859207</t>
  </si>
  <si>
    <t>21 Titoki Street</t>
  </si>
  <si>
    <t>Elise Walton</t>
  </si>
  <si>
    <t>BestStart Hobsonville</t>
  </si>
  <si>
    <t>16 Clark Road</t>
  </si>
  <si>
    <t>Hobsonville Point</t>
  </si>
  <si>
    <t>Hobsonville Point Park</t>
  </si>
  <si>
    <t>Pūmanawa Papa Hou</t>
  </si>
  <si>
    <t>027-6752300</t>
  </si>
  <si>
    <t>4 Rolleston Avenue</t>
  </si>
  <si>
    <t>Christchurch CBD</t>
  </si>
  <si>
    <t>Christchurch Central-West</t>
  </si>
  <si>
    <t>Janene Prendergast</t>
  </si>
  <si>
    <t>P O Box 2004</t>
  </si>
  <si>
    <t>03-9632826</t>
  </si>
  <si>
    <t>BestStart Longbay</t>
  </si>
  <si>
    <t>31 Pennent Street</t>
  </si>
  <si>
    <t>Long Bay-Auckland</t>
  </si>
  <si>
    <t>Long Bay</t>
  </si>
  <si>
    <t>Happy Kiddy Warkworth Early Learning Centre</t>
  </si>
  <si>
    <t>2 Titapu Road</t>
  </si>
  <si>
    <t>Lena Li</t>
  </si>
  <si>
    <t>157 Westharbour Drive</t>
  </si>
  <si>
    <t>Te Puna Kōhungahunga Mana Motuhake</t>
  </si>
  <si>
    <t>022-5110618</t>
  </si>
  <si>
    <t>admin@tpkmm.nz</t>
  </si>
  <si>
    <t>78 Epsom Avenue</t>
  </si>
  <si>
    <t>Karen  Liley</t>
  </si>
  <si>
    <t>P O Box 67013</t>
  </si>
  <si>
    <t>Poetiare O Rongomai</t>
  </si>
  <si>
    <t>020-419 14902</t>
  </si>
  <si>
    <t>10A Birmingham Road</t>
  </si>
  <si>
    <t>Mangatawhiri Childcare</t>
  </si>
  <si>
    <t>252 Mangatawhiri Road</t>
  </si>
  <si>
    <t>Mangatangi</t>
  </si>
  <si>
    <t>Kuljit Kaur Ghuman</t>
  </si>
  <si>
    <t>Hibiscus Kindergarten &amp; Nursery</t>
  </si>
  <si>
    <t>09-9475709</t>
  </si>
  <si>
    <t>hibiscus.elc@gmail.com</t>
  </si>
  <si>
    <t>195 Brightside Road</t>
  </si>
  <si>
    <t>Susan Milnes</t>
  </si>
  <si>
    <t>2/12 Eltham Road</t>
  </si>
  <si>
    <t>Auckland 1070</t>
  </si>
  <si>
    <t>BestStart Parau Drive</t>
  </si>
  <si>
    <t>07-9751597</t>
  </si>
  <si>
    <t>21 Parau Drive</t>
  </si>
  <si>
    <t>Te Kōhanga Reo o Te Wānanga Whare Tāpere o Tākitimu</t>
  </si>
  <si>
    <t>06-8888584</t>
  </si>
  <si>
    <t>106 Bennett Road</t>
  </si>
  <si>
    <t>Waipatu</t>
  </si>
  <si>
    <t>Karamu</t>
  </si>
  <si>
    <t>Mōrena Kids Homebased</t>
  </si>
  <si>
    <t>021-1192975</t>
  </si>
  <si>
    <t>morenakidsece@gmail.com</t>
  </si>
  <si>
    <t>Flat 1, 5 Gordon Street</t>
  </si>
  <si>
    <t>Newtown West</t>
  </si>
  <si>
    <t>Yifang Cai</t>
  </si>
  <si>
    <t>1/5 Gordon street</t>
  </si>
  <si>
    <t>Wild Places Education</t>
  </si>
  <si>
    <t>022-5061526</t>
  </si>
  <si>
    <t>admin@wildplacesnz.com</t>
  </si>
  <si>
    <t>Paroa Playcentre 494 Main South Road</t>
  </si>
  <si>
    <t>Paroa-Greymouth</t>
  </si>
  <si>
    <t>Rutherglen-Camerons</t>
  </si>
  <si>
    <t>Timothy Eden-Calcott</t>
  </si>
  <si>
    <t>35 Kilgour Road</t>
  </si>
  <si>
    <t>Dazzling Stars Early Learning Centre, Glen Eden</t>
  </si>
  <si>
    <t>dazzlijngstarsnz@gmail.com</t>
  </si>
  <si>
    <t>4103 Great North road</t>
  </si>
  <si>
    <t>Barinder Sra</t>
  </si>
  <si>
    <t>4103 Great North Road</t>
  </si>
  <si>
    <t>Curious Little Explorers Limited</t>
  </si>
  <si>
    <t>021-799919</t>
  </si>
  <si>
    <t>4B 1135 Goulds Road</t>
  </si>
  <si>
    <t>Sarah Perkins</t>
  </si>
  <si>
    <t>Matakana Village Preschool</t>
  </si>
  <si>
    <t>987 Matakana Road</t>
  </si>
  <si>
    <t>Tania Weber</t>
  </si>
  <si>
    <t>2B Vernon Shaw Place</t>
  </si>
  <si>
    <t>021-110 2991</t>
  </si>
  <si>
    <t>Wonderkids Masterton</t>
  </si>
  <si>
    <t>022-5000733</t>
  </si>
  <si>
    <t>332 Ngaumutawa Road</t>
  </si>
  <si>
    <t xml:space="preserve">2 Oakmont </t>
  </si>
  <si>
    <t>Wellington 5018</t>
  </si>
  <si>
    <t>04-5638656</t>
  </si>
  <si>
    <t>Bumblebees and Buttercups</t>
  </si>
  <si>
    <t>07-2423040</t>
  </si>
  <si>
    <t>111 Fairway Drive</t>
  </si>
  <si>
    <t>Stephen Darby</t>
  </si>
  <si>
    <t xml:space="preserve">111 Fairway Drive </t>
  </si>
  <si>
    <t xml:space="preserve">Morrinsville </t>
  </si>
  <si>
    <t>Go Bananas Childcare Te Rapa</t>
  </si>
  <si>
    <t>41 Karewa Place</t>
  </si>
  <si>
    <t>BestStart Riccarton Park</t>
  </si>
  <si>
    <t>16 Grey Way Road</t>
  </si>
  <si>
    <t>Riccarton Racecourse</t>
  </si>
  <si>
    <t>Matangirau Kindergarten</t>
  </si>
  <si>
    <t>021-02345046</t>
  </si>
  <si>
    <t>104 Black Street</t>
  </si>
  <si>
    <t>TUITUI EDUCARE</t>
  </si>
  <si>
    <t>09-2189430</t>
  </si>
  <si>
    <t>417A East Tamaki Road</t>
  </si>
  <si>
    <t>20A Baird Street</t>
  </si>
  <si>
    <t>Millie's House Hopper St</t>
  </si>
  <si>
    <t>04-4711771</t>
  </si>
  <si>
    <t>19-21 Hopper Street</t>
  </si>
  <si>
    <t>Mount Cook West</t>
  </si>
  <si>
    <t>Te Kōhanga Reo o Te Ariki</t>
  </si>
  <si>
    <t>62 Mangakahia Road</t>
  </si>
  <si>
    <t>Future Kids Preschool Spotswood</t>
  </si>
  <si>
    <t>0800-023 483</t>
  </si>
  <si>
    <t>futurekidspreschoolspotswood@gmail.com</t>
  </si>
  <si>
    <t>16 Manakohi Street</t>
  </si>
  <si>
    <t>Lots of Hugs - Feilding</t>
  </si>
  <si>
    <t>06-777 5005</t>
  </si>
  <si>
    <t>101 East Street</t>
  </si>
  <si>
    <t>Our Tribe Limited</t>
  </si>
  <si>
    <t>027-6344333</t>
  </si>
  <si>
    <t>44 Church Road</t>
  </si>
  <si>
    <t>Amy Templeton</t>
  </si>
  <si>
    <t>44 Chruch Road</t>
  </si>
  <si>
    <t>Te Rito Mokopuna</t>
  </si>
  <si>
    <t>09-4080018</t>
  </si>
  <si>
    <t>32 Dominion Road</t>
  </si>
  <si>
    <t>Stables Montessori - Sparks Road</t>
  </si>
  <si>
    <t>03-3221420</t>
  </si>
  <si>
    <t>Preschool 119 Sutherlands Road</t>
  </si>
  <si>
    <t>027-2260809</t>
  </si>
  <si>
    <t>Millie's House Shirley Rd</t>
  </si>
  <si>
    <t>03-3851030</t>
  </si>
  <si>
    <t>56 Shirley Road</t>
  </si>
  <si>
    <t>Kōwhai Valley Crēche</t>
  </si>
  <si>
    <t>03-3954545</t>
  </si>
  <si>
    <t>Cnr Cantire St &amp; Argyle Street</t>
  </si>
  <si>
    <t>Glenorchy</t>
  </si>
  <si>
    <t>Leah Orman</t>
  </si>
  <si>
    <t>618 Glenorchy-Paradise Road, RD1</t>
  </si>
  <si>
    <t xml:space="preserve">Glenorchy </t>
  </si>
  <si>
    <t>Treasured Tamarki ECE and Childcare Centre</t>
  </si>
  <si>
    <t>027-4562060</t>
  </si>
  <si>
    <t>15 Millers Road</t>
  </si>
  <si>
    <t>Caroline Dafoe</t>
  </si>
  <si>
    <t>5 Sherwood Street</t>
  </si>
  <si>
    <t>Go Bananas Childcare Enderley</t>
  </si>
  <si>
    <t>18 Shakespeare Avenue</t>
  </si>
  <si>
    <t>Inspired Minds Spedding Road</t>
  </si>
  <si>
    <t>8 Spedding Road</t>
  </si>
  <si>
    <t>Daniel Williamson</t>
  </si>
  <si>
    <t>021-0240 3506</t>
  </si>
  <si>
    <t>Little Miners Kindy</t>
  </si>
  <si>
    <t>021-277 4338</t>
  </si>
  <si>
    <t>2A George Street</t>
  </si>
  <si>
    <t>Simone Belton</t>
  </si>
  <si>
    <t>21 George Street</t>
  </si>
  <si>
    <t>Hikurangi 0114</t>
  </si>
  <si>
    <t>Roscommon Learning Centre</t>
  </si>
  <si>
    <t>09-277 9730</t>
  </si>
  <si>
    <t>323 Roscommon Road</t>
  </si>
  <si>
    <t>Jitesh Patel</t>
  </si>
  <si>
    <t>Little Treasures Kaitaia</t>
  </si>
  <si>
    <t>little@treasureschildcare.com</t>
  </si>
  <si>
    <t>21 Dominion Road</t>
  </si>
  <si>
    <t>3 Vegar Street</t>
  </si>
  <si>
    <t>Aspire Nursery &amp; Preschool</t>
  </si>
  <si>
    <t>45 Connor Street</t>
  </si>
  <si>
    <t>Wānaka Central</t>
  </si>
  <si>
    <t>Anita Presbury</t>
  </si>
  <si>
    <t>HC Partners 39 George St</t>
  </si>
  <si>
    <t>027-2823050</t>
  </si>
  <si>
    <t>Welly Explorers</t>
  </si>
  <si>
    <t>09-4232360</t>
  </si>
  <si>
    <t>Clutha Valley Kindergarten</t>
  </si>
  <si>
    <t>2155 Clutha Valley Road</t>
  </si>
  <si>
    <t>Clutha Valley</t>
  </si>
  <si>
    <t>Clutha Valley Ward</t>
  </si>
  <si>
    <t>Titirangi Kindergarten</t>
  </si>
  <si>
    <t>09-817 6613</t>
  </si>
  <si>
    <t>Titirangi@aka.org.nz</t>
  </si>
  <si>
    <t>509 South Titirangi Road</t>
  </si>
  <si>
    <t>Sunnyside Early Learning Centre</t>
  </si>
  <si>
    <t>06-2117278</t>
  </si>
  <si>
    <t>926 Heretaunga Street West 926 Heretaunga Street West</t>
  </si>
  <si>
    <t>Jessica Sheppard</t>
  </si>
  <si>
    <t>524 East Coast Road</t>
  </si>
  <si>
    <t>022-0704316</t>
  </si>
  <si>
    <t>Baby Panda Home-based Childcare</t>
  </si>
  <si>
    <t>022-1558176</t>
  </si>
  <si>
    <t>686 Beach Road</t>
  </si>
  <si>
    <t>Yiqing Ding</t>
  </si>
  <si>
    <t>Just Four Kids Otago</t>
  </si>
  <si>
    <t>suzy@justfourkids.co.nz</t>
  </si>
  <si>
    <t>Serenity Montessori Ltd</t>
  </si>
  <si>
    <t>3 Kowhai Street</t>
  </si>
  <si>
    <t>56 Rexford Heights</t>
  </si>
  <si>
    <t>Te Reo o Tuariki Te Kōhanga Reo</t>
  </si>
  <si>
    <t>022-3134693</t>
  </si>
  <si>
    <t>tuarikitkr@outlook.com</t>
  </si>
  <si>
    <t>85 Henderson Line</t>
  </si>
  <si>
    <t>Mount Maunganui Playcentre</t>
  </si>
  <si>
    <t>027-7000218</t>
  </si>
  <si>
    <t>62 Golf Road</t>
  </si>
  <si>
    <t>Arataki North</t>
  </si>
  <si>
    <t>Stacey Parata</t>
  </si>
  <si>
    <t>027-8805364</t>
  </si>
  <si>
    <t>Te Kōhanga Reo o Toku Mapihi Maurea</t>
  </si>
  <si>
    <t>021-0488577</t>
  </si>
  <si>
    <t>66 Bader Street</t>
  </si>
  <si>
    <t>Twinkle Star Homebased Childcare 1 Ltd</t>
  </si>
  <si>
    <t>Glenavon Kindergarten</t>
  </si>
  <si>
    <t>340 Blockhouse Road</t>
  </si>
  <si>
    <t>Fetu Moana Aoga Amata (Moana Stars ECE)</t>
  </si>
  <si>
    <t>213 Weymouth Road</t>
  </si>
  <si>
    <t>P O Box 22760</t>
  </si>
  <si>
    <t>Little Acorns Academy Blenheim</t>
  </si>
  <si>
    <t>24a McCallum Street</t>
  </si>
  <si>
    <t>Emma McArtney</t>
  </si>
  <si>
    <t>Ngā Tamariki o Te Taiao</t>
  </si>
  <si>
    <t>021-118 4629</t>
  </si>
  <si>
    <t>pihemaeducationalservices@gmail.com</t>
  </si>
  <si>
    <t>2465 State Highway 12, Waima</t>
  </si>
  <si>
    <t>Clair Pihema</t>
  </si>
  <si>
    <t>2465 State Highway 12 RD 3</t>
  </si>
  <si>
    <t>Kaikohe 0473</t>
  </si>
  <si>
    <t>Sunlight Childcare Limited</t>
  </si>
  <si>
    <t>022-0174266</t>
  </si>
  <si>
    <t>sunlightchildcarenz@gmail.com</t>
  </si>
  <si>
    <t>379 Razorback Rd</t>
  </si>
  <si>
    <t>Pōkeno Rural</t>
  </si>
  <si>
    <t>Meenakshi Sharma</t>
  </si>
  <si>
    <t>Pokeno 2472</t>
  </si>
  <si>
    <t>Te Kōhanga Reo o Te Mata-paeroa</t>
  </si>
  <si>
    <t>022-341 9276</t>
  </si>
  <si>
    <t>187 Coxhead Road</t>
  </si>
  <si>
    <t>Lilliput Nest</t>
  </si>
  <si>
    <t>09-524 7474</t>
  </si>
  <si>
    <t>93 Thomas Road</t>
  </si>
  <si>
    <t>BestStart Wooing Tree</t>
  </si>
  <si>
    <t>03-9740813</t>
  </si>
  <si>
    <t>32 Blondie Drive</t>
  </si>
  <si>
    <t>Cromwell East</t>
  </si>
  <si>
    <t>King Street Kids</t>
  </si>
  <si>
    <t>022-4120136</t>
  </si>
  <si>
    <t>60 King Street</t>
  </si>
  <si>
    <t>Delwyn  McKennie</t>
  </si>
  <si>
    <t>39 Chester Street</t>
  </si>
  <si>
    <t>027-3582870</t>
  </si>
  <si>
    <t>AoKids|Porirua</t>
  </si>
  <si>
    <t>0800-AoKids</t>
  </si>
  <si>
    <t>porirua@aokids.co.nz</t>
  </si>
  <si>
    <t>60 Raiha Street</t>
  </si>
  <si>
    <t>Alofi Tautiaga</t>
  </si>
  <si>
    <t>54 Killarney Drive</t>
  </si>
  <si>
    <t>BestStart Park Green</t>
  </si>
  <si>
    <t>09- 2504136</t>
  </si>
  <si>
    <t>180 Park Estate Road</t>
  </si>
  <si>
    <t>Karaka Lakes</t>
  </si>
  <si>
    <t>Village Green Early Learning Centre</t>
  </si>
  <si>
    <t>09-304 7730</t>
  </si>
  <si>
    <t>33 Haast Street</t>
  </si>
  <si>
    <t>Rose Gowing</t>
  </si>
  <si>
    <t>Happy Learning Childcare Millwater</t>
  </si>
  <si>
    <t>09-4788286</t>
  </si>
  <si>
    <t>160 Kowhai Road</t>
  </si>
  <si>
    <t>Millwater North</t>
  </si>
  <si>
    <t>Silverdale 0931</t>
  </si>
  <si>
    <t>Killarney Kids Preschool</t>
  </si>
  <si>
    <t>09-4853873</t>
  </si>
  <si>
    <t>Killarney Kids Preschool 37 Killarney Street</t>
  </si>
  <si>
    <t>Te Tupu o Te Torea</t>
  </si>
  <si>
    <t>12 - 16 Nicholls Lane</t>
  </si>
  <si>
    <t>Parnell West</t>
  </si>
  <si>
    <t>Omokoroa Christian Preschool</t>
  </si>
  <si>
    <t>021-470833</t>
  </si>
  <si>
    <t>28 Kaylene Place</t>
  </si>
  <si>
    <t>Whanganui Montessori Preschool</t>
  </si>
  <si>
    <t>06-3478886</t>
  </si>
  <si>
    <t>info@whanganuimontessori.co.nz</t>
  </si>
  <si>
    <t>47 Raine Street</t>
  </si>
  <si>
    <t>Julie Hudson</t>
  </si>
  <si>
    <t>027-6972958</t>
  </si>
  <si>
    <t>Wildheart Belfast</t>
  </si>
  <si>
    <t>03-2818577</t>
  </si>
  <si>
    <t>belfast@wildheartece.co.nz</t>
  </si>
  <si>
    <t>2 Chrysolite Place</t>
  </si>
  <si>
    <t>Belfast West</t>
  </si>
  <si>
    <t>09-8698100</t>
  </si>
  <si>
    <t>3145 Great North Road</t>
  </si>
  <si>
    <t>Dream Sprouts Limited</t>
  </si>
  <si>
    <t>022-1603633</t>
  </si>
  <si>
    <t>44 Brigham Young Drive</t>
  </si>
  <si>
    <t>Albany South</t>
  </si>
  <si>
    <t>Fuyao (Freda) Hou</t>
  </si>
  <si>
    <t>Blossoms Educare Riverina</t>
  </si>
  <si>
    <t>09-9491103</t>
  </si>
  <si>
    <t>30 Millen Avenue</t>
  </si>
  <si>
    <t xml:space="preserve">22 Ryan Road RD4 </t>
  </si>
  <si>
    <t xml:space="preserve">Pukekohe </t>
  </si>
  <si>
    <t>Willowsong Kindergarten</t>
  </si>
  <si>
    <t>022-591397</t>
  </si>
  <si>
    <t>Willowsong Kindergarten 15 Lavenham Road</t>
  </si>
  <si>
    <t>Patutahi</t>
  </si>
  <si>
    <t>Chelsea Thorpe</t>
  </si>
  <si>
    <t>Little Wonders at Home Limited</t>
  </si>
  <si>
    <t>022-0708592</t>
  </si>
  <si>
    <t>littlewondersathome@gmail.com</t>
  </si>
  <si>
    <t>No.31 D'Oyly Drive</t>
  </si>
  <si>
    <t>Bin Li</t>
  </si>
  <si>
    <t>No 31. D'oyly Drive</t>
  </si>
  <si>
    <t>Urenui Playcentre</t>
  </si>
  <si>
    <t>06-7567570</t>
  </si>
  <si>
    <t>Urenui@playcentre.org.nz</t>
  </si>
  <si>
    <t>15b Takiroa Street</t>
  </si>
  <si>
    <t>Urenui</t>
  </si>
  <si>
    <t>Tikorangi</t>
  </si>
  <si>
    <t>Toko Playcentre</t>
  </si>
  <si>
    <t>Toko@playcentre.org.nz</t>
  </si>
  <si>
    <t>14 East Station Road</t>
  </si>
  <si>
    <t>Toko</t>
  </si>
  <si>
    <t>Stratford Rural General Ward</t>
  </si>
  <si>
    <t>Tikorangi Playcentre</t>
  </si>
  <si>
    <t>Tikorangi@playcentre.org.nz</t>
  </si>
  <si>
    <t>Ngatimaru Road, RD 43</t>
  </si>
  <si>
    <t>Stratford Playcentre</t>
  </si>
  <si>
    <t>Stratford@playcentre.org.nz</t>
  </si>
  <si>
    <t>8 Cloten Road</t>
  </si>
  <si>
    <t>Rahotu Playcentre</t>
  </si>
  <si>
    <t>Rahotu@playcentre.org.nz</t>
  </si>
  <si>
    <t>Rahotu</t>
  </si>
  <si>
    <t>Parihaka</t>
  </si>
  <si>
    <t>Opunake Playcentre</t>
  </si>
  <si>
    <t>Opunake@playcentre.org.nz</t>
  </si>
  <si>
    <t>Allison Street</t>
  </si>
  <si>
    <t>Opunake</t>
  </si>
  <si>
    <t>Ōpunake</t>
  </si>
  <si>
    <t>Okato Playcentre</t>
  </si>
  <si>
    <t>06-7524309</t>
  </si>
  <si>
    <t>Okato@playcentre.org.nz</t>
  </si>
  <si>
    <t>37 Carthew Street</t>
  </si>
  <si>
    <t>Normanby Playcentre</t>
  </si>
  <si>
    <t>Normanby@playcentre.org.nz</t>
  </si>
  <si>
    <t>Cnr Fitzroy and Chute Streets</t>
  </si>
  <si>
    <t>Normanby</t>
  </si>
  <si>
    <t>Normanby (South Taranaki District)</t>
  </si>
  <si>
    <t>New Plymouth Playcentre</t>
  </si>
  <si>
    <t>NewPlymouth@playcentre.org.nz</t>
  </si>
  <si>
    <t>15 Hori Street</t>
  </si>
  <si>
    <t>Lower Vogeltown</t>
  </si>
  <si>
    <t>Lepperton Playcentre</t>
  </si>
  <si>
    <t>lepperton@playcentre.org.nz</t>
  </si>
  <si>
    <t>540 Richmond Road</t>
  </si>
  <si>
    <t>Kaponga Playcentre</t>
  </si>
  <si>
    <t>Kaponga@playcentre.org.nz</t>
  </si>
  <si>
    <t>Swalding Street</t>
  </si>
  <si>
    <t>Kaponga</t>
  </si>
  <si>
    <t>Kaponga-Mangatoki</t>
  </si>
  <si>
    <t>Awatuna &amp; Districts Playcentre</t>
  </si>
  <si>
    <t>awatunaanddistricts@playcentre.org.nz</t>
  </si>
  <si>
    <t>Eltham Road</t>
  </si>
  <si>
    <t>Taungatara</t>
  </si>
  <si>
    <t>Hawera Playcentre</t>
  </si>
  <si>
    <t>Hawera@playcentre.org.nz</t>
  </si>
  <si>
    <t>89 Fairfeild Road</t>
  </si>
  <si>
    <t>Inglewood Playcentre</t>
  </si>
  <si>
    <t>Inglewood@playcentre.org.nz</t>
  </si>
  <si>
    <t>21 Brown Street</t>
  </si>
  <si>
    <t>Oakura Playcentre</t>
  </si>
  <si>
    <t>oakura@playcentre.org.nz</t>
  </si>
  <si>
    <t>14 Donnelly Street</t>
  </si>
  <si>
    <t>Funhouse Learning Centre</t>
  </si>
  <si>
    <t>06-3480026</t>
  </si>
  <si>
    <t>charity@funhouselearning.com</t>
  </si>
  <si>
    <t>254 St Hill Street</t>
  </si>
  <si>
    <t>Charity Brown</t>
  </si>
  <si>
    <t>P O Box 7315</t>
  </si>
  <si>
    <t>Te Kōhanga Reo o Ngāti Ruanui</t>
  </si>
  <si>
    <t>06-278 5224</t>
  </si>
  <si>
    <t>33 Morrissey Street</t>
  </si>
  <si>
    <t>Tara Bachop</t>
  </si>
  <si>
    <t>Haumoana Kindergarten</t>
  </si>
  <si>
    <t>06-8750224</t>
  </si>
  <si>
    <t>teawangakgtn@napierkindergartens.co.nz</t>
  </si>
  <si>
    <t>204 Parkhill Road</t>
  </si>
  <si>
    <t>Te Rawhiti Kindergarten</t>
  </si>
  <si>
    <t>04-2990812</t>
  </si>
  <si>
    <t>sylviam@tera.school.nz</t>
  </si>
  <si>
    <t>89 Poplar Avenue</t>
  </si>
  <si>
    <t>Sylvia Madden</t>
  </si>
  <si>
    <t>89 Poplar Ave</t>
  </si>
  <si>
    <t>Paraparaumu 5032</t>
  </si>
  <si>
    <t>04-9057224</t>
  </si>
  <si>
    <t>Lalanga Moui Tongan Early Childhood Centre</t>
  </si>
  <si>
    <t>06-3538308</t>
  </si>
  <si>
    <t>lalangamoui@yahoo.co.nz</t>
  </si>
  <si>
    <t>73 Vogel Street</t>
  </si>
  <si>
    <t>Ana Tuivai</t>
  </si>
  <si>
    <t>77 Vogal Street</t>
  </si>
  <si>
    <t>06-3549835</t>
  </si>
  <si>
    <t>Pākaraka Kindergarten</t>
  </si>
  <si>
    <t>06-342 3802</t>
  </si>
  <si>
    <t>pakaraka@wmkindergartens.org.nz</t>
  </si>
  <si>
    <t>1655 State Highway 3, RD 4</t>
  </si>
  <si>
    <t>Pākaraka</t>
  </si>
  <si>
    <t>Mowhanau</t>
  </si>
  <si>
    <t>Te Kōhanga Reo O Ngai Tāne</t>
  </si>
  <si>
    <t>06-837 6783</t>
  </si>
  <si>
    <t>whanau@k08a114.kohanga.ac.nz</t>
  </si>
  <si>
    <t>232 Putere Road</t>
  </si>
  <si>
    <t>Raupunga</t>
  </si>
  <si>
    <t>Learning Adventures Ashhurst</t>
  </si>
  <si>
    <t>06-3269906</t>
  </si>
  <si>
    <t>cm.ashhurst@learningadventures.co.nz</t>
  </si>
  <si>
    <t>1 Pembroke Street</t>
  </si>
  <si>
    <t>Tracey Nicholson</t>
  </si>
  <si>
    <t>06-326 9906</t>
  </si>
  <si>
    <t>Gr8 Kidz Childcare and Learning Centre</t>
  </si>
  <si>
    <t>06-7650401</t>
  </si>
  <si>
    <t>gr8.kidz@xtra.co.nz</t>
  </si>
  <si>
    <t>159 Orlando Street</t>
  </si>
  <si>
    <t>Corrina Sheed</t>
  </si>
  <si>
    <t>P O Box 313</t>
  </si>
  <si>
    <t>Stratford 4352</t>
  </si>
  <si>
    <t>06-7658651</t>
  </si>
  <si>
    <t>AoKids|Taita</t>
  </si>
  <si>
    <t>04-567-8595</t>
  </si>
  <si>
    <t>33A Churton Crescent</t>
  </si>
  <si>
    <t>Waitara Playcentre</t>
  </si>
  <si>
    <t>Waitara@playcentre.org.nz</t>
  </si>
  <si>
    <t>25 Carey Street</t>
  </si>
  <si>
    <t>Waitara East</t>
  </si>
  <si>
    <t>06-3484817</t>
  </si>
  <si>
    <t>info@brightbeginnings.co.nz</t>
  </si>
  <si>
    <t>17 Liverpool Street</t>
  </si>
  <si>
    <t>Imagine Childcare Alicetown Ltd</t>
  </si>
  <si>
    <t>04-5665234</t>
  </si>
  <si>
    <t>2 Burnham Street</t>
  </si>
  <si>
    <t>Julie Kydd</t>
  </si>
  <si>
    <t>04-9713330</t>
  </si>
  <si>
    <t>Learning Links Horowhenua</t>
  </si>
  <si>
    <t>06-3672628</t>
  </si>
  <si>
    <t>manager.llhoro@learninglinkschildcare.co.nz</t>
  </si>
  <si>
    <t>70 Queen Street</t>
  </si>
  <si>
    <t>Rochelle Sannazzaro</t>
  </si>
  <si>
    <t xml:space="preserve">70 Queen Street West </t>
  </si>
  <si>
    <t>Horowhenua 5510</t>
  </si>
  <si>
    <t>06-368 0359</t>
  </si>
  <si>
    <t>Born &amp; Raised Pasifika Early Childhood Centre</t>
  </si>
  <si>
    <t>06-3435441</t>
  </si>
  <si>
    <t>bornandraisedpasifika@xtra.co.nz</t>
  </si>
  <si>
    <t>2 Mitchell Street</t>
  </si>
  <si>
    <t>Khandallah Little School</t>
  </si>
  <si>
    <t>027-399 2333</t>
  </si>
  <si>
    <t>1 Station Road</t>
  </si>
  <si>
    <t>Queen Margaret College Pre-school</t>
  </si>
  <si>
    <t>04-4737160</t>
  </si>
  <si>
    <t>jayneann.young@qmc.school.nz</t>
  </si>
  <si>
    <t>13 Fitzherbert Terrace</t>
  </si>
  <si>
    <t>Thorndon South</t>
  </si>
  <si>
    <t>Jayne-Ann Young</t>
  </si>
  <si>
    <t>P O Box 12274</t>
  </si>
  <si>
    <t>Khandallah Community Creche</t>
  </si>
  <si>
    <t>04-4793939</t>
  </si>
  <si>
    <t>manager@khandallahcreche.co.nz</t>
  </si>
  <si>
    <t>33 Ganges Road</t>
  </si>
  <si>
    <t>Kelly Watson</t>
  </si>
  <si>
    <t>P O Box 22054</t>
  </si>
  <si>
    <t>BestStart Montessori Kilbirnie</t>
  </si>
  <si>
    <t>04-3871195</t>
  </si>
  <si>
    <t>mont.kilbirnie@best-start.org</t>
  </si>
  <si>
    <t>11 Vallance Street</t>
  </si>
  <si>
    <t>Kilbirnie</t>
  </si>
  <si>
    <t>Kilbirnie Central</t>
  </si>
  <si>
    <t>BestStart Kaiwharawhara</t>
  </si>
  <si>
    <t>04-4739151</t>
  </si>
  <si>
    <t>kaiwharawhara@best-start.org</t>
  </si>
  <si>
    <t>162-168 Hutt Road</t>
  </si>
  <si>
    <t>Busy Bees Martinborough</t>
  </si>
  <si>
    <t>06-3068884</t>
  </si>
  <si>
    <t>manager@martinborough.busybees.org.nz</t>
  </si>
  <si>
    <t>15 Broadway Street</t>
  </si>
  <si>
    <t>Emma Thompson</t>
  </si>
  <si>
    <t>06-306 8884</t>
  </si>
  <si>
    <t>Te Manawanui Kindergarten</t>
  </si>
  <si>
    <t>06-362 7096</t>
  </si>
  <si>
    <t>temanawanui@wmkindergartens.org.nz</t>
  </si>
  <si>
    <t>1 Grey Street</t>
  </si>
  <si>
    <t>Shannon</t>
  </si>
  <si>
    <t>Miranui General Ward</t>
  </si>
  <si>
    <t>PAUA ECE 1</t>
  </si>
  <si>
    <t>06-3447282</t>
  </si>
  <si>
    <t>info@paua.ac.nz</t>
  </si>
  <si>
    <t>Raewyn Overton-Stuart</t>
  </si>
  <si>
    <t>06-344 7282</t>
  </si>
  <si>
    <t>BestStart Paraparaumu</t>
  </si>
  <si>
    <t>04-2983790</t>
  </si>
  <si>
    <t>paraparaumu@best-start.org</t>
  </si>
  <si>
    <t>52 Percival Road</t>
  </si>
  <si>
    <t>Active Explorers Grey Street</t>
  </si>
  <si>
    <t>06-3530014</t>
  </si>
  <si>
    <t>vikki.gibbs@eeg.co.nz</t>
  </si>
  <si>
    <t>Cnr Grey &amp; Amesbury Streets</t>
  </si>
  <si>
    <t>Melissa Nicholas</t>
  </si>
  <si>
    <t>Tuatara Kids</t>
  </si>
  <si>
    <t>04-3883344</t>
  </si>
  <si>
    <t>95 Park Road</t>
  </si>
  <si>
    <t>Miramar Central</t>
  </si>
  <si>
    <t>Yanli Kapoor</t>
  </si>
  <si>
    <t>P O Box 26003</t>
  </si>
  <si>
    <t>Wellington 6442</t>
  </si>
  <si>
    <t>04-461 6262</t>
  </si>
  <si>
    <t>Te Aroha Noa Early Childhood Centre</t>
  </si>
  <si>
    <t>06-3582259</t>
  </si>
  <si>
    <t>ecc@tearohanoa.org.nz</t>
  </si>
  <si>
    <t>24 Brentwood Avenue</t>
  </si>
  <si>
    <t>Donna MacNicol</t>
  </si>
  <si>
    <t>P O Box 7141</t>
  </si>
  <si>
    <t>Pioneer Highway</t>
  </si>
  <si>
    <t>Manawatu 4443</t>
  </si>
  <si>
    <t>06-3582255</t>
  </si>
  <si>
    <t>He Iti Nā Mōtai</t>
  </si>
  <si>
    <t>06-3648585</t>
  </si>
  <si>
    <t>heitinaamootai@twor-otaki.ac.nz</t>
  </si>
  <si>
    <t>146 Tasman Road</t>
  </si>
  <si>
    <t>Denise Hapeta</t>
  </si>
  <si>
    <t>P O Box 119</t>
  </si>
  <si>
    <t>Manawatu 5542</t>
  </si>
  <si>
    <t>06-364 8585</t>
  </si>
  <si>
    <t>Nuanua Kindergarten</t>
  </si>
  <si>
    <t>04-238 2809</t>
  </si>
  <si>
    <t>nuanua@wmkindergartens.org.nz</t>
  </si>
  <si>
    <t>103 Hereford Street</t>
  </si>
  <si>
    <t>Cannons Creek North</t>
  </si>
  <si>
    <t>Peninsula Early Learning</t>
  </si>
  <si>
    <t>04-3808025</t>
  </si>
  <si>
    <t>preschool@peninsulaearlylearning.nz</t>
  </si>
  <si>
    <t>2A Kinghorne Street</t>
  </si>
  <si>
    <t>Strathmore</t>
  </si>
  <si>
    <t>Emma Chrysoulis</t>
  </si>
  <si>
    <t>Wellington 6022</t>
  </si>
  <si>
    <t>BestStart Russell Street</t>
  </si>
  <si>
    <t>06-3540941</t>
  </si>
  <si>
    <t>russell@best-start.org</t>
  </si>
  <si>
    <t>14 Russell Street</t>
  </si>
  <si>
    <t>Churton Park Little School &amp; Nursery</t>
  </si>
  <si>
    <t>027-399 4400</t>
  </si>
  <si>
    <t>6 Melksham Drive</t>
  </si>
  <si>
    <t>Churton Park North</t>
  </si>
  <si>
    <t>Te Kōhanga Reo o Matawera</t>
  </si>
  <si>
    <t>07-345 9046</t>
  </si>
  <si>
    <t>matawera-tkr@ruamata.school.nz</t>
  </si>
  <si>
    <t>1005 Te Ngae Road</t>
  </si>
  <si>
    <t>Waiohewa</t>
  </si>
  <si>
    <t>Cherie Marks</t>
  </si>
  <si>
    <t>BestStart Tawa South</t>
  </si>
  <si>
    <t>04-232 6370</t>
  </si>
  <si>
    <t>tawasouth@best-start.org</t>
  </si>
  <si>
    <t>52-62 Redwood Avenue</t>
  </si>
  <si>
    <t>Play School Early Learning Centre</t>
  </si>
  <si>
    <t>04-4784015</t>
  </si>
  <si>
    <t>playschool@xtra.co.nz</t>
  </si>
  <si>
    <t>46 Phillip Street</t>
  </si>
  <si>
    <t>Olivia Woud</t>
  </si>
  <si>
    <t>04-4785272</t>
  </si>
  <si>
    <t>Lots of Hugs Childcare 2</t>
  </si>
  <si>
    <t>06-3536563</t>
  </si>
  <si>
    <t>loh2@lotsofhugschildcare.co.nz</t>
  </si>
  <si>
    <t>174 Ferguson Street</t>
  </si>
  <si>
    <t>Nga Rito o Te Puawaitanga Early Childhood Centre</t>
  </si>
  <si>
    <t>06-3575526</t>
  </si>
  <si>
    <t>admin@ngarito.org.nz</t>
  </si>
  <si>
    <t>916a Tremaine Avenue</t>
  </si>
  <si>
    <t>Rachel Buckley</t>
  </si>
  <si>
    <t>P O Box 5510</t>
  </si>
  <si>
    <t>Manawatu 4441</t>
  </si>
  <si>
    <t>06-3567644</t>
  </si>
  <si>
    <t>PAUA ECE 2</t>
  </si>
  <si>
    <t>Lollipops Aubrey Street</t>
  </si>
  <si>
    <t>22 Aubrey Street</t>
  </si>
  <si>
    <t>Stacey King</t>
  </si>
  <si>
    <t>06-759 4366</t>
  </si>
  <si>
    <t>BestStart South Road 1</t>
  </si>
  <si>
    <t>06-2788366</t>
  </si>
  <si>
    <t>289 South Road</t>
  </si>
  <si>
    <t>PAUA ECE 3</t>
  </si>
  <si>
    <t>raewyn@paua.ac.nz</t>
  </si>
  <si>
    <t>Katie Mawson</t>
  </si>
  <si>
    <t>Te Kohanga Reo o Mana Tamariki</t>
  </si>
  <si>
    <t>06-356 4383</t>
  </si>
  <si>
    <t>WHANAU@K09E055.kohanga.ac.nz</t>
  </si>
  <si>
    <t>165 Grey Street</t>
  </si>
  <si>
    <t>KIDZ @ 303</t>
  </si>
  <si>
    <t>06-3453008</t>
  </si>
  <si>
    <t>lisa@cbk.org.nz</t>
  </si>
  <si>
    <t>303 Wicksteed Street</t>
  </si>
  <si>
    <t>Liza Iliffe</t>
  </si>
  <si>
    <t>285 Wicksteed Street</t>
  </si>
  <si>
    <t>06-345 3008</t>
  </si>
  <si>
    <t>Nancy Winter Early Childhood Centre</t>
  </si>
  <si>
    <t>06-3854455</t>
  </si>
  <si>
    <t>nancywintercentre@xtra.co.nz</t>
  </si>
  <si>
    <t>26 Grey Street</t>
  </si>
  <si>
    <t>Raetihi</t>
  </si>
  <si>
    <t>Brenda  Burnard</t>
  </si>
  <si>
    <t>Raetihi 4632</t>
  </si>
  <si>
    <t>06-3853370</t>
  </si>
  <si>
    <t>Tui Early Learners Nestlings/Fledglings</t>
  </si>
  <si>
    <t>06-3538590</t>
  </si>
  <si>
    <t>Wonder Kids, Whanganui</t>
  </si>
  <si>
    <t>06-3458568</t>
  </si>
  <si>
    <t>wonderkids.whanganui@gmail.com</t>
  </si>
  <si>
    <t>19 Purnell Street</t>
  </si>
  <si>
    <t>Little Monkeys Learning Centre</t>
  </si>
  <si>
    <t>35 Newbury Street</t>
  </si>
  <si>
    <t>Manawatu 4412</t>
  </si>
  <si>
    <t>Jumpstart Preschool</t>
  </si>
  <si>
    <t>Tiny Smiles Early Learning (New Plymouth)</t>
  </si>
  <si>
    <t>06-7572289</t>
  </si>
  <si>
    <t>160 Mangorei Road</t>
  </si>
  <si>
    <t>Kerryn Mitchell</t>
  </si>
  <si>
    <t>127 Caton Road</t>
  </si>
  <si>
    <t>Auckland 0782</t>
  </si>
  <si>
    <t>Te Kōhanga Reo o Mangawhero Te Whare Pōtiki</t>
  </si>
  <si>
    <t>06-345 4912</t>
  </si>
  <si>
    <t>Whanau@K07F036.kohanga.ac.nz</t>
  </si>
  <si>
    <t>21 Guyton Street</t>
  </si>
  <si>
    <t>BestStart Inglewood</t>
  </si>
  <si>
    <t>06-7569010</t>
  </si>
  <si>
    <t>44 Cutfield Street</t>
  </si>
  <si>
    <t>Lollipops Ruapehu Drive</t>
  </si>
  <si>
    <t>06-3543782</t>
  </si>
  <si>
    <t>peta@ledu.co.nz</t>
  </si>
  <si>
    <t>199-201 Ruapehu Drive</t>
  </si>
  <si>
    <t>Peta Southee</t>
  </si>
  <si>
    <t>Learn A Lot Kindy Kidz</t>
  </si>
  <si>
    <t>06-3569087</t>
  </si>
  <si>
    <t>22 Ngata Street</t>
  </si>
  <si>
    <t>Kellie Carr</t>
  </si>
  <si>
    <t>06-3547454</t>
  </si>
  <si>
    <t>Chelsea House Levin</t>
  </si>
  <si>
    <t>06-3685437</t>
  </si>
  <si>
    <t>levin@chelseahouse.co.nz</t>
  </si>
  <si>
    <t>51 Trafalgar Street</t>
  </si>
  <si>
    <t>Makomako</t>
  </si>
  <si>
    <t>Sarah Kidd</t>
  </si>
  <si>
    <t>P O Box 1193</t>
  </si>
  <si>
    <t>Levin 5510</t>
  </si>
  <si>
    <t>04-902 5437</t>
  </si>
  <si>
    <t>Jumpstart Preschool Rimu</t>
  </si>
  <si>
    <t>06-7695208</t>
  </si>
  <si>
    <t>55a Rimu Street</t>
  </si>
  <si>
    <t>Tiny Legends Early Learning Centre</t>
  </si>
  <si>
    <t>06-3544322</t>
  </si>
  <si>
    <t>manager@tinylegends.co.nz</t>
  </si>
  <si>
    <t>14 Galea Grove</t>
  </si>
  <si>
    <t>Kelvin Grove North</t>
  </si>
  <si>
    <t>Cerys Ellison</t>
  </si>
  <si>
    <t>2453 State High 1</t>
  </si>
  <si>
    <t>Rongotea 4476</t>
  </si>
  <si>
    <t>Busy Bees Manchester Street</t>
  </si>
  <si>
    <t>06-929 5422</t>
  </si>
  <si>
    <t>154 Manchester Street</t>
  </si>
  <si>
    <t>Naomi McCutcheon</t>
  </si>
  <si>
    <t>06-9295422</t>
  </si>
  <si>
    <t>Stratford Community Childcare Centre</t>
  </si>
  <si>
    <t>06-7658081</t>
  </si>
  <si>
    <t>stratfordcom.childcare@xtra.co.nz</t>
  </si>
  <si>
    <t>40 Orlando Street</t>
  </si>
  <si>
    <t>Hannah Gallyer</t>
  </si>
  <si>
    <t>027-8471682</t>
  </si>
  <si>
    <t>Bell Block Childcare</t>
  </si>
  <si>
    <t>06-7552519</t>
  </si>
  <si>
    <t>bbchildcare@xtra.co.nz</t>
  </si>
  <si>
    <t>32 Nugent Street</t>
  </si>
  <si>
    <t>Jennifer Bayly</t>
  </si>
  <si>
    <t>ABC Educare</t>
  </si>
  <si>
    <t>06-7588213</t>
  </si>
  <si>
    <t>info@abceducare.co.nz</t>
  </si>
  <si>
    <t>460-464 St Aubyn Street</t>
  </si>
  <si>
    <t>Belinda Morgan</t>
  </si>
  <si>
    <t>BestStart Lemon Street</t>
  </si>
  <si>
    <t>06-7586648</t>
  </si>
  <si>
    <t>lemon@best-start.org</t>
  </si>
  <si>
    <t>158 Lemon Street</t>
  </si>
  <si>
    <t>Piccolo Preschool</t>
  </si>
  <si>
    <t>06-7591125</t>
  </si>
  <si>
    <t>5 Cracroft Street</t>
  </si>
  <si>
    <t>Sara Greensill-van Prehn</t>
  </si>
  <si>
    <t>Inglewood Community Childcare Centre Inc</t>
  </si>
  <si>
    <t>06-7568882</t>
  </si>
  <si>
    <t>inglewoodchildcare@xtra.co.nz</t>
  </si>
  <si>
    <t>3 Rata Street</t>
  </si>
  <si>
    <t>Nicole Malyon</t>
  </si>
  <si>
    <t>Inglewood 4330</t>
  </si>
  <si>
    <t>New Plymouth Montessori Association</t>
  </si>
  <si>
    <t>06-7580944</t>
  </si>
  <si>
    <t>gillian.somers@npmontessori.co.nz</t>
  </si>
  <si>
    <t>77 Dorset Avenue</t>
  </si>
  <si>
    <t>Blagdon-Lynmouth</t>
  </si>
  <si>
    <t>Gillian Somers</t>
  </si>
  <si>
    <t>P O Box 392</t>
  </si>
  <si>
    <t>Waitara &amp; District Community Childcare Centre Inc.</t>
  </si>
  <si>
    <t>06-7546482</t>
  </si>
  <si>
    <t>waitarachildcare@xtra.co.nz</t>
  </si>
  <si>
    <t>Cnr Carey &amp; Harris Streets</t>
  </si>
  <si>
    <t>Wendy Yandle</t>
  </si>
  <si>
    <t>P O Box 274</t>
  </si>
  <si>
    <t>Taranaki 4346</t>
  </si>
  <si>
    <t>New Plymouth YMCA Childcare Centre</t>
  </si>
  <si>
    <t>06-7583666</t>
  </si>
  <si>
    <t>joanne.dusterhoft@ymcataranaki.org.nz</t>
  </si>
  <si>
    <t>83 Liardet Street</t>
  </si>
  <si>
    <t>Joanne Dusterhoft</t>
  </si>
  <si>
    <t>P O Box 474</t>
  </si>
  <si>
    <t>Manu Crescent Private Kindergarten</t>
  </si>
  <si>
    <t>020-40864001</t>
  </si>
  <si>
    <t>contact@manukindergarten.com</t>
  </si>
  <si>
    <t>4 Manu Crescent</t>
  </si>
  <si>
    <t>Vogeltown</t>
  </si>
  <si>
    <t>Scott Miller</t>
  </si>
  <si>
    <t>217 Huatoki Street</t>
  </si>
  <si>
    <t>Wonder Kids, Stratford</t>
  </si>
  <si>
    <t>06-7656701</t>
  </si>
  <si>
    <t>rose.wonderkids@gmail.com</t>
  </si>
  <si>
    <t>19 Miranda Street</t>
  </si>
  <si>
    <t>Roseanne Head</t>
  </si>
  <si>
    <t>021-02271439</t>
  </si>
  <si>
    <t>Marton Junction Community Pre-school</t>
  </si>
  <si>
    <t>06-3278844</t>
  </si>
  <si>
    <t>martonjunctionpreschool@gmail.com</t>
  </si>
  <si>
    <t>Alexander Street</t>
  </si>
  <si>
    <t>Gerard Pasco</t>
  </si>
  <si>
    <t>PO Box 78</t>
  </si>
  <si>
    <t>Manawatu 4741</t>
  </si>
  <si>
    <t>06-9270524</t>
  </si>
  <si>
    <t>Matapu Preschool</t>
  </si>
  <si>
    <t>06-2726600</t>
  </si>
  <si>
    <t>matapu.preschool@xtra.co.nz</t>
  </si>
  <si>
    <t>501 Hastings Road, RD 15</t>
  </si>
  <si>
    <t>Matapu</t>
  </si>
  <si>
    <t>Emma Hancock</t>
  </si>
  <si>
    <t>501 Hastings Rd RD 15</t>
  </si>
  <si>
    <t>Hāwera 4675</t>
  </si>
  <si>
    <t>Lollipops New Plymouth</t>
  </si>
  <si>
    <t>06-7572288</t>
  </si>
  <si>
    <t>75-77 Lorna Street</t>
  </si>
  <si>
    <t>Lynmouth</t>
  </si>
  <si>
    <t>Sonia Jordan</t>
  </si>
  <si>
    <t>Opunake Communities Kindergarten Incorporated</t>
  </si>
  <si>
    <t>06-761 7440</t>
  </si>
  <si>
    <t>opunakekindy@xtra.co.nz</t>
  </si>
  <si>
    <t>Whitcombe Road</t>
  </si>
  <si>
    <t>Dannielle Newsome</t>
  </si>
  <si>
    <t>Taranaki 4645</t>
  </si>
  <si>
    <t>06-7617440</t>
  </si>
  <si>
    <t>Waverley Playcentre</t>
  </si>
  <si>
    <t>027-700 1412</t>
  </si>
  <si>
    <t>28 Gloag Street</t>
  </si>
  <si>
    <t>Waverley</t>
  </si>
  <si>
    <t>Manutahi-Waitōtora</t>
  </si>
  <si>
    <t>Aramoho Playcentre</t>
  </si>
  <si>
    <t>027-880 2739</t>
  </si>
  <si>
    <t>aramoho@Playcentre.org.nz</t>
  </si>
  <si>
    <t>Burmah Street</t>
  </si>
  <si>
    <t>Upper Aramoho</t>
  </si>
  <si>
    <t>Springvale Playcentre</t>
  </si>
  <si>
    <t>027-700 1419</t>
  </si>
  <si>
    <t>Springvale@playcentre.org.nz</t>
  </si>
  <si>
    <t>39 Fox Road</t>
  </si>
  <si>
    <t>Springvale West</t>
  </si>
  <si>
    <t>Taihape Playcentre</t>
  </si>
  <si>
    <t>06-3881905</t>
  </si>
  <si>
    <t>15 Kokako Street</t>
  </si>
  <si>
    <t>Mangaweka Playcentre</t>
  </si>
  <si>
    <t>4 Broadway</t>
  </si>
  <si>
    <t>Mangaweka</t>
  </si>
  <si>
    <t>Mokai Patea</t>
  </si>
  <si>
    <t>Hunterville Playcentre</t>
  </si>
  <si>
    <t>027-700 1404</t>
  </si>
  <si>
    <t>hunterville@playcentre.org.nz</t>
  </si>
  <si>
    <t>17 Bruce Street</t>
  </si>
  <si>
    <t>Hunterville</t>
  </si>
  <si>
    <t>Otairi</t>
  </si>
  <si>
    <t>Rapanui Brunswick Playcentre</t>
  </si>
  <si>
    <t>027-880 2364</t>
  </si>
  <si>
    <t>rapanui-brunswick@playcentre.org.nz</t>
  </si>
  <si>
    <t>823 Rapanui Road</t>
  </si>
  <si>
    <t>Whanganui Central Baptist Kindergarten (CBK)</t>
  </si>
  <si>
    <t>manager@cbk.org.nz</t>
  </si>
  <si>
    <t>Marton Childcare Centre</t>
  </si>
  <si>
    <t>06-3277570</t>
  </si>
  <si>
    <t>428 Wellington Road</t>
  </si>
  <si>
    <t>Kelli-Ann McIlraith</t>
  </si>
  <si>
    <t>P O Box 179</t>
  </si>
  <si>
    <t>Marton 4741</t>
  </si>
  <si>
    <t>06-3487813</t>
  </si>
  <si>
    <t>Ohakea Childcare Centre</t>
  </si>
  <si>
    <t>06-3221283</t>
  </si>
  <si>
    <t>8 Holland Crescent</t>
  </si>
  <si>
    <t>Fordell Preschool</t>
  </si>
  <si>
    <t>06-3427878</t>
  </si>
  <si>
    <t>fordellpreschool@xtra.co.nz</t>
  </si>
  <si>
    <t>Budge Street, RD 2, Fordell</t>
  </si>
  <si>
    <t>Kaitoke-Fordell</t>
  </si>
  <si>
    <t>Simon Badger</t>
  </si>
  <si>
    <t>Budge Street RD 2</t>
  </si>
  <si>
    <t>Fordell Postcentre</t>
  </si>
  <si>
    <t>021-980930</t>
  </si>
  <si>
    <t>88 Virginia Road</t>
  </si>
  <si>
    <t>Otamatea (Whanganui District)</t>
  </si>
  <si>
    <t>BestStart Harrison Street</t>
  </si>
  <si>
    <t>06-3476583</t>
  </si>
  <si>
    <t>harrison@best-start.org</t>
  </si>
  <si>
    <t>55 Harrison Street</t>
  </si>
  <si>
    <t>Hundred Acre Pre-School Inc</t>
  </si>
  <si>
    <t>06-3476868</t>
  </si>
  <si>
    <t>hundredacrepreschool@xtra.co.nz</t>
  </si>
  <si>
    <t>98 Heads Road</t>
  </si>
  <si>
    <t>Lynda Wilson</t>
  </si>
  <si>
    <t>Milson Playcentre</t>
  </si>
  <si>
    <t>06-3569824</t>
  </si>
  <si>
    <t>1a Seaforth Avenue</t>
  </si>
  <si>
    <t>Levin Playcentre Incorporated</t>
  </si>
  <si>
    <t>06-3682050</t>
  </si>
  <si>
    <t>13a Paisley Street</t>
  </si>
  <si>
    <t>Ashhurst Playcentre</t>
  </si>
  <si>
    <t>06-3269270</t>
  </si>
  <si>
    <t>118 Stanford Street</t>
  </si>
  <si>
    <t>Feilding Playcentre</t>
  </si>
  <si>
    <t>06-3236100</t>
  </si>
  <si>
    <t>254a Kimbolton Road</t>
  </si>
  <si>
    <t>Halcombe Playcentre</t>
  </si>
  <si>
    <t>027-700 1409</t>
  </si>
  <si>
    <t>Willoughby Street</t>
  </si>
  <si>
    <t>Halcombe</t>
  </si>
  <si>
    <t>Tokorangi</t>
  </si>
  <si>
    <t>Waituna West Playcentre</t>
  </si>
  <si>
    <t>06-3286805</t>
  </si>
  <si>
    <t>Waituna Valley Road</t>
  </si>
  <si>
    <t>Terrace End Playcentre</t>
  </si>
  <si>
    <t>06-3569341</t>
  </si>
  <si>
    <t>77 Ruamahanga Crescent</t>
  </si>
  <si>
    <t>Te Kawau Playcentre</t>
  </si>
  <si>
    <t>06-3248246</t>
  </si>
  <si>
    <t>16 Medway Street</t>
  </si>
  <si>
    <t>Rongotea</t>
  </si>
  <si>
    <t>Awahuri</t>
  </si>
  <si>
    <t>Shannon &amp; Districts Playcentre</t>
  </si>
  <si>
    <t>06-362 7069</t>
  </si>
  <si>
    <t>C/O Counter Shannon Bookshop 49 Grey Street</t>
  </si>
  <si>
    <t>Park Road Playcentre</t>
  </si>
  <si>
    <t>027-700 1417</t>
  </si>
  <si>
    <t>parkroad@Playcentre.org.nz</t>
  </si>
  <si>
    <t>Huia Street Extension</t>
  </si>
  <si>
    <t>Esplanade</t>
  </si>
  <si>
    <t>Ohau Playcentre</t>
  </si>
  <si>
    <t>06-3675915</t>
  </si>
  <si>
    <t>Ohau@playcentre.org.nz</t>
  </si>
  <si>
    <t>12 Muhunoa East Road</t>
  </si>
  <si>
    <t>Ohau</t>
  </si>
  <si>
    <t>Tui Early Learners North St</t>
  </si>
  <si>
    <t>06-3239024</t>
  </si>
  <si>
    <t>132 North Street</t>
  </si>
  <si>
    <t>Kimbolton North</t>
  </si>
  <si>
    <t>16B Osborne Tce</t>
  </si>
  <si>
    <t>Te Timatanga Hou Kindergarten</t>
  </si>
  <si>
    <t>06-368 7047</t>
  </si>
  <si>
    <t>tetimatangahou@wmkindergartens.org.nz</t>
  </si>
  <si>
    <t>19 Wilton Street</t>
  </si>
  <si>
    <t>Barnardos Early Learning Home Based Manawatu</t>
  </si>
  <si>
    <t>04-589 7878</t>
  </si>
  <si>
    <t>160 Grey Street</t>
  </si>
  <si>
    <t>Palmerston North CBD</t>
  </si>
  <si>
    <t>Julie Griffin</t>
  </si>
  <si>
    <t>Levin Baptist Kindergarten</t>
  </si>
  <si>
    <t>06-3686233</t>
  </si>
  <si>
    <t>office@levinbaptistkindy.org.nz</t>
  </si>
  <si>
    <t>19 Rugby Street</t>
  </si>
  <si>
    <t>Melanie White</t>
  </si>
  <si>
    <t>P O Box 199</t>
  </si>
  <si>
    <t>Manawatu 5540</t>
  </si>
  <si>
    <t>027-3190587</t>
  </si>
  <si>
    <t>Eden Christian Kindergarten</t>
  </si>
  <si>
    <t>06-3238057</t>
  </si>
  <si>
    <t>admin@edenkindy.nz</t>
  </si>
  <si>
    <t>114 Derby Street</t>
  </si>
  <si>
    <t>Baptist, Non-denominational, Methodist</t>
  </si>
  <si>
    <t>Anna Dobbs</t>
  </si>
  <si>
    <t>Manawatu 4702</t>
  </si>
  <si>
    <t>Te Korio Children's Centre</t>
  </si>
  <si>
    <t>06-3567798</t>
  </si>
  <si>
    <t>Building 5 80 Tennent Drive</t>
  </si>
  <si>
    <t>Cindy Hammond</t>
  </si>
  <si>
    <t>P O Box 5008</t>
  </si>
  <si>
    <t>Palmerston North 4441</t>
  </si>
  <si>
    <t>Montessori Educare Limited</t>
  </si>
  <si>
    <t>06-3564697</t>
  </si>
  <si>
    <t>office@montessorieducare.co.nz</t>
  </si>
  <si>
    <t>75A Maxwells Line</t>
  </si>
  <si>
    <t>Christine Jones</t>
  </si>
  <si>
    <t>193 Polson Hill Drive, RD 1</t>
  </si>
  <si>
    <t>Palmerston North 4477</t>
  </si>
  <si>
    <t>Massey Child Care Centre Inc</t>
  </si>
  <si>
    <t>06-9519600</t>
  </si>
  <si>
    <t>admin@masseychildcare.ac.nz</t>
  </si>
  <si>
    <t>Bourke Road</t>
  </si>
  <si>
    <t>Alison Angel</t>
  </si>
  <si>
    <t>06-2802703</t>
  </si>
  <si>
    <t>Te Reanga Childcare Centre</t>
  </si>
  <si>
    <t>06-3553909</t>
  </si>
  <si>
    <t>Te_Reanga@xtra.co.nz</t>
  </si>
  <si>
    <t>115 Church Street</t>
  </si>
  <si>
    <t>Kelley Williams</t>
  </si>
  <si>
    <t>P O Box 7096</t>
  </si>
  <si>
    <t>Palmerston North 4443</t>
  </si>
  <si>
    <t>06-3556607</t>
  </si>
  <si>
    <t>Ruahine Linton Camp Early Learning</t>
  </si>
  <si>
    <t>027-4410855</t>
  </si>
  <si>
    <t>lintonel@rka.org.nz</t>
  </si>
  <si>
    <t>All About Children - Bulls</t>
  </si>
  <si>
    <t>06-3221744</t>
  </si>
  <si>
    <t>bulls@allaboutchildren.co.nz</t>
  </si>
  <si>
    <t>106 High Street</t>
  </si>
  <si>
    <t>BestStart Palmerston North 1</t>
  </si>
  <si>
    <t>06-3550553</t>
  </si>
  <si>
    <t>23 Ngata Street</t>
  </si>
  <si>
    <t>Tararua Educare</t>
  </si>
  <si>
    <t>06-3679867</t>
  </si>
  <si>
    <t>tararua.educare@xtra.co.nz</t>
  </si>
  <si>
    <t>7 Reeve Street</t>
  </si>
  <si>
    <t>Tararua</t>
  </si>
  <si>
    <t>Malamalama Moni Aoga Amata EFKS PN</t>
  </si>
  <si>
    <t>06-3548945</t>
  </si>
  <si>
    <t>malamalama@xtra.co.nz</t>
  </si>
  <si>
    <t>39 Havelock Avenue</t>
  </si>
  <si>
    <t>Epenesa Tavita Faaiuaso</t>
  </si>
  <si>
    <t>P O Box 4161</t>
  </si>
  <si>
    <t>06-35368284</t>
  </si>
  <si>
    <t>Cornerstone Christian Preschool</t>
  </si>
  <si>
    <t>06-3565452</t>
  </si>
  <si>
    <t>supervisor@ccp.ac.nz</t>
  </si>
  <si>
    <t>63 Roberts Line</t>
  </si>
  <si>
    <t>Louette van Deventer</t>
  </si>
  <si>
    <t>The Learning Garden</t>
  </si>
  <si>
    <t>027-9153939</t>
  </si>
  <si>
    <t>2a Haggit Street</t>
  </si>
  <si>
    <t>Sandon</t>
  </si>
  <si>
    <t>Hannah-lee Read</t>
  </si>
  <si>
    <t>2a Haggitt Street</t>
  </si>
  <si>
    <t>Alphabet Academy Roslyn</t>
  </si>
  <si>
    <t>06-3554162</t>
  </si>
  <si>
    <t>alphabetacademyroslyn@gmail.com</t>
  </si>
  <si>
    <t>525 Featherston Street</t>
  </si>
  <si>
    <t>Tokomaru Early Childhood Centre Inc.</t>
  </si>
  <si>
    <t>06-3298730</t>
  </si>
  <si>
    <t>Info@tokomaruecc.co.nz</t>
  </si>
  <si>
    <t>9 Tokomaru East Road</t>
  </si>
  <si>
    <t>Tokomaru</t>
  </si>
  <si>
    <t>Miranui</t>
  </si>
  <si>
    <t>Madeleine Ross-Morley</t>
  </si>
  <si>
    <t>P O Box 33</t>
  </si>
  <si>
    <t>Manawatu 4864</t>
  </si>
  <si>
    <t>022-5474075</t>
  </si>
  <si>
    <t>Te Kōhanga Reo o Ngā Pekanga</t>
  </si>
  <si>
    <t>06-754 4277</t>
  </si>
  <si>
    <t>35A Princess Street</t>
  </si>
  <si>
    <t>Te Kōhanga Reo o Waitara</t>
  </si>
  <si>
    <t>06-754 8660</t>
  </si>
  <si>
    <t>WHANAU@K07A001.kohanga.ac.nz</t>
  </si>
  <si>
    <t>Manukorihi Road</t>
  </si>
  <si>
    <t>Te Kōhanga Reo o Te Kōpae Tamariki Kia Ū Te Reo</t>
  </si>
  <si>
    <t>06-751 1350</t>
  </si>
  <si>
    <t>WHANAU@K07A043.kohanga.ac.nz</t>
  </si>
  <si>
    <t>147 South Road</t>
  </si>
  <si>
    <t>Toiana Oka</t>
  </si>
  <si>
    <t>Te Kōhanga Reo o Te Rangiora</t>
  </si>
  <si>
    <t>06-756 8858</t>
  </si>
  <si>
    <t>50 James Street</t>
  </si>
  <si>
    <t>Te Kōhanga Reo o Waiwhakaiho</t>
  </si>
  <si>
    <t>06-758 0018</t>
  </si>
  <si>
    <t>51-53 Record Street</t>
  </si>
  <si>
    <t>Te Kōhanga Reo o Manaia</t>
  </si>
  <si>
    <t>06-274 8371</t>
  </si>
  <si>
    <t>Winks Road</t>
  </si>
  <si>
    <t>Te Kōhanga Reo o Ngatiki</t>
  </si>
  <si>
    <t>06-278 5901</t>
  </si>
  <si>
    <t>Ngatiki Marae Ararata Road</t>
  </si>
  <si>
    <t>Ohangai</t>
  </si>
  <si>
    <t>Te Kōhanga Reo o Whakaahurangi</t>
  </si>
  <si>
    <t>06-765 8172</t>
  </si>
  <si>
    <t>Celia Street</t>
  </si>
  <si>
    <t>Te Kōhanga Reo o Ngāti Pātea</t>
  </si>
  <si>
    <t>06-273 8212</t>
  </si>
  <si>
    <t>12 Dorset Street</t>
  </si>
  <si>
    <t>Te Kōhanga Reo o Te Wai-o-Turi</t>
  </si>
  <si>
    <t>06-273 8685</t>
  </si>
  <si>
    <t>WHANAU@K07D040.kohanga.ac.nz</t>
  </si>
  <si>
    <t>Lower Kaharoa Road</t>
  </si>
  <si>
    <t>Te Kōhanga Reo o Te Hunga Ririki</t>
  </si>
  <si>
    <t>06-346 5470</t>
  </si>
  <si>
    <t>22 Brassey Street</t>
  </si>
  <si>
    <t>Te Kōhanga Reo o Kura Mahiao</t>
  </si>
  <si>
    <t>06-344 6348</t>
  </si>
  <si>
    <t>16 Tainui Street</t>
  </si>
  <si>
    <t>Castlecliff West</t>
  </si>
  <si>
    <t>Te Heti Te Kohanga Reo</t>
  </si>
  <si>
    <t>06-344 4874</t>
  </si>
  <si>
    <t>46 Hinau Street</t>
  </si>
  <si>
    <t>Balgownie</t>
  </si>
  <si>
    <t>Huia Reweti Henere</t>
  </si>
  <si>
    <t>06-3446298</t>
  </si>
  <si>
    <t>Te Kōhanga Reo o Te Puāwai o Te Aroha</t>
  </si>
  <si>
    <t>06-343 2840</t>
  </si>
  <si>
    <t>29 Poutini Street</t>
  </si>
  <si>
    <t>Te Kōhanga Reo o Kaiwhāiki</t>
  </si>
  <si>
    <t>06-342 5828</t>
  </si>
  <si>
    <t>Kaiwhāiki Marae, RD 5</t>
  </si>
  <si>
    <t>Upper Whanganui</t>
  </si>
  <si>
    <t>Te Kōhanga Reo o Mangawhero</t>
  </si>
  <si>
    <t>WHANAU@K07F036.kohanga.ac.nz</t>
  </si>
  <si>
    <t>Te Kōhanga Reo o Mere Te Aroha</t>
  </si>
  <si>
    <t>06-342 5849</t>
  </si>
  <si>
    <t>Kaiwhāiki Road</t>
  </si>
  <si>
    <t>Te Kōhanga Reo o Parikino</t>
  </si>
  <si>
    <t>06-342 5518</t>
  </si>
  <si>
    <t>R D 6 Parikino, River Road</t>
  </si>
  <si>
    <t>Te Kōhanga Reo o Pūtiki Wharanui</t>
  </si>
  <si>
    <t>06-3450653</t>
  </si>
  <si>
    <t>30 Takarangi Street</t>
  </si>
  <si>
    <t>Te Kōhanga Reo o Te Hunga Kāwitiwiti</t>
  </si>
  <si>
    <t>06-343 7662</t>
  </si>
  <si>
    <t>356 Somme Parade</t>
  </si>
  <si>
    <t>Te Kōhanga Reo o Te Reo Irirangi</t>
  </si>
  <si>
    <t>06-344 7267</t>
  </si>
  <si>
    <t>6 Rangiora Street</t>
  </si>
  <si>
    <t>Adrian Paul</t>
  </si>
  <si>
    <t>06-3447267</t>
  </si>
  <si>
    <t>Te Kōhanga Reo o Tūtaramoana</t>
  </si>
  <si>
    <t>06-345 5289</t>
  </si>
  <si>
    <t>33a Gonville Ave</t>
  </si>
  <si>
    <t>Te Kōhanga Reo o Paimārie</t>
  </si>
  <si>
    <t>06-327 7783</t>
  </si>
  <si>
    <t>31 Morris Road</t>
  </si>
  <si>
    <t>Te Kōhanga Reo o Wharemārama</t>
  </si>
  <si>
    <t>06-342 6601</t>
  </si>
  <si>
    <t>1 Kiatere Street</t>
  </si>
  <si>
    <t>Ratana Pa</t>
  </si>
  <si>
    <t>Turakina</t>
  </si>
  <si>
    <t>Te Kōhanga Reo o Mōkai Pātea o Taihape</t>
  </si>
  <si>
    <t>06-388 0292</t>
  </si>
  <si>
    <t>28 Huia Street</t>
  </si>
  <si>
    <t>Te Kōhanga Reo o Mō Te Whānau</t>
  </si>
  <si>
    <t>06-385 4305</t>
  </si>
  <si>
    <t>32 Queen Street</t>
  </si>
  <si>
    <t>Alysha Perkins</t>
  </si>
  <si>
    <t>Te Kōhanga Reo o Ngā Mōrehu o Uenuku</t>
  </si>
  <si>
    <t>06-385 3187</t>
  </si>
  <si>
    <t>2 Hukaroa Road</t>
  </si>
  <si>
    <t>Te Kōhanga Reo o Manu Kōrero</t>
  </si>
  <si>
    <t>06-385 8443</t>
  </si>
  <si>
    <t>36 Burns Street</t>
  </si>
  <si>
    <t>Te Kōhanga Reo o Te Puāwai o Te Kākano</t>
  </si>
  <si>
    <t>06-388 1306</t>
  </si>
  <si>
    <t>54 Goldfinch Street</t>
  </si>
  <si>
    <t>Pura Whale</t>
  </si>
  <si>
    <t>06-3880597</t>
  </si>
  <si>
    <t>Te Kōhanga Reo o Te Ao Mārama</t>
  </si>
  <si>
    <t>06-354 5674</t>
  </si>
  <si>
    <t>teaomaramakr@gmail.com</t>
  </si>
  <si>
    <t>103 Rangiora Avenue</t>
  </si>
  <si>
    <t>Te Kōhanga Reo o Te Āwhina</t>
  </si>
  <si>
    <t>06-356 7348</t>
  </si>
  <si>
    <t>WHANAU@K09E030.kohanga.ac.nz</t>
  </si>
  <si>
    <t>115 Vogel Street</t>
  </si>
  <si>
    <t>Te Kōhanga Reo o Hanana</t>
  </si>
  <si>
    <t>06-362 7475</t>
  </si>
  <si>
    <t>WHANAU@K09D034.kohanga.ac.nz</t>
  </si>
  <si>
    <t>89-95 Ballance Street</t>
  </si>
  <si>
    <t>Kereru Marae Kōhanga Reo</t>
  </si>
  <si>
    <t>06-367 8014</t>
  </si>
  <si>
    <t>kererumaraetkr@hotmail.com</t>
  </si>
  <si>
    <t>Kereru Marae Koputaroa Road</t>
  </si>
  <si>
    <t>Kere Kere</t>
  </si>
  <si>
    <t>Te Kōhanga Reo o Kautu Ki Te Rangi</t>
  </si>
  <si>
    <t>06-278 6887</t>
  </si>
  <si>
    <t>524 Ohangai Road</t>
  </si>
  <si>
    <t>Tawhiti</t>
  </si>
  <si>
    <t>Te Kōhanga Reo o Kaikaapo</t>
  </si>
  <si>
    <t>06-273 8451</t>
  </si>
  <si>
    <t>Pariroa Marae Wilson Road</t>
  </si>
  <si>
    <t>Kakaramea</t>
  </si>
  <si>
    <t>Billene Taueki</t>
  </si>
  <si>
    <t>Te Kōhanga Reo o Koriniti</t>
  </si>
  <si>
    <t>06-342 8019</t>
  </si>
  <si>
    <t>Whanganui River Road</t>
  </si>
  <si>
    <t>Te Kōhanga Reo o Te Namu</t>
  </si>
  <si>
    <t>06-761 8843</t>
  </si>
  <si>
    <t>169 Tasman Street</t>
  </si>
  <si>
    <t>Te Kōhanga Reo o Te Rangahaua</t>
  </si>
  <si>
    <t>06-345 1019</t>
  </si>
  <si>
    <t>91-93 Bell Street</t>
  </si>
  <si>
    <t>Te Kōhanga Reo o Hāpaitia</t>
  </si>
  <si>
    <t>06-323 8037</t>
  </si>
  <si>
    <t>hapaitiakohangareo@gmail.com</t>
  </si>
  <si>
    <t>23 Owen Street</t>
  </si>
  <si>
    <t>Te Kōhanga Reo o Tiehutia Te Waka</t>
  </si>
  <si>
    <t>06-342 6683</t>
  </si>
  <si>
    <t>Whangaehu Marae 66 Whangaehu Beach Road</t>
  </si>
  <si>
    <t>Te Kōhanga Reo o Te Whānau Mana Kākano</t>
  </si>
  <si>
    <t>06-354 2436</t>
  </si>
  <si>
    <t>WHANAU@K09E099.kohanga.ac.nz</t>
  </si>
  <si>
    <t>C/- Terrace End School Kauri Street</t>
  </si>
  <si>
    <t>Gisborne Montessori Preschool</t>
  </si>
  <si>
    <t>06-8689182</t>
  </si>
  <si>
    <t>manager@gisbornemontessori.org.nz</t>
  </si>
  <si>
    <t>207 Ormond Road</t>
  </si>
  <si>
    <t>Fiona Dawson</t>
  </si>
  <si>
    <t>Kids House</t>
  </si>
  <si>
    <t>06-8386195</t>
  </si>
  <si>
    <t>kidshouse@xtra.co.nz</t>
  </si>
  <si>
    <t>264 Marine Parade</t>
  </si>
  <si>
    <t>Eirlys Toothill</t>
  </si>
  <si>
    <t>Hawkes Bay 4108</t>
  </si>
  <si>
    <t>06-8383999</t>
  </si>
  <si>
    <t>Gisborne Central Childcare and Education Centre</t>
  </si>
  <si>
    <t>06-8685861</t>
  </si>
  <si>
    <t>centcc@xtra.co.nz</t>
  </si>
  <si>
    <t>237 Palmerston Road</t>
  </si>
  <si>
    <t>Miriam Swarbrick</t>
  </si>
  <si>
    <t>06-8685273</t>
  </si>
  <si>
    <t>Gisborne Community Early Education Centre Te Whare Tiaki Tamariki Inc</t>
  </si>
  <si>
    <t>06-8677565</t>
  </si>
  <si>
    <t>under5s@xtra.co.nz</t>
  </si>
  <si>
    <t>175 Palmerston Road</t>
  </si>
  <si>
    <t>Jay Worsnop</t>
  </si>
  <si>
    <t>P O Box 356</t>
  </si>
  <si>
    <t>021-2108361</t>
  </si>
  <si>
    <t>Gisborne Hospital Childcare &amp; Education Centre Inc</t>
  </si>
  <si>
    <t>06-8690543</t>
  </si>
  <si>
    <t>ghcec@xtra.co.nz</t>
  </si>
  <si>
    <t>423 Ormond Road</t>
  </si>
  <si>
    <t>Randeep Kaur</t>
  </si>
  <si>
    <t>021-02877865</t>
  </si>
  <si>
    <t>Victoria Early Learning Centre</t>
  </si>
  <si>
    <t>027-2221201</t>
  </si>
  <si>
    <t>office@victoriachildcare.co.nz</t>
  </si>
  <si>
    <t>17 Anzac Street</t>
  </si>
  <si>
    <t>Centennial Crescent</t>
  </si>
  <si>
    <t>Larraine Ball</t>
  </si>
  <si>
    <t>P O Box 1185</t>
  </si>
  <si>
    <t>06-8673853</t>
  </si>
  <si>
    <t>Busy Bees Wellington Street</t>
  </si>
  <si>
    <t>info@wellingtonstreet.busybees.org.nz</t>
  </si>
  <si>
    <t>22 and 24 Wellington Street</t>
  </si>
  <si>
    <t>Dianne Brooking</t>
  </si>
  <si>
    <t>Cornerstone Pre-School</t>
  </si>
  <si>
    <t>06-8688932</t>
  </si>
  <si>
    <t>kingdomkidstrust@outlook.com</t>
  </si>
  <si>
    <t>1 Ida Road</t>
  </si>
  <si>
    <t>Heather Alexander</t>
  </si>
  <si>
    <t>P O Box 3082</t>
  </si>
  <si>
    <t>Gisborne 4041</t>
  </si>
  <si>
    <t>027-4039011</t>
  </si>
  <si>
    <t>Kaiti Playcentre</t>
  </si>
  <si>
    <t>027-8631789</t>
  </si>
  <si>
    <t>kaiti@playcentre.org.nz</t>
  </si>
  <si>
    <t>230 Rutene Road</t>
  </si>
  <si>
    <t>Mary-Jane Dixon</t>
  </si>
  <si>
    <t>Mangapapa Playcentre</t>
  </si>
  <si>
    <t>mangapapa@playcentre.org.nz</t>
  </si>
  <si>
    <t>351 Ormond Road</t>
  </si>
  <si>
    <t>Matawai Playcentre</t>
  </si>
  <si>
    <t>matawai@playcentre.org.nz</t>
  </si>
  <si>
    <t>Raumati Street</t>
  </si>
  <si>
    <t>Matawai</t>
  </si>
  <si>
    <t>Waipaoa</t>
  </si>
  <si>
    <t>Wainui Playcentre</t>
  </si>
  <si>
    <t>wainui@playcentre.org.nz</t>
  </si>
  <si>
    <t>60 Wairere Road</t>
  </si>
  <si>
    <t>Wainui-Gisborne</t>
  </si>
  <si>
    <t>Wainui-Okitu</t>
  </si>
  <si>
    <t>Whataupoko Playcentre</t>
  </si>
  <si>
    <t>whataupoko@playcentre.org.nz</t>
  </si>
  <si>
    <t>Central Street</t>
  </si>
  <si>
    <t>Wairoa Playcentre</t>
  </si>
  <si>
    <t>wairoa@playcentre.org.nz</t>
  </si>
  <si>
    <t>22 Lahore Street</t>
  </si>
  <si>
    <t>Woodville Playcentre</t>
  </si>
  <si>
    <t>06-3764901</t>
  </si>
  <si>
    <t>45 Ross Street</t>
  </si>
  <si>
    <t>First Years Preschool</t>
  </si>
  <si>
    <t>06-3747436</t>
  </si>
  <si>
    <t>fyps@xtra.co.nz</t>
  </si>
  <si>
    <t>7 Allardice Street</t>
  </si>
  <si>
    <t>Leanne Teller</t>
  </si>
  <si>
    <t>Manawatu 4930</t>
  </si>
  <si>
    <t>06-374 7436</t>
  </si>
  <si>
    <t>Te Whare Aroha O Nga Mokopuna Early Childhood Centre</t>
  </si>
  <si>
    <t>06-8799018</t>
  </si>
  <si>
    <t>kimiora.ecc@xtra.co.nz</t>
  </si>
  <si>
    <t>1 Boston Cres</t>
  </si>
  <si>
    <t>Gaylene Moore</t>
  </si>
  <si>
    <t>P O Box 15006</t>
  </si>
  <si>
    <t>06-8357354</t>
  </si>
  <si>
    <t>Frimley Park Kindergarten</t>
  </si>
  <si>
    <t>06-8767896</t>
  </si>
  <si>
    <t>frimleypark@hfka.co.nz</t>
  </si>
  <si>
    <t>317 Hapuku Street</t>
  </si>
  <si>
    <t>Taikura Rudolf Steiner Kindergarten</t>
  </si>
  <si>
    <t>412-414 Nelson Street</t>
  </si>
  <si>
    <t>Cornwall Park</t>
  </si>
  <si>
    <t>Emma Fisher</t>
  </si>
  <si>
    <t>06-8704650</t>
  </si>
  <si>
    <t>Future Kids</t>
  </si>
  <si>
    <t>06-8795396</t>
  </si>
  <si>
    <t>director@futurekidspreschool.co.nz</t>
  </si>
  <si>
    <t>1200 Omahu Road</t>
  </si>
  <si>
    <t>Woolwich</t>
  </si>
  <si>
    <t>Omahu Strip</t>
  </si>
  <si>
    <t>Joelle  Pretorius</t>
  </si>
  <si>
    <t>P O Box 1307</t>
  </si>
  <si>
    <t>Waiapu Kids - St. Matthews Early Childhood Centre</t>
  </si>
  <si>
    <t>06-8786924</t>
  </si>
  <si>
    <t>rayna@acw.org.nz</t>
  </si>
  <si>
    <t>207 Lyndon Road West</t>
  </si>
  <si>
    <t>Joanne Hayes</t>
  </si>
  <si>
    <t>Scallywaggs Junior and Middle Kindergarten</t>
  </si>
  <si>
    <t>9 Russell Street</t>
  </si>
  <si>
    <t>Sunny Days</t>
  </si>
  <si>
    <t>06-8422101</t>
  </si>
  <si>
    <t>zonia.f@brightfutures.org.nz</t>
  </si>
  <si>
    <t>30 Barker Road</t>
  </si>
  <si>
    <t>Kerry Henderson</t>
  </si>
  <si>
    <t>06-8778188</t>
  </si>
  <si>
    <t>Lumsden Kindergarten</t>
  </si>
  <si>
    <t>06-8762006</t>
  </si>
  <si>
    <t>rakelle@lumsdenkindergarten.co.nz</t>
  </si>
  <si>
    <t>209 Lumsden Road</t>
  </si>
  <si>
    <t>Akina</t>
  </si>
  <si>
    <t>Rakelle Ru Bay</t>
  </si>
  <si>
    <t>217 Lumsden Place</t>
  </si>
  <si>
    <t>06-876 2006 Ext 2</t>
  </si>
  <si>
    <t>Ōtātara Children's Centre</t>
  </si>
  <si>
    <t>06-9748908</t>
  </si>
  <si>
    <t>sfraser@eit.ac.nz</t>
  </si>
  <si>
    <t>501 Glouchester Street</t>
  </si>
  <si>
    <t>Taradale South</t>
  </si>
  <si>
    <t>Saemone Fraser</t>
  </si>
  <si>
    <t>Port Ahuriri Children's Centre</t>
  </si>
  <si>
    <t>06-8350690</t>
  </si>
  <si>
    <t>port@portcitychildren.co.nz</t>
  </si>
  <si>
    <t>26 Campbell Street</t>
  </si>
  <si>
    <t>Renee Wiggins</t>
  </si>
  <si>
    <t>022-0932822</t>
  </si>
  <si>
    <t>Swinburn House</t>
  </si>
  <si>
    <t>06-8438714</t>
  </si>
  <si>
    <t>swinburnhouse@birthrighthb.org.nz</t>
  </si>
  <si>
    <t>3 Allen Berry Avenue</t>
  </si>
  <si>
    <t>Havelock North Playcentre</t>
  </si>
  <si>
    <t>06-877 5092</t>
  </si>
  <si>
    <t>havelocknorth@Playcentre.org.nz</t>
  </si>
  <si>
    <t>Porter Drive</t>
  </si>
  <si>
    <t>Otamauri Playcentre</t>
  </si>
  <si>
    <t>06-8768448</t>
  </si>
  <si>
    <t>otamauri@Playcentre.org.nz</t>
  </si>
  <si>
    <t>Cnr Taihape &amp; Otamauri Road</t>
  </si>
  <si>
    <t>Otamauri</t>
  </si>
  <si>
    <t>Sherenden-Crownthorpe</t>
  </si>
  <si>
    <t>Mohaka General Ward</t>
  </si>
  <si>
    <t>Ashridge Road Playcentre</t>
  </si>
  <si>
    <t>ashridgeroad@Playcentre.org.nz</t>
  </si>
  <si>
    <t>15 Ashridge Road</t>
  </si>
  <si>
    <t>Port Ahuriri Playcentre</t>
  </si>
  <si>
    <t>06-834 0072</t>
  </si>
  <si>
    <t>portahuriri@Playcentre.org.nz</t>
  </si>
  <si>
    <t>32 Ossian Street</t>
  </si>
  <si>
    <t>Tamatea Playcentre</t>
  </si>
  <si>
    <t>04-844 4421</t>
  </si>
  <si>
    <t>tamatea@Playcentre.org.nz</t>
  </si>
  <si>
    <t>23 Ranfurly Street</t>
  </si>
  <si>
    <t>Tamatea East</t>
  </si>
  <si>
    <t>Taradale Playcentre</t>
  </si>
  <si>
    <t>06-8447558</t>
  </si>
  <si>
    <t>taradale@Playcentre.org.nz</t>
  </si>
  <si>
    <t>13 Peddie Street</t>
  </si>
  <si>
    <t>Bledisloe Park</t>
  </si>
  <si>
    <t>Cornwall Park Playcentre</t>
  </si>
  <si>
    <t>cornwallpark@Playcentre.org.nz</t>
  </si>
  <si>
    <t>15 Holden Ave</t>
  </si>
  <si>
    <t>Haumoana</t>
  </si>
  <si>
    <t>Haumoana Playcentre</t>
  </si>
  <si>
    <t>haumoana@playcentre.org.nz</t>
  </si>
  <si>
    <t>Holden Street</t>
  </si>
  <si>
    <t>Onga Onga Playcentre</t>
  </si>
  <si>
    <t>06-856 6521 </t>
  </si>
  <si>
    <t>ongaonga@Playcentre.org.nz</t>
  </si>
  <si>
    <t>Bridge Street</t>
  </si>
  <si>
    <t>Ongaonga</t>
  </si>
  <si>
    <t>Porangahau Playcentre</t>
  </si>
  <si>
    <t xml:space="preserve">06-855 5459 </t>
  </si>
  <si>
    <t>porangahau@Playcentre.org.nz</t>
  </si>
  <si>
    <t>Keppel Street</t>
  </si>
  <si>
    <t>Porangahau</t>
  </si>
  <si>
    <t>Taurekaitai</t>
  </si>
  <si>
    <t>Tikokino Playcentre</t>
  </si>
  <si>
    <t xml:space="preserve">06-856 5539 </t>
  </si>
  <si>
    <t>tikokino@Playcentre.org.nz</t>
  </si>
  <si>
    <t>Owen Street R D 3</t>
  </si>
  <si>
    <t>Tikokino</t>
  </si>
  <si>
    <t>Mangaonuku</t>
  </si>
  <si>
    <t>Footsteps Adventist Preschool</t>
  </si>
  <si>
    <t>06-8440156</t>
  </si>
  <si>
    <t>rebecca@footstepspreschool.co.nz</t>
  </si>
  <si>
    <t>105 Tait Drive</t>
  </si>
  <si>
    <t>Rebecca Zajonskowski</t>
  </si>
  <si>
    <t>P O Box 5085</t>
  </si>
  <si>
    <t>022-3178062</t>
  </si>
  <si>
    <t>Waiapu Kids - Te Hapara Whanau Aroha</t>
  </si>
  <si>
    <t>06-8676770</t>
  </si>
  <si>
    <t>776 Childers Road</t>
  </si>
  <si>
    <t>Natasha Johnson</t>
  </si>
  <si>
    <t>021-1864929</t>
  </si>
  <si>
    <t>City Childrens Centre</t>
  </si>
  <si>
    <t>06-8351917</t>
  </si>
  <si>
    <t>christine@portcitychildren.co.nz</t>
  </si>
  <si>
    <t>52 Vautier Street</t>
  </si>
  <si>
    <t>Napier Central</t>
  </si>
  <si>
    <t xml:space="preserve">Christine  Downing </t>
  </si>
  <si>
    <t>06-8357272</t>
  </si>
  <si>
    <t>BestStart Mahora</t>
  </si>
  <si>
    <t>06-8765035</t>
  </si>
  <si>
    <t>mahora@best-start.org</t>
  </si>
  <si>
    <t>504 Frederick Street</t>
  </si>
  <si>
    <t>Tomoana Crossing</t>
  </si>
  <si>
    <t>Greendale Kids Nursery</t>
  </si>
  <si>
    <t>06-8444741</t>
  </si>
  <si>
    <t>55 Osier Road</t>
  </si>
  <si>
    <t>69 King Street</t>
  </si>
  <si>
    <t>Barnardos Early Learning Centre Hastings</t>
  </si>
  <si>
    <t>06-8769548</t>
  </si>
  <si>
    <t>hastings.elc@barnardos.org.nz</t>
  </si>
  <si>
    <t>1201 A Cunningham Crescent</t>
  </si>
  <si>
    <t>Diane Rudge</t>
  </si>
  <si>
    <t>06-8767542</t>
  </si>
  <si>
    <t>Te Kōhanga Reo o Taniwaka</t>
  </si>
  <si>
    <t>06-374 9263</t>
  </si>
  <si>
    <t>whanau@k08g015.kohanga.ac.nz</t>
  </si>
  <si>
    <t>16 Tennyson Street</t>
  </si>
  <si>
    <t>Te Kōhanga Reo o Te Kapua o te Rangi</t>
  </si>
  <si>
    <t>06-376 6036</t>
  </si>
  <si>
    <t>whanau@k08g019.kohanga.ac.nz</t>
  </si>
  <si>
    <t>Riccarton Road</t>
  </si>
  <si>
    <t>Heke Huata</t>
  </si>
  <si>
    <t>Te Kōhanga Reo o E Tipu E Rea Taraia</t>
  </si>
  <si>
    <t>06-843 3398</t>
  </si>
  <si>
    <t>whanau@k08b055.kohanga.ac.nz</t>
  </si>
  <si>
    <t>36 Shackleton Street</t>
  </si>
  <si>
    <t>Te Kōhanga Reo O Heretaunga</t>
  </si>
  <si>
    <t>06-878 7690</t>
  </si>
  <si>
    <t>whanau@k08c003.kohanga.ac.nz</t>
  </si>
  <si>
    <t>500 Kiwi Street</t>
  </si>
  <si>
    <t>Te Kōhanga Reo o Moteo</t>
  </si>
  <si>
    <t>06-844 3066</t>
  </si>
  <si>
    <t>WHANAU@K08B034.kohanga.ac.nz</t>
  </si>
  <si>
    <t>Moteo Pa Road</t>
  </si>
  <si>
    <t>Puketapu</t>
  </si>
  <si>
    <t>Puketapu-Eskdale</t>
  </si>
  <si>
    <t>Te Kōhanga Reo o Waipatu</t>
  </si>
  <si>
    <t>06-878 2903</t>
  </si>
  <si>
    <t>whanau@k08c031.kohanga.ac.nz</t>
  </si>
  <si>
    <t>Waipatu Marae 75 Karamu Road</t>
  </si>
  <si>
    <t>Tomoana</t>
  </si>
  <si>
    <t>Te Kōhanga Reo o Whakatū</t>
  </si>
  <si>
    <t>06-870 0580</t>
  </si>
  <si>
    <t>k08b022.whakatu.kohanga@gmail.com</t>
  </si>
  <si>
    <t>17 Essex Crescent</t>
  </si>
  <si>
    <t>Whakatu</t>
  </si>
  <si>
    <t>Mona Stewart</t>
  </si>
  <si>
    <t>06-8700580</t>
  </si>
  <si>
    <t>Te Kōhanga Reo o Waimarama</t>
  </si>
  <si>
    <t>06-874 6623</t>
  </si>
  <si>
    <t>whanau@k08c058.kohanga.ac.nz</t>
  </si>
  <si>
    <t>C/- Waimarama Store 6 Taupunga Road</t>
  </si>
  <si>
    <t>Waimarama</t>
  </si>
  <si>
    <t>Kahuranaki</t>
  </si>
  <si>
    <t>Te Kōhanga Reo o Waipawa</t>
  </si>
  <si>
    <t>06-857 8393</t>
  </si>
  <si>
    <t>whanau@k08f018.kohanga.ac.nz</t>
  </si>
  <si>
    <t>87 Abbotsford Road</t>
  </si>
  <si>
    <t>Te Kōhanga Reo o Te Kūpenga o Te Mātauranga</t>
  </si>
  <si>
    <t>06-843 2683</t>
  </si>
  <si>
    <t>whanau@k08b010.kohanga.ac.nz</t>
  </si>
  <si>
    <t>0 Dick Place</t>
  </si>
  <si>
    <t>Onekawa South</t>
  </si>
  <si>
    <t>Te Kōhanga Reo o Taihoa</t>
  </si>
  <si>
    <t>06-838 7233</t>
  </si>
  <si>
    <t>WHANAU@K06C004.kohanga.ac.nz</t>
  </si>
  <si>
    <t>Main Road North</t>
  </si>
  <si>
    <t>Te Kōhanga Reo o Pākōwhai</t>
  </si>
  <si>
    <t>06-862 7555</t>
  </si>
  <si>
    <t>WHANAU@K06B050.kohanga.ac.nz</t>
  </si>
  <si>
    <t>402 Lavenham Road</t>
  </si>
  <si>
    <t>Te Arai</t>
  </si>
  <si>
    <t>Te Kōhanga Reo o Rongowhakaata</t>
  </si>
  <si>
    <t>06-862 8730</t>
  </si>
  <si>
    <t>WHANAU@K06A006.kohanga.ac.nz</t>
  </si>
  <si>
    <t>Whakato Marae 33 Whakato Road</t>
  </si>
  <si>
    <t>Manutuke</t>
  </si>
  <si>
    <t>Ricky Tuari</t>
  </si>
  <si>
    <t>022-1642414</t>
  </si>
  <si>
    <t>Te Kōhanga Reo o Manutuke</t>
  </si>
  <si>
    <t>06-862 8871</t>
  </si>
  <si>
    <t>WHANAU@K06A038.kohanga.ac.nz</t>
  </si>
  <si>
    <t>73 Whakato Road</t>
  </si>
  <si>
    <t>Te Kōhanga Reo o E Tipu</t>
  </si>
  <si>
    <t>06-862 6756</t>
  </si>
  <si>
    <t>WHANAU@K06E013.kohanga.ac.nz</t>
  </si>
  <si>
    <t>29 Hauiti Road</t>
  </si>
  <si>
    <t>Tolaga Bay</t>
  </si>
  <si>
    <t>Wharekaka</t>
  </si>
  <si>
    <t>Te Kōhanga Reo o Hinerupe</t>
  </si>
  <si>
    <t>06-864 4658</t>
  </si>
  <si>
    <t>WHANAU@K06D012.kohanga.ac.nz</t>
  </si>
  <si>
    <t>3 Rimu Street</t>
  </si>
  <si>
    <t>Te Araroa</t>
  </si>
  <si>
    <t>Te Kōhanga Reo o Te Pāhou</t>
  </si>
  <si>
    <t>06-862 8725</t>
  </si>
  <si>
    <t>WHANAU@K06A051.kohanga.ac.nz</t>
  </si>
  <si>
    <t>34 Tuaraki Road</t>
  </si>
  <si>
    <t>Mihi Tashkoff</t>
  </si>
  <si>
    <t>06-8626181</t>
  </si>
  <si>
    <t>Te Kōhanga Reo o Marotiri</t>
  </si>
  <si>
    <t>06-864 5645</t>
  </si>
  <si>
    <t>WHANAU@K06E046.kohanga.ac.nz</t>
  </si>
  <si>
    <t>121 Beach Road</t>
  </si>
  <si>
    <t>Tokomaru Bay</t>
  </si>
  <si>
    <t>Te Kōhanga Reo o Waiapu</t>
  </si>
  <si>
    <t>06-8643825</t>
  </si>
  <si>
    <t>WHANAU@K06D014.kohanga.ac.nz</t>
  </si>
  <si>
    <t>c/o Rāhui Marae Main Road</t>
  </si>
  <si>
    <t>Tikitiki</t>
  </si>
  <si>
    <t>Te Kōhanga Reo o Te Rau O Te Oriwa</t>
  </si>
  <si>
    <t>06-837 6865</t>
  </si>
  <si>
    <t>whanau@k08a060.kohanga.ac.nz</t>
  </si>
  <si>
    <t>Putere Road</t>
  </si>
  <si>
    <t>Te Kōhanga Reo o Poukawa ki Kahuranaki</t>
  </si>
  <si>
    <t>06-874 8538</t>
  </si>
  <si>
    <t>whanau@k08c002.kohanga.ac.nz</t>
  </si>
  <si>
    <t>Main Road, R D 2</t>
  </si>
  <si>
    <t>Te Hauke</t>
  </si>
  <si>
    <t>Poukawa</t>
  </si>
  <si>
    <t>Te Kōhanga Reo o Te Reo Aroha</t>
  </si>
  <si>
    <t>06-876 2542</t>
  </si>
  <si>
    <t>WHANAU@K08E041.kohanga.ac.nz</t>
  </si>
  <si>
    <t>103 Alexandra Cres</t>
  </si>
  <si>
    <t>Te Kōhanga Reo o Waipukurau</t>
  </si>
  <si>
    <t>06-858 9648</t>
  </si>
  <si>
    <t>whanau@k08f013.kohanga.ac.nz</t>
  </si>
  <si>
    <t>2330 Takapau Road</t>
  </si>
  <si>
    <t>Te Kōhanga Reo o Te Kūpenga a Te Huki</t>
  </si>
  <si>
    <t>06-876 2906</t>
  </si>
  <si>
    <t>whanau@k08c027.kohanga.ac.nz</t>
  </si>
  <si>
    <t>76 Old Main Road</t>
  </si>
  <si>
    <t>Pakipaki</t>
  </si>
  <si>
    <t>Longlands-Pukahu</t>
  </si>
  <si>
    <t>Kellie Jessup</t>
  </si>
  <si>
    <t>06-8797345</t>
  </si>
  <si>
    <t>Te Kōhanga Reo o Te Manawanui ki Kimiora</t>
  </si>
  <si>
    <t>06-879 9602</t>
  </si>
  <si>
    <t>WHANAU@K08D050.kohanga.ac.nz</t>
  </si>
  <si>
    <t>58 Tarbet Street</t>
  </si>
  <si>
    <t>Te Kōhanga Reo o Te Whakaruruhau</t>
  </si>
  <si>
    <t>06-868 4342</t>
  </si>
  <si>
    <t>whanau@k06f023.kohanga.ac.nz</t>
  </si>
  <si>
    <t>170 Tyndall Road</t>
  </si>
  <si>
    <t>Te Kōhanga Reo o Tauparanui Ki Heretaunga</t>
  </si>
  <si>
    <t>06-879 9709</t>
  </si>
  <si>
    <t>whanau@k08c048.kohanga.ac.nz</t>
  </si>
  <si>
    <t>1 Maraekakaho Road</t>
  </si>
  <si>
    <t>Kahungunu Kāhui Ako</t>
  </si>
  <si>
    <t>Te Kōhanga Reo o Kaitoki</t>
  </si>
  <si>
    <t>06-374 8578</t>
  </si>
  <si>
    <t>whanau@k08g028.kohanga.ac.nz</t>
  </si>
  <si>
    <t>20 Kaitoke River Road</t>
  </si>
  <si>
    <t>Waitahora</t>
  </si>
  <si>
    <t>06-376 5069</t>
  </si>
  <si>
    <t>whanau@k08g030.kohanmga.ac.nz</t>
  </si>
  <si>
    <t>Cnr Vogel &amp; Tay Streets</t>
  </si>
  <si>
    <t>Te Kōhanga reo o Mangaroa</t>
  </si>
  <si>
    <t>06-879 9192</t>
  </si>
  <si>
    <t>whanau@k08c052.kohanga.ac.nz</t>
  </si>
  <si>
    <t>3 Raukawa Road</t>
  </si>
  <si>
    <t>Bridge Pa</t>
  </si>
  <si>
    <t>Te Kōhanga Reo o Te Maara a Tāwhao</t>
  </si>
  <si>
    <t>06-844 9787</t>
  </si>
  <si>
    <t>WHANAU@K08B035.kohanga.ac.nz</t>
  </si>
  <si>
    <t>68 King Street</t>
  </si>
  <si>
    <t>Te Kōhanga Reo o Kimihia te kupu</t>
  </si>
  <si>
    <t>06-868 1430</t>
  </si>
  <si>
    <t>WHANAU@K06F037.kohanga.ac.nz</t>
  </si>
  <si>
    <t>6 Jackson Street</t>
  </si>
  <si>
    <t>Te Kōhanga Reo o Te Ao Marama</t>
  </si>
  <si>
    <t>06-843 9116</t>
  </si>
  <si>
    <t>WHANAU@K08B016.kohanga.ac.nz</t>
  </si>
  <si>
    <t>2 A Bledisloe Road</t>
  </si>
  <si>
    <t>Jean Beamsley</t>
  </si>
  <si>
    <t>06-8433407</t>
  </si>
  <si>
    <t>Te Kōhanga Reo o Te Amorangi Hāpai o Rongokako</t>
  </si>
  <si>
    <t>06-876 6614</t>
  </si>
  <si>
    <t>WHANAU@K08C057.kohanga.ac.nz</t>
  </si>
  <si>
    <t>116 Duchess Crescent</t>
  </si>
  <si>
    <t>Te Kōhanga Reo o Waitakaro</t>
  </si>
  <si>
    <t>06-864 8114</t>
  </si>
  <si>
    <t>WHANAU@K06E008.kohanga.ac.nz</t>
  </si>
  <si>
    <t>6712 Waiapu Rd, Hiruharama</t>
  </si>
  <si>
    <t>Te Kōhanga Reo o Te Tihi O Tītīrangi</t>
  </si>
  <si>
    <t>06-8672021</t>
  </si>
  <si>
    <t>WHANAU@K06F065.kohanga.ac.nz</t>
  </si>
  <si>
    <t>Ranfurly, St</t>
  </si>
  <si>
    <t>Jordan Smith</t>
  </si>
  <si>
    <t>Patoka Rural Kindergarten</t>
  </si>
  <si>
    <t>06-8398817</t>
  </si>
  <si>
    <t>patoka.kindy@xtra.co.nz</t>
  </si>
  <si>
    <t>1 Hendley Road R D 4</t>
  </si>
  <si>
    <t>Patoka</t>
  </si>
  <si>
    <t>Puketitiri-Tutira</t>
  </si>
  <si>
    <t xml:space="preserve">Kelly  Dinneen </t>
  </si>
  <si>
    <t>1 Hendley Road RD 4</t>
  </si>
  <si>
    <t>Napier 4184</t>
  </si>
  <si>
    <t>06-839 3317</t>
  </si>
  <si>
    <t>Te Kōhanga Reo o Pūnanga Te Wao</t>
  </si>
  <si>
    <t>06-6502000</t>
  </si>
  <si>
    <t>whanau@K08B051.kohanga.ac.nz</t>
  </si>
  <si>
    <t>16A School Road</t>
  </si>
  <si>
    <t>Ngā Oho Mata Kamo Kamo Te Kōhanga Reo o Korongata</t>
  </si>
  <si>
    <t>06-879 8222</t>
  </si>
  <si>
    <t>whanau@k08e047.kohang.ac.nz</t>
  </si>
  <si>
    <t>Maraekakaho Road</t>
  </si>
  <si>
    <t>Te Kōhanga Reo o Awatea Hou</t>
  </si>
  <si>
    <t>06-879 4615</t>
  </si>
  <si>
    <t>WHANAU@K08E059.kohanga.ac.nz</t>
  </si>
  <si>
    <t>49 Cartier Crescent</t>
  </si>
  <si>
    <t>In Our Garden</t>
  </si>
  <si>
    <t>06-8767143</t>
  </si>
  <si>
    <t>inourgarden.info@gmail.com</t>
  </si>
  <si>
    <t>920 Francis Hicks Avenue</t>
  </si>
  <si>
    <t>Vicki Bentley</t>
  </si>
  <si>
    <t>40 Napier Street</t>
  </si>
  <si>
    <t>06-8453925</t>
  </si>
  <si>
    <t>Te Kōhanga Reo o Ngā Whānau Whānui</t>
  </si>
  <si>
    <t>06-8626517</t>
  </si>
  <si>
    <t>WHANAU@K06E060.kohanga.ac.nz</t>
  </si>
  <si>
    <t>1 Tauwhareparae Road</t>
  </si>
  <si>
    <t>Te Kōhanga Reo o Ruataniwha</t>
  </si>
  <si>
    <t>06-838 6162</t>
  </si>
  <si>
    <t>WHANAU@K06C052.kohanga.ac.nz</t>
  </si>
  <si>
    <t>Ruataniwha Road</t>
  </si>
  <si>
    <t>Whakaki</t>
  </si>
  <si>
    <t>Te Kōhanga Reo o Waiohiki</t>
  </si>
  <si>
    <t>06-844 4733</t>
  </si>
  <si>
    <t>WHANAU@K08B009.kohanga.ac.nz</t>
  </si>
  <si>
    <t>40 Waiohiki Road</t>
  </si>
  <si>
    <t>Omahu-Pakowhai</t>
  </si>
  <si>
    <t>Kahuroa Reihana</t>
  </si>
  <si>
    <t>06-8444733</t>
  </si>
  <si>
    <t>Te Kōhanga Reo o Te Ūpokoiri ki Ōmahu</t>
  </si>
  <si>
    <t>06-879 6022</t>
  </si>
  <si>
    <t>whanau@k08c001.kohnga.ac.nz</t>
  </si>
  <si>
    <t>16 Taihape Road</t>
  </si>
  <si>
    <t>Te Kōhanga Reo o Turi Pai Whenua</t>
  </si>
  <si>
    <t>06-877 8475</t>
  </si>
  <si>
    <t>whanau@k08c064.kohanga.ac.nz</t>
  </si>
  <si>
    <t>13 Sefton Street</t>
  </si>
  <si>
    <t xml:space="preserve">Owen Hapuku </t>
  </si>
  <si>
    <t>06-8778475</t>
  </si>
  <si>
    <t>Te Kōhanga Reo o Waihirere</t>
  </si>
  <si>
    <t>06-862 5866</t>
  </si>
  <si>
    <t>Whanau@k06b009.kohanga.ac.nz</t>
  </si>
  <si>
    <t>Domain Road</t>
  </si>
  <si>
    <t>Waihirere</t>
  </si>
  <si>
    <t>Hexton</t>
  </si>
  <si>
    <t>Te Kōhanga Reo o Te Ao Tawarirangi</t>
  </si>
  <si>
    <t>06-864 5756</t>
  </si>
  <si>
    <t>WHANAU@K06E036.kohanga.ac.nz</t>
  </si>
  <si>
    <t>Rapid # 3 Waima Road</t>
  </si>
  <si>
    <t>Te Kōhanga Reo o Ao Te Rangi</t>
  </si>
  <si>
    <t>06-879 7274</t>
  </si>
  <si>
    <t>WHANAU@K08D068.kohanga.ac.nz</t>
  </si>
  <si>
    <t>33 Ardrossan Avenue</t>
  </si>
  <si>
    <t>Te Kōhanga Reo o Te Whānau a Hinetāpora</t>
  </si>
  <si>
    <t>06-864 8131</t>
  </si>
  <si>
    <t>WHANAU@K06E034.kohanga.ac.nz</t>
  </si>
  <si>
    <t>227 Tuparoa Rd</t>
  </si>
  <si>
    <t>Te Kōhanga Reo o Te Whānau Pani ki Wharekāhika</t>
  </si>
  <si>
    <t>06-864 4555</t>
  </si>
  <si>
    <t>WHANAU@K06D011.kohanga.ac.nz</t>
  </si>
  <si>
    <t>Marae Road</t>
  </si>
  <si>
    <t>Havelock North Village Kids</t>
  </si>
  <si>
    <t>06-8775268</t>
  </si>
  <si>
    <t>marilyn@hnvillagekids.co.nz</t>
  </si>
  <si>
    <t>29 Napier Road</t>
  </si>
  <si>
    <t>Marilyn Van Asch</t>
  </si>
  <si>
    <t>06-8431031</t>
  </si>
  <si>
    <t>Ormond Kindergarten</t>
  </si>
  <si>
    <t>06-8625401</t>
  </si>
  <si>
    <t>ormondkgtn@xtra.co.nz</t>
  </si>
  <si>
    <t>45 Whitmore Road</t>
  </si>
  <si>
    <t>Ormond</t>
  </si>
  <si>
    <t>Awapuni Early Learners</t>
  </si>
  <si>
    <t>06-8687508</t>
  </si>
  <si>
    <t>awapuniearlylearners@gmail.com</t>
  </si>
  <si>
    <t>129 Awapuni Rd</t>
  </si>
  <si>
    <t>Makaraka-Awapuni</t>
  </si>
  <si>
    <t>Kylie Moore</t>
  </si>
  <si>
    <t>06-2810169</t>
  </si>
  <si>
    <t>Te Kōhanga Reo o Tūraki Ao</t>
  </si>
  <si>
    <t>06-868 7000</t>
  </si>
  <si>
    <t>WHANAU@K06F044.kohanga.ac.nz</t>
  </si>
  <si>
    <t>164 Lytton Road</t>
  </si>
  <si>
    <t>Makauri Rural Kindergarten</t>
  </si>
  <si>
    <t>06-8674728</t>
  </si>
  <si>
    <t>makauriruralkindergarten@xtra.co.nz</t>
  </si>
  <si>
    <t>120 Kings Road</t>
  </si>
  <si>
    <t>Te Kōhanga Reo o Te Whakakotahitanga</t>
  </si>
  <si>
    <t>06-870 1054</t>
  </si>
  <si>
    <t>WHANAU@K08B033.kohanga.ac.nz</t>
  </si>
  <si>
    <t>Te Kōhanga Reo o Te Whānau o Te Rākato</t>
  </si>
  <si>
    <t>06-837 5893</t>
  </si>
  <si>
    <t>WHANAU@K06C016.kohanga.ac.nz</t>
  </si>
  <si>
    <t>Kaiwaitau Road</t>
  </si>
  <si>
    <t>Mahia</t>
  </si>
  <si>
    <t>Te Kōhanga Reo o Iti Noa</t>
  </si>
  <si>
    <t>06-863 3233</t>
  </si>
  <si>
    <t>WHANAU@K06B073.kohanga.ac.nz</t>
  </si>
  <si>
    <t>432 Palmerstone Rd</t>
  </si>
  <si>
    <t>Te Kōhanga Reo o Whaakirangi</t>
  </si>
  <si>
    <t>06-838 6647</t>
  </si>
  <si>
    <t>whanau@k08a082.kohanga.ac.nz</t>
  </si>
  <si>
    <t>171 Frasertown Road</t>
  </si>
  <si>
    <t>Frasertown</t>
  </si>
  <si>
    <t>06-838 5001</t>
  </si>
  <si>
    <t>whanau@k08a075.kohanga.ac.nz</t>
  </si>
  <si>
    <t>74 Clyde Road</t>
  </si>
  <si>
    <t>Te Kōhanga Reo o Te Puāwaitanga o Te Reo</t>
  </si>
  <si>
    <t>06-838 6912</t>
  </si>
  <si>
    <t>whanau@k08a103.kohanga.ac.nz</t>
  </si>
  <si>
    <t>36 McLean Street</t>
  </si>
  <si>
    <t>Little Magpies Childcare Centre</t>
  </si>
  <si>
    <t>Te Kōhanga Reo o Te Waihīrere</t>
  </si>
  <si>
    <t>06-838 4839</t>
  </si>
  <si>
    <t>whanau@k06c015.kohanga.ac.nz</t>
  </si>
  <si>
    <t>Waihīrere Road</t>
  </si>
  <si>
    <t>Te Kōhanga Reo o Whanake te Kura</t>
  </si>
  <si>
    <t>06-879 4411</t>
  </si>
  <si>
    <t>whanau@k08e095.kohanga.ac.nz</t>
  </si>
  <si>
    <t>3 Swansea Road</t>
  </si>
  <si>
    <t>Te Kōhanga Reo o Te Pūtake Whakatupuranga</t>
  </si>
  <si>
    <t>06-868 4318</t>
  </si>
  <si>
    <t>WHANAU@K06F005.kohanga.ac.nz</t>
  </si>
  <si>
    <t>12 Northcote Road</t>
  </si>
  <si>
    <t>Te Kōhanga Reo o Nūhaka</t>
  </si>
  <si>
    <t>06-837 8518</t>
  </si>
  <si>
    <t>whanau@k08a115.kohanga.ac.nz</t>
  </si>
  <si>
    <t>Waikokopu Road</t>
  </si>
  <si>
    <t>Nuhaka</t>
  </si>
  <si>
    <t>Te Kōhanga Reo o Te Kōwhai</t>
  </si>
  <si>
    <t>06-879 5516</t>
  </si>
  <si>
    <t>WHANAU@K08D091.kohanga.ac.nz</t>
  </si>
  <si>
    <t>4 Fleetwood Crescent</t>
  </si>
  <si>
    <t>Te Kōhanga Reo o Te Pou Herenga Waka o Te Whakapono</t>
  </si>
  <si>
    <t>06-843 4630</t>
  </si>
  <si>
    <t>WHANAU@K08B087.kohanga.ac.nz</t>
  </si>
  <si>
    <t>149 Latham Street</t>
  </si>
  <si>
    <t>Te Kōhanga Reo o Te Ara Hou</t>
  </si>
  <si>
    <t>06-842 1509</t>
  </si>
  <si>
    <t>WHANAU@K08E090.kohanga.ac.nz</t>
  </si>
  <si>
    <t>22 Wycliffe Street</t>
  </si>
  <si>
    <t>Catherine McLean</t>
  </si>
  <si>
    <t>06-8421509</t>
  </si>
  <si>
    <t>Te Kōhanga Reo o Keita Pūriri raua ko Hana Cotter</t>
  </si>
  <si>
    <t>06-843 0572</t>
  </si>
  <si>
    <t>k.a.puriri.tkr@gmail.com</t>
  </si>
  <si>
    <t>10 Lowry Terrace</t>
  </si>
  <si>
    <t>Donna Hapuku</t>
  </si>
  <si>
    <t>06-8430572</t>
  </si>
  <si>
    <t>Premier Preschool Johnsonville</t>
  </si>
  <si>
    <t>04-9398247</t>
  </si>
  <si>
    <t>12 Morgan Street</t>
  </si>
  <si>
    <t>Jiana Lyu</t>
  </si>
  <si>
    <t xml:space="preserve">8 Lomita Road, </t>
  </si>
  <si>
    <t xml:space="preserve">Wellington </t>
  </si>
  <si>
    <t>04-939 8247</t>
  </si>
  <si>
    <t>Waiapu Kids - Abbotsford</t>
  </si>
  <si>
    <t>06-857 8965</t>
  </si>
  <si>
    <t>admin.abbotsford@acw.org.nz</t>
  </si>
  <si>
    <t>16 Kenilworth Street</t>
  </si>
  <si>
    <t>Happy Days Child Care Centre</t>
  </si>
  <si>
    <t>06-8450505</t>
  </si>
  <si>
    <t>18 White Street</t>
  </si>
  <si>
    <t>Meagan Frewin</t>
  </si>
  <si>
    <t>6 Hulme Place</t>
  </si>
  <si>
    <t>027-6646593</t>
  </si>
  <si>
    <t>Bay Buddies Preschool Tamatea</t>
  </si>
  <si>
    <t>06-8449124</t>
  </si>
  <si>
    <t>247 Westminster Avenue</t>
  </si>
  <si>
    <t>P O Box 133240</t>
  </si>
  <si>
    <t>Kiwi Kidz Community Early Education Centre</t>
  </si>
  <si>
    <t>06-8783721</t>
  </si>
  <si>
    <t>kiwikidz.hastings@xtra.co.nz</t>
  </si>
  <si>
    <t>508 Pakowhai Road</t>
  </si>
  <si>
    <t>Stortford Lodge</t>
  </si>
  <si>
    <t>Tania Bennett</t>
  </si>
  <si>
    <t>06-8799720</t>
  </si>
  <si>
    <t>Te Kōhanga Reo o Ngā Pāharakeke</t>
  </si>
  <si>
    <t>06-879 9937</t>
  </si>
  <si>
    <t>WHANAU@K08C025.kohanga.ac.nz</t>
  </si>
  <si>
    <t>97 Dundee Drive</t>
  </si>
  <si>
    <t>Te Kōhanga Reo o Ōtane</t>
  </si>
  <si>
    <t>06-856 8465</t>
  </si>
  <si>
    <t>whanau@k08f053.kohanga.ac.nz</t>
  </si>
  <si>
    <t>53 Higginson Street</t>
  </si>
  <si>
    <t>Otane</t>
  </si>
  <si>
    <t>Mangarara</t>
  </si>
  <si>
    <t>06-838 8130</t>
  </si>
  <si>
    <t>whanau@k08a089.kohanga.ac.nz</t>
  </si>
  <si>
    <t>94 Pakowhai Road</t>
  </si>
  <si>
    <t>Frasertown-Ruakituri</t>
  </si>
  <si>
    <t>Chuckles Learning Centre</t>
  </si>
  <si>
    <t>06-8700178</t>
  </si>
  <si>
    <t>angela.jarrett@xtra.co.nz</t>
  </si>
  <si>
    <t>127 Main Road</t>
  </si>
  <si>
    <t xml:space="preserve">Angela  Jarrett </t>
  </si>
  <si>
    <t>72 Shrimpton Road</t>
  </si>
  <si>
    <t>Hawkes Bay 4102</t>
  </si>
  <si>
    <t>06-8751124</t>
  </si>
  <si>
    <t>Rockmybaby ECE Napier</t>
  </si>
  <si>
    <t>info@rockmybabynapier.co.nz</t>
  </si>
  <si>
    <t>129 Latham Street</t>
  </si>
  <si>
    <t>Scallywaggs Senior Kindergarten</t>
  </si>
  <si>
    <t>7 Russell Street</t>
  </si>
  <si>
    <t>BestStart Raureka</t>
  </si>
  <si>
    <t>06-8760499</t>
  </si>
  <si>
    <t>raureka@best-start.org</t>
  </si>
  <si>
    <t>810 Oliphant Road</t>
  </si>
  <si>
    <t>BestStart Napier Central</t>
  </si>
  <si>
    <t>06-8431173</t>
  </si>
  <si>
    <t>napier@best-start.org</t>
  </si>
  <si>
    <t>152 - 154  Kennedy Road</t>
  </si>
  <si>
    <t>Manaaki Tamariki Childcare and Education Centre</t>
  </si>
  <si>
    <t>06-8690842</t>
  </si>
  <si>
    <t>childcare@eit.ac.nz</t>
  </si>
  <si>
    <t>77 Cobden Street</t>
  </si>
  <si>
    <t>Gillian Evenbly</t>
  </si>
  <si>
    <t>P O Box 640</t>
  </si>
  <si>
    <t>Te Kōhanga Reo o Te Awa o Te Atua</t>
  </si>
  <si>
    <t>06-879 8265</t>
  </si>
  <si>
    <t>whanau@k08e077.kohanga.ac.nz</t>
  </si>
  <si>
    <t>9 Burton Crescent</t>
  </si>
  <si>
    <t>Paikea Kindergarten</t>
  </si>
  <si>
    <t>06-8622928</t>
  </si>
  <si>
    <t>paikeakgtn@xtra.co.nz</t>
  </si>
  <si>
    <t>Whangara  School Pa Road</t>
  </si>
  <si>
    <t>Whangara</t>
  </si>
  <si>
    <t>Te Kōhanga Reo o Te Kāinga o Te Koraha</t>
  </si>
  <si>
    <t>06-838 3105</t>
  </si>
  <si>
    <t>whanau@k08a102.kohanga.ac.nz</t>
  </si>
  <si>
    <t>33 Mitchell Road</t>
  </si>
  <si>
    <t>Te Karaka Preschool</t>
  </si>
  <si>
    <t>06-8623865</t>
  </si>
  <si>
    <t>TKKpreschool@xtra.co.nz</t>
  </si>
  <si>
    <t>Kanakanakia Road</t>
  </si>
  <si>
    <t>Te Karaka-Gisborne</t>
  </si>
  <si>
    <t xml:space="preserve">DIANA TRAFFORD </t>
  </si>
  <si>
    <t>13 Kanakanaia Road</t>
  </si>
  <si>
    <t>Te Karaka</t>
  </si>
  <si>
    <t>Gisborne 4022</t>
  </si>
  <si>
    <t>Kereru Tots 'n' Dots Early Childhood Centre</t>
  </si>
  <si>
    <t>027-2321497</t>
  </si>
  <si>
    <t>Kereru Road</t>
  </si>
  <si>
    <t>Megan Linnell</t>
  </si>
  <si>
    <t>2296 Kereru Road RD 1</t>
  </si>
  <si>
    <t>Hastings 4171</t>
  </si>
  <si>
    <t>06-8749005</t>
  </si>
  <si>
    <t>Te Kōhanga Reo o Manawanui</t>
  </si>
  <si>
    <t>04-237 9814</t>
  </si>
  <si>
    <t>WHANAU@K09B095.kohanga.ac.nz</t>
  </si>
  <si>
    <t>146 Mungavin Avenue</t>
  </si>
  <si>
    <t>Childspace Early Learning Centre - Wilton</t>
  </si>
  <si>
    <t>04-4756252</t>
  </si>
  <si>
    <t>wilton@childspace.nz</t>
  </si>
  <si>
    <t>213 Wilton Road</t>
  </si>
  <si>
    <t>Rebecca Gray</t>
  </si>
  <si>
    <t>45 Helston Road</t>
  </si>
  <si>
    <t>Te Kāhui Ako o Te Whanganui-a-Tara</t>
  </si>
  <si>
    <t>Tutira Kindergarten</t>
  </si>
  <si>
    <t>06-8397818</t>
  </si>
  <si>
    <t>tutirakindergarten@gmail.com</t>
  </si>
  <si>
    <t>3847 State Highway 2</t>
  </si>
  <si>
    <t>Tutira</t>
  </si>
  <si>
    <t>Puketapu Community Early Childhood Education Centre</t>
  </si>
  <si>
    <t>06-8450937</t>
  </si>
  <si>
    <t>chairperson@puketapupreschool.co.nz</t>
  </si>
  <si>
    <t>693 Puketapu Road</t>
  </si>
  <si>
    <t>Virginia Wilson</t>
  </si>
  <si>
    <t>693 Puketapu Road RD RD 3</t>
  </si>
  <si>
    <t>Puketapu Postcentre</t>
  </si>
  <si>
    <t>Napier 4183</t>
  </si>
  <si>
    <t>027-44442584</t>
  </si>
  <si>
    <t>Cole Street Early Learning Centre</t>
  </si>
  <si>
    <t>06-3774822</t>
  </si>
  <si>
    <t>colestreetelc@gmail.com</t>
  </si>
  <si>
    <t>97 Cole Street</t>
  </si>
  <si>
    <t>Colette Clarkson</t>
  </si>
  <si>
    <t>Te Kōhanga Reo o Kahu o Te Rangi</t>
  </si>
  <si>
    <t>06-879 8650</t>
  </si>
  <si>
    <t>WHANAU@K08E098.kohanga.ac.nz</t>
  </si>
  <si>
    <t>3 Ramsey Place</t>
  </si>
  <si>
    <t>Houghton Valley Playcentre</t>
  </si>
  <si>
    <t>04-3877614</t>
  </si>
  <si>
    <t>houghtonvalley@playcentre.org.nz</t>
  </si>
  <si>
    <t>84 Houghton Valley Road</t>
  </si>
  <si>
    <t>Houghton Bay</t>
  </si>
  <si>
    <t>Louise Turnbull</t>
  </si>
  <si>
    <t>04-280 2410</t>
  </si>
  <si>
    <t>Conductive Education Wellington</t>
  </si>
  <si>
    <t>04-5773480</t>
  </si>
  <si>
    <t>cewt@xtra.co.nz</t>
  </si>
  <si>
    <t>35 Wheatley Steet</t>
  </si>
  <si>
    <t>Stephen Breayley</t>
  </si>
  <si>
    <t>P O Box 35078</t>
  </si>
  <si>
    <t>Wellington 5041</t>
  </si>
  <si>
    <t>Sagata Ana Childcare</t>
  </si>
  <si>
    <t>04-3891811</t>
  </si>
  <si>
    <t>sagataAna@outlook.co.nz</t>
  </si>
  <si>
    <t>21 Emmett Street</t>
  </si>
  <si>
    <t>Sophie Arps</t>
  </si>
  <si>
    <t>21 Emmett St</t>
  </si>
  <si>
    <t>Wellington 6021</t>
  </si>
  <si>
    <t>Rewanui Early Learning Centre</t>
  </si>
  <si>
    <t>06-8689867</t>
  </si>
  <si>
    <t>admin@rewanui.nz</t>
  </si>
  <si>
    <t>531 Gladstone Road</t>
  </si>
  <si>
    <t>Anna Rogers</t>
  </si>
  <si>
    <t>BestStart Montessori Rongotai</t>
  </si>
  <si>
    <t>04-3871192</t>
  </si>
  <si>
    <t>mont.rongotai@best-start.org</t>
  </si>
  <si>
    <t>192 Rongotai Road</t>
  </si>
  <si>
    <t>Kilbirnie East</t>
  </si>
  <si>
    <t>Little Sunbeams Mayfair</t>
  </si>
  <si>
    <t>06-8783055</t>
  </si>
  <si>
    <t>skluki@outlook.co.nz</t>
  </si>
  <si>
    <t>107 Duchess Crescent</t>
  </si>
  <si>
    <t>Kasey Luki</t>
  </si>
  <si>
    <t>303 Lascelles Street</t>
  </si>
  <si>
    <t>Saint Leonards</t>
  </si>
  <si>
    <t>06-8763441</t>
  </si>
  <si>
    <t>Busy Bees Educational CC-Dannevirke</t>
  </si>
  <si>
    <t>06-3746900</t>
  </si>
  <si>
    <t>busy.bees.dannevirke@xtra.co.nz</t>
  </si>
  <si>
    <t>241 High Street</t>
  </si>
  <si>
    <t>Shona Dean</t>
  </si>
  <si>
    <t>1370 Weber Road, RD10</t>
  </si>
  <si>
    <t>Dannevirke 4970</t>
  </si>
  <si>
    <t>Te Kōhanga Reo o Rēwai</t>
  </si>
  <si>
    <t>06-879 9149</t>
  </si>
  <si>
    <t>WHANAU@K08D062.kohanga.ac.nz</t>
  </si>
  <si>
    <t>75 Tarbet Street</t>
  </si>
  <si>
    <t>Wairarapa Montessori Ltd</t>
  </si>
  <si>
    <t>06-3701471</t>
  </si>
  <si>
    <t>wairarapa.montessori@gmail.com</t>
  </si>
  <si>
    <t>114 Lincoln Road</t>
  </si>
  <si>
    <t>Pauline Harter</t>
  </si>
  <si>
    <t>56 Renall Street</t>
  </si>
  <si>
    <t>06-3775457</t>
  </si>
  <si>
    <t>Wellington Early Intervention Centre</t>
  </si>
  <si>
    <t>04-5674082</t>
  </si>
  <si>
    <t>weit@xtra.co.nz</t>
  </si>
  <si>
    <t>79 A Copeland Street</t>
  </si>
  <si>
    <t>Lee Jones</t>
  </si>
  <si>
    <t>Wellington 5011</t>
  </si>
  <si>
    <t>04-567 4082</t>
  </si>
  <si>
    <t>A'oga Amata (Porirua) E F K S</t>
  </si>
  <si>
    <t>04-2359078</t>
  </si>
  <si>
    <t>aogaamata.aape@gmail.com</t>
  </si>
  <si>
    <t>11-17 Waihemo Street</t>
  </si>
  <si>
    <t>Eirenei Vailaau-Ah Kuoi</t>
  </si>
  <si>
    <t>11 - 17  Waihemo Street</t>
  </si>
  <si>
    <t>027-5292891</t>
  </si>
  <si>
    <t>Te Kōhanga Reo o Te Pārekereke o te reo</t>
  </si>
  <si>
    <t>06-862 1874</t>
  </si>
  <si>
    <t>WHANAU@K06B076.kohanga.ac.nz</t>
  </si>
  <si>
    <t>41 Te Whiwhi Street</t>
  </si>
  <si>
    <t>Whatatutu</t>
  </si>
  <si>
    <t>Just Us Kids</t>
  </si>
  <si>
    <t>06-3795375</t>
  </si>
  <si>
    <t>jukpreschool@gmail.com</t>
  </si>
  <si>
    <t>36 Victoria Street</t>
  </si>
  <si>
    <t>Kathy Monaghan</t>
  </si>
  <si>
    <t xml:space="preserve">Carterton </t>
  </si>
  <si>
    <t>Porirua Whānau Centre Childcare</t>
  </si>
  <si>
    <t>04-2377749</t>
  </si>
  <si>
    <t>liz@poriruawhanau.org.nz</t>
  </si>
  <si>
    <t>16 Bedford Court</t>
  </si>
  <si>
    <t>Elisabeth Kelly</t>
  </si>
  <si>
    <t>P O Box 53009</t>
  </si>
  <si>
    <t>BestStart Leeds Street</t>
  </si>
  <si>
    <t>04-8025998</t>
  </si>
  <si>
    <t>leeds@best-start.org</t>
  </si>
  <si>
    <t>8 Leed Street</t>
  </si>
  <si>
    <t>Wellington CBD</t>
  </si>
  <si>
    <t>Dixon Street East</t>
  </si>
  <si>
    <t>Childspace Ltd - Northland</t>
  </si>
  <si>
    <t>04-4756257</t>
  </si>
  <si>
    <t>northland@childspace.nz</t>
  </si>
  <si>
    <t>17 Albemarle Road</t>
  </si>
  <si>
    <t>Nature Preschool New Zealand</t>
  </si>
  <si>
    <t>06-8701000</t>
  </si>
  <si>
    <t>4 Hicks Lane</t>
  </si>
  <si>
    <t>Kim Bone</t>
  </si>
  <si>
    <t>42 Percy Berry Place</t>
  </si>
  <si>
    <t>027-4441058</t>
  </si>
  <si>
    <t>Otaki Early Learning Centre</t>
  </si>
  <si>
    <t>06-364 6620</t>
  </si>
  <si>
    <t>177 Mill Road</t>
  </si>
  <si>
    <t>Wa Ora Montessori Preschool</t>
  </si>
  <si>
    <t>04-5672377</t>
  </si>
  <si>
    <t>michela@waora.school.nz</t>
  </si>
  <si>
    <t>278 Waddington Drive</t>
  </si>
  <si>
    <t>Michela Homer</t>
  </si>
  <si>
    <t>278 Waddington Dr</t>
  </si>
  <si>
    <t>Lower Hutt 5011</t>
  </si>
  <si>
    <t>Āwhina Childcare</t>
  </si>
  <si>
    <t>06-8771401</t>
  </si>
  <si>
    <t>37 Duart Road</t>
  </si>
  <si>
    <t>Tawa Montessori Preschool</t>
  </si>
  <si>
    <t>04-2323738</t>
  </si>
  <si>
    <t>25 Hinau Street</t>
  </si>
  <si>
    <t>Stephen  Wood</t>
  </si>
  <si>
    <t>17 Fortunatus Street</t>
  </si>
  <si>
    <t>04-3801497</t>
  </si>
  <si>
    <t>Chelsea House</t>
  </si>
  <si>
    <t>04-9025437</t>
  </si>
  <si>
    <t>sarah@chelseahouse.co.nz</t>
  </si>
  <si>
    <t>9 Lorien Court</t>
  </si>
  <si>
    <t>Raumati-Wellington</t>
  </si>
  <si>
    <t>Te Kōhanga Reo o Te Rongopai o Takapau</t>
  </si>
  <si>
    <t>06-855 8493</t>
  </si>
  <si>
    <t>whanau@k08f017.kohanga.ac.nz</t>
  </si>
  <si>
    <t>18 Walter Street</t>
  </si>
  <si>
    <t>Happy Days Childcare Centre</t>
  </si>
  <si>
    <t>04-5280077</t>
  </si>
  <si>
    <t>happydaysonroyal@xtra.co.nz</t>
  </si>
  <si>
    <t>Unit 24B 44 Blenheim Street</t>
  </si>
  <si>
    <t>Joelle Gregorius</t>
  </si>
  <si>
    <t>8 Kingfisher Close</t>
  </si>
  <si>
    <t>04-5268982</t>
  </si>
  <si>
    <t>Uncle Lele's House</t>
  </si>
  <si>
    <t>04-232-0920</t>
  </si>
  <si>
    <t>lisa@kidscount.co.nz</t>
  </si>
  <si>
    <t>9a Matai Street</t>
  </si>
  <si>
    <t>Lisa  Jackaman</t>
  </si>
  <si>
    <t>17 Ecclesfield Grove</t>
  </si>
  <si>
    <t>Wellington 5019</t>
  </si>
  <si>
    <t>Discovery Preschool Ltd</t>
  </si>
  <si>
    <t>04-9799795</t>
  </si>
  <si>
    <t>3 Waldie Grove</t>
  </si>
  <si>
    <t>Avalon</t>
  </si>
  <si>
    <t>2 Oakmont Street</t>
  </si>
  <si>
    <t>Titiro Whakamua Kindergarten</t>
  </si>
  <si>
    <t>04-5298355</t>
  </si>
  <si>
    <t>Norma.roberts@huttkindergartens.org.nz</t>
  </si>
  <si>
    <t>34 Miro Street</t>
  </si>
  <si>
    <t>Te Kōhanga Reo o Paparākau Tuarua</t>
  </si>
  <si>
    <t>04-577 2108</t>
  </si>
  <si>
    <t>WHANAU@K09A102.kohanga.ac.nz</t>
  </si>
  <si>
    <t>2 Harrison Crescent</t>
  </si>
  <si>
    <t>Pelega O Matua Fanau</t>
  </si>
  <si>
    <t>06-8422287</t>
  </si>
  <si>
    <t>pelega@xtra.co.nz</t>
  </si>
  <si>
    <t>42 Riverbend Road</t>
  </si>
  <si>
    <t>Irene Fale</t>
  </si>
  <si>
    <t>P O Box 538</t>
  </si>
  <si>
    <t>Hawkes Bay 4140</t>
  </si>
  <si>
    <t>06-8435665</t>
  </si>
  <si>
    <t>High Five Care and Learning</t>
  </si>
  <si>
    <t>04-3862883</t>
  </si>
  <si>
    <t>highfive@outlook.co.nz</t>
  </si>
  <si>
    <t>298 &amp; 300 Evans Bay Parade</t>
  </si>
  <si>
    <t>Hataitai North East</t>
  </si>
  <si>
    <t>Stacey Clyde</t>
  </si>
  <si>
    <t>2 Damian Grove</t>
  </si>
  <si>
    <t>Waterloo</t>
  </si>
  <si>
    <t>04-9381998</t>
  </si>
  <si>
    <t>Waterloo Playcentre</t>
  </si>
  <si>
    <t>04-9398702</t>
  </si>
  <si>
    <t>waterloo@playcentre.org.nz</t>
  </si>
  <si>
    <t>103 Trafalgar Street</t>
  </si>
  <si>
    <t>KIDSPACE Quality Early Learning Centre</t>
  </si>
  <si>
    <t>06-8430960</t>
  </si>
  <si>
    <t>info@kidspace.co.nz</t>
  </si>
  <si>
    <t>261 Kennedy Road</t>
  </si>
  <si>
    <t>Babu Muthu</t>
  </si>
  <si>
    <t>7 Chester Street</t>
  </si>
  <si>
    <t>027-5305833</t>
  </si>
  <si>
    <t>Te Kōhanga Reo o Whakatupuranga Kotahi</t>
  </si>
  <si>
    <t>04-939 9860</t>
  </si>
  <si>
    <t>whakatupurangakotahi@gmail.com</t>
  </si>
  <si>
    <t>21 Elizabeth Street</t>
  </si>
  <si>
    <t>Te Kōhanga Reo o Ngā Uri o Ngā Hau e Whā</t>
  </si>
  <si>
    <t>06-843 7814</t>
  </si>
  <si>
    <t>WHANAU@K08B100.kohanga.ac.nz</t>
  </si>
  <si>
    <t>21 Masefield Avenue</t>
  </si>
  <si>
    <t>Chuckles Childcare</t>
  </si>
  <si>
    <t>06-8789947</t>
  </si>
  <si>
    <t>chuckleschildcare@xtra.co.nz</t>
  </si>
  <si>
    <t>104 Gallien Street</t>
  </si>
  <si>
    <t>Ngaire Coldicutt</t>
  </si>
  <si>
    <t>1 Waitaha Place</t>
  </si>
  <si>
    <t>027-6424733</t>
  </si>
  <si>
    <t>Colenso Early Childhood Centre</t>
  </si>
  <si>
    <t>06-8336757</t>
  </si>
  <si>
    <t>21 Arnold Street</t>
  </si>
  <si>
    <t>Kidz Planet Preschool Ltd</t>
  </si>
  <si>
    <t>04-563 6298</t>
  </si>
  <si>
    <t>2 Kennedy Grove</t>
  </si>
  <si>
    <t>Kayleigh Ross</t>
  </si>
  <si>
    <t>Martinborough Kindergarten</t>
  </si>
  <si>
    <t>06-306 8085</t>
  </si>
  <si>
    <t>martinborough@wmkindergartens.org.nz</t>
  </si>
  <si>
    <t>Roberts Street</t>
  </si>
  <si>
    <t>Childspace Ngaio</t>
  </si>
  <si>
    <t>04-4790324</t>
  </si>
  <si>
    <t>ngaio@childspace.nz</t>
  </si>
  <si>
    <t>9 - 11 Tarikaka Street</t>
  </si>
  <si>
    <t>Home Grown Kids Wellington 1</t>
  </si>
  <si>
    <t>stacy.wardlaw@hgk.co.nz</t>
  </si>
  <si>
    <t>23 Postgate Drive</t>
  </si>
  <si>
    <t>Postgate</t>
  </si>
  <si>
    <t>Amelia Hennrie</t>
  </si>
  <si>
    <t>Barnardos Early Learning Centre Wainuiomata</t>
  </si>
  <si>
    <t>04-5641080</t>
  </si>
  <si>
    <t>jo.cutting@barnardos.org.nz</t>
  </si>
  <si>
    <t>107 Wainuiomata Rd</t>
  </si>
  <si>
    <t>Lynda Lincoln</t>
  </si>
  <si>
    <t>BestStart Havelock North</t>
  </si>
  <si>
    <t>06-8773273</t>
  </si>
  <si>
    <t>havelocknorth@best-start.org</t>
  </si>
  <si>
    <t>18 Te Aute Road</t>
  </si>
  <si>
    <t>BestStart Omahu Road</t>
  </si>
  <si>
    <t>06-8704376</t>
  </si>
  <si>
    <t>omahu@best-start.org</t>
  </si>
  <si>
    <t>325 Omahu Road</t>
  </si>
  <si>
    <t>Scallywaggs SPROUTS In-Home Childcare Hawke's Bay 5</t>
  </si>
  <si>
    <t>lynda.b@sprouts.co.nz</t>
  </si>
  <si>
    <t>2 Maadi Road</t>
  </si>
  <si>
    <t>Lynda Bicknell</t>
  </si>
  <si>
    <t>Y Kids Community Early Childhood Centre</t>
  </si>
  <si>
    <t>06-8673010</t>
  </si>
  <si>
    <t>ykids@ymcagisborne.nz</t>
  </si>
  <si>
    <t>130 Roebuck Road</t>
  </si>
  <si>
    <t>Dianah Foley</t>
  </si>
  <si>
    <t>P O Box 1077</t>
  </si>
  <si>
    <t>027-4472909</t>
  </si>
  <si>
    <t>Te Kōhanga Reo o Tōmairangi</t>
  </si>
  <si>
    <t>06-8671290</t>
  </si>
  <si>
    <t>WHANAU@K06F078.kohanga.ac.nz</t>
  </si>
  <si>
    <t>8 Mary Street</t>
  </si>
  <si>
    <t>Little Wonders Greenmeadows</t>
  </si>
  <si>
    <t>cm.greenmeadows@littlewonders.nz</t>
  </si>
  <si>
    <t>39 Guppy Road</t>
  </si>
  <si>
    <t>First Footsteps Early Learning Centre</t>
  </si>
  <si>
    <t>06-8787484</t>
  </si>
  <si>
    <t>elysia@firstfootsteps.co.nz</t>
  </si>
  <si>
    <t>704 St Aubyn Street East</t>
  </si>
  <si>
    <t>Queens Square</t>
  </si>
  <si>
    <t>Tracy Field</t>
  </si>
  <si>
    <t>027-9291096</t>
  </si>
  <si>
    <t>BestStart Taradale</t>
  </si>
  <si>
    <t>06-844 8837</t>
  </si>
  <si>
    <t>taradale@best-start.org</t>
  </si>
  <si>
    <t>19 Peddie Street</t>
  </si>
  <si>
    <t>Greendale Kids Preschool</t>
  </si>
  <si>
    <t>06-845 1111</t>
  </si>
  <si>
    <t>82 Guppy Road</t>
  </si>
  <si>
    <t>Bright Futures Hawkes Bay 2</t>
  </si>
  <si>
    <t>06-843 7280</t>
  </si>
  <si>
    <t>23 Northumberland Street</t>
  </si>
  <si>
    <t>Taokotaianga Apii Kuki Airani Early Childhood Centre</t>
  </si>
  <si>
    <t>06-8788711</t>
  </si>
  <si>
    <t>takah@xtra.co.nz</t>
  </si>
  <si>
    <t>205 Murdoch Road</t>
  </si>
  <si>
    <t>Kimi Joel</t>
  </si>
  <si>
    <t>P O Box 1144</t>
  </si>
  <si>
    <t>Frederick Street Kindergarten</t>
  </si>
  <si>
    <t>06-8782277</t>
  </si>
  <si>
    <t>817 Frederick Street</t>
  </si>
  <si>
    <t>Little Sunbeams Central</t>
  </si>
  <si>
    <t>06-8765159</t>
  </si>
  <si>
    <t>502 Southhampton Street</t>
  </si>
  <si>
    <t>Te Whare Kohungahunga o Y Tamariki</t>
  </si>
  <si>
    <t>06-8679259</t>
  </si>
  <si>
    <t>gmeducation@ymcagisborne.nz</t>
  </si>
  <si>
    <t>224 Wainui Road</t>
  </si>
  <si>
    <t>BestStart Willowpark Road</t>
  </si>
  <si>
    <t>06-8710841</t>
  </si>
  <si>
    <t>willowpark@best-start.org</t>
  </si>
  <si>
    <t>513 Queen Street East</t>
  </si>
  <si>
    <t>Busy Bees Napier Road</t>
  </si>
  <si>
    <t>06-877 7125</t>
  </si>
  <si>
    <t>info@napierroad.busybees.org.nz</t>
  </si>
  <si>
    <t>176 Napier Road</t>
  </si>
  <si>
    <t>Brookvale</t>
  </si>
  <si>
    <t>Rebecca  Waugh</t>
  </si>
  <si>
    <t>Kids Corner</t>
  </si>
  <si>
    <t>kidscorner@xtra.co.nz</t>
  </si>
  <si>
    <t>8 Delhi Street</t>
  </si>
  <si>
    <t>BestStart Montessori Taradale</t>
  </si>
  <si>
    <t>06-8459380</t>
  </si>
  <si>
    <t>mont.taradale@best-start.org</t>
  </si>
  <si>
    <t>79 &amp; 81 Gloucester Street</t>
  </si>
  <si>
    <t>Childhood Concepts Birch Street</t>
  </si>
  <si>
    <t>04-9396477</t>
  </si>
  <si>
    <t>35birchst@childhoodconcepts.co.nz</t>
  </si>
  <si>
    <t>35-37 Birch Street</t>
  </si>
  <si>
    <t>Carterton Playcentre</t>
  </si>
  <si>
    <t>06-379 7875</t>
  </si>
  <si>
    <t>carterton@playcentre.org.nz</t>
  </si>
  <si>
    <t>Belvedere Road</t>
  </si>
  <si>
    <t>Martinborough Playcentre</t>
  </si>
  <si>
    <t>06-306 9068</t>
  </si>
  <si>
    <t>martinborough@playcentre.org.nz</t>
  </si>
  <si>
    <t>38 Venice Street</t>
  </si>
  <si>
    <t>Westside Playcentre</t>
  </si>
  <si>
    <t>06-378 2224</t>
  </si>
  <si>
    <t>westside@Playcentre.org.nz</t>
  </si>
  <si>
    <t>165 Renall Street</t>
  </si>
  <si>
    <t>Alicetown Playcentre</t>
  </si>
  <si>
    <t>04-5899078</t>
  </si>
  <si>
    <t>lowernorth.csc@playcentre.org.nz</t>
  </si>
  <si>
    <t>105 Victoria Street</t>
  </si>
  <si>
    <t>Belmont Playcentre</t>
  </si>
  <si>
    <t>04-5650004</t>
  </si>
  <si>
    <t>belmont@playcentre.org.nz</t>
  </si>
  <si>
    <t>Belmont (Lower Hutt City)</t>
  </si>
  <si>
    <t>Days Bay Playcentre</t>
  </si>
  <si>
    <t>04-280 2412</t>
  </si>
  <si>
    <t>daysbay@playcentre.org.nz</t>
  </si>
  <si>
    <t>2 Pitoitoi Street</t>
  </si>
  <si>
    <t>Days Bay</t>
  </si>
  <si>
    <t>Eastern Bays</t>
  </si>
  <si>
    <t>Lower Hutt Playcentre</t>
  </si>
  <si>
    <t>04-566 5289</t>
  </si>
  <si>
    <t>lowerhutt@playcentre.org.nz</t>
  </si>
  <si>
    <t>Glen Iris Grove</t>
  </si>
  <si>
    <t>Maungaraki Playcentre</t>
  </si>
  <si>
    <t>04-5898710</t>
  </si>
  <si>
    <t>maungaraki@playcentre.org.nz</t>
  </si>
  <si>
    <t>11 Cedar Street</t>
  </si>
  <si>
    <t>Naenae Playcentre</t>
  </si>
  <si>
    <t>04-9205716</t>
  </si>
  <si>
    <t>naenae@playcentre.org.nz</t>
  </si>
  <si>
    <t>C/- Rata Street School 73 Rata Street</t>
  </si>
  <si>
    <t>Normandale Playcentre</t>
  </si>
  <si>
    <t>04-5891227</t>
  </si>
  <si>
    <t>normandale@playcentre.org.nz</t>
  </si>
  <si>
    <t>165 Normandale Road</t>
  </si>
  <si>
    <t>Normandale</t>
  </si>
  <si>
    <t>Pinehaven Playcentre</t>
  </si>
  <si>
    <t>04-5289181</t>
  </si>
  <si>
    <t>pinehaven@playcentre.org.nz</t>
  </si>
  <si>
    <t>Forest Road</t>
  </si>
  <si>
    <t>Pinehaven</t>
  </si>
  <si>
    <t>Point Howard Playcentre</t>
  </si>
  <si>
    <t>pointhoward@playcentre.org.nz</t>
  </si>
  <si>
    <t>Ngaumatau Road</t>
  </si>
  <si>
    <t>Point Howard</t>
  </si>
  <si>
    <t>Stokes Valley Playcentre</t>
  </si>
  <si>
    <t>04-9205644</t>
  </si>
  <si>
    <t>stokesvalley@playcentre.org.nz</t>
  </si>
  <si>
    <t>155 Stokes Valley Road</t>
  </si>
  <si>
    <t>Stokes Valley North</t>
  </si>
  <si>
    <t>Te Marua Playcentre</t>
  </si>
  <si>
    <t>04-5264574</t>
  </si>
  <si>
    <t>te.marua@playcentre.org.nz</t>
  </si>
  <si>
    <t>7 Emerald Hill Drive</t>
  </si>
  <si>
    <t>Birchville</t>
  </si>
  <si>
    <t>Totara Park Playcentre</t>
  </si>
  <si>
    <t>04-5264538</t>
  </si>
  <si>
    <t>totarapark@playcentre.org.nz</t>
  </si>
  <si>
    <t>128 California Drive</t>
  </si>
  <si>
    <t>Wainuiomata Playcentre</t>
  </si>
  <si>
    <t>04-5643140</t>
  </si>
  <si>
    <t>wainuiomata@playcentre.org.nz</t>
  </si>
  <si>
    <t>Lees Grove</t>
  </si>
  <si>
    <t>Wallaceville Playcentre</t>
  </si>
  <si>
    <t>04-5287624</t>
  </si>
  <si>
    <t>wallaceville@playcentre.org.nz</t>
  </si>
  <si>
    <t>52 Ward Street</t>
  </si>
  <si>
    <t>Wood Hatton Playcentre</t>
  </si>
  <si>
    <t>04-9720734</t>
  </si>
  <si>
    <t>woodhatton@playcentre.org.nz</t>
  </si>
  <si>
    <t>64 Wood Street</t>
  </si>
  <si>
    <t>Homedale West</t>
  </si>
  <si>
    <t>Brooklyn Playcentre</t>
  </si>
  <si>
    <t>04-3856531</t>
  </si>
  <si>
    <t>brooklyn@playcentre.org.nz</t>
  </si>
  <si>
    <t>22 Harrison Street</t>
  </si>
  <si>
    <t>Hataitai Playcentre</t>
  </si>
  <si>
    <t>04-3862560</t>
  </si>
  <si>
    <t>hataitai@playcentre.org.nz</t>
  </si>
  <si>
    <t>72A Hamilton Road</t>
  </si>
  <si>
    <t>Hataitai South</t>
  </si>
  <si>
    <t>Island Bay Playcentre</t>
  </si>
  <si>
    <t>04-9348670</t>
  </si>
  <si>
    <t>islandbay@playcentre.org.nz</t>
  </si>
  <si>
    <t>158 The Parade</t>
  </si>
  <si>
    <t>Johnsonville Playcentre</t>
  </si>
  <si>
    <t>04-4783904</t>
  </si>
  <si>
    <t>johnsonville@playcentre.org.nz</t>
  </si>
  <si>
    <t>26 Ironside street</t>
  </si>
  <si>
    <t>Karori Playcentre</t>
  </si>
  <si>
    <t>04-4768652</t>
  </si>
  <si>
    <t>karori@playcentre.org.nz</t>
  </si>
  <si>
    <t>64 Campbell Street</t>
  </si>
  <si>
    <t>Karori South</t>
  </si>
  <si>
    <t>Kelburn Playcentre</t>
  </si>
  <si>
    <t>027-7001373</t>
  </si>
  <si>
    <t>kelburn@playcentre.org.nz</t>
  </si>
  <si>
    <t>17 Kowhai Road</t>
  </si>
  <si>
    <t>Miramar Playcentre</t>
  </si>
  <si>
    <t>04-3881498</t>
  </si>
  <si>
    <t>miramar@playcentre.org.nz</t>
  </si>
  <si>
    <t>23 Crawford Green</t>
  </si>
  <si>
    <t>Newlands Tamariki Playcentre</t>
  </si>
  <si>
    <t>04-9705381</t>
  </si>
  <si>
    <t>newlandstamariki@playcentre.org.nz</t>
  </si>
  <si>
    <t>134 Newlands Road</t>
  </si>
  <si>
    <t>Newlands South</t>
  </si>
  <si>
    <t>Newtown Playcentre</t>
  </si>
  <si>
    <t>04-3893475</t>
  </si>
  <si>
    <t>newtown@playcentre.org.nz</t>
  </si>
  <si>
    <t>3 Harper Street</t>
  </si>
  <si>
    <t>Ngaio Playcentre</t>
  </si>
  <si>
    <t>04-4797312</t>
  </si>
  <si>
    <t>ngaio@playcentre.org.nz</t>
  </si>
  <si>
    <t>50 Silverstream Road</t>
  </si>
  <si>
    <t>Crofton Downs</t>
  </si>
  <si>
    <t>Titahi Bay Playcentre</t>
  </si>
  <si>
    <t>04-2368522</t>
  </si>
  <si>
    <t>titahibay@playcentre.org.nz</t>
  </si>
  <si>
    <t>Kura Street</t>
  </si>
  <si>
    <t>Titahi Bay South</t>
  </si>
  <si>
    <t>Ōtaki Playcentre</t>
  </si>
  <si>
    <t>06-3645787</t>
  </si>
  <si>
    <t>otaki@playcentre.org.nz</t>
  </si>
  <si>
    <t>169 Mill Road</t>
  </si>
  <si>
    <t>Paekakariki Playcentre</t>
  </si>
  <si>
    <t>04-9058820</t>
  </si>
  <si>
    <t>paekakariki@playcentre.org.nz</t>
  </si>
  <si>
    <t>22 Wellington Road</t>
  </si>
  <si>
    <t>Paekākāriki</t>
  </si>
  <si>
    <t>Paraparaumu Playcentre</t>
  </si>
  <si>
    <t>04-9025885</t>
  </si>
  <si>
    <t>paraparaumu@playcentre.org.nz</t>
  </si>
  <si>
    <t>10 Hinemoa Street</t>
  </si>
  <si>
    <t>Paremata Playcentre</t>
  </si>
  <si>
    <t>04-2339633</t>
  </si>
  <si>
    <t>paremata@playcentre.org.nz</t>
  </si>
  <si>
    <t>Ngatitoa Domain</t>
  </si>
  <si>
    <t>Tawa/Linden Playcentre</t>
  </si>
  <si>
    <t>04-2324598</t>
  </si>
  <si>
    <t>tawalinden@playcentre.org.nz</t>
  </si>
  <si>
    <t>1 Ranui Terrace</t>
  </si>
  <si>
    <t>Waikanae Playcentre</t>
  </si>
  <si>
    <t>04-9053483</t>
  </si>
  <si>
    <t>waikanae@playcentre.org.nz</t>
  </si>
  <si>
    <t>2 Hira Street</t>
  </si>
  <si>
    <t>Waikanae East</t>
  </si>
  <si>
    <t>Wilton Playcentre</t>
  </si>
  <si>
    <t>04-4758361</t>
  </si>
  <si>
    <t>wilton@playcentre.org.nz</t>
  </si>
  <si>
    <t>3A Gloucester Street</t>
  </si>
  <si>
    <t>Korokoro Playcentre</t>
  </si>
  <si>
    <t>04-5667246</t>
  </si>
  <si>
    <t>korokoro@playcentre.org.nz</t>
  </si>
  <si>
    <t>38 Singers Road</t>
  </si>
  <si>
    <t>Korokoro</t>
  </si>
  <si>
    <t>Sand Dunes Quality Early learning Centre</t>
  </si>
  <si>
    <t>04-2338839</t>
  </si>
  <si>
    <t>sandduneselc@xtra.co.nz</t>
  </si>
  <si>
    <t>5 North Point Street</t>
  </si>
  <si>
    <t>Katharine Robinson</t>
  </si>
  <si>
    <t>P O Box 57200</t>
  </si>
  <si>
    <t>Wellington 5247</t>
  </si>
  <si>
    <t>04-2338869</t>
  </si>
  <si>
    <t>Kelburn Preschool and Nursery</t>
  </si>
  <si>
    <t>04-475 3599</t>
  </si>
  <si>
    <t>hello@kelburnpreschoolnursery.co.nz</t>
  </si>
  <si>
    <t>6 Ngaio Road</t>
  </si>
  <si>
    <t>Megan Watson</t>
  </si>
  <si>
    <t>79 Simla Crescent</t>
  </si>
  <si>
    <t>Wellington 6035</t>
  </si>
  <si>
    <t>Donald Street Preschool</t>
  </si>
  <si>
    <t>04-9705709</t>
  </si>
  <si>
    <t>admin@donaldstpreschool.co.nz</t>
  </si>
  <si>
    <t>37 Donald Street</t>
  </si>
  <si>
    <t>Miranda Major</t>
  </si>
  <si>
    <t>Premium Preschool</t>
  </si>
  <si>
    <t>04-528 8899</t>
  </si>
  <si>
    <t>premiumpreschool@xtra.co.nz</t>
  </si>
  <si>
    <t>31 Perry Street</t>
  </si>
  <si>
    <t>Nicola Birkett</t>
  </si>
  <si>
    <t>Steiner Cottage</t>
  </si>
  <si>
    <t>04-5861237</t>
  </si>
  <si>
    <t>centremanager@steinercottage.co.nz</t>
  </si>
  <si>
    <t>13 Laery Street</t>
  </si>
  <si>
    <t>Alicetown</t>
  </si>
  <si>
    <t>Jaci Gilbertson</t>
  </si>
  <si>
    <t>Koraunui Te Kōhanga Reo</t>
  </si>
  <si>
    <t>04-9396697</t>
  </si>
  <si>
    <t>142 - 146 Stokes Valley Road</t>
  </si>
  <si>
    <t>Tina Olsen-Ratana</t>
  </si>
  <si>
    <t>04-5687111</t>
  </si>
  <si>
    <t>Te Kōhanga Reo o Ngā Mokopuna</t>
  </si>
  <si>
    <t>04-387 8966</t>
  </si>
  <si>
    <t>whanau@k09c108.kohanga.ac.nz</t>
  </si>
  <si>
    <t>168 Coutts Street</t>
  </si>
  <si>
    <t>Heretaunga Park Early Learning Centre</t>
  </si>
  <si>
    <t>04-5284336</t>
  </si>
  <si>
    <t>office@heretaungapark.kiwi</t>
  </si>
  <si>
    <t>33 Kiwi Street</t>
  </si>
  <si>
    <t>Angela Tavite</t>
  </si>
  <si>
    <t>04-9760424</t>
  </si>
  <si>
    <t>Grow and Learn, Castle Kids ELC</t>
  </si>
  <si>
    <t>04-905 2543</t>
  </si>
  <si>
    <t>352 Te Moana Road</t>
  </si>
  <si>
    <t>Waikanae Park</t>
  </si>
  <si>
    <t>Nicole Carroll</t>
  </si>
  <si>
    <t>04-2358545</t>
  </si>
  <si>
    <t>Discovery Early Learning Centre</t>
  </si>
  <si>
    <t>04-5651133</t>
  </si>
  <si>
    <t>office@discoveryelim.org.nz</t>
  </si>
  <si>
    <t>148 Major Drive</t>
  </si>
  <si>
    <t>John Lewis</t>
  </si>
  <si>
    <t>Shine Montessori Educare Avalon</t>
  </si>
  <si>
    <t>04-5771464</t>
  </si>
  <si>
    <t>melanie@shinemontessori.org.nz</t>
  </si>
  <si>
    <t>870 High Street</t>
  </si>
  <si>
    <t>Melanie  Wester</t>
  </si>
  <si>
    <t>86 Park Road</t>
  </si>
  <si>
    <t>04-577 1464</t>
  </si>
  <si>
    <t>Busy Bees Whitby</t>
  </si>
  <si>
    <t>04-2347724</t>
  </si>
  <si>
    <t>info@whitby.busybees.org.nz</t>
  </si>
  <si>
    <t>49a Spinnaker Drive</t>
  </si>
  <si>
    <t>Katarina Alexopoulos</t>
  </si>
  <si>
    <t>04-234 7724</t>
  </si>
  <si>
    <t>Home Grown Kids Wellington 2</t>
  </si>
  <si>
    <t>Island Bay Kindergarten</t>
  </si>
  <si>
    <t>04-383 7136</t>
  </si>
  <si>
    <t>islandbay@wmkindergartens.org.nz</t>
  </si>
  <si>
    <t>100 Melbourne Road</t>
  </si>
  <si>
    <t>Island Bay East</t>
  </si>
  <si>
    <t>Millie's House Basin Reserve</t>
  </si>
  <si>
    <t>04-8019970</t>
  </si>
  <si>
    <t>79kenttce@millieshouse.co.nz</t>
  </si>
  <si>
    <t>79 Kent Terrace</t>
  </si>
  <si>
    <t>Active Explorers Greta Point</t>
  </si>
  <si>
    <t>04-3861400</t>
  </si>
  <si>
    <t>310 Evans Bay Parade</t>
  </si>
  <si>
    <t>Greta Point</t>
  </si>
  <si>
    <t>Evans Bay</t>
  </si>
  <si>
    <t>Amanda Shirley</t>
  </si>
  <si>
    <t>Kindercare Learning Centres - Lower Hutt</t>
  </si>
  <si>
    <t>04-5865769</t>
  </si>
  <si>
    <t>boulcott@kindercare.co.nz</t>
  </si>
  <si>
    <t>13 Connolly Street</t>
  </si>
  <si>
    <t>BestStart Stokes Valley</t>
  </si>
  <si>
    <t>04-8910105</t>
  </si>
  <si>
    <t>stokesvalley@best-start.org</t>
  </si>
  <si>
    <t>5 Young Grove</t>
  </si>
  <si>
    <t>Delaney</t>
  </si>
  <si>
    <t>Ko Te Aroha</t>
  </si>
  <si>
    <t>06-3773608</t>
  </si>
  <si>
    <t>manager@kotearoha.org.nz</t>
  </si>
  <si>
    <t>33 - 35 Johnstone Street</t>
  </si>
  <si>
    <t>McJorrow Park</t>
  </si>
  <si>
    <t>Terry Hodder</t>
  </si>
  <si>
    <t>P O Box 478</t>
  </si>
  <si>
    <t>Masterton 5840</t>
  </si>
  <si>
    <t>Kindercare Learning Centres Ltd (Kilbirnie)</t>
  </si>
  <si>
    <t>kilbirnie@kindercare.co.nz</t>
  </si>
  <si>
    <t>127 Rongotai Road</t>
  </si>
  <si>
    <t>Active Explorers Masterton</t>
  </si>
  <si>
    <t>06-3701037</t>
  </si>
  <si>
    <t>cm.masterton@activeexplorers.co.nz</t>
  </si>
  <si>
    <t>29 Albert Street</t>
  </si>
  <si>
    <t>Lansdowne-Masterton</t>
  </si>
  <si>
    <t>Shona Shields</t>
  </si>
  <si>
    <t>06-370 1037</t>
  </si>
  <si>
    <t>Elim International Kids Early Childhood Centre</t>
  </si>
  <si>
    <t>04-8016491</t>
  </si>
  <si>
    <t>info@elimkids.org.nz</t>
  </si>
  <si>
    <t>Level 1 11-15 Alpha Street</t>
  </si>
  <si>
    <t>Mt Cook-Wellington</t>
  </si>
  <si>
    <t>Sharon Foley</t>
  </si>
  <si>
    <t>P O Box 6410</t>
  </si>
  <si>
    <t>Mount Cook</t>
  </si>
  <si>
    <t>Wellington 6011</t>
  </si>
  <si>
    <t>Āniwaniwa - (The Rainbow) Superstars</t>
  </si>
  <si>
    <t>06-3702320</t>
  </si>
  <si>
    <t>varleenarora26@gmail.com</t>
  </si>
  <si>
    <t>50 Harley Street</t>
  </si>
  <si>
    <t>Daisies Early Education &amp; Care Centre</t>
  </si>
  <si>
    <t>04-4616013</t>
  </si>
  <si>
    <t>info@daisies.co.nz</t>
  </si>
  <si>
    <t>Carterton Preschool</t>
  </si>
  <si>
    <t>06-3797590</t>
  </si>
  <si>
    <t>admin@cartertonpreschool.co.nz</t>
  </si>
  <si>
    <t>Melissa Chapman</t>
  </si>
  <si>
    <t>Barnardos Early Learning Home Based Wellington Wha</t>
  </si>
  <si>
    <t>04-8011710</t>
  </si>
  <si>
    <t>shiree.ritchie@barnardos.org.nz</t>
  </si>
  <si>
    <t>Shiree Ritchie</t>
  </si>
  <si>
    <t>CountryLife Early Education</t>
  </si>
  <si>
    <t>04-2323245</t>
  </si>
  <si>
    <t>Manager@countrylife.co.nz</t>
  </si>
  <si>
    <t>83A Woodburn Drive</t>
  </si>
  <si>
    <t>Grenada North</t>
  </si>
  <si>
    <t>Danielle Holden</t>
  </si>
  <si>
    <t>10 Ngahue Crescent</t>
  </si>
  <si>
    <t>Shine Montessori Educare</t>
  </si>
  <si>
    <t>04-5699522</t>
  </si>
  <si>
    <t>149 Whites Line East</t>
  </si>
  <si>
    <t>Naliny Florida</t>
  </si>
  <si>
    <t>04 5651660</t>
  </si>
  <si>
    <t>Kidlywinks Childcare Centre</t>
  </si>
  <si>
    <t>04-9348868</t>
  </si>
  <si>
    <t>kidlywinkschildcare@gmail.com</t>
  </si>
  <si>
    <t>20 Islington Street</t>
  </si>
  <si>
    <t>Catherine McCaul</t>
  </si>
  <si>
    <t>04-527 7827</t>
  </si>
  <si>
    <t>Barnardos Early Learning Home Based Wellington Tahi</t>
  </si>
  <si>
    <t>peta.turner@barnardos.org.nz</t>
  </si>
  <si>
    <t>Peta Turner</t>
  </si>
  <si>
    <t>Barnardos Early Learning Home Based Wellington Rua</t>
  </si>
  <si>
    <t>Joanne Cutting</t>
  </si>
  <si>
    <t>Barnardos Early Learning Centre Petone</t>
  </si>
  <si>
    <t>04-5687902</t>
  </si>
  <si>
    <t>isabel.bates@barnardos.org.nz</t>
  </si>
  <si>
    <t>122 Richmond Street</t>
  </si>
  <si>
    <t>Isabel Bates</t>
  </si>
  <si>
    <t>022-042 1335</t>
  </si>
  <si>
    <t>Barnardos Early Learning Centre Porirua</t>
  </si>
  <si>
    <t>04-2377792</t>
  </si>
  <si>
    <t>24 Mungavin Avenue</t>
  </si>
  <si>
    <t>Hayley Vinten</t>
  </si>
  <si>
    <t>Kidz Corner Miramar</t>
  </si>
  <si>
    <t>04-3886556</t>
  </si>
  <si>
    <t>info@kidzcorner.org.nz</t>
  </si>
  <si>
    <t>39 Park Road</t>
  </si>
  <si>
    <t>Lesley Jenkin</t>
  </si>
  <si>
    <t>Ngā Tamariki Childcare Centre</t>
  </si>
  <si>
    <t>04-5891397</t>
  </si>
  <si>
    <t>supervisor@ngatamariki.co.nz</t>
  </si>
  <si>
    <t>67 Tama Street</t>
  </si>
  <si>
    <t>Braden Sloper</t>
  </si>
  <si>
    <t>Kahurangi All Day Kindergarten</t>
  </si>
  <si>
    <t>06-370 8853</t>
  </si>
  <si>
    <t>kahurangi@wmkindergartens.org.nz</t>
  </si>
  <si>
    <t>11 Surrey Street</t>
  </si>
  <si>
    <t>Crossways Community Creche</t>
  </si>
  <si>
    <t>04-3848201</t>
  </si>
  <si>
    <t>info@crosswayscreche.org.nz</t>
  </si>
  <si>
    <t>61 Majoribanks Street</t>
  </si>
  <si>
    <t>Hannah Chisnall</t>
  </si>
  <si>
    <t>6 Paeroa Street</t>
  </si>
  <si>
    <t>022-0172006</t>
  </si>
  <si>
    <t>Polyhigh Community Childcare Centre</t>
  </si>
  <si>
    <t>04-3851080</t>
  </si>
  <si>
    <t>polyhigh@xtra.co.nz</t>
  </si>
  <si>
    <t>Taranaki Street</t>
  </si>
  <si>
    <t>Mount Cook East</t>
  </si>
  <si>
    <t>Susan Ransfield</t>
  </si>
  <si>
    <t>P O Box 4035</t>
  </si>
  <si>
    <t>Wellington 6140</t>
  </si>
  <si>
    <t>04 3851080</t>
  </si>
  <si>
    <t>Early Impressions Childcare</t>
  </si>
  <si>
    <t>04-4787553</t>
  </si>
  <si>
    <t>earlyimpressionschildcare@xtra.co.nz</t>
  </si>
  <si>
    <t>3 Frankmoore Avenue</t>
  </si>
  <si>
    <t>Lyn Prorok</t>
  </si>
  <si>
    <t>P O Box 13250</t>
  </si>
  <si>
    <t>Wellington 6440</t>
  </si>
  <si>
    <t>Grafton Private Kindergarten</t>
  </si>
  <si>
    <t>04-9040372</t>
  </si>
  <si>
    <t>160 Arawhata Road</t>
  </si>
  <si>
    <t>Karen Davidson</t>
  </si>
  <si>
    <t>Wellington 5032</t>
  </si>
  <si>
    <t>Makoura Early Learning Centre</t>
  </si>
  <si>
    <t>06-3770224</t>
  </si>
  <si>
    <t>makouraelc@gmail.com</t>
  </si>
  <si>
    <t>29 Makora Road</t>
  </si>
  <si>
    <t>Janeen Bruce</t>
  </si>
  <si>
    <t>P O Box 553</t>
  </si>
  <si>
    <t>Matairangi Kindergarten</t>
  </si>
  <si>
    <t>04-386 3185</t>
  </si>
  <si>
    <t>112 Waipapa Road</t>
  </si>
  <si>
    <t>Waikanae Montessori Preschool</t>
  </si>
  <si>
    <t>04-9026135</t>
  </si>
  <si>
    <t>info@waikanaemontessori.school.nz</t>
  </si>
  <si>
    <t>3 B Seddon Street</t>
  </si>
  <si>
    <t>Bridget Grace</t>
  </si>
  <si>
    <t>3b Seddon St</t>
  </si>
  <si>
    <t>Waikanae 5391</t>
  </si>
  <si>
    <t>Hill Street Early Childhood Centre</t>
  </si>
  <si>
    <t>04-4735426</t>
  </si>
  <si>
    <t>hillstece@gmail.com</t>
  </si>
  <si>
    <t>66 Hill Street</t>
  </si>
  <si>
    <t>Gareth Richards</t>
  </si>
  <si>
    <t>Tiaki Mokopuna Porirua Whānau Centre</t>
  </si>
  <si>
    <t>04-237 7174</t>
  </si>
  <si>
    <t>Tutu Place Wi Neera Drive</t>
  </si>
  <si>
    <t>Elisabeth  Kelly</t>
  </si>
  <si>
    <t>021-882019</t>
  </si>
  <si>
    <t>Karori Childcare Centre</t>
  </si>
  <si>
    <t>04-4763621</t>
  </si>
  <si>
    <t>info@karorichildcare.org.nz</t>
  </si>
  <si>
    <t>47 Beauchamp Street</t>
  </si>
  <si>
    <t>Michael Asplet</t>
  </si>
  <si>
    <t>P O Box 17400</t>
  </si>
  <si>
    <t>Wellington 6147</t>
  </si>
  <si>
    <t>Pauatahanui Preschool Inc.</t>
  </si>
  <si>
    <t>04-2347372</t>
  </si>
  <si>
    <t>admin@pauatahanuipreschool.co.nz</t>
  </si>
  <si>
    <t>12 B Paekakariki Hill Road</t>
  </si>
  <si>
    <t>Pauatahanui</t>
  </si>
  <si>
    <t>Pāuatahanui</t>
  </si>
  <si>
    <t>Amanda Duguid</t>
  </si>
  <si>
    <t>12B Paekakariki Hill Road RD 1</t>
  </si>
  <si>
    <t>Porirua 5381</t>
  </si>
  <si>
    <t>04-234 7372</t>
  </si>
  <si>
    <t>Moriah (Private) Kindergarten Inc</t>
  </si>
  <si>
    <t>04-3847585</t>
  </si>
  <si>
    <t>office@moriahkindergarten.org.nz</t>
  </si>
  <si>
    <t>80 Webb Street</t>
  </si>
  <si>
    <t>Jewish</t>
  </si>
  <si>
    <t>Rosemary Swindells</t>
  </si>
  <si>
    <t>Newtown Early Learning Centre</t>
  </si>
  <si>
    <t>04-3893372</t>
  </si>
  <si>
    <t>73 Daniell Street</t>
  </si>
  <si>
    <t>Rebekah Neal</t>
  </si>
  <si>
    <t>Ngaio Childcare Centre Inc</t>
  </si>
  <si>
    <t>04-9392162</t>
  </si>
  <si>
    <t>ngaiochildcare@gmail.com</t>
  </si>
  <si>
    <t>1 Ottawa Road</t>
  </si>
  <si>
    <t>Philippa Butler</t>
  </si>
  <si>
    <t>04-939 2162</t>
  </si>
  <si>
    <t>Capital Kids Co-Operative</t>
  </si>
  <si>
    <t>04-389 9205</t>
  </si>
  <si>
    <t>manager@ckc.org.nz</t>
  </si>
  <si>
    <t>16 Hugh Street</t>
  </si>
  <si>
    <t>Megan White</t>
  </si>
  <si>
    <t>04-389  9205</t>
  </si>
  <si>
    <t>Smiley Faces Educare</t>
  </si>
  <si>
    <t>04-5285399</t>
  </si>
  <si>
    <t>1 Fraser Crescent</t>
  </si>
  <si>
    <t>Clare Kernot</t>
  </si>
  <si>
    <t>Gracefield Early Childhood Centre</t>
  </si>
  <si>
    <t>04-5696500</t>
  </si>
  <si>
    <t>gracefieldecc@gmail.com</t>
  </si>
  <si>
    <t>69 Gracefield Road</t>
  </si>
  <si>
    <t>Gracefield</t>
  </si>
  <si>
    <t>Antonia Crawford</t>
  </si>
  <si>
    <t>9 Rishworth Street</t>
  </si>
  <si>
    <t>04-5698263</t>
  </si>
  <si>
    <t>Paremata Creche</t>
  </si>
  <si>
    <t>04-232 1690</t>
  </si>
  <si>
    <t>parematacreche@wmkindergartens.org.nz</t>
  </si>
  <si>
    <t>C/- Whitby Civic Centre Discovery Drive</t>
  </si>
  <si>
    <t>Silverstream Early Learning Centre by Busy Bees</t>
  </si>
  <si>
    <t>04-5283678</t>
  </si>
  <si>
    <t>info@silverstream.busybees.org.nz</t>
  </si>
  <si>
    <t>254 Fergusson Drive</t>
  </si>
  <si>
    <t>Nicola Rumens</t>
  </si>
  <si>
    <t>04-528 3678</t>
  </si>
  <si>
    <t>Bowen Early Childhood Education Centre Inc.</t>
  </si>
  <si>
    <t>04-4753851</t>
  </si>
  <si>
    <t>info@bowenece.org.nz</t>
  </si>
  <si>
    <t>66 Albemarle Road</t>
  </si>
  <si>
    <t>Anna Lewis</t>
  </si>
  <si>
    <t>3/66 Albemarle Road</t>
  </si>
  <si>
    <t>04-475 3851</t>
  </si>
  <si>
    <t>Lower Hutt City Childcare Centre</t>
  </si>
  <si>
    <t>04-5662495</t>
  </si>
  <si>
    <t>lhchildcare@xtra.co.nz</t>
  </si>
  <si>
    <t>2 St Albans Grove</t>
  </si>
  <si>
    <t>Hutt Central South</t>
  </si>
  <si>
    <t>Paul McCorry</t>
  </si>
  <si>
    <t>Woburn</t>
  </si>
  <si>
    <t>A'oga Amata EFKS Newtown</t>
  </si>
  <si>
    <t>04-3892037</t>
  </si>
  <si>
    <t>efksaogaamata@xtra.co.nz</t>
  </si>
  <si>
    <t>180 Owen Street</t>
  </si>
  <si>
    <t>Saddie Fiti</t>
  </si>
  <si>
    <t>Wellington 6023</t>
  </si>
  <si>
    <t>04-389 2031</t>
  </si>
  <si>
    <t>Karori Kids Incorporated</t>
  </si>
  <si>
    <t>04-4766887</t>
  </si>
  <si>
    <t>karorikids@xtra.co.nz</t>
  </si>
  <si>
    <t>29 Campbell Street</t>
  </si>
  <si>
    <t>Ginalyn Yumul</t>
  </si>
  <si>
    <t>04-476 6887</t>
  </si>
  <si>
    <t>Raumati South Kindergarten</t>
  </si>
  <si>
    <t>04-902 9300</t>
  </si>
  <si>
    <t>raumatisouth@wmkindergartens.org.nz</t>
  </si>
  <si>
    <t>45 Tiromoana Road</t>
  </si>
  <si>
    <t>Stepping Stones Childcare Centre</t>
  </si>
  <si>
    <t>04-5287913</t>
  </si>
  <si>
    <t>admin@steppingstones.org.nz</t>
  </si>
  <si>
    <t>29 Seddon Street</t>
  </si>
  <si>
    <t>Baden Campbell</t>
  </si>
  <si>
    <t>Ōtaki Montessori Preschool</t>
  </si>
  <si>
    <t>06-3647500</t>
  </si>
  <si>
    <t>omppresident@gmail.com</t>
  </si>
  <si>
    <t>Mill Road</t>
  </si>
  <si>
    <t>Cameron Wislang</t>
  </si>
  <si>
    <t>P O Box 15024</t>
  </si>
  <si>
    <t>Otaki Railway</t>
  </si>
  <si>
    <t>Manawatu 5543</t>
  </si>
  <si>
    <t>Cloud Kids Educare</t>
  </si>
  <si>
    <t>06-3775476</t>
  </si>
  <si>
    <t>manager@mfesccloudkids.com</t>
  </si>
  <si>
    <t>St Luke's Church 2 Worksop Road</t>
  </si>
  <si>
    <t>Alison Woollard</t>
  </si>
  <si>
    <t>P O Box 789</t>
  </si>
  <si>
    <t>06-377 1379</t>
  </si>
  <si>
    <t>Montessori at Otari Preschool Inc.</t>
  </si>
  <si>
    <t>04-4759688</t>
  </si>
  <si>
    <t>166 Wilton Road</t>
  </si>
  <si>
    <t>Florence Coram-Lasnier</t>
  </si>
  <si>
    <t>04-475 9688</t>
  </si>
  <si>
    <t>Hadlow Preschool</t>
  </si>
  <si>
    <t>06-3786597</t>
  </si>
  <si>
    <t>preschool@hadlow.school.nz</t>
  </si>
  <si>
    <t>C/- Hadlow Preparatory School High Street</t>
  </si>
  <si>
    <t>Catherine Archer</t>
  </si>
  <si>
    <t>C/O Hadlow Prepatory School High Street</t>
  </si>
  <si>
    <t>BestStart Raumati</t>
  </si>
  <si>
    <t>04-2979042</t>
  </si>
  <si>
    <t>raumati@best-start.org</t>
  </si>
  <si>
    <t>174 Raumati Road</t>
  </si>
  <si>
    <t>Raumati Beach East</t>
  </si>
  <si>
    <t>Adelaide Early Childhood Centre</t>
  </si>
  <si>
    <t>04-3898238</t>
  </si>
  <si>
    <t>28 Colombo Street</t>
  </si>
  <si>
    <t>James Dunlop</t>
  </si>
  <si>
    <t>Aro Valley Community Preschool</t>
  </si>
  <si>
    <t>04-3845156</t>
  </si>
  <si>
    <t>info@arovalleypreschool.nz</t>
  </si>
  <si>
    <t>48 Aro Street</t>
  </si>
  <si>
    <t>Aro Valley</t>
  </si>
  <si>
    <t>Helen Baxter</t>
  </si>
  <si>
    <t>04-934 8516</t>
  </si>
  <si>
    <t>Pipitea Childcare Centre</t>
  </si>
  <si>
    <t>04-4732336</t>
  </si>
  <si>
    <t>office@pipiteachildcare.org.nz</t>
  </si>
  <si>
    <t>21 Hobson Crescent</t>
  </si>
  <si>
    <t>Joel Labes</t>
  </si>
  <si>
    <t>Victoria University of Wellington Fairlie Terrace Early Childhood Service</t>
  </si>
  <si>
    <t>04-4635182</t>
  </si>
  <si>
    <t>victoriakids@vuw.ac.nz</t>
  </si>
  <si>
    <t>67- 71 Fairlie Terrace</t>
  </si>
  <si>
    <t>Gillian Roberts</t>
  </si>
  <si>
    <t>P O Box 600</t>
  </si>
  <si>
    <t>04-463 5151</t>
  </si>
  <si>
    <t>Newlands Childcare Incorporated</t>
  </si>
  <si>
    <t>04-9731169</t>
  </si>
  <si>
    <t>newlandschildcare@gmail.com</t>
  </si>
  <si>
    <t>4 Padnell Crescent</t>
  </si>
  <si>
    <t>Christopher McCarty</t>
  </si>
  <si>
    <t>The Salvation Army William Booth Educare</t>
  </si>
  <si>
    <t>04-5276929</t>
  </si>
  <si>
    <t>lauren.stafford@salvationarmy.org.nz</t>
  </si>
  <si>
    <t>20 William Booth Grove</t>
  </si>
  <si>
    <t>Lauren Stafford</t>
  </si>
  <si>
    <t>City Kids Childcare Centre</t>
  </si>
  <si>
    <t>04-4731947</t>
  </si>
  <si>
    <t>centre.manager@citykids.org.nz</t>
  </si>
  <si>
    <t>21A Tinakori Road</t>
  </si>
  <si>
    <t>Benjamin Clayton</t>
  </si>
  <si>
    <t>21 A Tinakori Road</t>
  </si>
  <si>
    <t>Kāpiti Children's Centre</t>
  </si>
  <si>
    <t>04-9027130</t>
  </si>
  <si>
    <t>info@kapitichildcare.co.nz</t>
  </si>
  <si>
    <t>24 Raumati Road</t>
  </si>
  <si>
    <t>Rebecca Morley</t>
  </si>
  <si>
    <t>Kidzone Public Servants Childcare Centre</t>
  </si>
  <si>
    <t>04-9398532</t>
  </si>
  <si>
    <t>info@kidzone.org.nz</t>
  </si>
  <si>
    <t>113 Owen Street</t>
  </si>
  <si>
    <t>Rhedyn Law</t>
  </si>
  <si>
    <t>Millie's House Oxford St Kindy</t>
  </si>
  <si>
    <t>04-2327021</t>
  </si>
  <si>
    <t>57 Oxford Street</t>
  </si>
  <si>
    <t>Jack and Jill Early Learning Centre</t>
  </si>
  <si>
    <t>04-9705266</t>
  </si>
  <si>
    <t>yanli@jackandjill.school.nz</t>
  </si>
  <si>
    <t>54 Hine Road</t>
  </si>
  <si>
    <t>Curious Minds Early Learning Johnsonville</t>
  </si>
  <si>
    <t>04-4770661</t>
  </si>
  <si>
    <t>info@johnsonvillechildcare.co.nz</t>
  </si>
  <si>
    <t>34-36 Bannister Avenue</t>
  </si>
  <si>
    <t>Ko Aroha Kids</t>
  </si>
  <si>
    <t>04-2376532</t>
  </si>
  <si>
    <t>koaroha@xtra.co.nz</t>
  </si>
  <si>
    <t>48 Rangituhi Crescent</t>
  </si>
  <si>
    <t>Karen Warren</t>
  </si>
  <si>
    <t xml:space="preserve">21 Enereta Road, Otaki </t>
  </si>
  <si>
    <t>Kapiti Coast 5012</t>
  </si>
  <si>
    <t>Mana Montessori Preschool Inc</t>
  </si>
  <si>
    <t>04-2341489</t>
  </si>
  <si>
    <t>manager@manamontessori.school.nz</t>
  </si>
  <si>
    <t>Mana Montessori 1 Albatross Close</t>
  </si>
  <si>
    <t>Endeavour East</t>
  </si>
  <si>
    <t>Holly Cane</t>
  </si>
  <si>
    <t>P O Box 58036</t>
  </si>
  <si>
    <t>04-234 1489</t>
  </si>
  <si>
    <t>Matariki Kindergarten</t>
  </si>
  <si>
    <t>04-528 0643</t>
  </si>
  <si>
    <t>matariki@wmkindergartens.org.nz</t>
  </si>
  <si>
    <t>8 William Durrant Drive</t>
  </si>
  <si>
    <t>Victoria University of Wellington Clermont Terrace Early Childhood Services</t>
  </si>
  <si>
    <t>04-4635219</t>
  </si>
  <si>
    <t>2-4 Clermont Terrace</t>
  </si>
  <si>
    <t>Wellington Botanic Gardens</t>
  </si>
  <si>
    <t>Greytown Early Years Incorporated</t>
  </si>
  <si>
    <t>06-3048922</t>
  </si>
  <si>
    <t>manager.greytown.earlyyears@gmail.com</t>
  </si>
  <si>
    <t>61 Main Street</t>
  </si>
  <si>
    <t>Claire McDonald</t>
  </si>
  <si>
    <t>2 Jellicoe Street</t>
  </si>
  <si>
    <t>021-08358172</t>
  </si>
  <si>
    <t>Te Punanga O Te Reo Kuki Airani</t>
  </si>
  <si>
    <t>04-3892127</t>
  </si>
  <si>
    <t>tepunanga@gmail.com</t>
  </si>
  <si>
    <t>28 Herald Street</t>
  </si>
  <si>
    <t>Bridget Kauraka</t>
  </si>
  <si>
    <t>P O Box 7348</t>
  </si>
  <si>
    <t>Wellington South</t>
  </si>
  <si>
    <t>Wellington 6242</t>
  </si>
  <si>
    <t>04-3892125</t>
  </si>
  <si>
    <t>Barnardos Early Learning Centre Eastbourne</t>
  </si>
  <si>
    <t>04-5628234</t>
  </si>
  <si>
    <t>jocaughley@gmail.com</t>
  </si>
  <si>
    <t>199 Muritai Road</t>
  </si>
  <si>
    <t>Children First Early Childhood Centre</t>
  </si>
  <si>
    <t>04-5286059</t>
  </si>
  <si>
    <t>admin@childrenfirst.co.nz</t>
  </si>
  <si>
    <t>Corner 414 Fergusson Drive and 1A Sutherland Avenue</t>
  </si>
  <si>
    <t>Michēle  Bicknell</t>
  </si>
  <si>
    <t>Marlborough St Childcare Centre</t>
  </si>
  <si>
    <t>04-5277243</t>
  </si>
  <si>
    <t>info@mcentre.org</t>
  </si>
  <si>
    <t>11 Marlborough Street</t>
  </si>
  <si>
    <t>Michaela Stevens</t>
  </si>
  <si>
    <t>P O Box 48085</t>
  </si>
  <si>
    <t>Wellington 5142</t>
  </si>
  <si>
    <t>Raphael House Kindergarten</t>
  </si>
  <si>
    <t>04-5695161</t>
  </si>
  <si>
    <t>centremanager@rhkindergarten.org.nz</t>
  </si>
  <si>
    <t>27 Matuhi Street</t>
  </si>
  <si>
    <t>Tirohanga</t>
  </si>
  <si>
    <t>Chilton St James Preschool - Waterloo</t>
  </si>
  <si>
    <t>04-5664089</t>
  </si>
  <si>
    <t>ccanton@chilton.school.nz</t>
  </si>
  <si>
    <t>124 Waterloo Road</t>
  </si>
  <si>
    <t>Chris Canton</t>
  </si>
  <si>
    <t>P O Box 30090</t>
  </si>
  <si>
    <t>04-566 4089</t>
  </si>
  <si>
    <t>St Marks Preschool</t>
  </si>
  <si>
    <t>04-3859489</t>
  </si>
  <si>
    <t>11 Dufferin Street</t>
  </si>
  <si>
    <t>Mount Victoria South</t>
  </si>
  <si>
    <t>Shelley Catlin</t>
  </si>
  <si>
    <t>P O Box 7445</t>
  </si>
  <si>
    <t>04-385 9489</t>
  </si>
  <si>
    <t>All About Children - Titahi Bay</t>
  </si>
  <si>
    <t>04-2367227</t>
  </si>
  <si>
    <t>manager.titahibay@allaboutchildren.co.nz</t>
  </si>
  <si>
    <t>11 Dimock Street</t>
  </si>
  <si>
    <t>Catherine Gillatt</t>
  </si>
  <si>
    <t>Playhouse Childcare</t>
  </si>
  <si>
    <t>04-8179042</t>
  </si>
  <si>
    <t>playhouse.accounts@gmail.com</t>
  </si>
  <si>
    <t>C/- Parliament Building Ballantrae Place</t>
  </si>
  <si>
    <t>Amanda Thornton</t>
  </si>
  <si>
    <t>Private Bag 18041</t>
  </si>
  <si>
    <t>Parliament Buildings</t>
  </si>
  <si>
    <t>Wellington 6160</t>
  </si>
  <si>
    <t>Capital Montessori School</t>
  </si>
  <si>
    <t>04-3892395</t>
  </si>
  <si>
    <t>office@montessori.school.nz</t>
  </si>
  <si>
    <t>14 Camrose Grove</t>
  </si>
  <si>
    <t>Kingston-Wellington</t>
  </si>
  <si>
    <t>Kingston-Mornington-Vogeltown</t>
  </si>
  <si>
    <t>Ashwini Aluwihare</t>
  </si>
  <si>
    <t>P O Box 7480</t>
  </si>
  <si>
    <t>04-392 2395</t>
  </si>
  <si>
    <t>BestStart Rongotai</t>
  </si>
  <si>
    <t>04-3877348</t>
  </si>
  <si>
    <t>178 Rongotai Road</t>
  </si>
  <si>
    <t>Millie's House Waiwhetu</t>
  </si>
  <si>
    <t>04-5664567</t>
  </si>
  <si>
    <t>6 Wainui Road</t>
  </si>
  <si>
    <t>Samuel Marsden Preschool</t>
  </si>
  <si>
    <t>04-4768707</t>
  </si>
  <si>
    <t>helen.mcConnell@marsden.school.nz</t>
  </si>
  <si>
    <t>Marsden Avenue</t>
  </si>
  <si>
    <t>Paula Wells</t>
  </si>
  <si>
    <t>Private Bag 17000</t>
  </si>
  <si>
    <t>04-4642037</t>
  </si>
  <si>
    <t>Lansdowne Private Childcare Centre</t>
  </si>
  <si>
    <t>06-3772448</t>
  </si>
  <si>
    <t>admin@lansdowneprivatechildcare.co.nz</t>
  </si>
  <si>
    <t>27 First Street</t>
  </si>
  <si>
    <t>Lansdowne West</t>
  </si>
  <si>
    <t>Mike  De Lange</t>
  </si>
  <si>
    <t xml:space="preserve">Bellagio Apartments  Suite 11c, 39 Taranaki Street </t>
  </si>
  <si>
    <t>027-458 5886</t>
  </si>
  <si>
    <t>Kilbirnie Early Learners</t>
  </si>
  <si>
    <t>04-3879488</t>
  </si>
  <si>
    <t>info@kilbirnieearlylearners.co.nz</t>
  </si>
  <si>
    <t>58 Bay Road</t>
  </si>
  <si>
    <t>Mt Cook Preschool</t>
  </si>
  <si>
    <t>04-385 9432</t>
  </si>
  <si>
    <t>mtcook@wmkindergartens.org.nz</t>
  </si>
  <si>
    <t>160 Tory Street</t>
  </si>
  <si>
    <t>BestStart Tawa</t>
  </si>
  <si>
    <t>04-2326988</t>
  </si>
  <si>
    <t>tawa@best-start.org</t>
  </si>
  <si>
    <t>85 Main Road</t>
  </si>
  <si>
    <t>Kids Reserve</t>
  </si>
  <si>
    <t>04-4730494</t>
  </si>
  <si>
    <t>kidsreserve@xtra.co.nz</t>
  </si>
  <si>
    <t>12 Hawkestone Street</t>
  </si>
  <si>
    <t>Hannah McGee</t>
  </si>
  <si>
    <t>1 Portland Crescent</t>
  </si>
  <si>
    <t>Wonder Kids Kāpiti</t>
  </si>
  <si>
    <t>04-9055152</t>
  </si>
  <si>
    <t>28 Arawhata Road</t>
  </si>
  <si>
    <t>Aiga Paia A'oga Amata</t>
  </si>
  <si>
    <t>04-2379169</t>
  </si>
  <si>
    <t>aigapaiaam@hotmail.com</t>
  </si>
  <si>
    <t>169 Mungavin Avenue</t>
  </si>
  <si>
    <t>Imeleta Avei</t>
  </si>
  <si>
    <t>P O Box 53035</t>
  </si>
  <si>
    <t>Wellington 5243</t>
  </si>
  <si>
    <t>04-2370799</t>
  </si>
  <si>
    <t>BestStart Waikanae</t>
  </si>
  <si>
    <t>04-2935090</t>
  </si>
  <si>
    <t>waikanae@best-start.org</t>
  </si>
  <si>
    <t>32 Winara Avenue</t>
  </si>
  <si>
    <t>Good Beginnings Educare Centre</t>
  </si>
  <si>
    <t>06-3789969</t>
  </si>
  <si>
    <t>38 Worksop Road</t>
  </si>
  <si>
    <t>Southside Kids Childcare Centre</t>
  </si>
  <si>
    <t>04-3855911</t>
  </si>
  <si>
    <t>juliebarton@xtra.co.nz</t>
  </si>
  <si>
    <t>Coromandel Street</t>
  </si>
  <si>
    <t>Juliana Barton</t>
  </si>
  <si>
    <t>83 Fraser Ave</t>
  </si>
  <si>
    <t>04-4789294</t>
  </si>
  <si>
    <t>Capital City Preschool</t>
  </si>
  <si>
    <t>04-3846560</t>
  </si>
  <si>
    <t>preschool@capitalcitypreschool.co.nz</t>
  </si>
  <si>
    <t>3 McDonald Crescent</t>
  </si>
  <si>
    <t>Dixon Street West</t>
  </si>
  <si>
    <t>Lisa Marshall</t>
  </si>
  <si>
    <t>P O Box 27421</t>
  </si>
  <si>
    <t>027-2245152</t>
  </si>
  <si>
    <t>Grace Kindergarten</t>
  </si>
  <si>
    <t>04-4796377</t>
  </si>
  <si>
    <t>4 Ngatoto Street</t>
  </si>
  <si>
    <t>Charis Steinmann</t>
  </si>
  <si>
    <t>Busy Bees Greytown</t>
  </si>
  <si>
    <t>06-3048056</t>
  </si>
  <si>
    <t>manager@greytown.busybees.org.nz</t>
  </si>
  <si>
    <t>151 Main Street</t>
  </si>
  <si>
    <t>Karen Newton</t>
  </si>
  <si>
    <t>06-304 8056</t>
  </si>
  <si>
    <t>Waikanae Beach Kids</t>
  </si>
  <si>
    <t>04-902 8380</t>
  </si>
  <si>
    <t>12 Waimea Road</t>
  </si>
  <si>
    <t>Waikanae Beach</t>
  </si>
  <si>
    <t>BestStart Montessori Johnsonville</t>
  </si>
  <si>
    <t>04-478 6071</t>
  </si>
  <si>
    <t>mont.johnsonville@best-start.org</t>
  </si>
  <si>
    <t>23a Elliot Street</t>
  </si>
  <si>
    <t>Montessori Children's House - Wellington</t>
  </si>
  <si>
    <t>04-3883529</t>
  </si>
  <si>
    <t>qxeducare@gmail.com</t>
  </si>
  <si>
    <t>121 Darlington Road</t>
  </si>
  <si>
    <t>Xing Wang</t>
  </si>
  <si>
    <t>022-1346123</t>
  </si>
  <si>
    <t>Kids Castle Education and Care Centre</t>
  </si>
  <si>
    <t>06-3748198</t>
  </si>
  <si>
    <t>kidscastle37@gmail.com</t>
  </si>
  <si>
    <t>37 Burns Street</t>
  </si>
  <si>
    <t>Sheryl Pinfold</t>
  </si>
  <si>
    <t>77 Adelaide Road RD 8</t>
  </si>
  <si>
    <t>Dannevirke 4978</t>
  </si>
  <si>
    <t>06-3746879</t>
  </si>
  <si>
    <t>Wellington City Rudolf Steiner Kindergarten</t>
  </si>
  <si>
    <t>04-4997394</t>
  </si>
  <si>
    <t>wgtn_steiner_kindy@yahoo.co.nz</t>
  </si>
  <si>
    <t>10 Davis Street</t>
  </si>
  <si>
    <t>Vanessa Baker</t>
  </si>
  <si>
    <t>04-499 7394</t>
  </si>
  <si>
    <t>Discovery Nursery and Cottage</t>
  </si>
  <si>
    <t>04-5677328</t>
  </si>
  <si>
    <t>vanikarthik2019@gmail.com</t>
  </si>
  <si>
    <t>13A Guiness Street</t>
  </si>
  <si>
    <t>Elizabeth Avenue Childcare Centre</t>
  </si>
  <si>
    <t>04-528 4441</t>
  </si>
  <si>
    <t>298 Fergusson Drive</t>
  </si>
  <si>
    <t>South Wellington Montessori School</t>
  </si>
  <si>
    <t>04-8311470</t>
  </si>
  <si>
    <t>info@montessorieco.nz</t>
  </si>
  <si>
    <t>4 Duppa Street</t>
  </si>
  <si>
    <t>William McDonald</t>
  </si>
  <si>
    <t>P O Box 5310</t>
  </si>
  <si>
    <t>Wellington 6145</t>
  </si>
  <si>
    <t>Childspace Early Learning Ctr - Karori</t>
  </si>
  <si>
    <t>04-4760004</t>
  </si>
  <si>
    <t>karori@childspace.nz</t>
  </si>
  <si>
    <t>81 Old Karori Road</t>
  </si>
  <si>
    <t>Karori North</t>
  </si>
  <si>
    <t>Busy Beez Childcare Centre</t>
  </si>
  <si>
    <t>04-5270605</t>
  </si>
  <si>
    <t>626 Fergusson Drive</t>
  </si>
  <si>
    <t>Te Kōhanga Reo o Hinetearorangi</t>
  </si>
  <si>
    <t>06-378 8927</t>
  </si>
  <si>
    <t>whanau@k08h006.kohanga.ac.nz</t>
  </si>
  <si>
    <t>C/O Te Ore Ore Marae Bideford Road</t>
  </si>
  <si>
    <t>Te Kōhanga Reo o Te Ngahere o Te Rangimārie</t>
  </si>
  <si>
    <t>04-564 4278</t>
  </si>
  <si>
    <t>WHANAU@K09A028.kohanga.ac.nz</t>
  </si>
  <si>
    <t>1 A Fitzherbert Road</t>
  </si>
  <si>
    <t>Te Kōhanga Reo o Tītahi Bay</t>
  </si>
  <si>
    <t>04-236 8242</t>
  </si>
  <si>
    <t>WHANAU@K09B011.kohanga.ac.nz</t>
  </si>
  <si>
    <t>99 Dimock Street</t>
  </si>
  <si>
    <t>Te Kōhanga Reo o Te Kākano o Te Kura</t>
  </si>
  <si>
    <t>06-364 5599</t>
  </si>
  <si>
    <t>tekakanootekura@gmail.com</t>
  </si>
  <si>
    <t>Te Rauparaha Street</t>
  </si>
  <si>
    <t>Te Kōhanga Reo o Raukawa</t>
  </si>
  <si>
    <t>06-364 5364</t>
  </si>
  <si>
    <t>WHANAU@K09D032.kohanga.ac.nz</t>
  </si>
  <si>
    <t>5 Convent Road</t>
  </si>
  <si>
    <t>Te Kōhanga Reo o Awhina Te Kaahui Nohinohi</t>
  </si>
  <si>
    <t>04-567 0309</t>
  </si>
  <si>
    <t>WHANAU@K09A014.kohanga.ac.nz</t>
  </si>
  <si>
    <t>Naenae Primary School 35 Wheatley Street</t>
  </si>
  <si>
    <t>Paparakau Te Kōhanga Reo</t>
  </si>
  <si>
    <t>04-939 8158</t>
  </si>
  <si>
    <t>admin@kokirimarae.org.nz</t>
  </si>
  <si>
    <t>58 Moonshine Road</t>
  </si>
  <si>
    <t>Te Kōhanga Reo o Tū Roa</t>
  </si>
  <si>
    <t>06-364 7740</t>
  </si>
  <si>
    <t>WHANAU@K09D036.kohanga.ac.nz</t>
  </si>
  <si>
    <t>43 Te Rauparaha Street</t>
  </si>
  <si>
    <t>Te Kōhanga Reo O Ngāti Hāmua</t>
  </si>
  <si>
    <t>06-377 3846</t>
  </si>
  <si>
    <t>whanau@k08h011.kohanga.ac.nz</t>
  </si>
  <si>
    <t>127 Cole Street</t>
  </si>
  <si>
    <t>Lansdowne</t>
  </si>
  <si>
    <t>Te Kōhanga Reo o Ngā Puāwai</t>
  </si>
  <si>
    <t>04-567 1004</t>
  </si>
  <si>
    <t>WHANAU@K09A060.kohanga.ac.nz</t>
  </si>
  <si>
    <t>8 Partridge St</t>
  </si>
  <si>
    <t>Pomare-Wellington</t>
  </si>
  <si>
    <t>Taita North</t>
  </si>
  <si>
    <t>Te Kōhanga Reo o Horouta</t>
  </si>
  <si>
    <t>04-235 7126</t>
  </si>
  <si>
    <t>WHANAU@K09B046.kohanga.ac.nz</t>
  </si>
  <si>
    <t>Horouta Marae 8 Whitford Brown Avenue</t>
  </si>
  <si>
    <t>Te Kōhanga Reo o Ngaio</t>
  </si>
  <si>
    <t>04-479 2484</t>
  </si>
  <si>
    <t>admin@tkron.co.nz</t>
  </si>
  <si>
    <t>58 Tarikaka Street</t>
  </si>
  <si>
    <t>Te Kōhanga Reo o Te Kaahui</t>
  </si>
  <si>
    <t>04-389 6007</t>
  </si>
  <si>
    <t>135 - 137 Owen Street</t>
  </si>
  <si>
    <t>Te Kōhanga Reo o Arohanui ki Te Tangata Marae Trust</t>
  </si>
  <si>
    <t>04-566 3086</t>
  </si>
  <si>
    <t>Waiwhetu Marae Puketapu Grove</t>
  </si>
  <si>
    <t>Wirangi Luke</t>
  </si>
  <si>
    <t>04-5871643</t>
  </si>
  <si>
    <t>Te Kōhanga Reo o Wāhi Reka</t>
  </si>
  <si>
    <t>06-378 7278</t>
  </si>
  <si>
    <t>k08h066@xtra.co.nz</t>
  </si>
  <si>
    <t>13 A River Road</t>
  </si>
  <si>
    <t>Kōkiri Marae Te Kōhanga Reo</t>
  </si>
  <si>
    <t>04-939 7111</t>
  </si>
  <si>
    <t>Kōkiri Marae 22 Barnes Street</t>
  </si>
  <si>
    <t>Seaview-Wellington</t>
  </si>
  <si>
    <t>Te Hono ki Kōkiri Te Kōhanga Reo</t>
  </si>
  <si>
    <t>04-567 1146</t>
  </si>
  <si>
    <t>WHANAU@K09A066.kohanga.ac.nz</t>
  </si>
  <si>
    <t>6 Wicklow Grove</t>
  </si>
  <si>
    <t>Te Kōhanga Reo o Pūrehurehu</t>
  </si>
  <si>
    <t>04-526 8882</t>
  </si>
  <si>
    <t>WHANAU@K09A027.kohanga.ac.nz</t>
  </si>
  <si>
    <t>6 Prestige Place</t>
  </si>
  <si>
    <t>Hine Poa</t>
  </si>
  <si>
    <t>04-528 3746</t>
  </si>
  <si>
    <t>Te Kōhanga Reo o Te Toka Āhuru</t>
  </si>
  <si>
    <t>04-235 8940</t>
  </si>
  <si>
    <t>WHANAU@K09B064.kohanga.ac.nz</t>
  </si>
  <si>
    <t>197 Warspite Avenue</t>
  </si>
  <si>
    <t>Te Kōhanga Reo o Ngāhauranga</t>
  </si>
  <si>
    <t>04-232 8424</t>
  </si>
  <si>
    <t>WHANAU@K09C043.kohanga.ac.nz</t>
  </si>
  <si>
    <t>55 Victory Crescent</t>
  </si>
  <si>
    <t>Te Kōhanga Reo o Ngā Kāwai</t>
  </si>
  <si>
    <t>04-235 5015</t>
  </si>
  <si>
    <t>WHANAU@K09B012.kohanga.ac.nz</t>
  </si>
  <si>
    <t>164 Warspite Avenue</t>
  </si>
  <si>
    <t>Te Kōhanga Reo o Muturangi</t>
  </si>
  <si>
    <t>04-568 5349</t>
  </si>
  <si>
    <t>5 Randwick Crescent</t>
  </si>
  <si>
    <t>Te Kōhanga Reo o Waikato Tairāwhiti</t>
  </si>
  <si>
    <t>04-237 9739</t>
  </si>
  <si>
    <t>WHANAU@K09B049.kohanga.ac.nz</t>
  </si>
  <si>
    <t>106 Bedford Street</t>
  </si>
  <si>
    <t>Te Kōhanga Reo o Takapu</t>
  </si>
  <si>
    <t>04-232 8569</t>
  </si>
  <si>
    <t>WHANAU@K09B067.kohanga.ac.nz</t>
  </si>
  <si>
    <t>51A Coates  Street</t>
  </si>
  <si>
    <t>Te Kōhanga Reo o Kotahitanga</t>
  </si>
  <si>
    <t>06-362 6773</t>
  </si>
  <si>
    <t>WHANAU@K09D071.kohanga.ac.nz</t>
  </si>
  <si>
    <t>State Highway 1</t>
  </si>
  <si>
    <t>Manakau-Palmerston North</t>
  </si>
  <si>
    <t>Te Kōhanga Reo o Pukerau</t>
  </si>
  <si>
    <t>04-235 8254</t>
  </si>
  <si>
    <t>WHANAU@K09B015.kohanga.ac.nz</t>
  </si>
  <si>
    <t>C/- Russell School Fantame Street</t>
  </si>
  <si>
    <t>Te Kōhanga Reo o Te Awa Kairangi</t>
  </si>
  <si>
    <t>04-973 9831</t>
  </si>
  <si>
    <t>WHANAU@K09A023.kohanga.ac.nz</t>
  </si>
  <si>
    <t>1041 High Street</t>
  </si>
  <si>
    <t>Avalon West</t>
  </si>
  <si>
    <t>Te Kōhanga Reo o Upoko Ā Urunga</t>
  </si>
  <si>
    <t>04-564 4470</t>
  </si>
  <si>
    <t>WHANAU@k09A072.kohanga.ac.nz</t>
  </si>
  <si>
    <t>24 Wood street</t>
  </si>
  <si>
    <t>Te Kōhanga Reo o Tararua ki Paraparaumu</t>
  </si>
  <si>
    <t>04-902 8544</t>
  </si>
  <si>
    <t>tararuakiparaparaumu@gmail.com</t>
  </si>
  <si>
    <t>34 Tennis Court Road</t>
  </si>
  <si>
    <t>Awatere Playcentre</t>
  </si>
  <si>
    <t>027-575 7301</t>
  </si>
  <si>
    <t>leah.fairgrieve@playcentre.org.nz</t>
  </si>
  <si>
    <t>Awatere Playcentre 13A Redwood Streeet</t>
  </si>
  <si>
    <t>Leah  Fairgrieve</t>
  </si>
  <si>
    <t>Blenheim Playcentre</t>
  </si>
  <si>
    <t>03-577 5216</t>
  </si>
  <si>
    <t>17 Eltham Road</t>
  </si>
  <si>
    <t>Whitney West</t>
  </si>
  <si>
    <t>Picton Playcentre</t>
  </si>
  <si>
    <t>03-573 5665</t>
  </si>
  <si>
    <t>5 Waitohi Place</t>
  </si>
  <si>
    <t>Picton</t>
  </si>
  <si>
    <t>Waitohi (Marlborough District)</t>
  </si>
  <si>
    <t>Marlborough Sounds General Ward</t>
  </si>
  <si>
    <t>Renwick Playcentre</t>
  </si>
  <si>
    <t>03-572 8016</t>
  </si>
  <si>
    <t>26 Havelock Street</t>
  </si>
  <si>
    <t>Enner Glynn Playcentre</t>
  </si>
  <si>
    <t>027-8805248</t>
  </si>
  <si>
    <t>Vic.Jackson@playcentre.org.nz</t>
  </si>
  <si>
    <t>8 Enner Glynn Road</t>
  </si>
  <si>
    <t>Wakatu</t>
  </si>
  <si>
    <t>Victoria Jackson</t>
  </si>
  <si>
    <t>027-880 5248</t>
  </si>
  <si>
    <t>Creative Cubs</t>
  </si>
  <si>
    <t>03-3237500</t>
  </si>
  <si>
    <t>796 Main North Road</t>
  </si>
  <si>
    <t>Simon Gillian</t>
  </si>
  <si>
    <t>1/15a Wairarapa Terrace</t>
  </si>
  <si>
    <t>021-950723</t>
  </si>
  <si>
    <t>Riccarton Park Montessori Preschool</t>
  </si>
  <si>
    <t>03-3427595</t>
  </si>
  <si>
    <t>de_silva@xtra.co.nz</t>
  </si>
  <si>
    <t>108 Racecourse Road</t>
  </si>
  <si>
    <t>Bianca De Silva</t>
  </si>
  <si>
    <t>45 Kintyre Drive</t>
  </si>
  <si>
    <t>03-3424238</t>
  </si>
  <si>
    <t>BestStart Rolleston</t>
  </si>
  <si>
    <t>03-347 9850</t>
  </si>
  <si>
    <t>rolleston@best-start.org</t>
  </si>
  <si>
    <t>14 Cezanne Grove</t>
  </si>
  <si>
    <t>Leaps and Bounds Preschool</t>
  </si>
  <si>
    <t>03- 313 5020</t>
  </si>
  <si>
    <t>office@leapsandbounds.co.nz</t>
  </si>
  <si>
    <t>85 - 87 Johns Road</t>
  </si>
  <si>
    <t>Ryan Westgate</t>
  </si>
  <si>
    <t>10 Waitaki Ave</t>
  </si>
  <si>
    <t>Oamaru North</t>
  </si>
  <si>
    <t>027-3903864</t>
  </si>
  <si>
    <t>Mapusaga Aoga Amata</t>
  </si>
  <si>
    <t>03-384 3557</t>
  </si>
  <si>
    <t>91 Dyers Road</t>
  </si>
  <si>
    <t>Woolston East</t>
  </si>
  <si>
    <t>Havana Vili</t>
  </si>
  <si>
    <t>P O Box 24173</t>
  </si>
  <si>
    <t>Eastgate</t>
  </si>
  <si>
    <t>Christchurch 8642</t>
  </si>
  <si>
    <t>My Preschool Limited</t>
  </si>
  <si>
    <t>03-3139270</t>
  </si>
  <si>
    <t>office@mypreschool.co.nz</t>
  </si>
  <si>
    <t>14 B Wales Street</t>
  </si>
  <si>
    <t>Neill O'Reilly</t>
  </si>
  <si>
    <t>14B Wales Street</t>
  </si>
  <si>
    <t>Christchurch 7400</t>
  </si>
  <si>
    <t>Annabel's Private Kindergarten</t>
  </si>
  <si>
    <t>03-3188843</t>
  </si>
  <si>
    <t>4kgtn@annabelseducare.co.nz</t>
  </si>
  <si>
    <t>12 South Terrace</t>
  </si>
  <si>
    <t>Darfield</t>
  </si>
  <si>
    <t>16-18 South Terrace</t>
  </si>
  <si>
    <t>Christchurch 7510</t>
  </si>
  <si>
    <t>Pinegrove Kindergarten</t>
  </si>
  <si>
    <t>03-542 3447</t>
  </si>
  <si>
    <t>Pinegrovekindergarten@ntk.org.nz</t>
  </si>
  <si>
    <t>Charlotte Lane</t>
  </si>
  <si>
    <t>Brighwater</t>
  </si>
  <si>
    <t>Brightwater</t>
  </si>
  <si>
    <t>Horizons Montessori</t>
  </si>
  <si>
    <t>03-5289099</t>
  </si>
  <si>
    <t>424 Main Road</t>
  </si>
  <si>
    <t>Kaiteriteri-Rīwaka</t>
  </si>
  <si>
    <t xml:space="preserve">Liana  Drummond </t>
  </si>
  <si>
    <t xml:space="preserve">424 Main Road </t>
  </si>
  <si>
    <t>Riwaka</t>
  </si>
  <si>
    <t>Motueka 7198</t>
  </si>
  <si>
    <t>Busy Bees Woodend</t>
  </si>
  <si>
    <t>03-312 7654</t>
  </si>
  <si>
    <t>30 Main North Road</t>
  </si>
  <si>
    <t>Hannah Byrne-Webby</t>
  </si>
  <si>
    <t>03-3127654</t>
  </si>
  <si>
    <t>Garden Grove Montessori Preschool</t>
  </si>
  <si>
    <t>03-686 2636</t>
  </si>
  <si>
    <t>admin@gardengrove.co.nz</t>
  </si>
  <si>
    <t>20 Barnes Street</t>
  </si>
  <si>
    <t>101 Mt Buster Road</t>
  </si>
  <si>
    <t>St Andrews 7988</t>
  </si>
  <si>
    <t>Barnardos Early Learning Centre Kaikoura</t>
  </si>
  <si>
    <t>03-3197082</t>
  </si>
  <si>
    <t>Sarah.naqova@barnardos.org.nz</t>
  </si>
  <si>
    <t>50a Ludstone Road</t>
  </si>
  <si>
    <t>Sarah Naqova</t>
  </si>
  <si>
    <t>021-370297</t>
  </si>
  <si>
    <t>Kaikōura Community of Learning</t>
  </si>
  <si>
    <t>Montessori STARS</t>
  </si>
  <si>
    <t>03-3561193</t>
  </si>
  <si>
    <t>69 McFaddens Road</t>
  </si>
  <si>
    <t>Sharon Anderson</t>
  </si>
  <si>
    <t>BestStart Opihi</t>
  </si>
  <si>
    <t>03-6157330</t>
  </si>
  <si>
    <t>opihi@best-start.org</t>
  </si>
  <si>
    <t>8 Scott Terrace</t>
  </si>
  <si>
    <t>Ottawa Gardens Preschool and Nursery</t>
  </si>
  <si>
    <t>03-389 6237</t>
  </si>
  <si>
    <t>smmcfarlane@xtra.co.nz</t>
  </si>
  <si>
    <t>49 Ottawa Road</t>
  </si>
  <si>
    <t>Sharon McFarlane</t>
  </si>
  <si>
    <t>49 Ottawa Rd</t>
  </si>
  <si>
    <t>Airdmhor Montessori</t>
  </si>
  <si>
    <t>03-3398052</t>
  </si>
  <si>
    <t>e.low@xtra.co.nz</t>
  </si>
  <si>
    <t>74 Halswell Road</t>
  </si>
  <si>
    <t>Elaine Low</t>
  </si>
  <si>
    <t>03-339 8054</t>
  </si>
  <si>
    <t>Peel Forest Preschool</t>
  </si>
  <si>
    <t>03-696 3530</t>
  </si>
  <si>
    <t>1138 Peel Forest 22 RD</t>
  </si>
  <si>
    <t>Arundel</t>
  </si>
  <si>
    <t>Harrison Millar</t>
  </si>
  <si>
    <t>Peel Forest RD 22</t>
  </si>
  <si>
    <t>Timaru 7992</t>
  </si>
  <si>
    <t>027-774 7770</t>
  </si>
  <si>
    <t>Little Oaks Preschool Cheviot</t>
  </si>
  <si>
    <t>03-319 8333</t>
  </si>
  <si>
    <t>cheviot@littleoakspreschool.co.nz</t>
  </si>
  <si>
    <t>8 Rolleston Street</t>
  </si>
  <si>
    <t>Cheviot</t>
  </si>
  <si>
    <t>Parnassus</t>
  </si>
  <si>
    <t>East Ward</t>
  </si>
  <si>
    <t>Cheviot 7341</t>
  </si>
  <si>
    <t>Karanga Mai Early Learning Centre</t>
  </si>
  <si>
    <t>03-3278315</t>
  </si>
  <si>
    <t>karangamai@wellbeingnc.org.nz</t>
  </si>
  <si>
    <t>Robert Coup Road</t>
  </si>
  <si>
    <t>Deirdre Ryan</t>
  </si>
  <si>
    <t>PO Box 409</t>
  </si>
  <si>
    <t>North Canterbury 7440</t>
  </si>
  <si>
    <t>03-310 6374</t>
  </si>
  <si>
    <t>Busy Bees Burwood</t>
  </si>
  <si>
    <t>03-383 8352</t>
  </si>
  <si>
    <t>manager@burwood.busybees.org.nz</t>
  </si>
  <si>
    <t>141 Burwood Road</t>
  </si>
  <si>
    <t>Burwood North</t>
  </si>
  <si>
    <t>Chantelle Forster</t>
  </si>
  <si>
    <t>03-3838352</t>
  </si>
  <si>
    <t>Annabel's Educare</t>
  </si>
  <si>
    <t>03-3187943</t>
  </si>
  <si>
    <t>df@annabelseducare.co.nz</t>
  </si>
  <si>
    <t>16 South Terrace</t>
  </si>
  <si>
    <t>Prebbleton Childcare &amp; Education Centre</t>
  </si>
  <si>
    <t>Small World Preschool and Nursery</t>
  </si>
  <si>
    <t>03-3559887</t>
  </si>
  <si>
    <t>304 Cranford Street</t>
  </si>
  <si>
    <t>Susan Wayman</t>
  </si>
  <si>
    <t xml:space="preserve">304 Cranford Street </t>
  </si>
  <si>
    <t>03-319 2898</t>
  </si>
  <si>
    <t>St Andrews College Preschool</t>
  </si>
  <si>
    <t>03-940 2030</t>
  </si>
  <si>
    <t>preschool@stac.school.nz</t>
  </si>
  <si>
    <t>347 Papanui Road</t>
  </si>
  <si>
    <t>Strowan</t>
  </si>
  <si>
    <t>Jonathan Bierwirth</t>
  </si>
  <si>
    <t>03-9402030</t>
  </si>
  <si>
    <t>Learning Land</t>
  </si>
  <si>
    <t>03-5482552</t>
  </si>
  <si>
    <t>office@learningland.co.nz</t>
  </si>
  <si>
    <t>54 Tasman Street</t>
  </si>
  <si>
    <t>Maree Claridge</t>
  </si>
  <si>
    <t>8 Tasman Street</t>
  </si>
  <si>
    <t>03-5380005</t>
  </si>
  <si>
    <t>An Nur Childcare Centre</t>
  </si>
  <si>
    <t>03-3493223</t>
  </si>
  <si>
    <t>an_nur_childcare@hotmail.com</t>
  </si>
  <si>
    <t>48 Springs Road</t>
  </si>
  <si>
    <t>Maysoon Salama</t>
  </si>
  <si>
    <t>Kiddz Homebased Early Childhood Education Service</t>
  </si>
  <si>
    <t>03-388 7287</t>
  </si>
  <si>
    <t>Templeton Nursery and Preschool</t>
  </si>
  <si>
    <t>03-3441220</t>
  </si>
  <si>
    <t>manager@templetonpreschool.co.nz</t>
  </si>
  <si>
    <t>31 Kirk Road</t>
  </si>
  <si>
    <t>Racheal Judson</t>
  </si>
  <si>
    <t>8 Centaurus Road</t>
  </si>
  <si>
    <t>027-2070620</t>
  </si>
  <si>
    <t>Ako Rolleston</t>
  </si>
  <si>
    <t>03-347 4480</t>
  </si>
  <si>
    <t>rachael@akorollestonece.co.nz</t>
  </si>
  <si>
    <t>4 John Street</t>
  </si>
  <si>
    <t>Rachael Fearn</t>
  </si>
  <si>
    <t>2K Consulting Level 2, 270 Saint Asaph Street</t>
  </si>
  <si>
    <t>Christchurch 8011</t>
  </si>
  <si>
    <t>BestStart Beckenham</t>
  </si>
  <si>
    <t>03-337 3134</t>
  </si>
  <si>
    <t>112 Colombo Street</t>
  </si>
  <si>
    <t>Peppertree Preschool Ltd</t>
  </si>
  <si>
    <t>03-3130050</t>
  </si>
  <si>
    <t>peppertreepreschool@actrix.co.nz</t>
  </si>
  <si>
    <t>133 Kippenberger Avenue</t>
  </si>
  <si>
    <t>Rangiora South East</t>
  </si>
  <si>
    <t>Tree Bears Nursery and Preschool</t>
  </si>
  <si>
    <t>03-315 7749</t>
  </si>
  <si>
    <t>treebearshanmer@gmail.com</t>
  </si>
  <si>
    <t>6 B Fraser Close</t>
  </si>
  <si>
    <t>Yifan Jia</t>
  </si>
  <si>
    <t>PO Box 82</t>
  </si>
  <si>
    <t>Hanmer Springs 7334</t>
  </si>
  <si>
    <t>Oasis Education Centre</t>
  </si>
  <si>
    <t>03-5284656</t>
  </si>
  <si>
    <t>oasised@oasispreschools.co.nz</t>
  </si>
  <si>
    <t>12 Wilkinson Street</t>
  </si>
  <si>
    <t>Kidsfirst Kindergartens Niu</t>
  </si>
  <si>
    <t>03-3898462</t>
  </si>
  <si>
    <t>221 Woodham Road</t>
  </si>
  <si>
    <t>Avonside</t>
  </si>
  <si>
    <t>Busy Bees Aoraki</t>
  </si>
  <si>
    <t>03-6848215</t>
  </si>
  <si>
    <t>manager@aoraki.busybees.org.nz</t>
  </si>
  <si>
    <t>3 Stafford Street</t>
  </si>
  <si>
    <t>Timaru Central</t>
  </si>
  <si>
    <t>Fiona  Gray</t>
  </si>
  <si>
    <t>The Rainbow Early Learning Centre</t>
  </si>
  <si>
    <t>03-3273232</t>
  </si>
  <si>
    <t>admin@rainbowpreschool.net.nz</t>
  </si>
  <si>
    <t>6 Cosgrove Road</t>
  </si>
  <si>
    <t>Clarkville</t>
  </si>
  <si>
    <t>Janet Lefebvre</t>
  </si>
  <si>
    <t>67 Fuller Street</t>
  </si>
  <si>
    <t>027-7115918</t>
  </si>
  <si>
    <t>Tino E Tasi Preschool</t>
  </si>
  <si>
    <t>03-9815954</t>
  </si>
  <si>
    <t>tet.preschool@gmail.com</t>
  </si>
  <si>
    <t>120 Shortland Street</t>
  </si>
  <si>
    <t>Saul Luamanuvae-Su'a</t>
  </si>
  <si>
    <t>03-4877522</t>
  </si>
  <si>
    <t>Selwyn House Preschool</t>
  </si>
  <si>
    <t>03-3557248</t>
  </si>
  <si>
    <t>122 Merivale Lane</t>
  </si>
  <si>
    <t>P O Box 25049</t>
  </si>
  <si>
    <t>027-4266821</t>
  </si>
  <si>
    <t>Lalaga Preschool</t>
  </si>
  <si>
    <t>03-3666679</t>
  </si>
  <si>
    <t>office@lalaga.co.nz</t>
  </si>
  <si>
    <t>37 Brougham Street</t>
  </si>
  <si>
    <t>Samoan ECE Service, Seventh Day Adventist</t>
  </si>
  <si>
    <t>Lorna Joseph</t>
  </si>
  <si>
    <t>5 Grants Road</t>
  </si>
  <si>
    <t>027-4774395</t>
  </si>
  <si>
    <t>Jeffrey Giraffe Early Learning Centre</t>
  </si>
  <si>
    <t>03-351 4436</t>
  </si>
  <si>
    <t>stacey@jeffreygiraffe.co.nz</t>
  </si>
  <si>
    <t>94 Idris Road</t>
  </si>
  <si>
    <t>Juliette Handisides</t>
  </si>
  <si>
    <t>Kew Pacific Island Early Learning Centre</t>
  </si>
  <si>
    <t>03-2143237</t>
  </si>
  <si>
    <t>kewpiece@gmail.com</t>
  </si>
  <si>
    <t>117 Elizabeth Street</t>
  </si>
  <si>
    <t>Clifton-Kew</t>
  </si>
  <si>
    <t>Rebecca Fa'alologo</t>
  </si>
  <si>
    <t>PO Box 369</t>
  </si>
  <si>
    <t>03-214 3237</t>
  </si>
  <si>
    <t>BestStart Parklands</t>
  </si>
  <si>
    <t>03-383 8085</t>
  </si>
  <si>
    <t>parklands@best-start.org</t>
  </si>
  <si>
    <t>25 Chadbury Street</t>
  </si>
  <si>
    <t>BestStart Riccarton</t>
  </si>
  <si>
    <t>03-348 2242</t>
  </si>
  <si>
    <t>riccarton@best-start.org</t>
  </si>
  <si>
    <t>97 Wainui Street</t>
  </si>
  <si>
    <t>West Melton Nursery and Preschool Limited</t>
  </si>
  <si>
    <t>03-3474132</t>
  </si>
  <si>
    <t>info@westmeltonkindergarten.co.nz</t>
  </si>
  <si>
    <t>739 Weedons Ross Road</t>
  </si>
  <si>
    <t>746 Weedons Ross Road</t>
  </si>
  <si>
    <t>Christchurch 7618</t>
  </si>
  <si>
    <t>Appleby Playcentre</t>
  </si>
  <si>
    <t>Appleby Domain</t>
  </si>
  <si>
    <t>Waimea West</t>
  </si>
  <si>
    <t>Atawhai Playcentre</t>
  </si>
  <si>
    <t>vic.jackson@playcentre.org.nz</t>
  </si>
  <si>
    <t>655 Atawhai Drive</t>
  </si>
  <si>
    <t>Brightwater Playcentre</t>
  </si>
  <si>
    <t>021-1394106</t>
  </si>
  <si>
    <t>244 Lord Rutherford Road</t>
  </si>
  <si>
    <t>Wakefield Rural</t>
  </si>
  <si>
    <t>Aorere Playcentre</t>
  </si>
  <si>
    <t>Lewis Street</t>
  </si>
  <si>
    <t>Collingwood</t>
  </si>
  <si>
    <t>Golden Bay/Mohua</t>
  </si>
  <si>
    <t>Golden Bay Ward</t>
  </si>
  <si>
    <t>Kāhui Ako ki Mohua</t>
  </si>
  <si>
    <t>Māpua Playcentre</t>
  </si>
  <si>
    <t>84 Aranui Road</t>
  </si>
  <si>
    <t>Mapua</t>
  </si>
  <si>
    <t>Māpua</t>
  </si>
  <si>
    <t>Motueka Playcentre</t>
  </si>
  <si>
    <t>27 Talbot Street</t>
  </si>
  <si>
    <t>Richmond Playcentre</t>
  </si>
  <si>
    <t xml:space="preserve"> 46 Waverley Street</t>
  </si>
  <si>
    <t>Tākaka Playcentre</t>
  </si>
  <si>
    <t>Lake Crescent</t>
  </si>
  <si>
    <t>Takaka</t>
  </si>
  <si>
    <t>Tākaka</t>
  </si>
  <si>
    <t>Tapawera Playcentre</t>
  </si>
  <si>
    <t>Memorial Hall Main Road</t>
  </si>
  <si>
    <t>Victory Playcentre</t>
  </si>
  <si>
    <t>255 Vanguard Street</t>
  </si>
  <si>
    <t>Wakefield Playcentre</t>
  </si>
  <si>
    <t>Treeton Place</t>
  </si>
  <si>
    <t>Wakefield</t>
  </si>
  <si>
    <t>Kindercare Learning Centres - Spreydon</t>
  </si>
  <si>
    <t>03-3327331</t>
  </si>
  <si>
    <t>strickland@kindercare.co.nz</t>
  </si>
  <si>
    <t>144 Strickland Street</t>
  </si>
  <si>
    <t>Sydenham West</t>
  </si>
  <si>
    <t>Dunsandel Childcare and Preschool Ltd</t>
  </si>
  <si>
    <t>03-3254543</t>
  </si>
  <si>
    <t>admin@bluegoosepreschool.co.nz</t>
  </si>
  <si>
    <t>5 - 7 Dunsandel Hororata Road</t>
  </si>
  <si>
    <t>Dunsandel</t>
  </si>
  <si>
    <t>Bankside</t>
  </si>
  <si>
    <t>Susan McLean</t>
  </si>
  <si>
    <t>P O Box 114</t>
  </si>
  <si>
    <t>Christchurch 7657</t>
  </si>
  <si>
    <t>03-3187499</t>
  </si>
  <si>
    <t>Ngā Mātāpuna o te Waihora Kāhui Ako</t>
  </si>
  <si>
    <t>Banks Peninsula Early Learning Incorporated</t>
  </si>
  <si>
    <t>03-3047664</t>
  </si>
  <si>
    <t>admin@bpel.co.nz</t>
  </si>
  <si>
    <t>11 School Lane</t>
  </si>
  <si>
    <t>Duvauchelle</t>
  </si>
  <si>
    <t>Akaroa Harbour</t>
  </si>
  <si>
    <t>Stephanie Whitehouse</t>
  </si>
  <si>
    <t>Akaroa 7581</t>
  </si>
  <si>
    <t>BestStart Northwood</t>
  </si>
  <si>
    <t>03-323 7875</t>
  </si>
  <si>
    <t>northwood@best-start.org</t>
  </si>
  <si>
    <t>1 O'Neill Ave</t>
  </si>
  <si>
    <t>Abacus Montessori Preschool</t>
  </si>
  <si>
    <t>03-3812721</t>
  </si>
  <si>
    <t>70 Wildberry Street</t>
  </si>
  <si>
    <t>Deborah McCabe</t>
  </si>
  <si>
    <t>76 Hilton Drive</t>
  </si>
  <si>
    <t xml:space="preserve">Amberley </t>
  </si>
  <si>
    <t>021-06429363</t>
  </si>
  <si>
    <t>Renwick Preschool</t>
  </si>
  <si>
    <t>03-5729868</t>
  </si>
  <si>
    <t>37 Anglesea Street</t>
  </si>
  <si>
    <t>Colleen McGruddy</t>
  </si>
  <si>
    <t>Renwick 7243</t>
  </si>
  <si>
    <t xml:space="preserve">021-773181 </t>
  </si>
  <si>
    <t>Little Sunflowers</t>
  </si>
  <si>
    <t>03-5484014</t>
  </si>
  <si>
    <t>childcareco2@xtra.co.nz</t>
  </si>
  <si>
    <t>Little Ones Early Learning Centre</t>
  </si>
  <si>
    <t>03-2066216</t>
  </si>
  <si>
    <t>39 Ferry Rd</t>
  </si>
  <si>
    <t>Edendale</t>
  </si>
  <si>
    <t>Edendale-Woodlands</t>
  </si>
  <si>
    <t>Waihopai Toetoe Ward</t>
  </si>
  <si>
    <t>Lower Mataura Valley Community of Learning</t>
  </si>
  <si>
    <t>Noku te Ao</t>
  </si>
  <si>
    <t>nokuteao@xtra.co.nz</t>
  </si>
  <si>
    <t>BestStart Aidanfield</t>
  </si>
  <si>
    <t>03-339 2126</t>
  </si>
  <si>
    <t>aidanfield@best-start.org</t>
  </si>
  <si>
    <t>50 Kinsella Crescent</t>
  </si>
  <si>
    <t>Footsteps Christian Community Preschool</t>
  </si>
  <si>
    <t>03-354 6322</t>
  </si>
  <si>
    <t>footsteps@pre-school.co.nz</t>
  </si>
  <si>
    <t>Papanui East</t>
  </si>
  <si>
    <t>Jenny Uffindell</t>
  </si>
  <si>
    <t>03-3546322</t>
  </si>
  <si>
    <t>Oasis Preschool Mapua</t>
  </si>
  <si>
    <t>mapua@oasispreschools.co.nz</t>
  </si>
  <si>
    <t>2 Toru Street</t>
  </si>
  <si>
    <t>P O Box 299</t>
  </si>
  <si>
    <t>Busy Bees Lake Terrace</t>
  </si>
  <si>
    <t>03-383 4757</t>
  </si>
  <si>
    <t>manager@laketerrace.busybees.org.nz</t>
  </si>
  <si>
    <t>30 Lake Terrace Road</t>
  </si>
  <si>
    <t>Burwood South</t>
  </si>
  <si>
    <t>Verity Parkyn</t>
  </si>
  <si>
    <t>03-3834757</t>
  </si>
  <si>
    <t>Hira Rural Kindergarten</t>
  </si>
  <si>
    <t>03-545 0224</t>
  </si>
  <si>
    <t>HiraKindergarten@ntk.org.nz</t>
  </si>
  <si>
    <t>460 State Highway 6</t>
  </si>
  <si>
    <t>Wakapuaka</t>
  </si>
  <si>
    <t>Nelson Rural</t>
  </si>
  <si>
    <t>Paradise Early Learning Centre</t>
  </si>
  <si>
    <t>03-2175785</t>
  </si>
  <si>
    <t>kelly@pfk.nz</t>
  </si>
  <si>
    <t>394 Herbert St</t>
  </si>
  <si>
    <t>Kelly Dickens</t>
  </si>
  <si>
    <t>480 Bainfield Road</t>
  </si>
  <si>
    <t>Invercargill 9872</t>
  </si>
  <si>
    <t>027-3559596</t>
  </si>
  <si>
    <t>Te Waka Huruhurumanu ki Otautahi Early Learning Centre</t>
  </si>
  <si>
    <t>03-9408436</t>
  </si>
  <si>
    <t>administration@tewaka.org.nz</t>
  </si>
  <si>
    <t>Coventry Street</t>
  </si>
  <si>
    <t>Sara-Jane MacInnes</t>
  </si>
  <si>
    <t>P O Box 540</t>
  </si>
  <si>
    <t>Christchurch Mail Centre</t>
  </si>
  <si>
    <t>Active Explorers Rolleston</t>
  </si>
  <si>
    <t>03-3474400</t>
  </si>
  <si>
    <t>37 Tennyson Street</t>
  </si>
  <si>
    <t>Natasha Godinet-Howard</t>
  </si>
  <si>
    <t>Queens Park Early Childhood Education</t>
  </si>
  <si>
    <t>03-9310557</t>
  </si>
  <si>
    <t>queensparkece@gmail.com</t>
  </si>
  <si>
    <t>61 Gala St</t>
  </si>
  <si>
    <t>Yi-Ju Richard Lin</t>
  </si>
  <si>
    <t>61 Gala Street</t>
  </si>
  <si>
    <t>Weka Pre-School Ltd</t>
  </si>
  <si>
    <t>03-2367393</t>
  </si>
  <si>
    <t>wekapreschool@xtra.co.nz</t>
  </si>
  <si>
    <t>197 / 203 Park St</t>
  </si>
  <si>
    <t xml:space="preserve">Reggio Emilia, Nature Education </t>
  </si>
  <si>
    <t>Rochelle Robins</t>
  </si>
  <si>
    <t>104 Dunearn Road RD 3</t>
  </si>
  <si>
    <t xml:space="preserve">Winton </t>
  </si>
  <si>
    <t>03-2361990</t>
  </si>
  <si>
    <t>Active Explorers Hokitika</t>
  </si>
  <si>
    <t>180 Hampden St</t>
  </si>
  <si>
    <t>Little People on Gladstone</t>
  </si>
  <si>
    <t>03-5447555</t>
  </si>
  <si>
    <t>littlepeoplenelson@xtra.co.nz</t>
  </si>
  <si>
    <t>17 Gladstone Road</t>
  </si>
  <si>
    <t>Megan  Oliver</t>
  </si>
  <si>
    <t xml:space="preserve">34 Gladstone Road </t>
  </si>
  <si>
    <t>027-5442390</t>
  </si>
  <si>
    <t>Kiddies Campus Early Learning Centre</t>
  </si>
  <si>
    <t>021-374829</t>
  </si>
  <si>
    <t>52 York Place</t>
  </si>
  <si>
    <t>Anne Mechen</t>
  </si>
  <si>
    <t>P O Box 5484</t>
  </si>
  <si>
    <t>Dunedin 9058</t>
  </si>
  <si>
    <t>03-4719001</t>
  </si>
  <si>
    <t>Stewart Island EC Education Centre</t>
  </si>
  <si>
    <t>03-2191303</t>
  </si>
  <si>
    <t>6 Ayr Street</t>
  </si>
  <si>
    <t>Stewart Island</t>
  </si>
  <si>
    <t>Stewart Island/Rakiura Ward</t>
  </si>
  <si>
    <t>Rebecca Baxter</t>
  </si>
  <si>
    <t>P O Box 37</t>
  </si>
  <si>
    <t>Stewart Island 9846</t>
  </si>
  <si>
    <t>020-40751474</t>
  </si>
  <si>
    <t>Stoke Montessori</t>
  </si>
  <si>
    <t>03-5471022</t>
  </si>
  <si>
    <t>stoke.montessori@gmail.com</t>
  </si>
  <si>
    <t>61 Marlowe Street</t>
  </si>
  <si>
    <t>Aldinga</t>
  </si>
  <si>
    <t>Just Kids Community Preschool</t>
  </si>
  <si>
    <t>03-373 8277</t>
  </si>
  <si>
    <t>kerry@deepwaters.co.nz</t>
  </si>
  <si>
    <t>BestStart Queenstown</t>
  </si>
  <si>
    <t>03-4426822</t>
  </si>
  <si>
    <t>queenstown@best-start.org</t>
  </si>
  <si>
    <t>18 B Hamilton Road</t>
  </si>
  <si>
    <t>BestStart Wigram</t>
  </si>
  <si>
    <t>03-348 4616</t>
  </si>
  <si>
    <t>wigram@best-start.org</t>
  </si>
  <si>
    <t>Cnr Mustang Avenue &amp; Corsair Drive</t>
  </si>
  <si>
    <t>Early Childhood on Stafford</t>
  </si>
  <si>
    <t>03-4701029</t>
  </si>
  <si>
    <t>ecstafford@xtra.co.nz</t>
  </si>
  <si>
    <t>89 Stafford Street</t>
  </si>
  <si>
    <t>Russell Ballantyne</t>
  </si>
  <si>
    <t>Green Leaf Early Learning</t>
  </si>
  <si>
    <t>03-5441456</t>
  </si>
  <si>
    <t>admin@greenleafearlylearning.com</t>
  </si>
  <si>
    <t>42 Waverley Street</t>
  </si>
  <si>
    <t>Kevin Holder</t>
  </si>
  <si>
    <t>027-8426319</t>
  </si>
  <si>
    <t>Riverton Childcare</t>
  </si>
  <si>
    <t>03-2348234</t>
  </si>
  <si>
    <t>office@rivertonchildcare.co.nz</t>
  </si>
  <si>
    <t>10 Leader Street</t>
  </si>
  <si>
    <t>Marina Seager</t>
  </si>
  <si>
    <t>12 Leader Street</t>
  </si>
  <si>
    <t>Riverton 9822</t>
  </si>
  <si>
    <t>03-2349179</t>
  </si>
  <si>
    <t>Te Whare Rama | Light House Early Learning Centre Cobham Street</t>
  </si>
  <si>
    <t>03-3385466</t>
  </si>
  <si>
    <t>31 Cobham Street</t>
  </si>
  <si>
    <t>Picton Preschool</t>
  </si>
  <si>
    <t>03-5735530</t>
  </si>
  <si>
    <t>pictonpreschool@xtra.co.nz</t>
  </si>
  <si>
    <t>44 Kent Street</t>
  </si>
  <si>
    <t>William McGruddy</t>
  </si>
  <si>
    <t>P O Box 513</t>
  </si>
  <si>
    <t>Blenheim 7240</t>
  </si>
  <si>
    <t>03-5735527</t>
  </si>
  <si>
    <t>Te Wheke Akoranga Marlborough Sounds Kāhui Ako</t>
  </si>
  <si>
    <t>Maori Hill Montessori Preschool</t>
  </si>
  <si>
    <t>03-4667313</t>
  </si>
  <si>
    <t>sarah@mhmontessori.co.nz</t>
  </si>
  <si>
    <t>607A Highgate</t>
  </si>
  <si>
    <t>Maori Hill</t>
  </si>
  <si>
    <t>Sarah McMillan</t>
  </si>
  <si>
    <t>03-4534013</t>
  </si>
  <si>
    <t>Little Oaks by the Sea</t>
  </si>
  <si>
    <t>03-319 5858</t>
  </si>
  <si>
    <t>1 South Bay Parade</t>
  </si>
  <si>
    <t>Prebbleton Nursery &amp; Education Centre</t>
  </si>
  <si>
    <t>office@prebbletonchildcare.co.nz</t>
  </si>
  <si>
    <t>Gore Playcentre</t>
  </si>
  <si>
    <t>021-1817357</t>
  </si>
  <si>
    <t>gore@playcentre.org.nz</t>
  </si>
  <si>
    <t>13 Wayland Street</t>
  </si>
  <si>
    <t>03-5738889</t>
  </si>
  <si>
    <t>picton@mka.org.nz</t>
  </si>
  <si>
    <t>25 York Street</t>
  </si>
  <si>
    <t>Kindercare Learning Centres - Burwood (208)</t>
  </si>
  <si>
    <t>03-3870305</t>
  </si>
  <si>
    <t>burwood@kindercare.co.nz</t>
  </si>
  <si>
    <t>305 Burwood Road</t>
  </si>
  <si>
    <t>BestStart Rugby Park</t>
  </si>
  <si>
    <t>03-2140652</t>
  </si>
  <si>
    <t>rugbypark@best-start.org</t>
  </si>
  <si>
    <t>172 Eye St</t>
  </si>
  <si>
    <t>Te Kōhanga Reo o Te Aho Matua</t>
  </si>
  <si>
    <t>03-216 3207</t>
  </si>
  <si>
    <t>734 Tweed Street</t>
  </si>
  <si>
    <t>Rockdale</t>
  </si>
  <si>
    <t>Waverley Street Kindergarten</t>
  </si>
  <si>
    <t>03-544 4170</t>
  </si>
  <si>
    <t>waverleystkindergarten@ntk.org.nz</t>
  </si>
  <si>
    <t>58 Waverley Street</t>
  </si>
  <si>
    <t>Active Explorers Nelson Street</t>
  </si>
  <si>
    <t>03-7689099</t>
  </si>
  <si>
    <t>25 Nelson Street</t>
  </si>
  <si>
    <t>Greymouth South</t>
  </si>
  <si>
    <t>Greymouth Central</t>
  </si>
  <si>
    <t>Lynette Kioa</t>
  </si>
  <si>
    <t>The Children's House Hokitika</t>
  </si>
  <si>
    <t>kaiatakidshoki@gmail.com</t>
  </si>
  <si>
    <t>199 Stafford Street</t>
  </si>
  <si>
    <t>Wakefield Village Kindergarten Limited</t>
  </si>
  <si>
    <t>03-5418086</t>
  </si>
  <si>
    <t>wakefieldkindy@gmail.com</t>
  </si>
  <si>
    <t>20 Whitby Way</t>
  </si>
  <si>
    <t>Maretta Burbidge</t>
  </si>
  <si>
    <t>711 Wakefield Kohatu Highway</t>
  </si>
  <si>
    <t>Wakefield 7095</t>
  </si>
  <si>
    <t>027-3407280</t>
  </si>
  <si>
    <t>Little Tamariki Montessori Pre-school</t>
  </si>
  <si>
    <t>03-3196470</t>
  </si>
  <si>
    <t>littletamariki@xtra.co.nz</t>
  </si>
  <si>
    <t>47 Ludstone Road</t>
  </si>
  <si>
    <t>Lydia Boyd</t>
  </si>
  <si>
    <t>58 Cambria st</t>
  </si>
  <si>
    <t>027-3296074</t>
  </si>
  <si>
    <t>Grey Valley Playcentre</t>
  </si>
  <si>
    <t>027-8805238</t>
  </si>
  <si>
    <t>mandy.coleman@playcentre.org.nz</t>
  </si>
  <si>
    <t>20 Napoleon Street</t>
  </si>
  <si>
    <t>Ahaura</t>
  </si>
  <si>
    <t>Nelson Creek</t>
  </si>
  <si>
    <t>Amanda Coleman</t>
  </si>
  <si>
    <t>Kaniere Playcentre</t>
  </si>
  <si>
    <t>14 Camp Street</t>
  </si>
  <si>
    <t>Kaniere</t>
  </si>
  <si>
    <t>Hokitika Rural</t>
  </si>
  <si>
    <t>Murchison Playcentre</t>
  </si>
  <si>
    <t>021-2922060</t>
  </si>
  <si>
    <t>Waller Street</t>
  </si>
  <si>
    <t>Paroa Playcentre</t>
  </si>
  <si>
    <t>494 Main South Road</t>
  </si>
  <si>
    <t>Paroa</t>
  </si>
  <si>
    <t>Westport Playcentre</t>
  </si>
  <si>
    <t>36 A Fonblanque Street</t>
  </si>
  <si>
    <t>Blenheim Early Childhood Centres and Kindergartens Inc Te Kupenga Preschool</t>
  </si>
  <si>
    <t>03-5788571</t>
  </si>
  <si>
    <t>tekupenga@blenheimearlychildhood.co.nz</t>
  </si>
  <si>
    <t>120 Aerodrome Road</t>
  </si>
  <si>
    <t>Joanne Dewe</t>
  </si>
  <si>
    <t>P O Box 388</t>
  </si>
  <si>
    <t>027-306 4509</t>
  </si>
  <si>
    <t>BestStart Springlands</t>
  </si>
  <si>
    <t>03-579 6060</t>
  </si>
  <si>
    <t>springlands@best-start.org</t>
  </si>
  <si>
    <t>11 Colemans Road</t>
  </si>
  <si>
    <t>Te Kōhanga Reo o Waimeha</t>
  </si>
  <si>
    <t>03-539 4253</t>
  </si>
  <si>
    <t>214 Vanguard Street</t>
  </si>
  <si>
    <t>Reefton Early Learning Centre</t>
  </si>
  <si>
    <t>03-732 8585</t>
  </si>
  <si>
    <t>Reefton Early learning Centre 4 Victory Street</t>
  </si>
  <si>
    <t>Reefton</t>
  </si>
  <si>
    <t>Inangahua Ward</t>
  </si>
  <si>
    <t>Kate Andrews</t>
  </si>
  <si>
    <t>P O Box 9</t>
  </si>
  <si>
    <t>Christchurch 7830</t>
  </si>
  <si>
    <t>Kidz Kindy @49</t>
  </si>
  <si>
    <t>03-578 8984</t>
  </si>
  <si>
    <t>49 Budge Street</t>
  </si>
  <si>
    <t>Pelorus Community Preschool - Kōhungahunga o Te Hoiere</t>
  </si>
  <si>
    <t>03-5742096</t>
  </si>
  <si>
    <t>peloruscommunitypreschool@xtra.co.nz</t>
  </si>
  <si>
    <t>Pelorus Community Preschool 49 Main Road</t>
  </si>
  <si>
    <t>Havelock</t>
  </si>
  <si>
    <t>Marlborough Sounds West</t>
  </si>
  <si>
    <t>Bonneville Jones</t>
  </si>
  <si>
    <t>PO Box 96</t>
  </si>
  <si>
    <t>Havelock 7150</t>
  </si>
  <si>
    <t>Busy Bees Mapua</t>
  </si>
  <si>
    <t>03-5403330</t>
  </si>
  <si>
    <t>info@mapua.busybees.org.nz</t>
  </si>
  <si>
    <t>86 Aranui Road</t>
  </si>
  <si>
    <t>Tracey Taylor</t>
  </si>
  <si>
    <t>021-2414439</t>
  </si>
  <si>
    <t>Golden Bay Kindergarten</t>
  </si>
  <si>
    <t>03-5259686</t>
  </si>
  <si>
    <t>goldenbaykindergarten@ntk.org.nz</t>
  </si>
  <si>
    <t>Golden Bay Kindergarten 9 Wadsworth Street</t>
  </si>
  <si>
    <t>Y Kids Early Learning Centre</t>
  </si>
  <si>
    <t>03-5456760</t>
  </si>
  <si>
    <t>183 St Vincent Street</t>
  </si>
  <si>
    <t>Lisa Turner</t>
  </si>
  <si>
    <t>Toi Toi</t>
  </si>
  <si>
    <t>Active Explorers Richmond</t>
  </si>
  <si>
    <t>03-5447611</t>
  </si>
  <si>
    <t>cm.richmond@activeexplorers.co.nz</t>
  </si>
  <si>
    <t>6D Champion Road</t>
  </si>
  <si>
    <t>Karmin Marchbanks</t>
  </si>
  <si>
    <t>03-5442191</t>
  </si>
  <si>
    <t>Little Footsteps-John Street</t>
  </si>
  <si>
    <t>03-577 6008</t>
  </si>
  <si>
    <t>Little Footsteps-John Street 3 John Street</t>
  </si>
  <si>
    <t>Kaikoura Playcentre</t>
  </si>
  <si>
    <t>03-377 2540</t>
  </si>
  <si>
    <t>Kaikoura Playcentre The Esplanade</t>
  </si>
  <si>
    <t>Golden Kids Inc. Early Learning Centre</t>
  </si>
  <si>
    <t>03-5259059</t>
  </si>
  <si>
    <t>Katie.goldenkids@gmail.com</t>
  </si>
  <si>
    <t>88 Commerical Street</t>
  </si>
  <si>
    <t>Katie Cullen</t>
  </si>
  <si>
    <t>P O Box 184</t>
  </si>
  <si>
    <t>Takaka 7142</t>
  </si>
  <si>
    <t>027-5471770</t>
  </si>
  <si>
    <t>Country Kids Childcare Centre</t>
  </si>
  <si>
    <t>03-5432819</t>
  </si>
  <si>
    <t>nickie@countrykids.org.nz</t>
  </si>
  <si>
    <t>1519 Moutere Highway</t>
  </si>
  <si>
    <t>Nickie Hodgkinson</t>
  </si>
  <si>
    <t>Neudorf Road RD 2</t>
  </si>
  <si>
    <t>Nelson 7175</t>
  </si>
  <si>
    <t>027-8826909</t>
  </si>
  <si>
    <t>Bridge Street Kindergarten</t>
  </si>
  <si>
    <t>03-5481234</t>
  </si>
  <si>
    <t>199 Bridge Street</t>
  </si>
  <si>
    <t>Nelson Central-Trafalgar</t>
  </si>
  <si>
    <t>Nelson Montessori</t>
  </si>
  <si>
    <t>03-546 8768</t>
  </si>
  <si>
    <t>nelson.montessori@gmail.com</t>
  </si>
  <si>
    <t>87 Atawhai Drive</t>
  </si>
  <si>
    <t>Campus Corner Early Learning Centre Inc</t>
  </si>
  <si>
    <t>03-5480104</t>
  </si>
  <si>
    <t>office@campuscorner.co.nz</t>
  </si>
  <si>
    <t>55 Nile Street</t>
  </si>
  <si>
    <t>Charlotte-Jane Strange</t>
  </si>
  <si>
    <t>021-919401</t>
  </si>
  <si>
    <t>First Years Richmond</t>
  </si>
  <si>
    <t>03-5446667</t>
  </si>
  <si>
    <t>firstyears@xtra.co.nz</t>
  </si>
  <si>
    <t>61 A Salisbury Road</t>
  </si>
  <si>
    <t>Gwenyth Hodge</t>
  </si>
  <si>
    <t>408 Wakefield - Kohatu Highway</t>
  </si>
  <si>
    <t>Nelson 7095</t>
  </si>
  <si>
    <t>Richmond Preschool</t>
  </si>
  <si>
    <t>03-5440556</t>
  </si>
  <si>
    <t>67 Oxford Street</t>
  </si>
  <si>
    <t>Stacey Gallagher</t>
  </si>
  <si>
    <t>03-547 2599</t>
  </si>
  <si>
    <t>Te Kōhanga Reo o Kōpūāwai</t>
  </si>
  <si>
    <t>03-539 0692</t>
  </si>
  <si>
    <t>99 Atawhai Drive</t>
  </si>
  <si>
    <t>The Ark Preschool</t>
  </si>
  <si>
    <t>028-4573106</t>
  </si>
  <si>
    <t>office@thearkpreschool.co.nz</t>
  </si>
  <si>
    <t>123 Salisbury Street</t>
  </si>
  <si>
    <t>Rebecca  Lamborn</t>
  </si>
  <si>
    <t>P O Box 3242</t>
  </si>
  <si>
    <t>Nelson 7050</t>
  </si>
  <si>
    <t>03-5442951</t>
  </si>
  <si>
    <t>Blenheim Early Childhood Centres and Kindergartens Inc Uptown Preschool</t>
  </si>
  <si>
    <t>03-5788709</t>
  </si>
  <si>
    <t>uptown@blenheimearlychildhood.co.nz</t>
  </si>
  <si>
    <t>Uptown Preschool 59 Hospital Road</t>
  </si>
  <si>
    <t>Redwoodtown West</t>
  </si>
  <si>
    <t>Blenheim Early Childhood Centres and Kindergartens Inc. John Street  Preschool</t>
  </si>
  <si>
    <t>03-5781365</t>
  </si>
  <si>
    <t>johnst@blenheimearlychildhood.co.nz</t>
  </si>
  <si>
    <t>1 A Henry Street</t>
  </si>
  <si>
    <t>Little Footsteps - Scott Street</t>
  </si>
  <si>
    <t>03-578 1416</t>
  </si>
  <si>
    <t>St Marys Pre-School</t>
  </si>
  <si>
    <t>03-578 0678</t>
  </si>
  <si>
    <t>charlotte@stmaryspreschool.co.nz</t>
  </si>
  <si>
    <t>41 Maxwell Road</t>
  </si>
  <si>
    <t>Justin Hanrahan</t>
  </si>
  <si>
    <t>03-5705225</t>
  </si>
  <si>
    <t>Picton Community Early Learning Centre</t>
  </si>
  <si>
    <t>03-5737289</t>
  </si>
  <si>
    <t>info@pictonearlylearning.co.nz</t>
  </si>
  <si>
    <t>5 Wairau Road</t>
  </si>
  <si>
    <t>Maree Huntley</t>
  </si>
  <si>
    <t>P O Box 20</t>
  </si>
  <si>
    <t>Picton 7250</t>
  </si>
  <si>
    <t>03-578 1536</t>
  </si>
  <si>
    <t>Ballinger Drive</t>
  </si>
  <si>
    <t>BestStart Blenheim Central</t>
  </si>
  <si>
    <t>03-578 4214</t>
  </si>
  <si>
    <t>blenheimcentral@best-start.org</t>
  </si>
  <si>
    <t>129 High Street</t>
  </si>
  <si>
    <t>Yelverton</t>
  </si>
  <si>
    <t>Westport Early Learning Centre</t>
  </si>
  <si>
    <t>03-7896683</t>
  </si>
  <si>
    <t>welc@xtra.co.nz</t>
  </si>
  <si>
    <t>48 Pakington Street</t>
  </si>
  <si>
    <t>Kelsey Mundy</t>
  </si>
  <si>
    <t>P O Box 312</t>
  </si>
  <si>
    <t>Westport 7866</t>
  </si>
  <si>
    <t>Motueka Kindergarten</t>
  </si>
  <si>
    <t>03-528 7270</t>
  </si>
  <si>
    <t>motuekakindergarten@ntk.org.nz</t>
  </si>
  <si>
    <t>Renwick Preschool And Childcare Centre</t>
  </si>
  <si>
    <t>03-572 9868</t>
  </si>
  <si>
    <t>35 Anglesea Street</t>
  </si>
  <si>
    <t>Montessori Blenheim</t>
  </si>
  <si>
    <t>03-5778443</t>
  </si>
  <si>
    <t>office@montessoriblenheim.co.nz</t>
  </si>
  <si>
    <t>5 Francis Street</t>
  </si>
  <si>
    <t>Rachel Roundhill</t>
  </si>
  <si>
    <t>P O Box 1071</t>
  </si>
  <si>
    <t>03-5783382</t>
  </si>
  <si>
    <t>ElimKids Preschool</t>
  </si>
  <si>
    <t>03-5479003</t>
  </si>
  <si>
    <t>625 Main Road</t>
  </si>
  <si>
    <t>Richard Batchelar</t>
  </si>
  <si>
    <t>P O Box 2133</t>
  </si>
  <si>
    <t>03-5478297</t>
  </si>
  <si>
    <t>Kiwi Treasures Early Learning Centre</t>
  </si>
  <si>
    <t>03-5474703</t>
  </si>
  <si>
    <t>kiwi_treasures@yahoo.co.nz</t>
  </si>
  <si>
    <t>25 Ranui Road</t>
  </si>
  <si>
    <t>Sara Coleman</t>
  </si>
  <si>
    <t>03-5403375</t>
  </si>
  <si>
    <t>Te Kōhanga Reo o Kia Tau Te Rangimārie</t>
  </si>
  <si>
    <t>03-547 9386</t>
  </si>
  <si>
    <t>11 Karaka Street</t>
  </si>
  <si>
    <t>Active Explorers Leeston</t>
  </si>
  <si>
    <t>03-3244115</t>
  </si>
  <si>
    <t>20 Leeston-Lake Road</t>
  </si>
  <si>
    <t>Leeston</t>
  </si>
  <si>
    <t>Kimihia Early Learning Centre</t>
  </si>
  <si>
    <t>03-3891800</t>
  </si>
  <si>
    <t>viv.shearsby@kimihiapreschool.co.nz</t>
  </si>
  <si>
    <t>85 Aldwins Road</t>
  </si>
  <si>
    <t>Vivienne Shearsby</t>
  </si>
  <si>
    <t>P O Box 19528</t>
  </si>
  <si>
    <t>Christchurch 8241</t>
  </si>
  <si>
    <t>BestStart Hei Hei</t>
  </si>
  <si>
    <t>03-349 8180</t>
  </si>
  <si>
    <t>heihei@best-start.org</t>
  </si>
  <si>
    <t>16 Hei Hei Road</t>
  </si>
  <si>
    <t>Akaroa Playcentre</t>
  </si>
  <si>
    <t>rebecca.congalton@playcentre.org.nz</t>
  </si>
  <si>
    <t>Pavilion Recreation Grounds</t>
  </si>
  <si>
    <t>Akaroa</t>
  </si>
  <si>
    <t>BestStart Styx Mill</t>
  </si>
  <si>
    <t>03-323 7838</t>
  </si>
  <si>
    <t>styxmill@best-start.org</t>
  </si>
  <si>
    <t>109 Northwood Boulevard</t>
  </si>
  <si>
    <t>Amberley Playcentre</t>
  </si>
  <si>
    <t>Chamberlain Park</t>
  </si>
  <si>
    <t>Ashburton Playcentre</t>
  </si>
  <si>
    <t>45 Park Street</t>
  </si>
  <si>
    <t>Ashburton Central</t>
  </si>
  <si>
    <t>Ashley Playcentre</t>
  </si>
  <si>
    <t>43 Canterbury Street</t>
  </si>
  <si>
    <t>Montana Early Learning Centre</t>
  </si>
  <si>
    <t>03-3690207</t>
  </si>
  <si>
    <t>31 Montana Ave</t>
  </si>
  <si>
    <t>Ilam University</t>
  </si>
  <si>
    <t>Jeremy Hanna</t>
  </si>
  <si>
    <t>P O Box 31311</t>
  </si>
  <si>
    <t>Christchurch 8444</t>
  </si>
  <si>
    <t>Avonhead Playcentre</t>
  </si>
  <si>
    <t>166 Waimairi Road</t>
  </si>
  <si>
    <t>Belfast Playcentre</t>
  </si>
  <si>
    <t>710 Main North Road</t>
  </si>
  <si>
    <t>Spencerville Playcentre</t>
  </si>
  <si>
    <t>6a Heyders Road</t>
  </si>
  <si>
    <t>Brooklands-Spencerville</t>
  </si>
  <si>
    <t>Pūmanawa Bishopdale</t>
  </si>
  <si>
    <t>03-3299691</t>
  </si>
  <si>
    <t>josie@thekindfoundation.org.nz</t>
  </si>
  <si>
    <t>13 A Bishopdale Court</t>
  </si>
  <si>
    <t>Bishopdale West</t>
  </si>
  <si>
    <t>Josie Ogden-Schroeder</t>
  </si>
  <si>
    <t>Burwood Playcentre</t>
  </si>
  <si>
    <t>241 New Brighton Road</t>
  </si>
  <si>
    <t>Landsdowne Terrace Playcentre</t>
  </si>
  <si>
    <t>Community Centre Landsdowne Terrace</t>
  </si>
  <si>
    <t>Cashmere East</t>
  </si>
  <si>
    <t>Portobelo Avonhead</t>
  </si>
  <si>
    <t>03-3439943</t>
  </si>
  <si>
    <t>admin@portobelo.co.nz</t>
  </si>
  <si>
    <t>124 Yaldhurst Road</t>
  </si>
  <si>
    <t>Little Owls Preschool</t>
  </si>
  <si>
    <t>03-3862159</t>
  </si>
  <si>
    <t>349 Woodham Road</t>
  </si>
  <si>
    <t>Kathleen Prins</t>
  </si>
  <si>
    <t>116B Apsley Drive</t>
  </si>
  <si>
    <t>03-3738130</t>
  </si>
  <si>
    <t>Clarkville Playcentre</t>
  </si>
  <si>
    <t>Rice Park Heywards Road</t>
  </si>
  <si>
    <t>Ashburton Montessori Preschool</t>
  </si>
  <si>
    <t>03-3080380</t>
  </si>
  <si>
    <t>ashburtonmontessori@hotmail.co.nz</t>
  </si>
  <si>
    <t>176 Chalmers Avenue</t>
  </si>
  <si>
    <t>Tessa Skevington</t>
  </si>
  <si>
    <t>P O Box 348</t>
  </si>
  <si>
    <t>Ashburton 7740</t>
  </si>
  <si>
    <t>03-302 6026</t>
  </si>
  <si>
    <t>Culverden Playcentre</t>
  </si>
  <si>
    <t>43 Montrose Street</t>
  </si>
  <si>
    <t>Culverden</t>
  </si>
  <si>
    <t>Amuri</t>
  </si>
  <si>
    <t>Cust-West Eyreton Playcentre</t>
  </si>
  <si>
    <t>Kids at Play Temuka</t>
  </si>
  <si>
    <t>03-6157191</t>
  </si>
  <si>
    <t>11 Dyson Street</t>
  </si>
  <si>
    <t>Darfield Playcentre</t>
  </si>
  <si>
    <t>Ross Street</t>
  </si>
  <si>
    <t>Diamond Harbour Playcentre</t>
  </si>
  <si>
    <t>Purau Road</t>
  </si>
  <si>
    <t>Little Explorers Preschool</t>
  </si>
  <si>
    <t>03-3831418</t>
  </si>
  <si>
    <t>littleexplorers@xtra.co.nz</t>
  </si>
  <si>
    <t>71 Vivian Street</t>
  </si>
  <si>
    <t>Tracey Bentley</t>
  </si>
  <si>
    <t>Dunsandel Playcentre</t>
  </si>
  <si>
    <t>Irvines Road</t>
  </si>
  <si>
    <t>Longbeach Playcentre</t>
  </si>
  <si>
    <t>Eiffelton</t>
  </si>
  <si>
    <t>Busy Bees Southbrook</t>
  </si>
  <si>
    <t>03-3137489</t>
  </si>
  <si>
    <t>info@southbrook.busybees.org.nz</t>
  </si>
  <si>
    <t>89 Southbrook Road</t>
  </si>
  <si>
    <t>Julie Lewis</t>
  </si>
  <si>
    <t>Fendalton Playcentre</t>
  </si>
  <si>
    <t>170 A Clyde Road</t>
  </si>
  <si>
    <t>Gleniti Playcentre</t>
  </si>
  <si>
    <t>Pavilion Recreation Grounds 355 Wai Iti Road</t>
  </si>
  <si>
    <t>Nova Montessori Children's House</t>
  </si>
  <si>
    <t>03-3820503</t>
  </si>
  <si>
    <t>admin@novamontessori.school.nz</t>
  </si>
  <si>
    <t>53 Owles Terrace</t>
  </si>
  <si>
    <t>Shubha Narayan</t>
  </si>
  <si>
    <t>03-9600936</t>
  </si>
  <si>
    <t>Aynsley Street Preschool</t>
  </si>
  <si>
    <t>03-6885591</t>
  </si>
  <si>
    <t>admin@aynsleystpreschool.co.nz</t>
  </si>
  <si>
    <t>17 Aynsley Street</t>
  </si>
  <si>
    <t>Halswell Playcentre</t>
  </si>
  <si>
    <t>438 Halswell Road</t>
  </si>
  <si>
    <t>Busy Bees Bottle Lake</t>
  </si>
  <si>
    <t>03-387 0684</t>
  </si>
  <si>
    <t>manager@bottlelake.busybees.org.nz</t>
  </si>
  <si>
    <t>1 Pohutukawa Crescent</t>
  </si>
  <si>
    <t>Waitikiri</t>
  </si>
  <si>
    <t>Sheldon Templeton</t>
  </si>
  <si>
    <t>Harewood Playcentre</t>
  </si>
  <si>
    <t>709 Harewood Road</t>
  </si>
  <si>
    <t>BestStart Kaiapoi</t>
  </si>
  <si>
    <t>03-327 0733</t>
  </si>
  <si>
    <t>Cnr Williams St &amp; Courtenay Dr</t>
  </si>
  <si>
    <t>Papanui Preschool</t>
  </si>
  <si>
    <t>03-354 3437</t>
  </si>
  <si>
    <t>papanuipreschool@xtra.co.nz</t>
  </si>
  <si>
    <t>165 Langdons Road</t>
  </si>
  <si>
    <t>Hinds Playcentre</t>
  </si>
  <si>
    <t>Rhodes Street</t>
  </si>
  <si>
    <t>Hinds</t>
  </si>
  <si>
    <t>Ealing-Lowcliffe</t>
  </si>
  <si>
    <t>Kindercare learning Centres - Addington</t>
  </si>
  <si>
    <t>03-3481966</t>
  </si>
  <si>
    <t>towerjunction@kindercare.co.nz</t>
  </si>
  <si>
    <t>2 Barry Hogan Place</t>
  </si>
  <si>
    <t>Middleton</t>
  </si>
  <si>
    <t>Tower Junction</t>
  </si>
  <si>
    <t>Hororata Playcentre</t>
  </si>
  <si>
    <t>Community Hall Hororata Road</t>
  </si>
  <si>
    <t>Hororata</t>
  </si>
  <si>
    <t>Glenroy-Hororata</t>
  </si>
  <si>
    <t>Lincoln Playcentre</t>
  </si>
  <si>
    <t>158 North Belt</t>
  </si>
  <si>
    <t>Leeston Playcentre</t>
  </si>
  <si>
    <t>4 May Street</t>
  </si>
  <si>
    <t>Leithfield Playcentre</t>
  </si>
  <si>
    <t>Brighton Street</t>
  </si>
  <si>
    <t>Leithfield</t>
  </si>
  <si>
    <t>Balcairn</t>
  </si>
  <si>
    <t>Linwood Playcentre</t>
  </si>
  <si>
    <t>628 A Worcester Street</t>
  </si>
  <si>
    <t>Little Oaks Pre-School</t>
  </si>
  <si>
    <t>03-314 8040</t>
  </si>
  <si>
    <t>137 Carters Road</t>
  </si>
  <si>
    <t>Little River Playcentre</t>
  </si>
  <si>
    <t>Schools Grounds Western Valley Road</t>
  </si>
  <si>
    <t>Little River</t>
  </si>
  <si>
    <t>Banks Peninsula South</t>
  </si>
  <si>
    <t>Lyttelton Street Playcentre</t>
  </si>
  <si>
    <t>81 Lyttelton Street</t>
  </si>
  <si>
    <t>Somerfield West</t>
  </si>
  <si>
    <t>Mayfield Playcentre</t>
  </si>
  <si>
    <t>Mayfield Domain</t>
  </si>
  <si>
    <t>Mayfield-Ashburton</t>
  </si>
  <si>
    <t>Ashburton Forks</t>
  </si>
  <si>
    <t>Methven Playcentre</t>
  </si>
  <si>
    <t>Cnr South Belt &amp; Main Street</t>
  </si>
  <si>
    <t>Annabel's Educare - New Brighton</t>
  </si>
  <si>
    <t>03-3888056</t>
  </si>
  <si>
    <t>nb@annabelseducare.co.nz</t>
  </si>
  <si>
    <t>6 Pratt Street</t>
  </si>
  <si>
    <t>North Beach Playcentre</t>
  </si>
  <si>
    <t>North Beach Playcentre 100 Leaver Terrace</t>
  </si>
  <si>
    <t>North Beach</t>
  </si>
  <si>
    <t>BestStart Wairakei Road</t>
  </si>
  <si>
    <t>03-359 5274</t>
  </si>
  <si>
    <t>wairakei@best-start.org</t>
  </si>
  <si>
    <t>431 Wairakei Road</t>
  </si>
  <si>
    <t>Burnside West</t>
  </si>
  <si>
    <t>Oxford Playcentre</t>
  </si>
  <si>
    <t>Kidditech Early Learning Centre</t>
  </si>
  <si>
    <t>03-3396666</t>
  </si>
  <si>
    <t>lou@kidditech.co.nz</t>
  </si>
  <si>
    <t>21 Stourbridge Street</t>
  </si>
  <si>
    <t>Spreydon South</t>
  </si>
  <si>
    <t>Louise Fyfe</t>
  </si>
  <si>
    <t>P O Box 33299</t>
  </si>
  <si>
    <t>03-9421334</t>
  </si>
  <si>
    <t>106 Queenspark Drive</t>
  </si>
  <si>
    <t>Barnardos Early Learning Centre Te Puna Oraka</t>
  </si>
  <si>
    <t>03-3856148</t>
  </si>
  <si>
    <t>tepunaorakaelc@barnardos.org.nz</t>
  </si>
  <si>
    <t>69 B Briggs Road</t>
  </si>
  <si>
    <t>Hayley Kennard</t>
  </si>
  <si>
    <t>027-3756837</t>
  </si>
  <si>
    <t>Pleasant Point Playcentre</t>
  </si>
  <si>
    <t>8 Harris Street</t>
  </si>
  <si>
    <t>Selwyn Kids Limited</t>
  </si>
  <si>
    <t>rebecca.adams@selwynkids.co.nz</t>
  </si>
  <si>
    <t>Prebbleton Playcentre</t>
  </si>
  <si>
    <t>70 Tosswill Road</t>
  </si>
  <si>
    <t>Prebbleton South</t>
  </si>
  <si>
    <t>Annabel's Kindergarten - Darfield</t>
  </si>
  <si>
    <t>3kgtn@annabelseducare.co.nz</t>
  </si>
  <si>
    <t>Kindercare Learning Centres - Woolston</t>
  </si>
  <si>
    <t>03-3813696</t>
  </si>
  <si>
    <t>ferryroad@kindercare.co.nz</t>
  </si>
  <si>
    <t>611 Ferry Road</t>
  </si>
  <si>
    <t>Rangiora Playcentre</t>
  </si>
  <si>
    <t>35 White Street</t>
  </si>
  <si>
    <t>BestStart Rangiora</t>
  </si>
  <si>
    <t>03-313 5323</t>
  </si>
  <si>
    <t>rangiora@best-start.org</t>
  </si>
  <si>
    <t>62-64 Percival Street</t>
  </si>
  <si>
    <t>Redwood Playcentre</t>
  </si>
  <si>
    <t>40 Dunedin Street</t>
  </si>
  <si>
    <t>Kānuka Tāwharau/ Rolleston Playcentre</t>
  </si>
  <si>
    <t>Rolleston Reserve 11 Christensen Parade</t>
  </si>
  <si>
    <t>BestStart Allenton</t>
  </si>
  <si>
    <t>03-307 7407</t>
  </si>
  <si>
    <t>allenton@best-start.org</t>
  </si>
  <si>
    <t>122 - 124 Harrison Street</t>
  </si>
  <si>
    <t>Allenton North</t>
  </si>
  <si>
    <t>Russley Playcentre</t>
  </si>
  <si>
    <t>Apsley Drive</t>
  </si>
  <si>
    <t>Shirley Playcentre</t>
  </si>
  <si>
    <t>61 Chancellor Street</t>
  </si>
  <si>
    <t>Brynley Street Nursery &amp; Preschool</t>
  </si>
  <si>
    <t>03-3490555</t>
  </si>
  <si>
    <t>info@brynleystreet.co.nz</t>
  </si>
  <si>
    <t>68 Brynley Street</t>
  </si>
  <si>
    <t>Melissa Brain</t>
  </si>
  <si>
    <t>03-349 0555</t>
  </si>
  <si>
    <t>Somerfield Community Playcentre</t>
  </si>
  <si>
    <t>47 Studholme Street</t>
  </si>
  <si>
    <t>Leap Ahead Early Childhood Centre - Hinds</t>
  </si>
  <si>
    <t>03-303 7805</t>
  </si>
  <si>
    <t>leapahead@windowslive.com</t>
  </si>
  <si>
    <t>30 Rogers Street</t>
  </si>
  <si>
    <t>Southbridge Playcentre</t>
  </si>
  <si>
    <t>High Street</t>
  </si>
  <si>
    <t>Southbridge</t>
  </si>
  <si>
    <t>Active Explorers Tai Tapu</t>
  </si>
  <si>
    <t>03-3296507</t>
  </si>
  <si>
    <t>8 School Road</t>
  </si>
  <si>
    <t>Taitapu</t>
  </si>
  <si>
    <t>Tai Tapu</t>
  </si>
  <si>
    <t>Sue-Marie Birch</t>
  </si>
  <si>
    <t>South Brighton Playcentre</t>
  </si>
  <si>
    <t>72 Beatty Street</t>
  </si>
  <si>
    <t>Mt Somers/Staveley Playcentre</t>
  </si>
  <si>
    <t>Pattons Road</t>
  </si>
  <si>
    <t>Mount Somers</t>
  </si>
  <si>
    <t>St Albans Playcentre</t>
  </si>
  <si>
    <t>96 Philpotts Road</t>
  </si>
  <si>
    <t>Mairehau North</t>
  </si>
  <si>
    <t>Tai Tapu Playcentre</t>
  </si>
  <si>
    <t>815 Old Tai Tapu Road</t>
  </si>
  <si>
    <t>Waiau Playcentre</t>
  </si>
  <si>
    <t>18 Clarence Street</t>
  </si>
  <si>
    <t>Waiau</t>
  </si>
  <si>
    <t>Learning Curves Montessori Nursery Ltd</t>
  </si>
  <si>
    <t>82 Warrington Street</t>
  </si>
  <si>
    <t>Edgeware North</t>
  </si>
  <si>
    <t>Emily Street</t>
  </si>
  <si>
    <t>Lollipops Blighs Road</t>
  </si>
  <si>
    <t>03-3511030</t>
  </si>
  <si>
    <t>cm.blighs@ledu.co.nz</t>
  </si>
  <si>
    <t>40 Blighs Road</t>
  </si>
  <si>
    <t>Juliette Thompson</t>
  </si>
  <si>
    <t>03-351 1030</t>
  </si>
  <si>
    <t>The Walnut Tree Preschool</t>
  </si>
  <si>
    <t>03-3887633</t>
  </si>
  <si>
    <t>walnuttreepreschool@gmail.com</t>
  </si>
  <si>
    <t>313 Breezes Road</t>
  </si>
  <si>
    <t>Bexley-Christchurch</t>
  </si>
  <si>
    <t>Jillian Kaneen</t>
  </si>
  <si>
    <t>03-383 1548</t>
  </si>
  <si>
    <t>West Melton Playcentre</t>
  </si>
  <si>
    <t>Main West Coast Road</t>
  </si>
  <si>
    <t>Poppies Preschool St Martins</t>
  </si>
  <si>
    <t>03-3321330</t>
  </si>
  <si>
    <t>poppiespreschool@xtra.co.nz</t>
  </si>
  <si>
    <t>61 St Martins Road</t>
  </si>
  <si>
    <t>Woodend Playcentre</t>
  </si>
  <si>
    <t>6 School Road</t>
  </si>
  <si>
    <t>Rosy Cheeks Early Learning Centre</t>
  </si>
  <si>
    <t>03-3375252</t>
  </si>
  <si>
    <t>info@rosycheeks.co.nz</t>
  </si>
  <si>
    <t>188 Rose Street</t>
  </si>
  <si>
    <t xml:space="preserve">Megan  Wilson </t>
  </si>
  <si>
    <t>03-337 5252</t>
  </si>
  <si>
    <t>Woolston Playcentre</t>
  </si>
  <si>
    <t>29 Portman Street</t>
  </si>
  <si>
    <t>Polkadots Preschool</t>
  </si>
  <si>
    <t>03-315 8339</t>
  </si>
  <si>
    <t>admin@polkadotspreschool.co.nz</t>
  </si>
  <si>
    <t>6 Highfield Street</t>
  </si>
  <si>
    <t>Anna Armstrong</t>
  </si>
  <si>
    <t>2495 Inland Road</t>
  </si>
  <si>
    <t>Kaikoura 7373</t>
  </si>
  <si>
    <t>027-3279095</t>
  </si>
  <si>
    <t>The Cats Pyjamas Preschool</t>
  </si>
  <si>
    <t>03-3411096</t>
  </si>
  <si>
    <t>shanna.terrell@best-start.org</t>
  </si>
  <si>
    <t>10 Beaumont Drive</t>
  </si>
  <si>
    <t>Kindercare Learning Centres - Avonhead (211)</t>
  </si>
  <si>
    <t>03-3417400</t>
  </si>
  <si>
    <t>avonhead@kindercare.co.nz</t>
  </si>
  <si>
    <t>3 Avonhead Road</t>
  </si>
  <si>
    <t>Tiddlywinks Preschool Ltd</t>
  </si>
  <si>
    <t>03-3070420</t>
  </si>
  <si>
    <t>twpreschool@gmail.com</t>
  </si>
  <si>
    <t>7 Roxburgh Place</t>
  </si>
  <si>
    <t>Tinwald North</t>
  </si>
  <si>
    <t>Stephanie  Hansen</t>
  </si>
  <si>
    <t>03-3072472</t>
  </si>
  <si>
    <t>Fernside Preschool Limited</t>
  </si>
  <si>
    <t>03-313 6733</t>
  </si>
  <si>
    <t>info@fernsidepreschool.co.nz</t>
  </si>
  <si>
    <t>207 O'Roarkes Road</t>
  </si>
  <si>
    <t>Fernside</t>
  </si>
  <si>
    <t>Nicola Baynes</t>
  </si>
  <si>
    <t>P O Box 509</t>
  </si>
  <si>
    <t>Christchurch 7440</t>
  </si>
  <si>
    <t>03-3120465</t>
  </si>
  <si>
    <t>Burnham Country Montessori</t>
  </si>
  <si>
    <t>03-347 6161</t>
  </si>
  <si>
    <t>manager@burnham-montessori.co.nz</t>
  </si>
  <si>
    <t>643 Burnham School Road</t>
  </si>
  <si>
    <t>Sally Hart</t>
  </si>
  <si>
    <t>1/15a Wairarapa Tce</t>
  </si>
  <si>
    <t>027-3187377</t>
  </si>
  <si>
    <t>Rakaia Little Learners Preschool</t>
  </si>
  <si>
    <t>lisa@rakaialittlelearners.co.nz</t>
  </si>
  <si>
    <t>52 Dunford Street</t>
  </si>
  <si>
    <t>Rākaia</t>
  </si>
  <si>
    <t>Lisa Copland</t>
  </si>
  <si>
    <t>Rakaia 7710</t>
  </si>
  <si>
    <t>Rural Scholars Early Learning Centre</t>
  </si>
  <si>
    <t>03-6896103</t>
  </si>
  <si>
    <t>ruralscholars@xtra.co.nz</t>
  </si>
  <si>
    <t>13 Wall Street</t>
  </si>
  <si>
    <t>Paula Rogers</t>
  </si>
  <si>
    <t>Timaru 7924</t>
  </si>
  <si>
    <t>03-6897927</t>
  </si>
  <si>
    <t>BestStart Kilmarnock Street</t>
  </si>
  <si>
    <t>03-348 3461</t>
  </si>
  <si>
    <t>kilmarnock@best-start.org</t>
  </si>
  <si>
    <t>27 Kilmarnock Street</t>
  </si>
  <si>
    <t>Learning Curves Montessori Abberley Park Ltd</t>
  </si>
  <si>
    <t>03-3554614</t>
  </si>
  <si>
    <t>60 Ranfurly Street</t>
  </si>
  <si>
    <t>St Albans West</t>
  </si>
  <si>
    <t>94 Voss Road</t>
  </si>
  <si>
    <t>E Tipu e Rea Early Learning Centre</t>
  </si>
  <si>
    <t>03-3880813</t>
  </si>
  <si>
    <t>etipu.erea@xtra.co.nz</t>
  </si>
  <si>
    <t>240 Breezes Road</t>
  </si>
  <si>
    <t>Sarah Musson</t>
  </si>
  <si>
    <t>P O Box 15116</t>
  </si>
  <si>
    <t>Christchurch 8016</t>
  </si>
  <si>
    <t>Ashburton Baptist Preschool</t>
  </si>
  <si>
    <t>03-3082325</t>
  </si>
  <si>
    <t>vincent@ashburtonbaptistpreschool.co.nz</t>
  </si>
  <si>
    <t>8 Eton Street</t>
  </si>
  <si>
    <t>Vincent Brierly</t>
  </si>
  <si>
    <t>PO Box 446</t>
  </si>
  <si>
    <t>Phoenix Preschool</t>
  </si>
  <si>
    <t>03-3088461</t>
  </si>
  <si>
    <t>phoenixpreschool@xtra.co.nz</t>
  </si>
  <si>
    <t>35 Middle Road</t>
  </si>
  <si>
    <t>Angela Ross</t>
  </si>
  <si>
    <t>Avonside Early Childhood Centre</t>
  </si>
  <si>
    <t>03-3898473</t>
  </si>
  <si>
    <t>43 Woodham Road</t>
  </si>
  <si>
    <t>Claire Hedgman</t>
  </si>
  <si>
    <t>03-0389 8473</t>
  </si>
  <si>
    <t>Bishopdale Community  Preschool</t>
  </si>
  <si>
    <t>03-359 7606</t>
  </si>
  <si>
    <t>melissa.warwick@bishopdalepreschool.co.nz</t>
  </si>
  <si>
    <t>85 Breens Road</t>
  </si>
  <si>
    <t>Melissa Warwick</t>
  </si>
  <si>
    <t>91 Breens Road</t>
  </si>
  <si>
    <t>Christchurch 8543</t>
  </si>
  <si>
    <t>027-878 8000</t>
  </si>
  <si>
    <t>BestStart Cashmere</t>
  </si>
  <si>
    <t>03-332 8282</t>
  </si>
  <si>
    <t>cashmere@best-start.org</t>
  </si>
  <si>
    <t>95 Colombo Street</t>
  </si>
  <si>
    <t>Casa Dei Bambini Foundation School</t>
  </si>
  <si>
    <t>03-3852432</t>
  </si>
  <si>
    <t>admin@casadeibambini.school.nz</t>
  </si>
  <si>
    <t>333 River Road</t>
  </si>
  <si>
    <t>Maree Orland</t>
  </si>
  <si>
    <t>P O Box 26048</t>
  </si>
  <si>
    <t>North Avon</t>
  </si>
  <si>
    <t>Christchurch 8148</t>
  </si>
  <si>
    <t>Creative Corner Early Learning Centre</t>
  </si>
  <si>
    <t>03-6888359</t>
  </si>
  <si>
    <t>creative.corner@xtra.co.nz</t>
  </si>
  <si>
    <t>70 Cain Street</t>
  </si>
  <si>
    <t>Cheryl Young</t>
  </si>
  <si>
    <t>72 Cain Street</t>
  </si>
  <si>
    <t>Timaru 7190</t>
  </si>
  <si>
    <t>Pīwakawaka Early Learning Centre</t>
  </si>
  <si>
    <t>03-3661339</t>
  </si>
  <si>
    <t>40 Shakespeare Road</t>
  </si>
  <si>
    <t>Bobbie Warn</t>
  </si>
  <si>
    <t>2/101 Winchester Street</t>
  </si>
  <si>
    <t>The Champion Centre Tamariki Toiora</t>
  </si>
  <si>
    <t>03-3836867</t>
  </si>
  <si>
    <t>office@championcentre.org.nz</t>
  </si>
  <si>
    <t>Burwood Hospital Burwood Road</t>
  </si>
  <si>
    <t>Deborah Nind</t>
  </si>
  <si>
    <t>Private Bag 4708</t>
  </si>
  <si>
    <t>03-383 6867</t>
  </si>
  <si>
    <t>Ara Early Learning Centre</t>
  </si>
  <si>
    <t>03-9408075</t>
  </si>
  <si>
    <t>robyn.ellen@ara.ac.nz</t>
  </si>
  <si>
    <t>130 Madras Street</t>
  </si>
  <si>
    <t>Robyn Ellen</t>
  </si>
  <si>
    <t>Cherry's Early Learning Centre</t>
  </si>
  <si>
    <t>03-3324743</t>
  </si>
  <si>
    <t>45 Riverview Street</t>
  </si>
  <si>
    <t>Clandeboye Kindergarten</t>
  </si>
  <si>
    <t>03-6155499</t>
  </si>
  <si>
    <t>14 Kotuku Place</t>
  </si>
  <si>
    <t>Temuka East</t>
  </si>
  <si>
    <t>Craighead  Kindergarten Incorporated</t>
  </si>
  <si>
    <t>03-688 9654</t>
  </si>
  <si>
    <t>office@craigheadkindergarten.org.nz</t>
  </si>
  <si>
    <t>11 Craighead Street</t>
  </si>
  <si>
    <t>Amy Pateman</t>
  </si>
  <si>
    <t>176a Otipua Road</t>
  </si>
  <si>
    <t>Conductive Education Canterbury Inc</t>
  </si>
  <si>
    <t>03-3721399</t>
  </si>
  <si>
    <t>cecanterbury@xtra.co.nz</t>
  </si>
  <si>
    <t>22 Brougham Street</t>
  </si>
  <si>
    <t>Spreydon North</t>
  </si>
  <si>
    <t>Linda Leishman</t>
  </si>
  <si>
    <t>P O Box 9230</t>
  </si>
  <si>
    <t>Christchurch 8243</t>
  </si>
  <si>
    <t>027-5043694</t>
  </si>
  <si>
    <t>Educational Child Care Centre</t>
  </si>
  <si>
    <t>03-3853636</t>
  </si>
  <si>
    <t>eccc.inc@xtra.co.nz</t>
  </si>
  <si>
    <t>96 Gayhurst Road</t>
  </si>
  <si>
    <t>Sarah Matenga</t>
  </si>
  <si>
    <t>03-385 3636</t>
  </si>
  <si>
    <t>Children First Pre School</t>
  </si>
  <si>
    <t>03-3243396</t>
  </si>
  <si>
    <t>childrenfirstleeston@gmail.com</t>
  </si>
  <si>
    <t>138 High Street</t>
  </si>
  <si>
    <t>Lorraine Haffner</t>
  </si>
  <si>
    <t>11 Gordon Street</t>
  </si>
  <si>
    <t>Southbridge 7602</t>
  </si>
  <si>
    <t>03-3242629</t>
  </si>
  <si>
    <t>Fairleigh Kindergarten</t>
  </si>
  <si>
    <t>03-355 4502</t>
  </si>
  <si>
    <t>admin.fairleigh@kindergarten.co.nz</t>
  </si>
  <si>
    <t>27 A Garden Rd</t>
  </si>
  <si>
    <t>Rebecca Glithero</t>
  </si>
  <si>
    <t>27 A Garden Road</t>
  </si>
  <si>
    <t>Just Kids House</t>
  </si>
  <si>
    <t>03-3812141</t>
  </si>
  <si>
    <t>129 Pages Road</t>
  </si>
  <si>
    <t>Geraldine Preschool Incorporated</t>
  </si>
  <si>
    <t>03-6939133</t>
  </si>
  <si>
    <t>geraldinepreschool@xtra.co.nz</t>
  </si>
  <si>
    <t>6 High Street</t>
  </si>
  <si>
    <t>Jolenne Sowden</t>
  </si>
  <si>
    <t>03-6922899</t>
  </si>
  <si>
    <t>Forfar Nursery And Preschool</t>
  </si>
  <si>
    <t>03-3558512</t>
  </si>
  <si>
    <t>manager@forfarpreschool.org.nz</t>
  </si>
  <si>
    <t>82 Forfar Street</t>
  </si>
  <si>
    <t>Rebecca Hughes</t>
  </si>
  <si>
    <t>022-6454650</t>
  </si>
  <si>
    <t>Te Whare Rama | Light House Early Learning Centre Balcairn Street</t>
  </si>
  <si>
    <t>03-3228192</t>
  </si>
  <si>
    <t>6 Balcairn Street</t>
  </si>
  <si>
    <t>Hannah N Henry Early Childhood Centre</t>
  </si>
  <si>
    <t>03-3080223</t>
  </si>
  <si>
    <t>hannahnhenrys@yahoo.co.nz</t>
  </si>
  <si>
    <t>27 Elizabeth Street</t>
  </si>
  <si>
    <t>Ashburton West</t>
  </si>
  <si>
    <t>Louise Currie</t>
  </si>
  <si>
    <t>03-3081124</t>
  </si>
  <si>
    <t>Hoon Hay Community Pre-School</t>
  </si>
  <si>
    <t>03-3388504</t>
  </si>
  <si>
    <t>hoonhaypreschool@xtra.co.nz</t>
  </si>
  <si>
    <t>113 Mathers Road</t>
  </si>
  <si>
    <t>Cindy Cantin</t>
  </si>
  <si>
    <t>027-333 2690</t>
  </si>
  <si>
    <t>Amberley Community Preschool</t>
  </si>
  <si>
    <t>admin@amberleypreschool.co.nz</t>
  </si>
  <si>
    <t>Springs Community Early Learning Centre</t>
  </si>
  <si>
    <t>03-3435501</t>
  </si>
  <si>
    <t>office@springsearlylearning.co.nz</t>
  </si>
  <si>
    <t>10A Weaver Place</t>
  </si>
  <si>
    <t>Susan Hines</t>
  </si>
  <si>
    <t>18 Craven Street</t>
  </si>
  <si>
    <t>03-343 5501</t>
  </si>
  <si>
    <t>Huntsbury Preschool Incorporated</t>
  </si>
  <si>
    <t>licensee@huntsbury-preschool.org.nz</t>
  </si>
  <si>
    <t>Huntsbury Community Centre  30H Huntsbury Avenue</t>
  </si>
  <si>
    <t>Josie Tait-Jamieson</t>
  </si>
  <si>
    <t>P O Box 12136</t>
  </si>
  <si>
    <t>Busy Bees Avonhead</t>
  </si>
  <si>
    <t>03-3425421</t>
  </si>
  <si>
    <t>info@avonhead.busybees.org.nz</t>
  </si>
  <si>
    <t>188 - 190 Yaldhurst Road</t>
  </si>
  <si>
    <t>Shikha Sohal</t>
  </si>
  <si>
    <t>03-342 5421</t>
  </si>
  <si>
    <t>Cornerstone Christian Early Learning Centre Middleton</t>
  </si>
  <si>
    <t>03-343 6941</t>
  </si>
  <si>
    <t>office@cornerstonecelc.co.nz</t>
  </si>
  <si>
    <t>73 Suva Street</t>
  </si>
  <si>
    <t>Wharenui</t>
  </si>
  <si>
    <t>Amanda Caigou</t>
  </si>
  <si>
    <t>69 Suva Street</t>
  </si>
  <si>
    <t>027-3256906</t>
  </si>
  <si>
    <t>Haven ELC</t>
  </si>
  <si>
    <t>03-3892483</t>
  </si>
  <si>
    <t>tracy@havenelc.school.nz</t>
  </si>
  <si>
    <t>375 Worcester Street</t>
  </si>
  <si>
    <t>Stanmore</t>
  </si>
  <si>
    <t>Tracy Leigh</t>
  </si>
  <si>
    <t>New Beginnings Pre-School</t>
  </si>
  <si>
    <t>03-389 2367</t>
  </si>
  <si>
    <t>board@nbp.nz</t>
  </si>
  <si>
    <t>136 Aldwins Road</t>
  </si>
  <si>
    <t>Rod Millynn</t>
  </si>
  <si>
    <t>021-576514</t>
  </si>
  <si>
    <t>Darfield Preschool And Nursery</t>
  </si>
  <si>
    <t>03-3188836</t>
  </si>
  <si>
    <t>darfieldpreschool@xtra.co.nz</t>
  </si>
  <si>
    <t>1d Cardale Street</t>
  </si>
  <si>
    <t>Clare Clatworthy</t>
  </si>
  <si>
    <t>BestStart Marchwiel</t>
  </si>
  <si>
    <t>03-684 4450</t>
  </si>
  <si>
    <t>marchwiel@best-start.org</t>
  </si>
  <si>
    <t>48 Andrew Street</t>
  </si>
  <si>
    <t>BestStart Merivale</t>
  </si>
  <si>
    <t>03-352 9930</t>
  </si>
  <si>
    <t>merivale@best-start.org</t>
  </si>
  <si>
    <t>350 Papanui Road</t>
  </si>
  <si>
    <t>Aratupu Preschool and Whānau Hub</t>
  </si>
  <si>
    <t>027-7158201</t>
  </si>
  <si>
    <t>aratupu@mmsi.org.nz</t>
  </si>
  <si>
    <t>97 Harewood Road</t>
  </si>
  <si>
    <t>Andrea Wilson-Tukaki</t>
  </si>
  <si>
    <t>03-3603836</t>
  </si>
  <si>
    <t>Methven Pre-school Learning &amp; Child Care Centre</t>
  </si>
  <si>
    <t>03-302 8564</t>
  </si>
  <si>
    <t>methvenpre-school@xtra.co.nz</t>
  </si>
  <si>
    <t>21 Southbelt Street</t>
  </si>
  <si>
    <t>Rhea Booker</t>
  </si>
  <si>
    <t>21 Southbelt</t>
  </si>
  <si>
    <t>Ashburton 7730</t>
  </si>
  <si>
    <t>020-4097 7337</t>
  </si>
  <si>
    <t>Minnies Pre-School</t>
  </si>
  <si>
    <t>03-3557755</t>
  </si>
  <si>
    <t>office@minniespreschool.co.nz</t>
  </si>
  <si>
    <t>25 Strowan Road</t>
  </si>
  <si>
    <t>15 Petrie Street</t>
  </si>
  <si>
    <t>03-3557733</t>
  </si>
  <si>
    <t>New Brighton Community Preschool &amp; Nursery</t>
  </si>
  <si>
    <t>03-3887333</t>
  </si>
  <si>
    <t>newbrightonpreschool@xtra.co.nz</t>
  </si>
  <si>
    <t>109 Beresford Street</t>
  </si>
  <si>
    <t>Paula Robinson</t>
  </si>
  <si>
    <t>03-3887 333</t>
  </si>
  <si>
    <t>North Beach Community Preschool Inc</t>
  </si>
  <si>
    <t>03-3881733</t>
  </si>
  <si>
    <t>nbccc@xtra.co.nz</t>
  </si>
  <si>
    <t>150 Leaver Terrace</t>
  </si>
  <si>
    <t>Rachael Vincent</t>
  </si>
  <si>
    <t>150a Leaver Terrace</t>
  </si>
  <si>
    <t>03-3831784</t>
  </si>
  <si>
    <t>North Haven Child Care &amp; Education Centre</t>
  </si>
  <si>
    <t>03-6843801</t>
  </si>
  <si>
    <t>northhaven@northhaven.co.nz</t>
  </si>
  <si>
    <t>23 Arthur Street</t>
  </si>
  <si>
    <t>Lynette Katene</t>
  </si>
  <si>
    <t>P O Box 280</t>
  </si>
  <si>
    <t>Oxford Early Learning Centre</t>
  </si>
  <si>
    <t>03-3124757</t>
  </si>
  <si>
    <t>166 High Street</t>
  </si>
  <si>
    <t>Charlene Joslen</t>
  </si>
  <si>
    <t>P O Box 22</t>
  </si>
  <si>
    <t>Waka Huia Childcare</t>
  </si>
  <si>
    <t>03-3320362</t>
  </si>
  <si>
    <t>18 Cardiff Avenue</t>
  </si>
  <si>
    <t>Hayley Smith</t>
  </si>
  <si>
    <t>19 High Street</t>
  </si>
  <si>
    <t>021-1803325</t>
  </si>
  <si>
    <t>The Rabbit Patch Preschool</t>
  </si>
  <si>
    <t>03-3582549</t>
  </si>
  <si>
    <t>161 Greers Road</t>
  </si>
  <si>
    <t>BestStart Papanui</t>
  </si>
  <si>
    <t>03-352 3638</t>
  </si>
  <si>
    <t>papanui@best-start.org</t>
  </si>
  <si>
    <t>77 Blighs Road</t>
  </si>
  <si>
    <t>Bryndwr South</t>
  </si>
  <si>
    <t>BestStart Pioneer</t>
  </si>
  <si>
    <t>03-332 1395</t>
  </si>
  <si>
    <t>pioneer@best-start.org</t>
  </si>
  <si>
    <t>75 Lyttelton Street</t>
  </si>
  <si>
    <t>Alpha Early Childhood Educational Centre</t>
  </si>
  <si>
    <t>03-3856319</t>
  </si>
  <si>
    <t>cartercmj@xtra.co.nz</t>
  </si>
  <si>
    <t>45 A Randall Street</t>
  </si>
  <si>
    <t>Christopher Carter</t>
  </si>
  <si>
    <t>61 Birkdale Drive</t>
  </si>
  <si>
    <t>03-3856916</t>
  </si>
  <si>
    <t>Rangiora High School Nursery School</t>
  </si>
  <si>
    <t>03-3137734</t>
  </si>
  <si>
    <t>manager@rangioranurseryschool.co.nz</t>
  </si>
  <si>
    <t>4 Wales Street</t>
  </si>
  <si>
    <t>Vivienne Cumming</t>
  </si>
  <si>
    <t>Wales Street</t>
  </si>
  <si>
    <t>03-313 7734</t>
  </si>
  <si>
    <t>Rangi Ruru Pre-School</t>
  </si>
  <si>
    <t>03-9833757</t>
  </si>
  <si>
    <t>preschool@rangiruru.ac.nz</t>
  </si>
  <si>
    <t>46 Rhodes Street</t>
  </si>
  <si>
    <t>Keri Granger</t>
  </si>
  <si>
    <t>59 Hewitts Road</t>
  </si>
  <si>
    <t>Rakaia Playcentre</t>
  </si>
  <si>
    <t>Mackie Street</t>
  </si>
  <si>
    <t>Redwood Early Childhood Centre</t>
  </si>
  <si>
    <t>03-3525722</t>
  </si>
  <si>
    <t>recc@xtra.co.nz</t>
  </si>
  <si>
    <t>339 Main North Road</t>
  </si>
  <si>
    <t>Nadine Bashford</t>
  </si>
  <si>
    <t>03-388 2327</t>
  </si>
  <si>
    <t>Christchurch Rudolf Steiner Kindergarten</t>
  </si>
  <si>
    <t>03-3370514</t>
  </si>
  <si>
    <t>aoifed@ch.steiner.school.nz</t>
  </si>
  <si>
    <t>19 Ombersley Terrace</t>
  </si>
  <si>
    <t>Aoife Dunphy</t>
  </si>
  <si>
    <t>P O Box 19944</t>
  </si>
  <si>
    <t>03-337 0514</t>
  </si>
  <si>
    <t>BestStart Salisbury Street</t>
  </si>
  <si>
    <t>03-379 3570</t>
  </si>
  <si>
    <t>salisbury@best-start.org</t>
  </si>
  <si>
    <t>150 Salisbury Street</t>
  </si>
  <si>
    <t>Te Whare Rama | Light House Early Learning Centre Lyttelton Street</t>
  </si>
  <si>
    <t>03-3385468</t>
  </si>
  <si>
    <t>239 Lyttelton Street</t>
  </si>
  <si>
    <t>St Albans Community Preschool</t>
  </si>
  <si>
    <t>027-3559396</t>
  </si>
  <si>
    <t>office@stalbanspreschool.co.nz</t>
  </si>
  <si>
    <t>3 Thames Street</t>
  </si>
  <si>
    <t>Suzy Rogerson</t>
  </si>
  <si>
    <t>Cotswold Preschool and Nursery</t>
  </si>
  <si>
    <t>03-3597675</t>
  </si>
  <si>
    <t>office@cotswoldpreschool.co.nz</t>
  </si>
  <si>
    <t>37 Colesbury Street</t>
  </si>
  <si>
    <t>Della Dunnill</t>
  </si>
  <si>
    <t>P O Box 20172</t>
  </si>
  <si>
    <t>03-3323947</t>
  </si>
  <si>
    <t>Moa Kids Community Early Learning Centre Inc</t>
  </si>
  <si>
    <t>03-3841910</t>
  </si>
  <si>
    <t>admin@moakids.org.nz</t>
  </si>
  <si>
    <t>Barnett Park, Main Road</t>
  </si>
  <si>
    <t>Clifton Hill</t>
  </si>
  <si>
    <t>Hayley Flanagan</t>
  </si>
  <si>
    <t>P O Box 41011</t>
  </si>
  <si>
    <t>Christchurch 8247</t>
  </si>
  <si>
    <t>The Enchanted Garden</t>
  </si>
  <si>
    <t>03-3597944</t>
  </si>
  <si>
    <t>enchantedgardenecc@xtra.co.nz</t>
  </si>
  <si>
    <t>255 Greers Road</t>
  </si>
  <si>
    <t>Sydenham Community Preschool</t>
  </si>
  <si>
    <t>03-3749023</t>
  </si>
  <si>
    <t>admin@sydenhampreschool.co.nz</t>
  </si>
  <si>
    <t>Waltham School 130 Waltham Road</t>
  </si>
  <si>
    <t>Rhonda Duncraft</t>
  </si>
  <si>
    <t>P O Box 7236</t>
  </si>
  <si>
    <t>Christchurch 8240</t>
  </si>
  <si>
    <t>03-9800326</t>
  </si>
  <si>
    <t>Swannanoa Preschool</t>
  </si>
  <si>
    <t>03-312 6198</t>
  </si>
  <si>
    <t>swannanoapreschool@xtra.co.nz</t>
  </si>
  <si>
    <t>1303 Tram Road R D 6</t>
  </si>
  <si>
    <t>Swannanoa-Eyreton</t>
  </si>
  <si>
    <t>Joanne Dobson</t>
  </si>
  <si>
    <t>1303 Tram Road RD RD 6</t>
  </si>
  <si>
    <t>Rangiora 7476</t>
  </si>
  <si>
    <t>03-3120525</t>
  </si>
  <si>
    <t>The Cathedral Grammar School Pre-School</t>
  </si>
  <si>
    <t>03-3650385</t>
  </si>
  <si>
    <t>2 Chester Street West</t>
  </si>
  <si>
    <t>Scott Thelning</t>
  </si>
  <si>
    <t>P O Box 2244</t>
  </si>
  <si>
    <t>Montessori Courtyard Preschool</t>
  </si>
  <si>
    <t>03-3321444</t>
  </si>
  <si>
    <t>shelagh@courtyardpreschool.org.nz</t>
  </si>
  <si>
    <t>99 A Somerfield Street</t>
  </si>
  <si>
    <t>Shelagh Powell</t>
  </si>
  <si>
    <t>03-3321 444</t>
  </si>
  <si>
    <t>Tuahiwi Community Preschool</t>
  </si>
  <si>
    <t>03-3132141</t>
  </si>
  <si>
    <t>tuahiwipreschool@xtra.co.nz</t>
  </si>
  <si>
    <t>204 Tuahiwi Road R D 1</t>
  </si>
  <si>
    <t>Tuahiwi</t>
  </si>
  <si>
    <t>Adele Anderson</t>
  </si>
  <si>
    <t>204 Tuahiwi Road</t>
  </si>
  <si>
    <t>Christchurch 7691</t>
  </si>
  <si>
    <t>+64 033132141</t>
  </si>
  <si>
    <t>Kiwi Kids Preschool</t>
  </si>
  <si>
    <t>03-3385179</t>
  </si>
  <si>
    <t>32 Annex Road</t>
  </si>
  <si>
    <t>Li Li</t>
  </si>
  <si>
    <t>83 Greers Rd</t>
  </si>
  <si>
    <t>021-02732966</t>
  </si>
  <si>
    <t>Tiny Tots Preschool</t>
  </si>
  <si>
    <t>03-3896851</t>
  </si>
  <si>
    <t>148 England Street</t>
  </si>
  <si>
    <t>Linwood Central</t>
  </si>
  <si>
    <t>Harjot Grewal</t>
  </si>
  <si>
    <t>022-687 0531</t>
  </si>
  <si>
    <t>Twizel Early Learning Centre Inc</t>
  </si>
  <si>
    <t>03-4350640</t>
  </si>
  <si>
    <t>manager@telc.org.nz</t>
  </si>
  <si>
    <t>Market place</t>
  </si>
  <si>
    <t>Bridget Tiffen</t>
  </si>
  <si>
    <t>Market Place</t>
  </si>
  <si>
    <t>Twizel 7901</t>
  </si>
  <si>
    <t>Early Childhood Learning Centre</t>
  </si>
  <si>
    <t>03-369 4177</t>
  </si>
  <si>
    <t>vivienne.matthews@canterbury.ac.nz</t>
  </si>
  <si>
    <t>116 Ilam Road</t>
  </si>
  <si>
    <t>Vivienne Matthews</t>
  </si>
  <si>
    <t>University of Canterbury Private Bag 4800</t>
  </si>
  <si>
    <t>03-3522961</t>
  </si>
  <si>
    <t>Ilam Early Learning Centre</t>
  </si>
  <si>
    <t>03-348 4336</t>
  </si>
  <si>
    <t>Dovedale Campus Parkstone Avenue</t>
  </si>
  <si>
    <t>Waimate Childcare Centre Inc.</t>
  </si>
  <si>
    <t>03-6897336</t>
  </si>
  <si>
    <t>office@waimatechildcare.co.nz</t>
  </si>
  <si>
    <t>Heather  McIntyre</t>
  </si>
  <si>
    <t>18 John St</t>
  </si>
  <si>
    <t>027-255 0749</t>
  </si>
  <si>
    <t>Woolston Preschool Inc</t>
  </si>
  <si>
    <t>03-3845067</t>
  </si>
  <si>
    <t>52 Glenroy Street</t>
  </si>
  <si>
    <t>Letisha Seelen Derham</t>
  </si>
  <si>
    <t>P O Box 19928</t>
  </si>
  <si>
    <t>03-9819093</t>
  </si>
  <si>
    <t>Barnardos Early Learning Homebased Canterbury One</t>
  </si>
  <si>
    <t>03-3782730</t>
  </si>
  <si>
    <t>canterbury.amu@barnardos.org.nz</t>
  </si>
  <si>
    <t>322 Milford Clandeboye Road, RD26</t>
  </si>
  <si>
    <t>Waitohi (Timaru District)</t>
  </si>
  <si>
    <t>Michelle Macioce</t>
  </si>
  <si>
    <t>027-2933 0430</t>
  </si>
  <si>
    <t>BestStart St Albans</t>
  </si>
  <si>
    <t>03-365 1761</t>
  </si>
  <si>
    <t>stalbans@best-start.org</t>
  </si>
  <si>
    <t>60 Champion Street</t>
  </si>
  <si>
    <t>Edgeware South</t>
  </si>
  <si>
    <t>The Tree Hut Preschool Limited</t>
  </si>
  <si>
    <t>027-258947</t>
  </si>
  <si>
    <t>26 Rolleston Street</t>
  </si>
  <si>
    <t>Jennifer Norton</t>
  </si>
  <si>
    <t>29 Rolleston Street</t>
  </si>
  <si>
    <t>Cheviot 7310</t>
  </si>
  <si>
    <t>03-3198024</t>
  </si>
  <si>
    <t>The James Street Pre-School</t>
  </si>
  <si>
    <t>03-3819008</t>
  </si>
  <si>
    <t>saltm@xtra.co.nz</t>
  </si>
  <si>
    <t>5 James Street</t>
  </si>
  <si>
    <t>Murray Salt</t>
  </si>
  <si>
    <t>159 Richmond Hill Road</t>
  </si>
  <si>
    <t>Balmoral Hill</t>
  </si>
  <si>
    <t>03-3849553</t>
  </si>
  <si>
    <t>Kindercare Learning Centres - Fendalton</t>
  </si>
  <si>
    <t>03-3486712</t>
  </si>
  <si>
    <t>puriri@kindercare.co.nz</t>
  </si>
  <si>
    <t>126 Puriri Street</t>
  </si>
  <si>
    <t>Deans Bush</t>
  </si>
  <si>
    <t>The Activity Room</t>
  </si>
  <si>
    <t>03-3560325</t>
  </si>
  <si>
    <t>Michele.pringle@cdhb.health.nz</t>
  </si>
  <si>
    <t>Riccarton Avenue</t>
  </si>
  <si>
    <t>Hagley Park</t>
  </si>
  <si>
    <t>Michele Pringle</t>
  </si>
  <si>
    <t>. Private Bag 4710</t>
  </si>
  <si>
    <t>BestStart Burnside</t>
  </si>
  <si>
    <t>03-358 2917</t>
  </si>
  <si>
    <t>burnside@best-start.org</t>
  </si>
  <si>
    <t>11 Sir William Pickering Drive</t>
  </si>
  <si>
    <t>BestStart Nottingham Avenue</t>
  </si>
  <si>
    <t>03-322 8238</t>
  </si>
  <si>
    <t>nottingham@best-start.org</t>
  </si>
  <si>
    <t>32 Nottingham Avenue</t>
  </si>
  <si>
    <t>Tafesilafa'i Early Learning Centre (TELC)</t>
  </si>
  <si>
    <t>03-379 6400</t>
  </si>
  <si>
    <t>122 Barbadoes Street</t>
  </si>
  <si>
    <t>Palepa Letiu</t>
  </si>
  <si>
    <t>P O Box 32006</t>
  </si>
  <si>
    <t>Christchurch 8147</t>
  </si>
  <si>
    <t>03-3796400</t>
  </si>
  <si>
    <t>BestStart Parkside</t>
  </si>
  <si>
    <t>03-365 7606</t>
  </si>
  <si>
    <t>parkside@best-start.org</t>
  </si>
  <si>
    <t>438 Hagley Avenue</t>
  </si>
  <si>
    <t>Shirley First Learners</t>
  </si>
  <si>
    <t>03-3859577</t>
  </si>
  <si>
    <t>firstlearners@hotmail.com</t>
  </si>
  <si>
    <t>101 Slater Street</t>
  </si>
  <si>
    <t>Linda Broekman</t>
  </si>
  <si>
    <t>P O Box 569</t>
  </si>
  <si>
    <t>Rangiora 7440</t>
  </si>
  <si>
    <t>03-3131242</t>
  </si>
  <si>
    <t>Gloriavale Christian Preschool</t>
  </si>
  <si>
    <t>03-7380257</t>
  </si>
  <si>
    <t>ece@gloriavale.org.nz</t>
  </si>
  <si>
    <t>28 Heaphy Road</t>
  </si>
  <si>
    <t>Lake Haupiri</t>
  </si>
  <si>
    <t>Lake Brunner</t>
  </si>
  <si>
    <t>Stephen Standfast</t>
  </si>
  <si>
    <t>Private Bag 611</t>
  </si>
  <si>
    <t>Greymouth 7840</t>
  </si>
  <si>
    <t>028-255 80590</t>
  </si>
  <si>
    <t>Lincoln University Early Childhood Centre</t>
  </si>
  <si>
    <t>03-3252870</t>
  </si>
  <si>
    <t>prasanna.singh@lincoln.ac.nz</t>
  </si>
  <si>
    <t>29 The Crescent</t>
  </si>
  <si>
    <t>Prasanna Singh</t>
  </si>
  <si>
    <t>P O Box 85090</t>
  </si>
  <si>
    <t>Lincoln 7647</t>
  </si>
  <si>
    <t>Busy C's Preschool Lyttelton</t>
  </si>
  <si>
    <t>03-3288211</t>
  </si>
  <si>
    <t>BusyCs@xtra.co.nz</t>
  </si>
  <si>
    <t>16 Winchester Street</t>
  </si>
  <si>
    <t>Caro Davidson</t>
  </si>
  <si>
    <t>58 St Davids Street</t>
  </si>
  <si>
    <t>Lyttelton 8082</t>
  </si>
  <si>
    <t>03-328 7490</t>
  </si>
  <si>
    <t>BestStart Roydvale</t>
  </si>
  <si>
    <t>03-358 3000</t>
  </si>
  <si>
    <t>roydvale@best-start.org</t>
  </si>
  <si>
    <t>139-141 Roydvale Avenue</t>
  </si>
  <si>
    <t>Active Explorers Ashburton</t>
  </si>
  <si>
    <t>03-3082959</t>
  </si>
  <si>
    <t>23-25 Archibald Street</t>
  </si>
  <si>
    <t>Sonya MacKay</t>
  </si>
  <si>
    <t>03-308 2959</t>
  </si>
  <si>
    <t>Little Peppertree Preschool</t>
  </si>
  <si>
    <t>03-3133440</t>
  </si>
  <si>
    <t>74 East Belt</t>
  </si>
  <si>
    <t>Kindercare Learning Centres - Riccarton</t>
  </si>
  <si>
    <t>03-3432785</t>
  </si>
  <si>
    <t>clyde@kindercare.co.nz</t>
  </si>
  <si>
    <t>7 Clyde Road</t>
  </si>
  <si>
    <t>Bush Inn</t>
  </si>
  <si>
    <t>Kylee Tindall</t>
  </si>
  <si>
    <t>Estuary Road Preschool</t>
  </si>
  <si>
    <t>03-3885889</t>
  </si>
  <si>
    <t>manager@estuaryroadpreschool.co.nz</t>
  </si>
  <si>
    <t>148 Estuary Road</t>
  </si>
  <si>
    <t>Te Kōhanga Reo o Wharekauri</t>
  </si>
  <si>
    <t>03-305 0329</t>
  </si>
  <si>
    <t>North Road</t>
  </si>
  <si>
    <t>Chatham Islands</t>
  </si>
  <si>
    <t>Chatham Islands Territory</t>
  </si>
  <si>
    <t>Area Outside Region</t>
  </si>
  <si>
    <t>Te Kōhanga Reo o Ōterepo</t>
  </si>
  <si>
    <t>03-365 3846</t>
  </si>
  <si>
    <t>45 Hassals Lane</t>
  </si>
  <si>
    <t>Te Kōhanga Reo o Rangiora</t>
  </si>
  <si>
    <t>03-313 4370</t>
  </si>
  <si>
    <t>51 Ivory Street</t>
  </si>
  <si>
    <t>Te Kōhanga Reo o Te Hohepa</t>
  </si>
  <si>
    <t>03-365 3932</t>
  </si>
  <si>
    <t>34 Phillips Street</t>
  </si>
  <si>
    <t>Te Kōhanga Reo o Te Horomako o Te Huruhuru</t>
  </si>
  <si>
    <t>03-349 6879</t>
  </si>
  <si>
    <t>4 Gregory Avenue</t>
  </si>
  <si>
    <t>Islington-Christchurch</t>
  </si>
  <si>
    <t>Islington</t>
  </si>
  <si>
    <t>Te Kōhanga Reo o Te Whānau Tahi</t>
  </si>
  <si>
    <t>03-335 0185</t>
  </si>
  <si>
    <t>WHANAU@K10B006.kohanga.ac.nz</t>
  </si>
  <si>
    <t>48 Rowley Avenue</t>
  </si>
  <si>
    <t>Te Kōhanga Reo o Te Kotahitanga Ki Waitaha</t>
  </si>
  <si>
    <t>03-388 8118</t>
  </si>
  <si>
    <t>24 Ventor Crescent</t>
  </si>
  <si>
    <t>Pioneers Home Southern</t>
  </si>
  <si>
    <t>03-4563213</t>
  </si>
  <si>
    <t>info@pioneers.co.nz</t>
  </si>
  <si>
    <t>5 Cavell Street</t>
  </si>
  <si>
    <t>Katharine Heath-Collins</t>
  </si>
  <si>
    <t>Aspiring Beginnings Early Learning Centre</t>
  </si>
  <si>
    <t>03-4431181</t>
  </si>
  <si>
    <t>admin@aspiringbeginnings.co.nz</t>
  </si>
  <si>
    <t>120 Warren Street</t>
  </si>
  <si>
    <t>Kylie Cameron</t>
  </si>
  <si>
    <t>Family Ties Educare - Musselburgh</t>
  </si>
  <si>
    <t>03-4556045</t>
  </si>
  <si>
    <t>familytiespreschool@gmail.com</t>
  </si>
  <si>
    <t>122 Musselburgh Rise</t>
  </si>
  <si>
    <t>Melissa Henderson</t>
  </si>
  <si>
    <t>29 Pacific Street</t>
  </si>
  <si>
    <t>03-4675307</t>
  </si>
  <si>
    <t>Arthur Burns Preschool</t>
  </si>
  <si>
    <t>03-4890241</t>
  </si>
  <si>
    <t>office@arthurburns.nz</t>
  </si>
  <si>
    <t>4A Gretna Place</t>
  </si>
  <si>
    <t>Lynette Pool</t>
  </si>
  <si>
    <t>4a Gretna Place</t>
  </si>
  <si>
    <t>03-4847147</t>
  </si>
  <si>
    <t>Goldfields Kindergarten</t>
  </si>
  <si>
    <t>goldfields@wmkindergartens.org.nz</t>
  </si>
  <si>
    <t>62 Whitehaven Street</t>
  </si>
  <si>
    <t>Lawrence</t>
  </si>
  <si>
    <t>Tuapeka</t>
  </si>
  <si>
    <t>Lawrence-Tuapeka Ward</t>
  </si>
  <si>
    <t>Montessori Children's House Wanaka</t>
  </si>
  <si>
    <t>03-4438389</t>
  </si>
  <si>
    <t>annemarie.love@mchw.co.nz</t>
  </si>
  <si>
    <t>122 Kings Drive</t>
  </si>
  <si>
    <t>Anne-Marie Love</t>
  </si>
  <si>
    <t>03-443 8389</t>
  </si>
  <si>
    <t>Pioneers Koputai</t>
  </si>
  <si>
    <t>03-4727943</t>
  </si>
  <si>
    <t>katharine.heathcollins@pioneers.co.nz</t>
  </si>
  <si>
    <t>28 Albertson Ave</t>
  </si>
  <si>
    <t>Drummond Rural Kindergarten</t>
  </si>
  <si>
    <t>03-2362828</t>
  </si>
  <si>
    <t>drummondk@ska.co.nz</t>
  </si>
  <si>
    <t>Drummond</t>
  </si>
  <si>
    <t>Ōtautau</t>
  </si>
  <si>
    <t>Longbush Rural Kindergarten</t>
  </si>
  <si>
    <t>03-2313148</t>
  </si>
  <si>
    <t>longbush@ska.co.nz</t>
  </si>
  <si>
    <t>1069 Highway 1</t>
  </si>
  <si>
    <t>Longbush-Invercargill</t>
  </si>
  <si>
    <t>BestStart Mosgiel</t>
  </si>
  <si>
    <t>03-4891920</t>
  </si>
  <si>
    <t>mosgiel@best-start.org</t>
  </si>
  <si>
    <t>52 Bush Road</t>
  </si>
  <si>
    <t>Bush Road</t>
  </si>
  <si>
    <t>BestStart Montessori The Gardens</t>
  </si>
  <si>
    <t>03-4737630</t>
  </si>
  <si>
    <t>mont.gardens@best-start.org</t>
  </si>
  <si>
    <t>5 Chambers Street</t>
  </si>
  <si>
    <t>North East Valley Knox</t>
  </si>
  <si>
    <t>Waianiwa Kindergarten</t>
  </si>
  <si>
    <t>03-2352277</t>
  </si>
  <si>
    <t>waianiwacommunitykindergarten@gmail.com</t>
  </si>
  <si>
    <t>54 Weir Road</t>
  </si>
  <si>
    <t>Waianiwa</t>
  </si>
  <si>
    <t>City Heights Montessori</t>
  </si>
  <si>
    <t>03-4774532</t>
  </si>
  <si>
    <t>admin@cityheights.ac.nz</t>
  </si>
  <si>
    <t>254 York Place</t>
  </si>
  <si>
    <t>Arthur Street</t>
  </si>
  <si>
    <t>Maria del Rocio Cepero Vazquet</t>
  </si>
  <si>
    <t>15 Cawdor Place</t>
  </si>
  <si>
    <t>Teviot Valley Educare Centre Inc</t>
  </si>
  <si>
    <t>03-4468505</t>
  </si>
  <si>
    <t>tvec@xtra.co.nz</t>
  </si>
  <si>
    <t>2 Hawick Street</t>
  </si>
  <si>
    <t>Roxburgh</t>
  </si>
  <si>
    <t>Teviot Valley</t>
  </si>
  <si>
    <t>Teviot Valley Ward</t>
  </si>
  <si>
    <t>Connie Davidson</t>
  </si>
  <si>
    <t>Roxburgh 9500</t>
  </si>
  <si>
    <t>027-362 2157</t>
  </si>
  <si>
    <t>Cromwell Early Learning Centre Inc</t>
  </si>
  <si>
    <t>03-4450095</t>
  </si>
  <si>
    <t>celci@xtra.co.nz</t>
  </si>
  <si>
    <t>53 Monaghan Street</t>
  </si>
  <si>
    <t>Lisa Lowrey</t>
  </si>
  <si>
    <t>03-4451837</t>
  </si>
  <si>
    <t>BestStart Balclutha</t>
  </si>
  <si>
    <t>03-4180052</t>
  </si>
  <si>
    <t>balclutha@best-start.org</t>
  </si>
  <si>
    <t>83 Charlotte Street</t>
  </si>
  <si>
    <t>Busy Bodies Childcare Limited</t>
  </si>
  <si>
    <t>03-2147777</t>
  </si>
  <si>
    <t>gamblerobyn64@gmail.com</t>
  </si>
  <si>
    <t>11 Elizabeth Street</t>
  </si>
  <si>
    <t>Robyn  Gamble</t>
  </si>
  <si>
    <t>Appleby</t>
  </si>
  <si>
    <t>03-214 7777</t>
  </si>
  <si>
    <t>BestStart Waihopai Kindy</t>
  </si>
  <si>
    <t>03-9296109</t>
  </si>
  <si>
    <t>waihopai.kindy@best-start.org</t>
  </si>
  <si>
    <t>168 Kelvin Street</t>
  </si>
  <si>
    <t>Dunstan Educare</t>
  </si>
  <si>
    <t>03-4486164</t>
  </si>
  <si>
    <t>info@dunstaneducare.co.nz</t>
  </si>
  <si>
    <t>25 Ngapara Street</t>
  </si>
  <si>
    <t>Linley Hattrill</t>
  </si>
  <si>
    <t>Alexandra 9320</t>
  </si>
  <si>
    <t>Barnardos Early Learning Centre Cromwell</t>
  </si>
  <si>
    <t>03-4454728</t>
  </si>
  <si>
    <t>cromwell.elc@barnardos.org.nz</t>
  </si>
  <si>
    <t>25 A Gilling Place</t>
  </si>
  <si>
    <t>Jayne McInnes</t>
  </si>
  <si>
    <t>City Impact Church Queenstown Early Childhood Centre</t>
  </si>
  <si>
    <t>03-4423025</t>
  </si>
  <si>
    <t>3 Hansen Road</t>
  </si>
  <si>
    <t>Quail Rise</t>
  </si>
  <si>
    <t>Chloe Jacobs</t>
  </si>
  <si>
    <t>P O Box 875</t>
  </si>
  <si>
    <t>Queenstown 9304</t>
  </si>
  <si>
    <t>021-937535</t>
  </si>
  <si>
    <t>Edubase Otago/ Southland</t>
  </si>
  <si>
    <t>admin@edubase.co.nz</t>
  </si>
  <si>
    <t>31 Police Street</t>
  </si>
  <si>
    <t>Linda Varney</t>
  </si>
  <si>
    <t>027-270 2274</t>
  </si>
  <si>
    <t>City Heights Montessori 2</t>
  </si>
  <si>
    <t>St Clair Corner Infants and Toddlers Centre Ltd</t>
  </si>
  <si>
    <t>03-4556405</t>
  </si>
  <si>
    <t>melissa@stclaircorner.co.nz</t>
  </si>
  <si>
    <t>277 Macandrew Road</t>
  </si>
  <si>
    <t>Melissa Hobbs</t>
  </si>
  <si>
    <t>P O Box 2298</t>
  </si>
  <si>
    <t>Dunedin 9044</t>
  </si>
  <si>
    <t>Jade-Star Childcare and Learning Centre</t>
  </si>
  <si>
    <t>03-4562957</t>
  </si>
  <si>
    <t>jscc@xtra.co.nz</t>
  </si>
  <si>
    <t>214-216 South Road</t>
  </si>
  <si>
    <t>Andrena King</t>
  </si>
  <si>
    <t>214/216 South Road</t>
  </si>
  <si>
    <t>03-4898621</t>
  </si>
  <si>
    <t>Kidsfirst Kindergartens Hawea</t>
  </si>
  <si>
    <t>03-4436192</t>
  </si>
  <si>
    <t>hawea@kidsfirst.org.nz</t>
  </si>
  <si>
    <t>6 St. Ninnians Way</t>
  </si>
  <si>
    <t>Hawea Flat</t>
  </si>
  <si>
    <t>Upper Clutha Valley</t>
  </si>
  <si>
    <t>Learning Links Palmerston</t>
  </si>
  <si>
    <t>03-4651714</t>
  </si>
  <si>
    <t>manager.LLPM@learninglinkschildcare.co.nz</t>
  </si>
  <si>
    <t>15 Sanday Street</t>
  </si>
  <si>
    <t>Palmerston</t>
  </si>
  <si>
    <t>Waihemo Ward</t>
  </si>
  <si>
    <t>Debbie Nicholls</t>
  </si>
  <si>
    <t>PO Box 28113</t>
  </si>
  <si>
    <t>Oamaru Playcentre</t>
  </si>
  <si>
    <t>03-448 6903</t>
  </si>
  <si>
    <t>12 Trent Street</t>
  </si>
  <si>
    <t>KidzWay Early Learning Centre</t>
  </si>
  <si>
    <t>027-2321692</t>
  </si>
  <si>
    <t>admin@kidzway.co.nz</t>
  </si>
  <si>
    <t>22-26 Northumberland Street</t>
  </si>
  <si>
    <t>Tapanui</t>
  </si>
  <si>
    <t>West Otago</t>
  </si>
  <si>
    <t>West Otago Ward</t>
  </si>
  <si>
    <t>Michelle Nicol</t>
  </si>
  <si>
    <t>Tapanui 9522</t>
  </si>
  <si>
    <t>Pomahaka Kāhui Ako</t>
  </si>
  <si>
    <t>Cardrona Nursery &amp; Ski Kindy</t>
  </si>
  <si>
    <t>03-4199134 Ext 734</t>
  </si>
  <si>
    <t>liz.nelson@cardrona.com</t>
  </si>
  <si>
    <t>Cardrona Alpine Resort Ltd Cardrona Valley Road</t>
  </si>
  <si>
    <t>Cardrona</t>
  </si>
  <si>
    <t>Liz Nelson</t>
  </si>
  <si>
    <t>Wanaka 9343</t>
  </si>
  <si>
    <t>03-4437341 Ext 734</t>
  </si>
  <si>
    <t>Wild Things (Four)</t>
  </si>
  <si>
    <t>Little Wonders Cromwell</t>
  </si>
  <si>
    <t>03-4454550</t>
  </si>
  <si>
    <t>cm.cromwell@littlewonders.nz</t>
  </si>
  <si>
    <t>102 Barry Avenue</t>
  </si>
  <si>
    <t>Susan Wilson</t>
  </si>
  <si>
    <t>03-455 4550</t>
  </si>
  <si>
    <t>Little Wonders St Kilda</t>
  </si>
  <si>
    <t>03-455 3337</t>
  </si>
  <si>
    <t>146A Victoria Road</t>
  </si>
  <si>
    <t>St Kilda South</t>
  </si>
  <si>
    <t>Dale Neill</t>
  </si>
  <si>
    <t>BestStart Montessori Mosgiel</t>
  </si>
  <si>
    <t>03-489 0434</t>
  </si>
  <si>
    <t>mont.mosgiel@best-start.org</t>
  </si>
  <si>
    <t>65 Murray Street</t>
  </si>
  <si>
    <t>Little Wonders Oamaru</t>
  </si>
  <si>
    <t>28 Nen Street</t>
  </si>
  <si>
    <t>Angela Morgan</t>
  </si>
  <si>
    <t>Whitestone Kāhui Ako</t>
  </si>
  <si>
    <t>Balclutha Playcentre</t>
  </si>
  <si>
    <t>027-8805497</t>
  </si>
  <si>
    <t>nikki.gallagher@playcentre.org.nz</t>
  </si>
  <si>
    <t>35 Lowestoft Street</t>
  </si>
  <si>
    <t>Balclutha North</t>
  </si>
  <si>
    <t>Blueskin Playcentre</t>
  </si>
  <si>
    <t>Waitati School Old North Road</t>
  </si>
  <si>
    <t>Waitati</t>
  </si>
  <si>
    <t>Mount Cargill</t>
  </si>
  <si>
    <t>Clinton Playcentre</t>
  </si>
  <si>
    <t>11 Manse Street</t>
  </si>
  <si>
    <t>Clyde Playcentre</t>
  </si>
  <si>
    <t>027-8802427</t>
  </si>
  <si>
    <t>38 Fache Street</t>
  </si>
  <si>
    <t>Clyde</t>
  </si>
  <si>
    <t>Shannon Hewson</t>
  </si>
  <si>
    <t>027-8805253</t>
  </si>
  <si>
    <t>Lower Waitaki Playcentre</t>
  </si>
  <si>
    <t>15 KRD State Highway 83, Pukeu</t>
  </si>
  <si>
    <t>Ngapara</t>
  </si>
  <si>
    <t>Macandrew Bay Playcentre</t>
  </si>
  <si>
    <t>4 Conway Street</t>
  </si>
  <si>
    <t>Macandrew Bay</t>
  </si>
  <si>
    <t>Macandrew Bay-Company Bay</t>
  </si>
  <si>
    <t>Mornington Playcentre</t>
  </si>
  <si>
    <t>37 Durham Street</t>
  </si>
  <si>
    <t>Mosgiel Playcentre</t>
  </si>
  <si>
    <t>Nikki.Gallagher@playcentre.org.nz</t>
  </si>
  <si>
    <t>79 Argyle Street</t>
  </si>
  <si>
    <t>Omakau &amp; Districts Playcentre</t>
  </si>
  <si>
    <t>021-02759092</t>
  </si>
  <si>
    <t>Swindon Street</t>
  </si>
  <si>
    <t>Ophir</t>
  </si>
  <si>
    <t>Manuherikia-Ida Valleys</t>
  </si>
  <si>
    <t>Opoho Playcentre</t>
  </si>
  <si>
    <t>28 A Signal Hill Road</t>
  </si>
  <si>
    <t>Opoho</t>
  </si>
  <si>
    <t>Outram Playcentre</t>
  </si>
  <si>
    <t>9 Beaumaris Street</t>
  </si>
  <si>
    <t>Outram</t>
  </si>
  <si>
    <t>Momona</t>
  </si>
  <si>
    <t>Palmerston Playcentre</t>
  </si>
  <si>
    <t>27 Stour Street</t>
  </si>
  <si>
    <t>Roslyn/Maori Hill Playcentre</t>
  </si>
  <si>
    <t>Tyne Street</t>
  </si>
  <si>
    <t>Roslyn (Dunedin City)</t>
  </si>
  <si>
    <t>St Leonards Playcentre</t>
  </si>
  <si>
    <t>1 Pukeko Street</t>
  </si>
  <si>
    <t>St Leonards-Dunedin</t>
  </si>
  <si>
    <t>Ravensbourne-St Leonards</t>
  </si>
  <si>
    <t>Sawyers Bay Playcentre</t>
  </si>
  <si>
    <t>4 Station Road</t>
  </si>
  <si>
    <t>Sawyers Bay</t>
  </si>
  <si>
    <t>Roseneath-Sawyers Bay</t>
  </si>
  <si>
    <t>Waikouaiti Playcentre</t>
  </si>
  <si>
    <t>6 Mcgregor Street</t>
  </si>
  <si>
    <t>Waikouaiti</t>
  </si>
  <si>
    <t>Weston Playcentre</t>
  </si>
  <si>
    <t>03-4486903</t>
  </si>
  <si>
    <t>2 Airedale Road</t>
  </si>
  <si>
    <t>Weston</t>
  </si>
  <si>
    <t>Kopuwai Early Learning Centre</t>
  </si>
  <si>
    <t>021-1297994</t>
  </si>
  <si>
    <t>centremanager@kopuwai.co.nz</t>
  </si>
  <si>
    <t>32 Marslin Street</t>
  </si>
  <si>
    <t xml:space="preserve">NICOLA CLOUSTON </t>
  </si>
  <si>
    <t>32 Marslin Street Alexandra</t>
  </si>
  <si>
    <t>Central Otago 9320</t>
  </si>
  <si>
    <t>Andersons Bay Community Kindergarten</t>
  </si>
  <si>
    <t>03-454 2242</t>
  </si>
  <si>
    <t>info@andybaykindy.co.nz</t>
  </si>
  <si>
    <t>56 Jeffery Street</t>
  </si>
  <si>
    <t>03-4542242</t>
  </si>
  <si>
    <t>Little Citizens Early Learning Centre</t>
  </si>
  <si>
    <t>03-4663223</t>
  </si>
  <si>
    <t>laurab@mmsouth.org.nz</t>
  </si>
  <si>
    <t>158 Oxford Street</t>
  </si>
  <si>
    <t>Katee Thomas</t>
  </si>
  <si>
    <t>P O Box 2391</t>
  </si>
  <si>
    <t>Molyneux Educare Inc</t>
  </si>
  <si>
    <t>03-4450632</t>
  </si>
  <si>
    <t>admin@molyneuxeducare.co.nz</t>
  </si>
  <si>
    <t>17 Molyneux Avenue</t>
  </si>
  <si>
    <t>Nicole-Maree Shaw</t>
  </si>
  <si>
    <t>Dunedin 9310</t>
  </si>
  <si>
    <t>03-4420632</t>
  </si>
  <si>
    <t>Islington Early Childhood Centre Inc</t>
  </si>
  <si>
    <t>03-4737490</t>
  </si>
  <si>
    <t>islington.ecc@gmail.com</t>
  </si>
  <si>
    <t>16 A Islington Street</t>
  </si>
  <si>
    <t>Sarah Begg</t>
  </si>
  <si>
    <t>Dunedin Hospital Early Childhood Centre</t>
  </si>
  <si>
    <t>sally.ensor@southerndhb.govt.nz</t>
  </si>
  <si>
    <t>Ground Floor, Children's Pavilion Hanover Street</t>
  </si>
  <si>
    <t>Pioneers Russell Street &amp; Nursery</t>
  </si>
  <si>
    <t>03-4777902</t>
  </si>
  <si>
    <t>76 Russell Street</t>
  </si>
  <si>
    <t>East Taieri Preschool Inc</t>
  </si>
  <si>
    <t>03-489 6666</t>
  </si>
  <si>
    <t>office@easttaieripreschool.co.nz</t>
  </si>
  <si>
    <t>13 Cemetery Road</t>
  </si>
  <si>
    <t>Lynette Cameron</t>
  </si>
  <si>
    <t>P O Box 301</t>
  </si>
  <si>
    <t>027-6007387</t>
  </si>
  <si>
    <t>Pioneers Elm Row</t>
  </si>
  <si>
    <t>03-4770950</t>
  </si>
  <si>
    <t>86 Elm Row</t>
  </si>
  <si>
    <t>Dunedin Rudolf Steiner Kindergarten</t>
  </si>
  <si>
    <t>03-4712163</t>
  </si>
  <si>
    <t>office@dunedinsteiner.nz</t>
  </si>
  <si>
    <t>1 Fern Road</t>
  </si>
  <si>
    <t>Maia</t>
  </si>
  <si>
    <t>Hannah Reiher</t>
  </si>
  <si>
    <t>Dunedin 9022</t>
  </si>
  <si>
    <t>027-3732223</t>
  </si>
  <si>
    <t>Big Steps Educare Inc</t>
  </si>
  <si>
    <t>03-4657319</t>
  </si>
  <si>
    <t>bigsteps@xtra.co.nz</t>
  </si>
  <si>
    <t>5 Mcgregor Street</t>
  </si>
  <si>
    <t>Sheryl Ollerenshaw</t>
  </si>
  <si>
    <t>5 McGregor Street</t>
  </si>
  <si>
    <t>Dunedin 9510</t>
  </si>
  <si>
    <t>027-3189404</t>
  </si>
  <si>
    <t>Bunny Burrows Limited</t>
  </si>
  <si>
    <t>03-455 5066</t>
  </si>
  <si>
    <t>jason@bunnyburrows.co.nz</t>
  </si>
  <si>
    <t>39 Queens Drive</t>
  </si>
  <si>
    <t>Jason King</t>
  </si>
  <si>
    <t>24A Murray Street</t>
  </si>
  <si>
    <t>021-829768</t>
  </si>
  <si>
    <t>Otago Childcare Centre Inc</t>
  </si>
  <si>
    <t>03-4777684</t>
  </si>
  <si>
    <t>manager@otagochildcare.co.nz</t>
  </si>
  <si>
    <t>22 Ross Street</t>
  </si>
  <si>
    <t>Teresa Robertson</t>
  </si>
  <si>
    <t>Otago University Childcare Association - Te Pā</t>
  </si>
  <si>
    <t>03-7421080</t>
  </si>
  <si>
    <t>ouca.office@otago.ac.nz</t>
  </si>
  <si>
    <t>551 Castle Street</t>
  </si>
  <si>
    <t>Campus North</t>
  </si>
  <si>
    <t>Karen Hurst</t>
  </si>
  <si>
    <t>P O Box 6162</t>
  </si>
  <si>
    <t>Dunedin 9059</t>
  </si>
  <si>
    <t>Queens Preschool</t>
  </si>
  <si>
    <t>03-4558571</t>
  </si>
  <si>
    <t>queenspreschool@outlook.com</t>
  </si>
  <si>
    <t>195 Surrey Street</t>
  </si>
  <si>
    <t>Sandra Adams</t>
  </si>
  <si>
    <t>P O Box 2278</t>
  </si>
  <si>
    <t>Rainbow Preschool</t>
  </si>
  <si>
    <t>03-4556281</t>
  </si>
  <si>
    <t>rainbowpreschooldn@gmail.com</t>
  </si>
  <si>
    <t>414 King Edward Street</t>
  </si>
  <si>
    <t>Barbara Samson</t>
  </si>
  <si>
    <t>P O Box 4022</t>
  </si>
  <si>
    <t>Saint Kilda</t>
  </si>
  <si>
    <t>03-455 6281</t>
  </si>
  <si>
    <t>St Clair Kindergarten</t>
  </si>
  <si>
    <t>03-4558536</t>
  </si>
  <si>
    <t>51 Albert Street</t>
  </si>
  <si>
    <t>Green Street Early Learning Centre</t>
  </si>
  <si>
    <t>03-4895960</t>
  </si>
  <si>
    <t>greenstreet@greenst.co.nz</t>
  </si>
  <si>
    <t>Joanne Higgs</t>
  </si>
  <si>
    <t>03-489 5960</t>
  </si>
  <si>
    <t>York Place Preschool &amp; Nursery</t>
  </si>
  <si>
    <t>03-4771755</t>
  </si>
  <si>
    <t>admin@yorkplace.co.nz</t>
  </si>
  <si>
    <t>95 York Place</t>
  </si>
  <si>
    <t>Royal Terrace</t>
  </si>
  <si>
    <t>Sarah Pleace</t>
  </si>
  <si>
    <t>12 Mitchell Ave</t>
  </si>
  <si>
    <t>Dunedin 9011</t>
  </si>
  <si>
    <t>03-4531140</t>
  </si>
  <si>
    <t>Wanaka Pre-School Early Childhood Centre</t>
  </si>
  <si>
    <t>03-4437090</t>
  </si>
  <si>
    <t>info@wanakapre.school.nz</t>
  </si>
  <si>
    <t>106 Tenby Street</t>
  </si>
  <si>
    <t>Laurie Stevenson</t>
  </si>
  <si>
    <t>St Clair Corner Early Learning Centre</t>
  </si>
  <si>
    <t>283 Macandrew Road</t>
  </si>
  <si>
    <t>Montessori House Casa dei Bambini</t>
  </si>
  <si>
    <t>montessorihouse@xtra.co.nz</t>
  </si>
  <si>
    <t>23 Nairn Street</t>
  </si>
  <si>
    <t>Tokomairiro Early Learning Centre Inc</t>
  </si>
  <si>
    <t>03-4178180</t>
  </si>
  <si>
    <t>Te Kōhanga Reo O Whakaari</t>
  </si>
  <si>
    <t>03-476 4645</t>
  </si>
  <si>
    <t>263 A Brockville Road</t>
  </si>
  <si>
    <t>Polykids</t>
  </si>
  <si>
    <t>03-4796169</t>
  </si>
  <si>
    <t>Forth Street</t>
  </si>
  <si>
    <t>Myone Raynbird</t>
  </si>
  <si>
    <t>03-476 7721</t>
  </si>
  <si>
    <t>Barnardos Early Learning Home Based Southland One</t>
  </si>
  <si>
    <t>03-2147751 Ext 0</t>
  </si>
  <si>
    <t>rebecca.chatwin@barnardos.org.nz</t>
  </si>
  <si>
    <t>25A Gilling Place</t>
  </si>
  <si>
    <t>Shelley Cornish</t>
  </si>
  <si>
    <t>027-268 7617</t>
  </si>
  <si>
    <t>Play and Learn ECE - Fairfield</t>
  </si>
  <si>
    <t>03-4883121</t>
  </si>
  <si>
    <t>julz@playandlearn.net.nz</t>
  </si>
  <si>
    <t>23 Old Brighton Road</t>
  </si>
  <si>
    <t>Fairfield (Dunedin City)</t>
  </si>
  <si>
    <t>Juliet O'Neill</t>
  </si>
  <si>
    <t>021-805766</t>
  </si>
  <si>
    <t>Barnardos Early Learning Centre Oamaru</t>
  </si>
  <si>
    <t>03-4349440</t>
  </si>
  <si>
    <t>oamaru.elc@barnardos.org.nz</t>
  </si>
  <si>
    <t>25 Trent Street</t>
  </si>
  <si>
    <t>Janine Presnall</t>
  </si>
  <si>
    <t>Pioneers Home Northern</t>
  </si>
  <si>
    <t>Otago University Childcare Association - College Centre</t>
  </si>
  <si>
    <t>03-4772299</t>
  </si>
  <si>
    <t>ouca.director@otago.ac.nz</t>
  </si>
  <si>
    <t>Union Street East</t>
  </si>
  <si>
    <t>Harbourside</t>
  </si>
  <si>
    <t>Te Kōhanga Reo Manaaki Tamariki</t>
  </si>
  <si>
    <t>03-455 2899</t>
  </si>
  <si>
    <t>217 A South Road</t>
  </si>
  <si>
    <t>Children's Play and Recreation Centre</t>
  </si>
  <si>
    <t>03-4709292 Ext 8184</t>
  </si>
  <si>
    <t>Dunedin Hospital Great King Street</t>
  </si>
  <si>
    <t>Shirley Bell</t>
  </si>
  <si>
    <t>Dunedin Hospital, Children's Play &amp; Recreation Private Bag 1921</t>
  </si>
  <si>
    <t>Dunedin 9054</t>
  </si>
  <si>
    <t>03-474 0999</t>
  </si>
  <si>
    <t>Punavai o le Atamai Preschool</t>
  </si>
  <si>
    <t>03-4560270</t>
  </si>
  <si>
    <t>punavai.ole.atamai@xtra.co.nz</t>
  </si>
  <si>
    <t>41 Macandrew Road</t>
  </si>
  <si>
    <t>Flora Evile</t>
  </si>
  <si>
    <t>19 Quarry Road</t>
  </si>
  <si>
    <t>Dunedin 9018</t>
  </si>
  <si>
    <t>Gladstone Pre-School</t>
  </si>
  <si>
    <t>03-2149303</t>
  </si>
  <si>
    <t>gladstonepreschool@xtra.co.nz</t>
  </si>
  <si>
    <t>20 Lewis Street</t>
  </si>
  <si>
    <t>Gladstone-Invercargill</t>
  </si>
  <si>
    <t>Anna Stewart</t>
  </si>
  <si>
    <t>Big River Educare</t>
  </si>
  <si>
    <t>03-4180821</t>
  </si>
  <si>
    <t>bigrivereducare@xtra.co.nz</t>
  </si>
  <si>
    <t>19 Wilson Road</t>
  </si>
  <si>
    <t>Philippa Geary</t>
  </si>
  <si>
    <t>Rosebank</t>
  </si>
  <si>
    <t>Balclutha 9230</t>
  </si>
  <si>
    <t>03-418 2289</t>
  </si>
  <si>
    <t>Waitaki Valley Preschool</t>
  </si>
  <si>
    <t>03-4360999</t>
  </si>
  <si>
    <t>manager@wvp.kiwi</t>
  </si>
  <si>
    <t>Settlement Road</t>
  </si>
  <si>
    <t>Kurow</t>
  </si>
  <si>
    <t>Danseys Pass</t>
  </si>
  <si>
    <t>Edwina Ryan</t>
  </si>
  <si>
    <t>Kurow 9435</t>
  </si>
  <si>
    <t>03-4360939</t>
  </si>
  <si>
    <t>BestStart Oamaru Kindy</t>
  </si>
  <si>
    <t>03-4345960</t>
  </si>
  <si>
    <t>22 Torridge Street</t>
  </si>
  <si>
    <t>South Oamaru</t>
  </si>
  <si>
    <t>Montessori House Casita dei Bambini</t>
  </si>
  <si>
    <t>03-4675968</t>
  </si>
  <si>
    <t>10 Beresford Street</t>
  </si>
  <si>
    <t>Balfour Playcentre</t>
  </si>
  <si>
    <t>0800-4883932</t>
  </si>
  <si>
    <t>balfour@playcentre.org.nz</t>
  </si>
  <si>
    <t>131 Queen Street</t>
  </si>
  <si>
    <t>Balfour</t>
  </si>
  <si>
    <t>Makarewa Playcentre</t>
  </si>
  <si>
    <t>03-214 2033</t>
  </si>
  <si>
    <t>makarewaplaycentre@hotmail.com</t>
  </si>
  <si>
    <t>Flora Road East</t>
  </si>
  <si>
    <t>Makarewa</t>
  </si>
  <si>
    <t>West Plains-Makarewa</t>
  </si>
  <si>
    <t>128 McMaster Street</t>
  </si>
  <si>
    <t>Ohai Playcentre</t>
  </si>
  <si>
    <t>ohaiplaycentre@gmail.com</t>
  </si>
  <si>
    <t>115 Birchwood Road</t>
  </si>
  <si>
    <t>Ohai</t>
  </si>
  <si>
    <t>Ōhai-Nightcaps</t>
  </si>
  <si>
    <t>Otautau Playcentre</t>
  </si>
  <si>
    <t>otautau@playcentre.org.nz</t>
  </si>
  <si>
    <t>100 Main Road</t>
  </si>
  <si>
    <t>Otautau</t>
  </si>
  <si>
    <t>Roslyn Bush Playcentre</t>
  </si>
  <si>
    <t>roslynbush@playcentre.org.nz</t>
  </si>
  <si>
    <t>Cnr Lorneville/Dacre Rd and Kennington/Roslyn Bush Rd</t>
  </si>
  <si>
    <t>Grove Bush</t>
  </si>
  <si>
    <t>Judy  Hinton</t>
  </si>
  <si>
    <t>Waihopai Playcentre</t>
  </si>
  <si>
    <t>waihopaiplaycentre@gmail.com</t>
  </si>
  <si>
    <t>98 Layard Street</t>
  </si>
  <si>
    <t>Rosedale-Hargest</t>
  </si>
  <si>
    <t>Wyndham Playcentre</t>
  </si>
  <si>
    <t>021-1720565</t>
  </si>
  <si>
    <t>Wyndham</t>
  </si>
  <si>
    <t>Wyndham-Catlins</t>
  </si>
  <si>
    <t>Wakatipu Playcentre</t>
  </si>
  <si>
    <t>03-4423354</t>
  </si>
  <si>
    <t>49 Red Oaks Drive</t>
  </si>
  <si>
    <t>Queenstown Playcentre</t>
  </si>
  <si>
    <t>027-8803317</t>
  </si>
  <si>
    <t>Queenstown Primary School Robins Road</t>
  </si>
  <si>
    <t>Judith Hinton</t>
  </si>
  <si>
    <t>BestStart Kelvin Street</t>
  </si>
  <si>
    <t>03-2186255</t>
  </si>
  <si>
    <t>Kelvin@best-start.org</t>
  </si>
  <si>
    <t>174 Kelvin Street</t>
  </si>
  <si>
    <t>Te Rourou Whakatipuranga O Awarua</t>
  </si>
  <si>
    <t xml:space="preserve">03-212 8866 </t>
  </si>
  <si>
    <t>echmanager@awarua.org.nz</t>
  </si>
  <si>
    <t>Cnr Henderson &amp; Elizabeth Streets</t>
  </si>
  <si>
    <t>Andria Cross</t>
  </si>
  <si>
    <t>P O Box 122</t>
  </si>
  <si>
    <t>Invercargill 9842</t>
  </si>
  <si>
    <t>03-212 8866</t>
  </si>
  <si>
    <t>The Cottage Kindergarten</t>
  </si>
  <si>
    <t>03-2188269</t>
  </si>
  <si>
    <t>thecottage@ska.co.nz</t>
  </si>
  <si>
    <t>74 Bowmont Street</t>
  </si>
  <si>
    <t>Skiwiland Coronet Peak</t>
  </si>
  <si>
    <t>03-4424673</t>
  </si>
  <si>
    <t>sharon.cartman@coronetpeak.co.nz</t>
  </si>
  <si>
    <t>Coronet Peak Ski Area P O Box 359</t>
  </si>
  <si>
    <t>Fernhill-Queenstown</t>
  </si>
  <si>
    <t>Outer Wakatipu</t>
  </si>
  <si>
    <t>Christine Law</t>
  </si>
  <si>
    <t>Methven 7745</t>
  </si>
  <si>
    <t>021-0304239</t>
  </si>
  <si>
    <t>CAS Early Learning Centre</t>
  </si>
  <si>
    <t>03-2159944</t>
  </si>
  <si>
    <t>cas09@xtra.co.nz</t>
  </si>
  <si>
    <t>12 Renfrew Street</t>
  </si>
  <si>
    <t>Sharyn Cook</t>
  </si>
  <si>
    <t>03 2159944</t>
  </si>
  <si>
    <t>S I T Early Childhood Centre</t>
  </si>
  <si>
    <t>03-2183604</t>
  </si>
  <si>
    <t>nikki.ross@sit.ac.nz</t>
  </si>
  <si>
    <t>165 Eye Street</t>
  </si>
  <si>
    <t>Nikki Ross</t>
  </si>
  <si>
    <t>03-218 3604</t>
  </si>
  <si>
    <t>Queenstown Preschool and Nursery</t>
  </si>
  <si>
    <t>03-4429217</t>
  </si>
  <si>
    <t>office@qpn.co.nz</t>
  </si>
  <si>
    <t>45 Brecon Street</t>
  </si>
  <si>
    <t>Jasmine Singer</t>
  </si>
  <si>
    <t>Queenstown 9300</t>
  </si>
  <si>
    <t>Te Anau Childcare Centre Inc</t>
  </si>
  <si>
    <t>03-2497858</t>
  </si>
  <si>
    <t>info@southernstars.co.nz</t>
  </si>
  <si>
    <t>18 Luxmore Drive</t>
  </si>
  <si>
    <t>Rebecca Ashman</t>
  </si>
  <si>
    <t>Invercargill 9600</t>
  </si>
  <si>
    <t>028-4666478</t>
  </si>
  <si>
    <t>Waikiwi Childcare &amp; Preschool</t>
  </si>
  <si>
    <t>03-2159984</t>
  </si>
  <si>
    <t>waikiwipreschool@xtra.co.nz</t>
  </si>
  <si>
    <t>11 Ruru Street</t>
  </si>
  <si>
    <t>Katrina Anderson</t>
  </si>
  <si>
    <t>03-215 9984</t>
  </si>
  <si>
    <t>Arrowtown Preschool Durham Street</t>
  </si>
  <si>
    <t>03-4421416</t>
  </si>
  <si>
    <t>20 Durham Street</t>
  </si>
  <si>
    <t>BestStart Montessori Arrowtown</t>
  </si>
  <si>
    <t>03-4420032</t>
  </si>
  <si>
    <t>mont.arrowtown@best-start.org</t>
  </si>
  <si>
    <t>16 Wiltshire Street</t>
  </si>
  <si>
    <t>Children's Ward Playroom - Southland Hospital</t>
  </si>
  <si>
    <t>03-2181949</t>
  </si>
  <si>
    <t>Kew Road</t>
  </si>
  <si>
    <t>Marie Irvine</t>
  </si>
  <si>
    <t>P O Box 2541</t>
  </si>
  <si>
    <t>Kew</t>
  </si>
  <si>
    <t>03-2181949 Ext 6690</t>
  </si>
  <si>
    <t>Te Kōhanga Reo o Kimihia Te Mātauranga o Ngā Tūpuna</t>
  </si>
  <si>
    <t>03-217 3131</t>
  </si>
  <si>
    <t>93 Mary Street</t>
  </si>
  <si>
    <t>Te Kōhanga Reo o Te Ara Tika</t>
  </si>
  <si>
    <t>03-208 0343</t>
  </si>
  <si>
    <t>11 Hyde Street</t>
  </si>
  <si>
    <t>Gore South</t>
  </si>
  <si>
    <t>Te Kōhanga Reo Kia Ngāwari</t>
  </si>
  <si>
    <t>03-203 7460</t>
  </si>
  <si>
    <t>WHANAU@K10D054.kohanga.ac.nz</t>
  </si>
  <si>
    <t>106-108 Kana Street</t>
  </si>
  <si>
    <t>Te Kōhanga Reo o Ngā Hau e Whā</t>
  </si>
  <si>
    <t>03-218 8031</t>
  </si>
  <si>
    <t>98 Balmoral Drive</t>
  </si>
  <si>
    <t>Te Kōhanga Reo o Murihiku</t>
  </si>
  <si>
    <t>03-9730015</t>
  </si>
  <si>
    <t>Skye Street</t>
  </si>
  <si>
    <t>Te Kōhanga Reo o Tūmanako Rāwhiti</t>
  </si>
  <si>
    <t>03-216 1041</t>
  </si>
  <si>
    <t>28 Ottrey Street</t>
  </si>
  <si>
    <t>Te Kōhanga Reo o Te Rākau Kowhai o Ngā Tamariki</t>
  </si>
  <si>
    <t>03-215 8502</t>
  </si>
  <si>
    <t>18 Willis Street</t>
  </si>
  <si>
    <t>Aoga Amata Preschool 2020 Limited</t>
  </si>
  <si>
    <t>03-2164125</t>
  </si>
  <si>
    <t>aap2020limited@gmail.com</t>
  </si>
  <si>
    <t>87 Severn Street</t>
  </si>
  <si>
    <t>Clifton-Invercargill</t>
  </si>
  <si>
    <t>Sharlene Hamilton</t>
  </si>
  <si>
    <t>03-2140193</t>
  </si>
  <si>
    <t>Participation in licensed ECE services by Service Type, 2000-2024</t>
  </si>
  <si>
    <t/>
  </si>
  <si>
    <t>Correspondence School</t>
  </si>
  <si>
    <t>From education counts.</t>
  </si>
  <si>
    <t>Number of teaching staff by Qualification Status and Service Type, 2011-2024</t>
  </si>
  <si>
    <t>*Due to un-resolvable data quality issues in 2015, this year has been removed</t>
  </si>
  <si>
    <t>Not
 Qualified</t>
  </si>
  <si>
    <t>Qualified</t>
  </si>
  <si>
    <t>Casual
 Education &amp;
 Care</t>
  </si>
  <si>
    <t>Correspondence
 School</t>
  </si>
  <si>
    <t>.</t>
  </si>
  <si>
    <t>Education &amp;
 Care</t>
  </si>
  <si>
    <t>overall</t>
  </si>
  <si>
    <t>exc kindy</t>
  </si>
  <si>
    <t>E&amp;C</t>
  </si>
  <si>
    <t>Average qualified staff if calculated off annual proportions</t>
  </si>
  <si>
    <t>Average qualified staff if calculated off annual proportions (exc kindergartens)</t>
  </si>
  <si>
    <t>Mean qualified staff if calculated across all years in first instance</t>
  </si>
  <si>
    <t>Straight-line change in FTE from 2018-2023</t>
  </si>
  <si>
    <t>Exc kindy</t>
  </si>
  <si>
    <t>Difference</t>
  </si>
  <si>
    <t>Annual step</t>
  </si>
  <si>
    <t>Straight-line change into the future based on 2018-2023 change</t>
  </si>
  <si>
    <t>Participation in ECE 2021-2024</t>
  </si>
  <si>
    <t>From pivot table - set up to break market down by age and service type</t>
  </si>
  <si>
    <t>Copied into this file to support external review of methodology without requiring access to WDC sharepoint</t>
  </si>
  <si>
    <t>Correspondence School Total</t>
  </si>
  <si>
    <t>Education &amp; Care Total</t>
  </si>
  <si>
    <t>Home-based Total</t>
  </si>
  <si>
    <t>Kindergarten Total</t>
  </si>
  <si>
    <t>Kōhanga Reo Total</t>
  </si>
  <si>
    <t>Playcentre Total</t>
  </si>
  <si>
    <t>Grand Total</t>
  </si>
  <si>
    <t>1</t>
  </si>
  <si>
    <t>2</t>
  </si>
  <si>
    <t>3</t>
  </si>
  <si>
    <t>4</t>
  </si>
  <si>
    <t>5+</t>
  </si>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</sst>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00_-;\-* #,##0.00_-;_-* &quot;-&quot;??_-;_-@_-"/>
    <numFmt numFmtId="165" formatCode="_-* #,##0_-;\-* #,##0_-;_-* &quot;-&quot;??_-;_-@_-"/>
    <numFmt numFmtId="166" formatCode="###########0"/>
    <numFmt numFmtId="167" formatCode="#,###,###,###,###,###,###,##0"/>
    <numFmt numFmtId="168" formatCode="0.0%"/>
    <numFmt numFmtId="169" formatCode="0.000"/>
    <numFmt numFmtId="170" formatCode=";;"/>
    <numFmt numFmtId="171" formatCode="_-* #,##0.0_-;\-* #,##0.0_-;_-* &quot;-&quot;?_-;_-@_-"/>
  </numFmts>
  <fonts count="32">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i/>
      <sz val="11"/>
      <color theme="1"/>
      <name val="Aptos Narrow"/>
      <family val="2"/>
      <scheme val="minor"/>
    </font>
    <font>
      <b/>
      <i/>
      <sz val="11"/>
      <color theme="1"/>
      <name val="Aptos Narrow"/>
      <family val="2"/>
      <scheme val="minor"/>
    </font>
    <font>
      <sz val="8"/>
      <name val="Aptos Narrow"/>
      <family val="2"/>
      <scheme val="minor"/>
    </font>
    <font>
      <b/>
      <sz val="10"/>
      <color theme="0"/>
      <name val="Arial"/>
      <family val="2"/>
    </font>
    <font>
      <b/>
      <sz val="9.5"/>
      <color theme="0"/>
      <name val="Albany AMT"/>
    </font>
    <font>
      <sz val="9.5"/>
      <color theme="1" tint="0.34998626667073579"/>
      <name val="Albany AMT"/>
    </font>
    <font>
      <b/>
      <sz val="9.5"/>
      <color theme="1" tint="0.34998626667073579"/>
      <name val="Albany AMT"/>
    </font>
    <font>
      <sz val="9.5"/>
      <color theme="1"/>
      <name val="Albany AMT"/>
    </font>
    <font>
      <b/>
      <sz val="9.5"/>
      <color theme="1"/>
      <name val="Albany AMT"/>
    </font>
    <font>
      <sz val="11"/>
      <name val="Aptos Narrow"/>
      <family val="2"/>
      <scheme val="minor"/>
    </font>
    <font>
      <sz val="9.5"/>
      <color rgb="FF000000"/>
      <name val="Albany AMT"/>
    </font>
    <font>
      <b/>
      <sz val="9.5"/>
      <name val="Albany AMT"/>
    </font>
    <font>
      <sz val="11"/>
      <color theme="1"/>
      <name val="Aptos Narrow"/>
      <family val="2"/>
    </font>
    <font>
      <i/>
      <vertAlign val="superscript"/>
      <sz val="11"/>
      <color theme="1"/>
      <name val="Aptos Narrow"/>
      <family val="2"/>
      <scheme val="minor"/>
    </font>
    <font>
      <b/>
      <u/>
      <sz val="11"/>
      <color theme="1"/>
      <name val="Aptos Narrow"/>
      <family val="2"/>
      <scheme val="minor"/>
    </font>
    <font>
      <sz val="11"/>
      <color rgb="FF000000"/>
      <name val="Aptos Narrow"/>
      <family val="2"/>
    </font>
    <font>
      <b/>
      <sz val="16"/>
      <color theme="1"/>
      <name val="Aptos Narrow"/>
      <family val="2"/>
      <scheme val="minor"/>
    </font>
    <font>
      <b/>
      <i/>
      <sz val="9.5"/>
      <name val="Albany AMT"/>
    </font>
    <font>
      <b/>
      <i/>
      <sz val="12"/>
      <color rgb="FF000000"/>
      <name val="Arial"/>
      <family val="2"/>
    </font>
    <font>
      <sz val="10"/>
      <color rgb="FF000000"/>
      <name val="Arial"/>
      <family val="2"/>
    </font>
    <font>
      <sz val="9"/>
      <color indexed="81"/>
      <name val="Tahoma"/>
      <family val="2"/>
    </font>
    <font>
      <b/>
      <sz val="9"/>
      <color indexed="81"/>
      <name val="Tahoma"/>
      <family val="2"/>
    </font>
    <font>
      <sz val="11"/>
      <color theme="0"/>
      <name val="Aptos Narrow"/>
      <family val="2"/>
      <scheme val="minor"/>
    </font>
    <font>
      <sz val="10"/>
      <color rgb="FF000000"/>
      <name val="Tahoma"/>
      <family val="2"/>
    </font>
    <font>
      <b/>
      <sz val="10"/>
      <color rgb="FF000000"/>
      <name val="Tahoma"/>
      <family val="2"/>
    </font>
    <font>
      <sz val="11"/>
      <color theme="1"/>
      <name val="Aptos Narrow"/>
      <family val="2"/>
      <scheme val="minor"/>
    </font>
    <font>
      <b/>
      <sz val="9.5"/>
      <name val="Aptos Narrow"/>
      <family val="2"/>
      <scheme val="minor"/>
    </font>
    <font>
      <sz val="9.5"/>
      <color rgb="FF000000"/>
      <name val="Aptos Narrow"/>
      <family val="2"/>
      <scheme val="minor"/>
    </font>
  </fonts>
  <fills count="12">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CC"/>
        <bgColor indexed="64"/>
      </patternFill>
    </fill>
    <fill>
      <patternFill patternType="solid">
        <fgColor rgb="FF522953"/>
        <bgColor indexed="64"/>
      </patternFill>
    </fill>
    <fill>
      <patternFill patternType="solid">
        <fgColor rgb="FFFFFFFF"/>
        <bgColor indexed="64"/>
      </patternFill>
    </fill>
    <fill>
      <patternFill patternType="solid">
        <fgColor rgb="FFFAFBFE"/>
        <bgColor indexed="64"/>
      </patternFill>
    </fill>
    <fill>
      <patternFill patternType="solid">
        <fgColor rgb="FF7030A0"/>
        <bgColor indexed="64"/>
      </patternFill>
    </fill>
    <fill>
      <patternFill patternType="solid">
        <fgColor theme="4"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style="thin">
        <color indexed="64"/>
      </right>
      <top style="thin">
        <color indexed="64"/>
      </top>
      <bottom/>
      <diagonal/>
    </border>
    <border>
      <left style="thin">
        <color rgb="FFB0B7BB"/>
      </left>
      <right style="thin">
        <color rgb="FFB0B7BB"/>
      </right>
      <top style="thin">
        <color rgb="FFB0B7BB"/>
      </top>
      <bottom/>
      <diagonal/>
    </border>
    <border>
      <left style="thin">
        <color rgb="FFB0B7BB"/>
      </left>
      <right style="thin">
        <color rgb="FFB0B7BB"/>
      </right>
      <top style="thin">
        <color rgb="FFB0B7BB"/>
      </top>
      <bottom style="thin">
        <color rgb="FFB0B7BB"/>
      </bottom>
      <diagonal/>
    </border>
    <border>
      <left style="thin">
        <color rgb="FFB0B7BB"/>
      </left>
      <right style="thin">
        <color theme="1" tint="0.14999847407452621"/>
      </right>
      <top style="thin">
        <color rgb="FFB0B7BB"/>
      </top>
      <bottom style="thin">
        <color rgb="FFB0B7BB"/>
      </bottom>
      <diagonal/>
    </border>
    <border>
      <left/>
      <right style="thin">
        <color rgb="FFB0B7BB"/>
      </right>
      <top style="thin">
        <color rgb="FFB0B7BB"/>
      </top>
      <bottom style="thin">
        <color rgb="FFB0B7BB"/>
      </bottom>
      <diagonal/>
    </border>
    <border>
      <left style="thin">
        <color rgb="FFB0B7BB"/>
      </left>
      <right style="thin">
        <color rgb="FFB0B7BB"/>
      </right>
      <top/>
      <bottom style="thin">
        <color rgb="FFB0B7BB"/>
      </bottom>
      <diagonal/>
    </border>
    <border>
      <left style="thin">
        <color rgb="FFC1C1C1"/>
      </left>
      <right style="thin">
        <color rgb="FFC1C1C1"/>
      </right>
      <top style="thin">
        <color rgb="FFC1C1C1"/>
      </top>
      <bottom style="thin">
        <color rgb="FFC1C1C1"/>
      </bottom>
      <diagonal/>
    </border>
    <border>
      <left style="thin">
        <color rgb="FFC1C1C1"/>
      </left>
      <right style="thin">
        <color theme="1" tint="0.14999847407452621"/>
      </right>
      <top style="thin">
        <color rgb="FFC1C1C1"/>
      </top>
      <bottom style="thin">
        <color rgb="FFC1C1C1"/>
      </bottom>
      <diagonal/>
    </border>
    <border>
      <left/>
      <right style="thin">
        <color rgb="FFC1C1C1"/>
      </right>
      <top style="thin">
        <color rgb="FFC1C1C1"/>
      </top>
      <bottom style="thin">
        <color rgb="FFC1C1C1"/>
      </bottom>
      <diagonal/>
    </border>
    <border>
      <left style="thin">
        <color rgb="FFB0B7BB"/>
      </left>
      <right style="thin">
        <color rgb="FFB0B7BB"/>
      </right>
      <top/>
      <bottom/>
      <diagonal/>
    </border>
    <border>
      <left/>
      <right style="thin">
        <color indexed="64"/>
      </right>
      <top/>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xf numFmtId="0" fontId="14" fillId="0" borderId="0"/>
  </cellStyleXfs>
  <cellXfs count="196">
    <xf numFmtId="0" fontId="0" fillId="0" borderId="0" xfId="0"/>
    <xf numFmtId="0" fontId="2" fillId="0" borderId="0" xfId="0" applyFont="1"/>
    <xf numFmtId="10" fontId="0" fillId="0" borderId="0" xfId="0" applyNumberFormat="1"/>
    <xf numFmtId="10" fontId="0" fillId="0" borderId="0" xfId="2" applyNumberFormat="1" applyFont="1"/>
    <xf numFmtId="0" fontId="0" fillId="2" borderId="0" xfId="0" applyFill="1"/>
    <xf numFmtId="0" fontId="4" fillId="0" borderId="0" xfId="0" applyFont="1"/>
    <xf numFmtId="0" fontId="5" fillId="0" borderId="0" xfId="0" applyFont="1"/>
    <xf numFmtId="165" fontId="0" fillId="0" borderId="0" xfId="1" applyNumberFormat="1" applyFont="1"/>
    <xf numFmtId="165" fontId="2" fillId="0" borderId="0" xfId="1" applyNumberFormat="1" applyFont="1"/>
    <xf numFmtId="165" fontId="0" fillId="2" borderId="0" xfId="1" applyNumberFormat="1" applyFont="1" applyFill="1"/>
    <xf numFmtId="0" fontId="0" fillId="0" borderId="0" xfId="0" applyAlignment="1">
      <alignment vertical="top"/>
    </xf>
    <xf numFmtId="0" fontId="0" fillId="0" borderId="0" xfId="0" applyAlignment="1">
      <alignment vertical="top" wrapText="1"/>
    </xf>
    <xf numFmtId="49" fontId="0" fillId="0" borderId="0" xfId="0" applyNumberFormat="1"/>
    <xf numFmtId="9" fontId="0" fillId="0" borderId="0" xfId="0" applyNumberFormat="1"/>
    <xf numFmtId="2" fontId="0" fillId="0" borderId="0" xfId="2" applyNumberFormat="1" applyFont="1"/>
    <xf numFmtId="0" fontId="2" fillId="0" borderId="0" xfId="0" applyFont="1" applyAlignment="1">
      <alignment horizontal="center" vertical="center" wrapText="1"/>
    </xf>
    <xf numFmtId="0" fontId="5" fillId="0" borderId="0" xfId="0" applyFont="1" applyAlignment="1">
      <alignment horizontal="left"/>
    </xf>
    <xf numFmtId="0" fontId="2" fillId="0" borderId="4" xfId="0" applyFont="1" applyBorder="1"/>
    <xf numFmtId="0" fontId="0" fillId="0" borderId="4" xfId="0" applyBorder="1"/>
    <xf numFmtId="0" fontId="0" fillId="0" borderId="5" xfId="0" applyBorder="1"/>
    <xf numFmtId="0" fontId="0" fillId="0" borderId="6" xfId="0" applyBorder="1"/>
    <xf numFmtId="0" fontId="2" fillId="0" borderId="3" xfId="0" applyFont="1" applyBorder="1"/>
    <xf numFmtId="165" fontId="0" fillId="0" borderId="0" xfId="0" applyNumberFormat="1"/>
    <xf numFmtId="0" fontId="2" fillId="0" borderId="0" xfId="0" applyFont="1" applyAlignment="1">
      <alignment horizontal="center"/>
    </xf>
    <xf numFmtId="167" fontId="0" fillId="0" borderId="0" xfId="0" applyNumberFormat="1"/>
    <xf numFmtId="0" fontId="8" fillId="0" borderId="0" xfId="0" applyFont="1" applyAlignment="1">
      <alignment horizontal="left" vertical="top"/>
    </xf>
    <xf numFmtId="0" fontId="7" fillId="0" borderId="0" xfId="0" applyFont="1" applyAlignment="1">
      <alignment horizontal="center"/>
    </xf>
    <xf numFmtId="167" fontId="9" fillId="0" borderId="0" xfId="0" applyNumberFormat="1" applyFont="1" applyAlignment="1">
      <alignment horizontal="right"/>
    </xf>
    <xf numFmtId="167" fontId="10" fillId="0" borderId="0" xfId="0" applyNumberFormat="1" applyFont="1" applyAlignment="1">
      <alignment horizontal="right"/>
    </xf>
    <xf numFmtId="167" fontId="11" fillId="0" borderId="0" xfId="0" applyNumberFormat="1" applyFont="1" applyAlignment="1">
      <alignment horizontal="right"/>
    </xf>
    <xf numFmtId="167" fontId="12" fillId="0" borderId="0" xfId="0" applyNumberFormat="1" applyFont="1" applyAlignment="1">
      <alignment horizontal="right"/>
    </xf>
    <xf numFmtId="167" fontId="11" fillId="0" borderId="0" xfId="0" applyNumberFormat="1" applyFont="1" applyAlignment="1">
      <alignment horizontal="right" wrapText="1"/>
    </xf>
    <xf numFmtId="167" fontId="12" fillId="0" borderId="0" xfId="0" applyNumberFormat="1" applyFont="1" applyAlignment="1">
      <alignment horizontal="right" wrapText="1"/>
    </xf>
    <xf numFmtId="166" fontId="7" fillId="0" borderId="0" xfId="0" applyNumberFormat="1" applyFont="1"/>
    <xf numFmtId="0" fontId="7" fillId="0" borderId="0" xfId="0" applyFont="1"/>
    <xf numFmtId="0" fontId="7" fillId="0" borderId="0" xfId="0" applyFont="1" applyAlignment="1">
      <alignment vertical="center"/>
    </xf>
    <xf numFmtId="168" fontId="0" fillId="0" borderId="0" xfId="2" applyNumberFormat="1" applyFont="1"/>
    <xf numFmtId="0" fontId="0" fillId="0" borderId="0" xfId="0" applyAlignment="1">
      <alignment horizontal="right"/>
    </xf>
    <xf numFmtId="0" fontId="0" fillId="3" borderId="0" xfId="0" applyFill="1"/>
    <xf numFmtId="0" fontId="0" fillId="4" borderId="0" xfId="0" applyFill="1"/>
    <xf numFmtId="0" fontId="0" fillId="5" borderId="0" xfId="0" applyFill="1"/>
    <xf numFmtId="0" fontId="13" fillId="4" borderId="0" xfId="0" applyFont="1" applyFill="1"/>
    <xf numFmtId="0" fontId="4" fillId="0" borderId="0" xfId="0" applyFont="1" applyAlignment="1">
      <alignment horizontal="right"/>
    </xf>
    <xf numFmtId="0" fontId="2" fillId="0" borderId="11" xfId="0" applyFont="1" applyBorder="1"/>
    <xf numFmtId="168" fontId="0" fillId="0" borderId="0" xfId="0" applyNumberFormat="1"/>
    <xf numFmtId="168" fontId="0" fillId="3" borderId="0" xfId="2" applyNumberFormat="1" applyFont="1" applyFill="1"/>
    <xf numFmtId="168" fontId="0" fillId="4" borderId="0" xfId="2" applyNumberFormat="1" applyFont="1" applyFill="1"/>
    <xf numFmtId="168" fontId="0" fillId="5" borderId="0" xfId="2" applyNumberFormat="1" applyFont="1" applyFill="1"/>
    <xf numFmtId="168" fontId="13" fillId="4" borderId="0" xfId="2" applyNumberFormat="1" applyFont="1" applyFill="1"/>
    <xf numFmtId="0" fontId="15" fillId="0" borderId="0" xfId="4"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vertical="center"/>
    </xf>
    <xf numFmtId="0" fontId="4" fillId="0" borderId="0" xfId="0" applyFont="1" applyAlignment="1">
      <alignment horizontal="center"/>
    </xf>
    <xf numFmtId="165" fontId="0" fillId="0" borderId="0" xfId="1" applyNumberFormat="1" applyFont="1" applyAlignment="1">
      <alignment horizontal="center" vertical="center" wrapText="1"/>
    </xf>
    <xf numFmtId="168" fontId="0" fillId="0" borderId="0" xfId="2" applyNumberFormat="1" applyFont="1" applyAlignment="1">
      <alignment horizontal="center"/>
    </xf>
    <xf numFmtId="3" fontId="1" fillId="0" borderId="0" xfId="1" applyNumberFormat="1" applyFont="1" applyAlignment="1">
      <alignment horizontal="center" vertical="center"/>
    </xf>
    <xf numFmtId="3" fontId="0" fillId="0" borderId="0" xfId="0" applyNumberFormat="1" applyAlignment="1">
      <alignment horizontal="center"/>
    </xf>
    <xf numFmtId="2" fontId="0" fillId="0" borderId="0" xfId="0" applyNumberFormat="1"/>
    <xf numFmtId="169" fontId="0" fillId="0" borderId="0" xfId="2" applyNumberFormat="1" applyFont="1"/>
    <xf numFmtId="0" fontId="2" fillId="0" borderId="0" xfId="0" applyFont="1" applyAlignment="1">
      <alignment horizontal="left"/>
    </xf>
    <xf numFmtId="0" fontId="2" fillId="0" borderId="0" xfId="0" applyFont="1" applyAlignment="1">
      <alignment horizontal="right"/>
    </xf>
    <xf numFmtId="0" fontId="0" fillId="0" borderId="0" xfId="0" applyAlignment="1">
      <alignment horizontal="center"/>
    </xf>
    <xf numFmtId="0" fontId="2" fillId="0" borderId="0" xfId="0" applyFont="1" applyAlignment="1">
      <alignment horizontal="center" vertical="center"/>
    </xf>
    <xf numFmtId="10" fontId="0" fillId="0" borderId="0" xfId="2" applyNumberFormat="1" applyFont="1" applyAlignment="1">
      <alignment horizontal="center"/>
    </xf>
    <xf numFmtId="10" fontId="2" fillId="0" borderId="0" xfId="2" applyNumberFormat="1" applyFont="1" applyAlignment="1">
      <alignment horizontal="center"/>
    </xf>
    <xf numFmtId="0" fontId="18" fillId="0" borderId="0" xfId="0" applyFont="1" applyAlignment="1">
      <alignment horizontal="left"/>
    </xf>
    <xf numFmtId="0" fontId="2" fillId="0" borderId="0" xfId="0" applyFont="1" applyAlignment="1">
      <alignment horizontal="right" vertical="center" wrapText="1"/>
    </xf>
    <xf numFmtId="0" fontId="18" fillId="0" borderId="0" xfId="0" applyFont="1"/>
    <xf numFmtId="4" fontId="0" fillId="0" borderId="0" xfId="0" applyNumberFormat="1"/>
    <xf numFmtId="4" fontId="2" fillId="0" borderId="0" xfId="0" applyNumberFormat="1" applyFont="1"/>
    <xf numFmtId="4" fontId="2" fillId="0" borderId="0" xfId="0" applyNumberFormat="1" applyFont="1" applyAlignment="1">
      <alignment horizontal="center"/>
    </xf>
    <xf numFmtId="4" fontId="0" fillId="0" borderId="0" xfId="2" applyNumberFormat="1" applyFont="1"/>
    <xf numFmtId="10" fontId="0" fillId="0" borderId="0" xfId="2" applyNumberFormat="1" applyFont="1" applyBorder="1" applyAlignment="1">
      <alignment horizontal="center"/>
    </xf>
    <xf numFmtId="3" fontId="0" fillId="0" borderId="0" xfId="2" applyNumberFormat="1" applyFont="1" applyBorder="1" applyAlignment="1">
      <alignment horizontal="center"/>
    </xf>
    <xf numFmtId="3" fontId="0" fillId="0" borderId="0" xfId="0" applyNumberFormat="1"/>
    <xf numFmtId="0" fontId="4" fillId="2" borderId="0" xfId="0" applyFont="1" applyFill="1"/>
    <xf numFmtId="0" fontId="4" fillId="6" borderId="0" xfId="0" applyFont="1" applyFill="1"/>
    <xf numFmtId="3" fontId="0" fillId="6" borderId="0" xfId="0" applyNumberFormat="1" applyFill="1" applyAlignment="1">
      <alignment horizontal="center"/>
    </xf>
    <xf numFmtId="3" fontId="0" fillId="2" borderId="0" xfId="0" applyNumberFormat="1" applyFill="1" applyAlignment="1">
      <alignment horizontal="center"/>
    </xf>
    <xf numFmtId="3" fontId="4" fillId="0" borderId="0" xfId="0" applyNumberFormat="1" applyFont="1" applyAlignment="1">
      <alignment horizontal="left"/>
    </xf>
    <xf numFmtId="4" fontId="0" fillId="0" borderId="0" xfId="1" applyNumberFormat="1" applyFont="1" applyFill="1" applyAlignment="1">
      <alignment horizontal="center"/>
    </xf>
    <xf numFmtId="4" fontId="0" fillId="0" borderId="0" xfId="0" applyNumberFormat="1" applyAlignment="1">
      <alignment horizontal="center"/>
    </xf>
    <xf numFmtId="10" fontId="2" fillId="0" borderId="0" xfId="2" applyNumberFormat="1" applyFont="1" applyAlignment="1">
      <alignment horizontal="left"/>
    </xf>
    <xf numFmtId="10" fontId="19" fillId="0" borderId="0" xfId="2" applyNumberFormat="1" applyFont="1" applyAlignment="1">
      <alignment horizontal="center"/>
    </xf>
    <xf numFmtId="4" fontId="19" fillId="0" borderId="0" xfId="2" applyNumberFormat="1" applyFont="1"/>
    <xf numFmtId="4" fontId="2" fillId="0" borderId="0" xfId="2" applyNumberFormat="1" applyFont="1" applyAlignment="1">
      <alignment horizontal="center"/>
    </xf>
    <xf numFmtId="4" fontId="2" fillId="0" borderId="0" xfId="2" applyNumberFormat="1" applyFont="1" applyAlignment="1">
      <alignment horizontal="center" vertical="center" wrapText="1"/>
    </xf>
    <xf numFmtId="0" fontId="2" fillId="0" borderId="7" xfId="0" applyFont="1" applyBorder="1"/>
    <xf numFmtId="0" fontId="2" fillId="0" borderId="10" xfId="0" applyFont="1" applyBorder="1" applyAlignment="1">
      <alignment horizontal="left"/>
    </xf>
    <xf numFmtId="10" fontId="2" fillId="0" borderId="10" xfId="2" applyNumberFormat="1" applyFont="1" applyBorder="1" applyAlignment="1">
      <alignment horizontal="left"/>
    </xf>
    <xf numFmtId="10" fontId="2" fillId="0" borderId="5" xfId="2" applyNumberFormat="1" applyFont="1" applyBorder="1" applyAlignment="1">
      <alignment horizontal="left"/>
    </xf>
    <xf numFmtId="0" fontId="2" fillId="0" borderId="9" xfId="0" applyFont="1" applyBorder="1"/>
    <xf numFmtId="170" fontId="0" fillId="0" borderId="1" xfId="2" applyNumberFormat="1" applyFont="1" applyBorder="1" applyAlignment="1">
      <alignment horizontal="center"/>
    </xf>
    <xf numFmtId="170" fontId="0" fillId="0" borderId="8" xfId="2" applyNumberFormat="1" applyFont="1" applyBorder="1" applyAlignment="1">
      <alignment horizontal="center"/>
    </xf>
    <xf numFmtId="170" fontId="0" fillId="0" borderId="12" xfId="2" applyNumberFormat="1" applyFont="1" applyBorder="1" applyAlignment="1">
      <alignment horizontal="center"/>
    </xf>
    <xf numFmtId="170" fontId="0" fillId="0" borderId="2" xfId="2" applyNumberFormat="1" applyFont="1" applyBorder="1" applyAlignment="1">
      <alignment horizontal="center"/>
    </xf>
    <xf numFmtId="0" fontId="5" fillId="0" borderId="6" xfId="0" applyFont="1" applyBorder="1"/>
    <xf numFmtId="10" fontId="0" fillId="0" borderId="6" xfId="2" applyNumberFormat="1" applyFont="1" applyBorder="1" applyAlignment="1">
      <alignment horizontal="center"/>
    </xf>
    <xf numFmtId="0" fontId="5" fillId="0" borderId="6" xfId="0" applyFont="1" applyBorder="1" applyAlignment="1">
      <alignment horizontal="left"/>
    </xf>
    <xf numFmtId="0" fontId="5" fillId="0" borderId="5" xfId="0" applyFont="1" applyBorder="1"/>
    <xf numFmtId="0" fontId="3" fillId="0" borderId="0" xfId="3" applyAlignment="1">
      <alignment vertical="top"/>
    </xf>
    <xf numFmtId="0" fontId="20" fillId="0" borderId="0" xfId="0" applyFont="1"/>
    <xf numFmtId="0" fontId="2" fillId="0" borderId="0" xfId="0" applyFont="1" applyAlignment="1">
      <alignment wrapText="1"/>
    </xf>
    <xf numFmtId="0" fontId="7" fillId="7" borderId="14" xfId="0" applyFont="1" applyFill="1" applyBorder="1" applyAlignment="1">
      <alignment horizontal="center"/>
    </xf>
    <xf numFmtId="0" fontId="8" fillId="7" borderId="14" xfId="0" applyFont="1" applyFill="1" applyBorder="1" applyAlignment="1">
      <alignment horizontal="left" vertical="top"/>
    </xf>
    <xf numFmtId="167" fontId="9" fillId="8" borderId="18" xfId="0" applyNumberFormat="1" applyFont="1" applyFill="1" applyBorder="1" applyAlignment="1">
      <alignment horizontal="right"/>
    </xf>
    <xf numFmtId="167" fontId="9" fillId="8" borderId="19" xfId="0" applyNumberFormat="1" applyFont="1" applyFill="1" applyBorder="1" applyAlignment="1">
      <alignment horizontal="right"/>
    </xf>
    <xf numFmtId="167" fontId="11" fillId="8" borderId="20" xfId="0" applyNumberFormat="1" applyFont="1" applyFill="1" applyBorder="1" applyAlignment="1">
      <alignment horizontal="right"/>
    </xf>
    <xf numFmtId="167" fontId="11" fillId="8" borderId="18" xfId="0" applyNumberFormat="1" applyFont="1" applyFill="1" applyBorder="1" applyAlignment="1">
      <alignment horizontal="right"/>
    </xf>
    <xf numFmtId="167" fontId="11" fillId="8" borderId="18" xfId="0" applyNumberFormat="1" applyFont="1" applyFill="1" applyBorder="1" applyAlignment="1">
      <alignment horizontal="right" wrapText="1"/>
    </xf>
    <xf numFmtId="167" fontId="10" fillId="8" borderId="18" xfId="0" applyNumberFormat="1" applyFont="1" applyFill="1" applyBorder="1" applyAlignment="1">
      <alignment horizontal="right"/>
    </xf>
    <xf numFmtId="167" fontId="10" fillId="8" borderId="19" xfId="0" applyNumberFormat="1" applyFont="1" applyFill="1" applyBorder="1" applyAlignment="1">
      <alignment horizontal="right"/>
    </xf>
    <xf numFmtId="167" fontId="12" fillId="8" borderId="20" xfId="0" applyNumberFormat="1" applyFont="1" applyFill="1" applyBorder="1" applyAlignment="1">
      <alignment horizontal="right"/>
    </xf>
    <xf numFmtId="167" fontId="12" fillId="8" borderId="18" xfId="0" applyNumberFormat="1" applyFont="1" applyFill="1" applyBorder="1" applyAlignment="1">
      <alignment horizontal="right"/>
    </xf>
    <xf numFmtId="167" fontId="12" fillId="8" borderId="18" xfId="0" applyNumberFormat="1" applyFont="1" applyFill="1" applyBorder="1" applyAlignment="1">
      <alignment horizontal="right" wrapText="1"/>
    </xf>
    <xf numFmtId="0" fontId="8" fillId="7" borderId="21" xfId="0" applyFont="1" applyFill="1" applyBorder="1" applyAlignment="1">
      <alignment horizontal="left" vertical="top"/>
    </xf>
    <xf numFmtId="0" fontId="8" fillId="7" borderId="0" xfId="0" applyFont="1" applyFill="1" applyAlignment="1">
      <alignment horizontal="left" vertical="top"/>
    </xf>
    <xf numFmtId="0" fontId="21" fillId="0" borderId="0" xfId="0" applyFont="1" applyAlignment="1">
      <alignment horizontal="left" vertical="top"/>
    </xf>
    <xf numFmtId="0" fontId="0" fillId="0" borderId="2" xfId="0" applyBorder="1"/>
    <xf numFmtId="9" fontId="0" fillId="0" borderId="3" xfId="2" applyFont="1" applyBorder="1"/>
    <xf numFmtId="9" fontId="0" fillId="0" borderId="7" xfId="2" applyFont="1" applyBorder="1"/>
    <xf numFmtId="9" fontId="0" fillId="0" borderId="0" xfId="2" applyFont="1"/>
    <xf numFmtId="9" fontId="0" fillId="0" borderId="1" xfId="2" applyFont="1" applyBorder="1"/>
    <xf numFmtId="0" fontId="0" fillId="0" borderId="3" xfId="0" applyBorder="1"/>
    <xf numFmtId="169" fontId="0" fillId="0" borderId="3" xfId="0" applyNumberFormat="1" applyBorder="1"/>
    <xf numFmtId="0" fontId="0" fillId="0" borderId="22" xfId="0" applyBorder="1"/>
    <xf numFmtId="169" fontId="0" fillId="0" borderId="22" xfId="0" applyNumberFormat="1" applyBorder="1"/>
    <xf numFmtId="0" fontId="0" fillId="0" borderId="7" xfId="0" applyBorder="1"/>
    <xf numFmtId="169" fontId="0" fillId="0" borderId="7" xfId="0" applyNumberFormat="1" applyBorder="1"/>
    <xf numFmtId="0" fontId="22" fillId="9" borderId="0" xfId="0" applyFont="1" applyFill="1" applyAlignment="1">
      <alignment horizontal="left"/>
    </xf>
    <xf numFmtId="0" fontId="23" fillId="9" borderId="0" xfId="0" applyFont="1" applyFill="1" applyAlignment="1">
      <alignment horizontal="left"/>
    </xf>
    <xf numFmtId="171" fontId="0" fillId="0" borderId="0" xfId="0" applyNumberFormat="1"/>
    <xf numFmtId="164" fontId="0" fillId="0" borderId="0" xfId="0" applyNumberFormat="1"/>
    <xf numFmtId="0" fontId="3" fillId="0" borderId="0" xfId="3"/>
    <xf numFmtId="0" fontId="0" fillId="9" borderId="0" xfId="0" applyFill="1" applyAlignment="1">
      <alignment horizontal="left"/>
    </xf>
    <xf numFmtId="0" fontId="7" fillId="7" borderId="14" xfId="0" applyFont="1" applyFill="1" applyBorder="1" applyAlignment="1">
      <alignment horizontal="center" vertical="center"/>
    </xf>
    <xf numFmtId="166" fontId="7" fillId="7" borderId="14" xfId="0" applyNumberFormat="1" applyFont="1" applyFill="1" applyBorder="1" applyAlignment="1">
      <alignment horizontal="left" vertical="top"/>
    </xf>
    <xf numFmtId="167" fontId="9" fillId="8" borderId="18" xfId="0" applyNumberFormat="1" applyFont="1" applyFill="1" applyBorder="1" applyAlignment="1">
      <alignment horizontal="right" wrapText="1"/>
    </xf>
    <xf numFmtId="167" fontId="10" fillId="8" borderId="18" xfId="0" applyNumberFormat="1" applyFont="1" applyFill="1" applyBorder="1" applyAlignment="1">
      <alignment horizontal="right" wrapText="1"/>
    </xf>
    <xf numFmtId="0" fontId="26" fillId="0" borderId="0" xfId="0" applyFont="1"/>
    <xf numFmtId="9" fontId="26" fillId="0" borderId="0" xfId="2" applyFont="1"/>
    <xf numFmtId="0" fontId="2" fillId="0" borderId="1" xfId="0" applyFont="1" applyBorder="1"/>
    <xf numFmtId="0" fontId="0" fillId="0" borderId="1" xfId="0" applyBorder="1"/>
    <xf numFmtId="0" fontId="2" fillId="0" borderId="1" xfId="0" applyFont="1" applyBorder="1" applyAlignment="1">
      <alignment horizontal="center"/>
    </xf>
    <xf numFmtId="0" fontId="7" fillId="0" borderId="1" xfId="0" applyFont="1" applyBorder="1" applyAlignment="1">
      <alignment vertical="center"/>
    </xf>
    <xf numFmtId="0" fontId="8" fillId="0" borderId="1" xfId="0" applyFont="1" applyBorder="1" applyAlignment="1">
      <alignment horizontal="left" vertical="top"/>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66" fontId="7" fillId="0" borderId="1" xfId="0" applyNumberFormat="1" applyFont="1" applyBorder="1"/>
    <xf numFmtId="0" fontId="7" fillId="0" borderId="1" xfId="0" applyFont="1" applyBorder="1" applyAlignment="1">
      <alignment horizontal="center"/>
    </xf>
    <xf numFmtId="167" fontId="9" fillId="0" borderId="1" xfId="0" applyNumberFormat="1" applyFont="1" applyBorder="1" applyAlignment="1">
      <alignment horizontal="right"/>
    </xf>
    <xf numFmtId="167" fontId="10" fillId="0" borderId="1" xfId="0" applyNumberFormat="1" applyFont="1" applyBorder="1" applyAlignment="1">
      <alignment horizontal="right"/>
    </xf>
    <xf numFmtId="165" fontId="2" fillId="0" borderId="1" xfId="1" applyNumberFormat="1" applyFont="1" applyBorder="1"/>
    <xf numFmtId="165" fontId="0" fillId="0" borderId="1" xfId="1" applyNumberFormat="1" applyFont="1" applyBorder="1"/>
    <xf numFmtId="3" fontId="0" fillId="0" borderId="1" xfId="0" applyNumberFormat="1" applyBorder="1" applyAlignment="1">
      <alignment horizontal="center"/>
    </xf>
    <xf numFmtId="3" fontId="1" fillId="0" borderId="1" xfId="1" applyNumberFormat="1" applyFont="1" applyBorder="1" applyAlignment="1">
      <alignment horizontal="center" vertical="center"/>
    </xf>
    <xf numFmtId="0" fontId="7" fillId="0" borderId="1" xfId="0" applyFont="1" applyBorder="1"/>
    <xf numFmtId="167" fontId="0" fillId="0" borderId="1" xfId="0" applyNumberFormat="1" applyBorder="1"/>
    <xf numFmtId="167" fontId="11" fillId="0" borderId="1" xfId="0" applyNumberFormat="1" applyFont="1" applyBorder="1" applyAlignment="1">
      <alignment horizontal="right"/>
    </xf>
    <xf numFmtId="167" fontId="12" fillId="0" borderId="1" xfId="0" applyNumberFormat="1" applyFont="1" applyBorder="1" applyAlignment="1">
      <alignment horizontal="right"/>
    </xf>
    <xf numFmtId="167" fontId="11" fillId="0" borderId="1" xfId="0" applyNumberFormat="1" applyFont="1" applyBorder="1" applyAlignment="1">
      <alignment horizontal="right" wrapText="1"/>
    </xf>
    <xf numFmtId="167" fontId="12" fillId="0" borderId="1" xfId="0" applyNumberFormat="1" applyFont="1" applyBorder="1" applyAlignment="1">
      <alignment horizontal="right" wrapText="1"/>
    </xf>
    <xf numFmtId="3" fontId="0" fillId="0" borderId="1" xfId="0" applyNumberFormat="1" applyBorder="1"/>
    <xf numFmtId="0" fontId="29" fillId="0" borderId="0" xfId="0" applyFont="1"/>
    <xf numFmtId="0" fontId="29" fillId="5" borderId="0" xfId="0" applyFont="1" applyFill="1"/>
    <xf numFmtId="0" fontId="29" fillId="0" borderId="0" xfId="0" applyFont="1" applyAlignment="1">
      <alignment vertical="top"/>
    </xf>
    <xf numFmtId="0" fontId="30" fillId="0" borderId="0" xfId="4" applyFont="1" applyAlignment="1">
      <alignment horizontal="center" vertical="top" wrapText="1"/>
    </xf>
    <xf numFmtId="0" fontId="29" fillId="0" borderId="0" xfId="0" applyFont="1" applyAlignment="1">
      <alignment horizontal="center" wrapText="1"/>
    </xf>
    <xf numFmtId="167" fontId="31" fillId="0" borderId="0" xfId="4" applyNumberFormat="1" applyFont="1" applyAlignment="1">
      <alignment horizontal="right"/>
    </xf>
    <xf numFmtId="167" fontId="31" fillId="0" borderId="0" xfId="4" applyNumberFormat="1" applyFont="1" applyAlignment="1">
      <alignment horizontal="right" wrapText="1"/>
    </xf>
    <xf numFmtId="0" fontId="30" fillId="0" borderId="0" xfId="4" applyFont="1" applyAlignment="1">
      <alignment horizontal="left" vertical="top"/>
    </xf>
    <xf numFmtId="168" fontId="31" fillId="0" borderId="0" xfId="2" applyNumberFormat="1" applyFont="1" applyFill="1" applyBorder="1" applyAlignment="1">
      <alignment horizontal="right"/>
    </xf>
    <xf numFmtId="0" fontId="26" fillId="10" borderId="0" xfId="0" applyFont="1" applyFill="1" applyAlignment="1">
      <alignment vertical="top"/>
    </xf>
    <xf numFmtId="0" fontId="0" fillId="11" borderId="0" xfId="0" applyFill="1" applyAlignment="1">
      <alignment vertical="top"/>
    </xf>
    <xf numFmtId="0" fontId="0" fillId="0" borderId="0" xfId="0" applyAlignment="1">
      <alignment horizontal="left" vertical="top" wrapText="1"/>
    </xf>
    <xf numFmtId="0" fontId="2" fillId="0" borderId="0" xfId="0" applyFont="1" applyAlignment="1">
      <alignment horizontal="center"/>
    </xf>
    <xf numFmtId="0" fontId="5" fillId="0" borderId="0" xfId="0" applyFont="1" applyAlignment="1">
      <alignment horizontal="left" wrapText="1"/>
    </xf>
    <xf numFmtId="0" fontId="2" fillId="0" borderId="1" xfId="0" applyFont="1" applyBorder="1" applyAlignment="1">
      <alignment horizontal="center"/>
    </xf>
    <xf numFmtId="166" fontId="7" fillId="7" borderId="14" xfId="0" applyNumberFormat="1" applyFont="1" applyFill="1" applyBorder="1" applyAlignment="1">
      <alignment horizontal="center"/>
    </xf>
    <xf numFmtId="0" fontId="7" fillId="7" borderId="14" xfId="0" applyFont="1" applyFill="1" applyBorder="1" applyAlignment="1">
      <alignment horizontal="center"/>
    </xf>
    <xf numFmtId="0" fontId="7" fillId="7" borderId="13" xfId="0" applyFont="1" applyFill="1" applyBorder="1" applyAlignment="1">
      <alignment horizontal="center" vertical="center"/>
    </xf>
    <xf numFmtId="0" fontId="7" fillId="7" borderId="17" xfId="0" applyFont="1" applyFill="1" applyBorder="1" applyAlignment="1">
      <alignment horizontal="center" vertical="center"/>
    </xf>
    <xf numFmtId="0" fontId="7" fillId="7" borderId="15" xfId="0" applyFont="1" applyFill="1" applyBorder="1" applyAlignment="1">
      <alignment horizontal="center"/>
    </xf>
    <xf numFmtId="166" fontId="7" fillId="7" borderId="16" xfId="0" applyNumberFormat="1" applyFont="1" applyFill="1" applyBorder="1" applyAlignment="1">
      <alignment horizontal="center"/>
    </xf>
    <xf numFmtId="0" fontId="1" fillId="0" borderId="0" xfId="0" applyFont="1"/>
    <xf numFmtId="0" fontId="1" fillId="5" borderId="0" xfId="0" applyFont="1" applyFill="1"/>
    <xf numFmtId="0" fontId="1" fillId="0" borderId="0" xfId="0" applyFont="1" applyAlignment="1">
      <alignment vertical="top"/>
    </xf>
    <xf numFmtId="0" fontId="2" fillId="0" borderId="0" xfId="0" applyFont="1" applyAlignment="1">
      <alignment horizontal="center" vertical="top"/>
    </xf>
    <xf numFmtId="0" fontId="1" fillId="5" borderId="0" xfId="0" applyFont="1" applyFill="1" applyAlignment="1">
      <alignment vertical="top"/>
    </xf>
    <xf numFmtId="0" fontId="2" fillId="0" borderId="0" xfId="0" applyFont="1" applyAlignment="1">
      <alignment horizontal="center" vertical="top" wrapText="1"/>
    </xf>
    <xf numFmtId="0" fontId="2" fillId="0" borderId="0" xfId="0" applyFont="1" applyAlignment="1">
      <alignment horizontal="center" vertical="top"/>
    </xf>
    <xf numFmtId="0" fontId="2" fillId="0" borderId="0" xfId="0" applyFont="1" applyAlignment="1">
      <alignment horizontal="center" wrapText="1"/>
    </xf>
    <xf numFmtId="0" fontId="1" fillId="5" borderId="0" xfId="0" applyFont="1" applyFill="1" applyAlignment="1">
      <alignment horizontal="center" wrapText="1"/>
    </xf>
    <xf numFmtId="167" fontId="1" fillId="0" borderId="0" xfId="0" applyNumberFormat="1" applyFont="1"/>
    <xf numFmtId="168" fontId="1" fillId="0" borderId="0" xfId="2" applyNumberFormat="1" applyFont="1"/>
    <xf numFmtId="168" fontId="1" fillId="0" borderId="0" xfId="0" applyNumberFormat="1" applyFont="1"/>
  </cellXfs>
  <cellStyles count="5">
    <cellStyle name="Comma" xfId="1" builtinId="3"/>
    <cellStyle name="Hyperlink" xfId="3" builtinId="8"/>
    <cellStyle name="Normal" xfId="0" builtinId="0"/>
    <cellStyle name="Normal 4" xfId="4" xr:uid="{0BDE5A77-C24D-4F96-A21E-C32829079C2A}"/>
    <cellStyle name="Percent" xfId="2" builtinId="5"/>
  </cellStyles>
  <dxfs count="303">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13" formatCode="0%"/>
    </dxf>
    <dxf>
      <numFmt numFmtId="13" formatCode="0%"/>
    </dxf>
    <dxf>
      <numFmt numFmtId="13" formatCode="0%"/>
    </dxf>
    <dxf>
      <border diagonalUp="0" diagonalDown="0" outline="0">
        <left style="thin">
          <color indexed="64"/>
        </left>
        <right/>
      </border>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1"/>
        <color rgb="FF000000"/>
        <name val="Aptos Narrow"/>
        <family val="2"/>
        <scheme val="none"/>
      </font>
      <numFmt numFmtId="4" formatCode="#,##0.00"/>
    </dxf>
    <dxf>
      <font>
        <b val="0"/>
        <i val="0"/>
        <strike val="0"/>
        <condense val="0"/>
        <extend val="0"/>
        <outline val="0"/>
        <shadow val="0"/>
        <u val="none"/>
        <vertAlign val="baseline"/>
        <sz val="11"/>
        <color rgb="FF000000"/>
        <name val="Aptos Narrow"/>
        <family val="2"/>
        <scheme val="none"/>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numFmt numFmtId="4" formatCode="#,##0.00"/>
    </dxf>
    <dxf>
      <font>
        <b val="0"/>
        <i val="0"/>
        <strike val="0"/>
        <condense val="0"/>
        <extend val="0"/>
        <outline val="0"/>
        <shadow val="0"/>
        <u val="none"/>
        <vertAlign val="baseline"/>
        <sz val="11"/>
        <color rgb="FF000000"/>
        <name val="Aptos Narrow"/>
        <family val="2"/>
        <scheme val="none"/>
      </font>
      <numFmt numFmtId="4" formatCode="#,##0.00"/>
    </dxf>
    <dxf>
      <font>
        <b/>
        <i val="0"/>
        <strike val="0"/>
        <condense val="0"/>
        <extend val="0"/>
        <outline val="0"/>
        <shadow val="0"/>
        <u val="none"/>
        <vertAlign val="baseline"/>
        <sz val="11"/>
        <color theme="1"/>
        <name val="Aptos Narrow"/>
        <family val="2"/>
        <scheme val="minor"/>
      </font>
      <numFmt numFmtId="4" formatCode="#,##0.00"/>
      <alignment horizontal="center" vertical="bottom" textRotation="0" wrapText="0" indent="0" justifyLastLine="0" shrinkToFit="0" readingOrder="0"/>
    </dxf>
    <dxf>
      <numFmt numFmtId="4" formatCode="#,##0.00"/>
      <alignment horizontal="center" vertical="bottom" textRotation="0" wrapText="0" indent="0" justifyLastLine="0" shrinkToFit="0" readingOrder="0"/>
    </dxf>
    <dxf>
      <numFmt numFmtId="4" formatCode="#,##0.00"/>
    </dxf>
    <dxf>
      <numFmt numFmtId="4" formatCode="#,##0.00"/>
    </dxf>
    <dxf>
      <numFmt numFmtId="4" formatCode="#,##0.00"/>
    </dxf>
    <dxf>
      <numFmt numFmtId="4" formatCode="#,##0.00"/>
    </dxf>
    <dxf>
      <font>
        <b/>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color rgb="FF000000"/>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170" formatCode=";;"/>
      <alignment horizontal="center" vertical="bottom"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rgb="FF000000"/>
        <name val="Aptos Narrow"/>
        <family val="2"/>
        <scheme val="none"/>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1"/>
        <color theme="1"/>
        <name val="Aptos Narrow"/>
        <family val="2"/>
        <scheme val="minor"/>
      </font>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Aptos Narrow"/>
        <family val="2"/>
        <scheme val="none"/>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font>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13" formatCode="0%"/>
    </dxf>
    <dxf>
      <numFmt numFmtId="13" formatCode="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numFmt numFmtId="4" formatCode="#,##0.00"/>
    </dxf>
    <dxf>
      <font>
        <b val="0"/>
        <i val="0"/>
        <strike val="0"/>
        <condense val="0"/>
        <extend val="0"/>
        <outline val="0"/>
        <shadow val="0"/>
        <u val="none"/>
        <vertAlign val="baseline"/>
        <sz val="11"/>
        <color theme="1"/>
        <name val="Aptos Narrow"/>
        <family val="2"/>
        <scheme val="minor"/>
      </font>
      <numFmt numFmtId="4" formatCode="#,##0.00"/>
    </dxf>
    <dxf>
      <font>
        <b/>
        <i val="0"/>
        <strike val="0"/>
        <condense val="0"/>
        <extend val="0"/>
        <outline val="0"/>
        <shadow val="0"/>
        <u val="none"/>
        <vertAlign val="baseline"/>
        <sz val="11"/>
        <color theme="1"/>
        <name val="Aptos Narrow"/>
        <family val="2"/>
        <scheme val="minor"/>
      </font>
      <numFmt numFmtId="4" formatCode="#,##0.00"/>
      <alignment horizontal="center" vertical="bottom" textRotation="0" wrapText="0" indent="0" justifyLastLine="0" shrinkToFit="0" readingOrder="0"/>
    </dxf>
    <dxf>
      <numFmt numFmtId="4" formatCode="#,##0.00"/>
    </dxf>
    <dxf>
      <numFmt numFmtId="4" formatCode="#,##0.00"/>
    </dxf>
    <dxf>
      <numFmt numFmtId="4" formatCode="#,##0.00"/>
    </dxf>
    <dxf>
      <font>
        <b/>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13" formatCode="0%"/>
    </dxf>
    <dxf>
      <numFmt numFmtId="2" formatCode="0.00"/>
    </dxf>
    <dxf>
      <numFmt numFmtId="2" formatCode="0.00"/>
    </dxf>
    <dxf>
      <numFmt numFmtId="30" formatCode="@"/>
    </dxf>
    <dxf>
      <font>
        <b/>
        <i val="0"/>
        <strike val="0"/>
        <condense val="0"/>
        <extend val="0"/>
        <outline val="0"/>
        <shadow val="0"/>
        <u val="none"/>
        <vertAlign val="baseline"/>
        <sz val="11"/>
        <color theme="1"/>
        <name val="Aptos Narrow"/>
        <family val="2"/>
        <scheme val="minor"/>
      </font>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font>
        <b/>
        <i val="0"/>
        <strike val="0"/>
        <condense val="0"/>
        <extend val="0"/>
        <outline val="0"/>
        <shadow val="0"/>
        <u val="none"/>
        <vertAlign val="baseline"/>
        <sz val="11"/>
        <color theme="1"/>
        <name val="Aptos Narrow"/>
        <family val="2"/>
        <scheme val="minor"/>
      </font>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hartsheet" Target="chartsheets/sheet4.xml"/><Relationship Id="rId39" Type="http://schemas.openxmlformats.org/officeDocument/2006/relationships/customXml" Target="../customXml/item2.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hartsheet" Target="chartsheets/sheet3.xml"/><Relationship Id="rId33" Type="http://schemas.openxmlformats.org/officeDocument/2006/relationships/worksheet" Target="worksheets/sheet26.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hartsheet" Target="chartsheets/sheet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hartsheet" Target="chartsheets/sheet2.xml"/><Relationship Id="rId32" Type="http://schemas.openxmlformats.org/officeDocument/2006/relationships/worksheet" Target="worksheets/sheet25.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hartsheet" Target="chartsheets/sheet1.xml"/><Relationship Id="rId28" Type="http://schemas.openxmlformats.org/officeDocument/2006/relationships/chartsheet" Target="chartsheets/sheet6.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2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hartsheet" Target="chartsheets/sheet5.xml"/><Relationship Id="rId30" Type="http://schemas.openxmlformats.org/officeDocument/2006/relationships/worksheet" Target="worksheets/sheet23.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Population aged 5 and under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v>Population</c:v>
          </c:tx>
          <c:spPr>
            <a:ln w="28575" cap="rnd">
              <a:solidFill>
                <a:schemeClr val="accent2"/>
              </a:solidFill>
              <a:round/>
            </a:ln>
            <a:effectLst/>
          </c:spPr>
          <c:marker>
            <c:symbol val="none"/>
          </c:marker>
          <c:cat>
            <c:numRef>
              <c:f>'T1'!$A$3:$A$12</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'T1'!$H$3:$H$12</c:f>
              <c:numCache>
                <c:formatCode>General</c:formatCode>
                <c:ptCount val="10"/>
                <c:pt idx="0">
                  <c:v>370290</c:v>
                </c:pt>
                <c:pt idx="1">
                  <c:v>369110</c:v>
                </c:pt>
                <c:pt idx="2">
                  <c:v>369870</c:v>
                </c:pt>
                <c:pt idx="3">
                  <c:v>369460</c:v>
                </c:pt>
                <c:pt idx="4">
                  <c:v>368600</c:v>
                </c:pt>
                <c:pt idx="5">
                  <c:v>369100</c:v>
                </c:pt>
                <c:pt idx="6">
                  <c:v>367360</c:v>
                </c:pt>
                <c:pt idx="7">
                  <c:v>365440</c:v>
                </c:pt>
                <c:pt idx="8">
                  <c:v>364930</c:v>
                </c:pt>
                <c:pt idx="9">
                  <c:v>364630</c:v>
                </c:pt>
              </c:numCache>
            </c:numRef>
          </c:val>
          <c:smooth val="0"/>
          <c:extLst>
            <c:ext xmlns:c16="http://schemas.microsoft.com/office/drawing/2014/chart" uri="{C3380CC4-5D6E-409C-BE32-E72D297353CC}">
              <c16:uniqueId val="{00000000-A687-4007-A872-2C3187B23E51}"/>
            </c:ext>
          </c:extLst>
        </c:ser>
        <c:dLbls>
          <c:showLegendKey val="0"/>
          <c:showVal val="0"/>
          <c:showCatName val="0"/>
          <c:showSerName val="0"/>
          <c:showPercent val="0"/>
          <c:showBubbleSize val="0"/>
        </c:dLbls>
        <c:smooth val="0"/>
        <c:axId val="120980704"/>
        <c:axId val="120981664"/>
        <c:extLst/>
      </c:lineChart>
      <c:catAx>
        <c:axId val="120980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981664"/>
        <c:crosses val="autoZero"/>
        <c:auto val="1"/>
        <c:lblAlgn val="ctr"/>
        <c:lblOffset val="100"/>
        <c:noMultiLvlLbl val="0"/>
      </c:catAx>
      <c:valAx>
        <c:axId val="120981664"/>
        <c:scaling>
          <c:orientation val="minMax"/>
          <c:min val="30000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9807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Population aged under 5</a:t>
            </a:r>
          </a:p>
          <a:p>
            <a:pPr>
              <a:defRPr/>
            </a:pPr>
            <a:r>
              <a:rPr lang="en-NZ" sz="1100"/>
              <a:t>Stats NZ projections</a:t>
            </a:r>
            <a:endParaRPr lang="en-NZ" sz="1100"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2"/>
          <c:order val="0"/>
          <c:tx>
            <c:strRef>
              <c:f>'T2'!$T$4</c:f>
              <c:strCache>
                <c:ptCount val="1"/>
                <c:pt idx="0">
                  <c:v>High</c:v>
                </c:pt>
              </c:strCache>
            </c:strRef>
          </c:tx>
          <c:spPr>
            <a:ln w="28575" cap="rnd">
              <a:solidFill>
                <a:schemeClr val="accent5">
                  <a:lumMod val="20000"/>
                  <a:lumOff val="80000"/>
                </a:schemeClr>
              </a:solidFill>
              <a:prstDash val="dash"/>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'T2'!$T$5:$T$28</c:f>
              <c:numCache>
                <c:formatCode>_-* #,##0_-;\-* #,##0_-;_-* "-"??_-;_-@_-</c:formatCode>
                <c:ptCount val="24"/>
                <c:pt idx="9">
                  <c:v>300700</c:v>
                </c:pt>
                <c:pt idx="10">
                  <c:v>299350</c:v>
                </c:pt>
                <c:pt idx="11">
                  <c:v>296740</c:v>
                </c:pt>
                <c:pt idx="12">
                  <c:v>296010</c:v>
                </c:pt>
                <c:pt idx="13">
                  <c:v>300170</c:v>
                </c:pt>
                <c:pt idx="14">
                  <c:v>304820</c:v>
                </c:pt>
                <c:pt idx="15">
                  <c:v>307260</c:v>
                </c:pt>
                <c:pt idx="16">
                  <c:v>308890</c:v>
                </c:pt>
                <c:pt idx="17">
                  <c:v>310870</c:v>
                </c:pt>
                <c:pt idx="18">
                  <c:v>312680</c:v>
                </c:pt>
                <c:pt idx="19">
                  <c:v>314280</c:v>
                </c:pt>
                <c:pt idx="20">
                  <c:v>316090</c:v>
                </c:pt>
                <c:pt idx="21">
                  <c:v>318280</c:v>
                </c:pt>
                <c:pt idx="22">
                  <c:v>320660</c:v>
                </c:pt>
                <c:pt idx="23">
                  <c:v>323380</c:v>
                </c:pt>
              </c:numCache>
            </c:numRef>
          </c:val>
          <c:smooth val="1"/>
          <c:extLst>
            <c:ext xmlns:c16="http://schemas.microsoft.com/office/drawing/2014/chart" uri="{C3380CC4-5D6E-409C-BE32-E72D297353CC}">
              <c16:uniqueId val="{00000001-AF36-471D-9DE5-4E8E18956FF4}"/>
            </c:ext>
          </c:extLst>
        </c:ser>
        <c:ser>
          <c:idx val="0"/>
          <c:order val="1"/>
          <c:tx>
            <c:strRef>
              <c:f>'T2'!$Q$4</c:f>
              <c:strCache>
                <c:ptCount val="1"/>
                <c:pt idx="0">
                  <c:v>Low</c:v>
                </c:pt>
              </c:strCache>
            </c:strRef>
          </c:tx>
          <c:spPr>
            <a:ln w="28575" cap="rnd">
              <a:solidFill>
                <a:schemeClr val="tx2"/>
              </a:solidFill>
              <a:prstDash val="dash"/>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'T2'!$Q$5:$Q$28</c:f>
              <c:numCache>
                <c:formatCode>_-* #,##0_-;\-* #,##0_-;_-* "-"??_-;_-@_-</c:formatCode>
                <c:ptCount val="24"/>
                <c:pt idx="9">
                  <c:v>300700</c:v>
                </c:pt>
                <c:pt idx="10">
                  <c:v>295110</c:v>
                </c:pt>
                <c:pt idx="11">
                  <c:v>288730</c:v>
                </c:pt>
                <c:pt idx="12">
                  <c:v>282940</c:v>
                </c:pt>
                <c:pt idx="13">
                  <c:v>281370</c:v>
                </c:pt>
                <c:pt idx="14">
                  <c:v>279900</c:v>
                </c:pt>
                <c:pt idx="15">
                  <c:v>277990</c:v>
                </c:pt>
                <c:pt idx="16">
                  <c:v>276090</c:v>
                </c:pt>
                <c:pt idx="17">
                  <c:v>274340</c:v>
                </c:pt>
                <c:pt idx="18">
                  <c:v>272920</c:v>
                </c:pt>
                <c:pt idx="19">
                  <c:v>271940</c:v>
                </c:pt>
                <c:pt idx="20">
                  <c:v>271220</c:v>
                </c:pt>
                <c:pt idx="21">
                  <c:v>270840</c:v>
                </c:pt>
                <c:pt idx="22">
                  <c:v>270710</c:v>
                </c:pt>
                <c:pt idx="23">
                  <c:v>271240</c:v>
                </c:pt>
              </c:numCache>
            </c:numRef>
          </c:val>
          <c:smooth val="1"/>
          <c:extLst>
            <c:ext xmlns:c16="http://schemas.microsoft.com/office/drawing/2014/chart" uri="{C3380CC4-5D6E-409C-BE32-E72D297353CC}">
              <c16:uniqueId val="{00000000-6D3E-4C9B-B2F9-0D99251E6B6B}"/>
            </c:ext>
          </c:extLst>
        </c:ser>
        <c:ser>
          <c:idx val="1"/>
          <c:order val="2"/>
          <c:tx>
            <c:strRef>
              <c:f>'T2'!$S$4</c:f>
              <c:strCache>
                <c:ptCount val="1"/>
                <c:pt idx="0">
                  <c:v>Median</c:v>
                </c:pt>
              </c:strCache>
            </c:strRef>
          </c:tx>
          <c:spPr>
            <a:ln w="28575" cap="rnd">
              <a:solidFill>
                <a:schemeClr val="accent5"/>
              </a:solidFill>
              <a:prstDash val="dash"/>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'T2'!$S$5:$S$28</c:f>
              <c:numCache>
                <c:formatCode>_-* #,##0_-;\-* #,##0_-;_-* "-"??_-;_-@_-</c:formatCode>
                <c:ptCount val="24"/>
                <c:pt idx="9">
                  <c:v>300700</c:v>
                </c:pt>
                <c:pt idx="10">
                  <c:v>297410</c:v>
                </c:pt>
                <c:pt idx="11">
                  <c:v>293620</c:v>
                </c:pt>
                <c:pt idx="12">
                  <c:v>290450</c:v>
                </c:pt>
                <c:pt idx="13">
                  <c:v>291600</c:v>
                </c:pt>
                <c:pt idx="14">
                  <c:v>292850</c:v>
                </c:pt>
                <c:pt idx="15">
                  <c:v>292960</c:v>
                </c:pt>
                <c:pt idx="16">
                  <c:v>293000</c:v>
                </c:pt>
                <c:pt idx="17">
                  <c:v>293040</c:v>
                </c:pt>
                <c:pt idx="18">
                  <c:v>293200</c:v>
                </c:pt>
                <c:pt idx="19">
                  <c:v>293550</c:v>
                </c:pt>
                <c:pt idx="20">
                  <c:v>294150</c:v>
                </c:pt>
                <c:pt idx="21">
                  <c:v>295080</c:v>
                </c:pt>
                <c:pt idx="22">
                  <c:v>296340</c:v>
                </c:pt>
                <c:pt idx="23">
                  <c:v>297920</c:v>
                </c:pt>
              </c:numCache>
            </c:numRef>
          </c:val>
          <c:smooth val="1"/>
          <c:extLst>
            <c:ext xmlns:c16="http://schemas.microsoft.com/office/drawing/2014/chart" uri="{C3380CC4-5D6E-409C-BE32-E72D297353CC}">
              <c16:uniqueId val="{00000002-6D3E-4C9B-B2F9-0D99251E6B6B}"/>
            </c:ext>
          </c:extLst>
        </c:ser>
        <c:ser>
          <c:idx val="3"/>
          <c:order val="3"/>
          <c:tx>
            <c:strRef>
              <c:f>'T2'!$R$4</c:f>
              <c:strCache>
                <c:ptCount val="1"/>
                <c:pt idx="0">
                  <c:v>Actual</c:v>
                </c:pt>
              </c:strCache>
            </c:strRef>
          </c:tx>
          <c:spPr>
            <a:ln w="28575" cap="rnd">
              <a:solidFill>
                <a:schemeClr val="accent5"/>
              </a:solidFill>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'T2'!$R$5:$R$28</c:f>
              <c:numCache>
                <c:formatCode>_-* #,##0_-;\-* #,##0_-;_-* "-"??_-;_-@_-</c:formatCode>
                <c:ptCount val="24"/>
                <c:pt idx="0">
                  <c:v>305210</c:v>
                </c:pt>
                <c:pt idx="1">
                  <c:v>304710</c:v>
                </c:pt>
                <c:pt idx="2">
                  <c:v>305520</c:v>
                </c:pt>
                <c:pt idx="3">
                  <c:v>305030</c:v>
                </c:pt>
                <c:pt idx="4">
                  <c:v>305330</c:v>
                </c:pt>
                <c:pt idx="5">
                  <c:v>305200</c:v>
                </c:pt>
                <c:pt idx="6">
                  <c:v>304370</c:v>
                </c:pt>
                <c:pt idx="7">
                  <c:v>302730</c:v>
                </c:pt>
                <c:pt idx="8">
                  <c:v>302310</c:v>
                </c:pt>
                <c:pt idx="9">
                  <c:v>300700</c:v>
                </c:pt>
              </c:numCache>
            </c:numRef>
          </c:val>
          <c:smooth val="1"/>
          <c:extLst>
            <c:ext xmlns:c16="http://schemas.microsoft.com/office/drawing/2014/chart" uri="{C3380CC4-5D6E-409C-BE32-E72D297353CC}">
              <c16:uniqueId val="{00000003-6D3E-4C9B-B2F9-0D99251E6B6B}"/>
            </c:ext>
          </c:extLst>
        </c:ser>
        <c:dLbls>
          <c:showLegendKey val="0"/>
          <c:showVal val="0"/>
          <c:showCatName val="0"/>
          <c:showSerName val="0"/>
          <c:showPercent val="0"/>
          <c:showBubbleSize val="0"/>
        </c:dLbls>
        <c:smooth val="0"/>
        <c:axId val="1401455840"/>
        <c:axId val="1401457280"/>
      </c:lineChart>
      <c:catAx>
        <c:axId val="1401455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1457280"/>
        <c:crosses val="autoZero"/>
        <c:auto val="1"/>
        <c:lblAlgn val="ctr"/>
        <c:lblOffset val="100"/>
        <c:noMultiLvlLbl val="0"/>
      </c:catAx>
      <c:valAx>
        <c:axId val="1401457280"/>
        <c:scaling>
          <c:orientation val="minMax"/>
          <c:max val="400000"/>
        </c:scaling>
        <c:delete val="0"/>
        <c:axPos val="l"/>
        <c:majorGridlines>
          <c:spPr>
            <a:ln w="9525" cap="flat" cmpd="sng" algn="ctr">
              <a:solidFill>
                <a:schemeClr val="tx1">
                  <a:lumMod val="15000"/>
                  <a:lumOff val="85000"/>
                </a:schemeClr>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14558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Full-range forecast</a:t>
            </a:r>
            <a:r>
              <a:rPr lang="en-NZ" baseline="0"/>
              <a:t> ECE place demand</a:t>
            </a:r>
            <a:endParaRPr lang="en-NZ"/>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NZ"/>
        </a:p>
      </c:txPr>
    </c:title>
    <c:autoTitleDeleted val="0"/>
    <c:plotArea>
      <c:layout/>
      <c:lineChart>
        <c:grouping val="standard"/>
        <c:varyColors val="0"/>
        <c:ser>
          <c:idx val="1"/>
          <c:order val="0"/>
          <c:tx>
            <c:strRef>
              <c:f>'T15'!$R$4</c:f>
              <c:strCache>
                <c:ptCount val="1"/>
                <c:pt idx="0">
                  <c:v>Actual</c:v>
                </c:pt>
              </c:strCache>
            </c:strRef>
          </c:tx>
          <c:spPr>
            <a:ln w="28575" cap="rnd">
              <a:solidFill>
                <a:schemeClr val="accent5"/>
              </a:solidFill>
              <a:round/>
            </a:ln>
            <a:effectLst/>
          </c:spPr>
          <c:marker>
            <c:symbol val="none"/>
          </c:marker>
          <c:trendline>
            <c:spPr>
              <a:ln w="19050" cap="rnd">
                <a:solidFill>
                  <a:schemeClr val="accent2"/>
                </a:solidFill>
                <a:prstDash val="sysDot"/>
              </a:ln>
              <a:effectLst/>
            </c:spPr>
            <c:trendlineType val="linear"/>
            <c:dispRSqr val="0"/>
            <c:dispEq val="0"/>
          </c:trendline>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'T15'!$R$5:$R$28</c15:sqref>
                  </c15:fullRef>
                </c:ext>
              </c:extLst>
              <c:f>'T15'!$R$5:$R$25</c:f>
              <c:numCache>
                <c:formatCode>_-* #,##0_-;\-* #,##0_-;_-* "-"??_-;_-@_-</c:formatCode>
                <c:ptCount val="21"/>
                <c:pt idx="0">
                  <c:v>195092</c:v>
                </c:pt>
                <c:pt idx="1">
                  <c:v>199513</c:v>
                </c:pt>
                <c:pt idx="2">
                  <c:v>200335</c:v>
                </c:pt>
                <c:pt idx="3">
                  <c:v>196989</c:v>
                </c:pt>
                <c:pt idx="4">
                  <c:v>194979</c:v>
                </c:pt>
                <c:pt idx="5">
                  <c:v>185279</c:v>
                </c:pt>
                <c:pt idx="6">
                  <c:v>191457</c:v>
                </c:pt>
                <c:pt idx="7">
                  <c:v>178413</c:v>
                </c:pt>
                <c:pt idx="8">
                  <c:v>188340</c:v>
                </c:pt>
                <c:pt idx="9">
                  <c:v>191363</c:v>
                </c:pt>
                <c:pt idx="10">
                  <c:v>192895</c:v>
                </c:pt>
              </c:numCache>
            </c:numRef>
          </c:val>
          <c:smooth val="1"/>
          <c:extLst>
            <c:ext xmlns:c16="http://schemas.microsoft.com/office/drawing/2014/chart" uri="{C3380CC4-5D6E-409C-BE32-E72D297353CC}">
              <c16:uniqueId val="{00000001-14F6-4DE2-9FBA-FD6753B80FE7}"/>
            </c:ext>
          </c:extLst>
        </c:ser>
        <c:ser>
          <c:idx val="0"/>
          <c:order val="1"/>
          <c:tx>
            <c:strRef>
              <c:f>'T15'!$Q$4</c:f>
              <c:strCache>
                <c:ptCount val="1"/>
                <c:pt idx="0">
                  <c:v>Low</c:v>
                </c:pt>
              </c:strCache>
            </c:strRef>
          </c:tx>
          <c:spPr>
            <a:ln w="28575" cap="rnd">
              <a:solidFill>
                <a:schemeClr val="accent5">
                  <a:lumMod val="50000"/>
                </a:schemeClr>
              </a:solidFill>
              <a:prstDash val="dash"/>
              <a:round/>
            </a:ln>
            <a:effectLst/>
          </c:spPr>
          <c:marker>
            <c:symbol val="none"/>
          </c:marker>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'T15'!$Q$5:$Q$28</c15:sqref>
                  </c15:fullRef>
                </c:ext>
              </c:extLst>
              <c:f>'T15'!$Q$5:$Q$25</c:f>
              <c:numCache>
                <c:formatCode>_-* #,##0_-;\-* #,##0_-;_-* "-"??_-;_-@_-</c:formatCode>
                <c:ptCount val="21"/>
                <c:pt idx="9">
                  <c:v>191363</c:v>
                </c:pt>
                <c:pt idx="10">
                  <c:v>178565</c:v>
                </c:pt>
                <c:pt idx="11">
                  <c:v>173830</c:v>
                </c:pt>
                <c:pt idx="12">
                  <c:v>169425</c:v>
                </c:pt>
                <c:pt idx="13">
                  <c:v>168695</c:v>
                </c:pt>
                <c:pt idx="14">
                  <c:v>167975</c:v>
                </c:pt>
                <c:pt idx="15">
                  <c:v>166775</c:v>
                </c:pt>
                <c:pt idx="16">
                  <c:v>165655</c:v>
                </c:pt>
                <c:pt idx="17">
                  <c:v>164520</c:v>
                </c:pt>
                <c:pt idx="18">
                  <c:v>163575</c:v>
                </c:pt>
                <c:pt idx="19">
                  <c:v>162815</c:v>
                </c:pt>
                <c:pt idx="20">
                  <c:v>162320</c:v>
                </c:pt>
              </c:numCache>
            </c:numRef>
          </c:val>
          <c:smooth val="1"/>
          <c:extLst>
            <c:ext xmlns:c16="http://schemas.microsoft.com/office/drawing/2014/chart" uri="{C3380CC4-5D6E-409C-BE32-E72D297353CC}">
              <c16:uniqueId val="{00000000-14F6-4DE2-9FBA-FD6753B80FE7}"/>
            </c:ext>
          </c:extLst>
        </c:ser>
        <c:ser>
          <c:idx val="2"/>
          <c:order val="2"/>
          <c:tx>
            <c:strRef>
              <c:f>'T15'!$S$4</c:f>
              <c:strCache>
                <c:ptCount val="1"/>
                <c:pt idx="0">
                  <c:v>Medium</c:v>
                </c:pt>
              </c:strCache>
            </c:strRef>
          </c:tx>
          <c:spPr>
            <a:ln w="28575" cap="rnd">
              <a:solidFill>
                <a:schemeClr val="accent5"/>
              </a:solidFill>
              <a:prstDash val="dash"/>
              <a:round/>
            </a:ln>
            <a:effectLst/>
          </c:spPr>
          <c:marker>
            <c:symbol val="none"/>
          </c:marker>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'T15'!$S$5:$S$28</c15:sqref>
                  </c15:fullRef>
                </c:ext>
              </c:extLst>
              <c:f>'T15'!$S$5:$S$25</c:f>
              <c:numCache>
                <c:formatCode>_-* #,##0_-;\-* #,##0_-;_-* "-"??_-;_-@_-</c:formatCode>
                <c:ptCount val="21"/>
                <c:pt idx="9">
                  <c:v>191363</c:v>
                </c:pt>
                <c:pt idx="10">
                  <c:v>191480</c:v>
                </c:pt>
                <c:pt idx="11">
                  <c:v>187600</c:v>
                </c:pt>
                <c:pt idx="12">
                  <c:v>184335</c:v>
                </c:pt>
                <c:pt idx="13">
                  <c:v>185370</c:v>
                </c:pt>
                <c:pt idx="14">
                  <c:v>186565</c:v>
                </c:pt>
                <c:pt idx="15">
                  <c:v>186695</c:v>
                </c:pt>
                <c:pt idx="16">
                  <c:v>186730</c:v>
                </c:pt>
                <c:pt idx="17">
                  <c:v>186735</c:v>
                </c:pt>
                <c:pt idx="18">
                  <c:v>186775</c:v>
                </c:pt>
                <c:pt idx="19">
                  <c:v>186905</c:v>
                </c:pt>
                <c:pt idx="20">
                  <c:v>187170</c:v>
                </c:pt>
              </c:numCache>
            </c:numRef>
          </c:val>
          <c:smooth val="1"/>
          <c:extLst>
            <c:ext xmlns:c16="http://schemas.microsoft.com/office/drawing/2014/chart" uri="{C3380CC4-5D6E-409C-BE32-E72D297353CC}">
              <c16:uniqueId val="{00000002-14F6-4DE2-9FBA-FD6753B80FE7}"/>
            </c:ext>
          </c:extLst>
        </c:ser>
        <c:ser>
          <c:idx val="3"/>
          <c:order val="3"/>
          <c:tx>
            <c:strRef>
              <c:f>'T15'!$T$4</c:f>
              <c:strCache>
                <c:ptCount val="1"/>
                <c:pt idx="0">
                  <c:v>High</c:v>
                </c:pt>
              </c:strCache>
            </c:strRef>
          </c:tx>
          <c:spPr>
            <a:ln w="28575" cap="rnd">
              <a:solidFill>
                <a:schemeClr val="accent5">
                  <a:lumMod val="40000"/>
                  <a:lumOff val="60000"/>
                </a:schemeClr>
              </a:solidFill>
              <a:prstDash val="dash"/>
              <a:round/>
            </a:ln>
            <a:effectLst/>
          </c:spPr>
          <c:marker>
            <c:symbol val="none"/>
          </c:marker>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'T15'!$T$5:$T$28</c15:sqref>
                  </c15:fullRef>
                </c:ext>
              </c:extLst>
              <c:f>'T15'!$T$5:$T$25</c:f>
              <c:numCache>
                <c:formatCode>_-* #,##0_-;\-* #,##0_-;_-* "-"??_-;_-@_-</c:formatCode>
                <c:ptCount val="21"/>
                <c:pt idx="9">
                  <c:v>191363</c:v>
                </c:pt>
                <c:pt idx="10">
                  <c:v>200020</c:v>
                </c:pt>
                <c:pt idx="11">
                  <c:v>197080</c:v>
                </c:pt>
                <c:pt idx="12">
                  <c:v>195135</c:v>
                </c:pt>
                <c:pt idx="13">
                  <c:v>197910</c:v>
                </c:pt>
                <c:pt idx="14">
                  <c:v>201180</c:v>
                </c:pt>
                <c:pt idx="15">
                  <c:v>203010</c:v>
                </c:pt>
                <c:pt idx="16">
                  <c:v>204155</c:v>
                </c:pt>
                <c:pt idx="17">
                  <c:v>205495</c:v>
                </c:pt>
                <c:pt idx="18">
                  <c:v>206685</c:v>
                </c:pt>
                <c:pt idx="19">
                  <c:v>207705</c:v>
                </c:pt>
                <c:pt idx="20">
                  <c:v>208750</c:v>
                </c:pt>
              </c:numCache>
            </c:numRef>
          </c:val>
          <c:smooth val="1"/>
          <c:extLst>
            <c:ext xmlns:c16="http://schemas.microsoft.com/office/drawing/2014/chart" uri="{C3380CC4-5D6E-409C-BE32-E72D297353CC}">
              <c16:uniqueId val="{00000003-14F6-4DE2-9FBA-FD6753B80FE7}"/>
            </c:ext>
          </c:extLst>
        </c:ser>
        <c:dLbls>
          <c:showLegendKey val="0"/>
          <c:showVal val="0"/>
          <c:showCatName val="0"/>
          <c:showSerName val="0"/>
          <c:showPercent val="0"/>
          <c:showBubbleSize val="0"/>
        </c:dLbls>
        <c:smooth val="0"/>
        <c:axId val="450114480"/>
        <c:axId val="450113520"/>
      </c:lineChart>
      <c:catAx>
        <c:axId val="450114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450113520"/>
        <c:crosses val="autoZero"/>
        <c:auto val="1"/>
        <c:lblAlgn val="ctr"/>
        <c:lblOffset val="100"/>
        <c:noMultiLvlLbl val="0"/>
      </c:catAx>
      <c:valAx>
        <c:axId val="450113520"/>
        <c:scaling>
          <c:orientation val="minMax"/>
        </c:scaling>
        <c:delete val="0"/>
        <c:axPos val="l"/>
        <c:majorGridlines>
          <c:spPr>
            <a:ln w="9525" cap="flat" cmpd="sng" algn="ctr">
              <a:solidFill>
                <a:schemeClr val="tx1">
                  <a:lumMod val="15000"/>
                  <a:lumOff val="85000"/>
                </a:schemeClr>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450114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NZ"/>
              <a:t>Total FTE workforce - Centre-based, teacher led</a:t>
            </a:r>
            <a:r>
              <a:rPr lang="en-NZ" baseline="0"/>
              <a:t> services</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i="1" baseline="0"/>
              <a:t>with straight-line supply trendline</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sz="1200" b="0" i="0" u="none" strike="noStrike" kern="1200" spc="0" baseline="0">
                <a:solidFill>
                  <a:sysClr val="windowText" lastClr="000000">
                    <a:lumMod val="65000"/>
                    <a:lumOff val="35000"/>
                  </a:sysClr>
                </a:solidFill>
              </a:rPr>
              <a:t>assumes that work pattern changes will follow 2018-2023 direction</a:t>
            </a:r>
          </a:p>
        </c:rich>
      </c:tx>
      <c:layout>
        <c:manualLayout>
          <c:xMode val="edge"/>
          <c:yMode val="edge"/>
          <c:x val="0.31735231599571179"/>
          <c:y val="7.2239635094156918E-3"/>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1"/>
          <c:order val="0"/>
          <c:tx>
            <c:strRef>
              <c:f>'T19'!$B$4</c:f>
              <c:strCache>
                <c:ptCount val="1"/>
                <c:pt idx="0">
                  <c:v>Teachers needed  (Low)</c:v>
                </c:pt>
              </c:strCache>
            </c:strRef>
          </c:tx>
          <c:spPr>
            <a:ln w="28575" cap="rnd">
              <a:solidFill>
                <a:schemeClr val="tx1"/>
              </a:solidFill>
              <a:prstDash val="lgDash"/>
              <a:round/>
            </a:ln>
            <a:effectLst/>
          </c:spPr>
          <c:marker>
            <c:symbol val="none"/>
          </c:marker>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'T19'!$B$5:$B$24</c:f>
              <c:numCache>
                <c:formatCode>#,##0</c:formatCode>
                <c:ptCount val="20"/>
                <c:pt idx="8">
                  <c:v>27689.148000000001</c:v>
                </c:pt>
                <c:pt idx="9">
                  <c:v>23575</c:v>
                </c:pt>
                <c:pt idx="10">
                  <c:v>23050</c:v>
                </c:pt>
                <c:pt idx="11">
                  <c:v>22560</c:v>
                </c:pt>
                <c:pt idx="12">
                  <c:v>22565</c:v>
                </c:pt>
                <c:pt idx="13">
                  <c:v>22565</c:v>
                </c:pt>
                <c:pt idx="14">
                  <c:v>22510</c:v>
                </c:pt>
                <c:pt idx="15">
                  <c:v>22450</c:v>
                </c:pt>
                <c:pt idx="16">
                  <c:v>22390</c:v>
                </c:pt>
                <c:pt idx="17">
                  <c:v>22360</c:v>
                </c:pt>
                <c:pt idx="18">
                  <c:v>22350</c:v>
                </c:pt>
                <c:pt idx="19">
                  <c:v>22380</c:v>
                </c:pt>
              </c:numCache>
            </c:numRef>
          </c:val>
          <c:smooth val="1"/>
          <c:extLst>
            <c:ext xmlns:c16="http://schemas.microsoft.com/office/drawing/2014/chart" uri="{C3380CC4-5D6E-409C-BE32-E72D297353CC}">
              <c16:uniqueId val="{00000000-9E0C-4261-81E2-90B106C895E0}"/>
            </c:ext>
          </c:extLst>
        </c:ser>
        <c:ser>
          <c:idx val="3"/>
          <c:order val="1"/>
          <c:tx>
            <c:strRef>
              <c:f>'T19'!$E$4</c:f>
              <c:strCache>
                <c:ptCount val="1"/>
                <c:pt idx="0">
                  <c:v>Teachers needed (Medium)</c:v>
                </c:pt>
              </c:strCache>
            </c:strRef>
          </c:tx>
          <c:spPr>
            <a:ln w="28575" cap="rnd">
              <a:solidFill>
                <a:schemeClr val="accent5"/>
              </a:solidFill>
              <a:prstDash val="lgDash"/>
              <a:round/>
            </a:ln>
            <a:effectLst/>
          </c:spPr>
          <c:marker>
            <c:symbol val="none"/>
          </c:marker>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'T19'!$E$5:$E$24</c:f>
              <c:numCache>
                <c:formatCode>#,##0</c:formatCode>
                <c:ptCount val="20"/>
                <c:pt idx="8">
                  <c:v>27689.148000000001</c:v>
                </c:pt>
                <c:pt idx="9">
                  <c:v>25275</c:v>
                </c:pt>
                <c:pt idx="10">
                  <c:v>24870</c:v>
                </c:pt>
                <c:pt idx="11">
                  <c:v>24545</c:v>
                </c:pt>
                <c:pt idx="12">
                  <c:v>24800</c:v>
                </c:pt>
                <c:pt idx="13">
                  <c:v>25065</c:v>
                </c:pt>
                <c:pt idx="14">
                  <c:v>25190</c:v>
                </c:pt>
                <c:pt idx="15">
                  <c:v>25305</c:v>
                </c:pt>
                <c:pt idx="16">
                  <c:v>25415</c:v>
                </c:pt>
                <c:pt idx="17">
                  <c:v>25530</c:v>
                </c:pt>
                <c:pt idx="18">
                  <c:v>25660</c:v>
                </c:pt>
                <c:pt idx="19">
                  <c:v>25800</c:v>
                </c:pt>
              </c:numCache>
            </c:numRef>
          </c:val>
          <c:smooth val="1"/>
          <c:extLst>
            <c:ext xmlns:c16="http://schemas.microsoft.com/office/drawing/2014/chart" uri="{C3380CC4-5D6E-409C-BE32-E72D297353CC}">
              <c16:uniqueId val="{00000002-9E0C-4261-81E2-90B106C895E0}"/>
            </c:ext>
          </c:extLst>
        </c:ser>
        <c:ser>
          <c:idx val="4"/>
          <c:order val="2"/>
          <c:tx>
            <c:strRef>
              <c:f>'T19'!$F$4</c:f>
              <c:strCache>
                <c:ptCount val="1"/>
                <c:pt idx="0">
                  <c:v>Teachers needed (High)</c:v>
                </c:pt>
              </c:strCache>
            </c:strRef>
          </c:tx>
          <c:spPr>
            <a:ln w="28575" cap="rnd">
              <a:solidFill>
                <a:schemeClr val="accent5">
                  <a:lumMod val="40000"/>
                  <a:lumOff val="60000"/>
                </a:schemeClr>
              </a:solidFill>
              <a:prstDash val="lgDash"/>
              <a:round/>
            </a:ln>
            <a:effectLst/>
          </c:spPr>
          <c:marker>
            <c:symbol val="none"/>
          </c:marker>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'T19'!$F$5:$F$24</c:f>
              <c:numCache>
                <c:formatCode>#,##0</c:formatCode>
                <c:ptCount val="20"/>
                <c:pt idx="8">
                  <c:v>27689.148000000001</c:v>
                </c:pt>
                <c:pt idx="9">
                  <c:v>26400</c:v>
                </c:pt>
                <c:pt idx="10">
                  <c:v>26130</c:v>
                </c:pt>
                <c:pt idx="11">
                  <c:v>25985</c:v>
                </c:pt>
                <c:pt idx="12">
                  <c:v>26480</c:v>
                </c:pt>
                <c:pt idx="13">
                  <c:v>27025</c:v>
                </c:pt>
                <c:pt idx="14">
                  <c:v>27390</c:v>
                </c:pt>
                <c:pt idx="15">
                  <c:v>27660</c:v>
                </c:pt>
                <c:pt idx="16">
                  <c:v>27975</c:v>
                </c:pt>
                <c:pt idx="17">
                  <c:v>28250</c:v>
                </c:pt>
                <c:pt idx="18">
                  <c:v>28520</c:v>
                </c:pt>
                <c:pt idx="19">
                  <c:v>28785</c:v>
                </c:pt>
              </c:numCache>
            </c:numRef>
          </c:val>
          <c:smooth val="1"/>
          <c:extLst>
            <c:ext xmlns:c16="http://schemas.microsoft.com/office/drawing/2014/chart" uri="{C3380CC4-5D6E-409C-BE32-E72D297353CC}">
              <c16:uniqueId val="{00000003-9E0C-4261-81E2-90B106C895E0}"/>
            </c:ext>
          </c:extLst>
        </c:ser>
        <c:ser>
          <c:idx val="0"/>
          <c:order val="3"/>
          <c:tx>
            <c:strRef>
              <c:f>'T19'!$C$4</c:f>
              <c:strCache>
                <c:ptCount val="1"/>
                <c:pt idx="0">
                  <c:v>Teachers needed  (Regulated ratio)</c:v>
                </c:pt>
              </c:strCache>
            </c:strRef>
          </c:tx>
          <c:spPr>
            <a:ln w="28575" cap="rnd">
              <a:solidFill>
                <a:schemeClr val="accent6"/>
              </a:solidFill>
              <a:prstDash val="dash"/>
              <a:round/>
            </a:ln>
            <a:effectLst/>
          </c:spPr>
          <c:marker>
            <c:symbol val="none"/>
          </c:marker>
          <c:dPt>
            <c:idx val="9"/>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1-C7FE-4060-9EFF-4EF7F4E27047}"/>
              </c:ext>
            </c:extLst>
          </c:dPt>
          <c:dPt>
            <c:idx val="10"/>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2-C7FE-4060-9EFF-4EF7F4E27047}"/>
              </c:ext>
            </c:extLst>
          </c:dPt>
          <c:dPt>
            <c:idx val="11"/>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3-C7FE-4060-9EFF-4EF7F4E27047}"/>
              </c:ext>
            </c:extLst>
          </c:dPt>
          <c:dPt>
            <c:idx val="12"/>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4-C7FE-4060-9EFF-4EF7F4E27047}"/>
              </c:ext>
            </c:extLst>
          </c:dPt>
          <c:dPt>
            <c:idx val="13"/>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5-C7FE-4060-9EFF-4EF7F4E27047}"/>
              </c:ext>
            </c:extLst>
          </c:dPt>
          <c:dPt>
            <c:idx val="14"/>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6-C7FE-4060-9EFF-4EF7F4E27047}"/>
              </c:ext>
            </c:extLst>
          </c:dPt>
          <c:dPt>
            <c:idx val="15"/>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7-C7FE-4060-9EFF-4EF7F4E27047}"/>
              </c:ext>
            </c:extLst>
          </c:dPt>
          <c:dPt>
            <c:idx val="16"/>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8-C7FE-4060-9EFF-4EF7F4E27047}"/>
              </c:ext>
            </c:extLst>
          </c:dPt>
          <c:dPt>
            <c:idx val="17"/>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9-C7FE-4060-9EFF-4EF7F4E27047}"/>
              </c:ext>
            </c:extLst>
          </c:dPt>
          <c:dPt>
            <c:idx val="18"/>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A-C7FE-4060-9EFF-4EF7F4E27047}"/>
              </c:ext>
            </c:extLst>
          </c:dPt>
          <c:dPt>
            <c:idx val="19"/>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B-C7FE-4060-9EFF-4EF7F4E27047}"/>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'T19'!$C$5:$C$24</c:f>
              <c:numCache>
                <c:formatCode>#,##0</c:formatCode>
                <c:ptCount val="20"/>
                <c:pt idx="0">
                  <c:v>18790</c:v>
                </c:pt>
                <c:pt idx="1">
                  <c:v>19015</c:v>
                </c:pt>
                <c:pt idx="2">
                  <c:v>19245</c:v>
                </c:pt>
                <c:pt idx="3">
                  <c:v>19225</c:v>
                </c:pt>
                <c:pt idx="4">
                  <c:v>18620</c:v>
                </c:pt>
                <c:pt idx="5">
                  <c:v>19175</c:v>
                </c:pt>
                <c:pt idx="6">
                  <c:v>18080</c:v>
                </c:pt>
                <c:pt idx="7">
                  <c:v>19260</c:v>
                </c:pt>
                <c:pt idx="8">
                  <c:v>19615</c:v>
                </c:pt>
              </c:numCache>
            </c:numRef>
          </c:val>
          <c:smooth val="1"/>
          <c:extLst>
            <c:ext xmlns:c16="http://schemas.microsoft.com/office/drawing/2014/chart" uri="{C3380CC4-5D6E-409C-BE32-E72D297353CC}">
              <c16:uniqueId val="{00000009-9E0C-4261-81E2-90B106C895E0}"/>
            </c:ext>
          </c:extLst>
        </c:ser>
        <c:ser>
          <c:idx val="2"/>
          <c:order val="4"/>
          <c:tx>
            <c:strRef>
              <c:f>'T19'!$D$4</c:f>
              <c:strCache>
                <c:ptCount val="1"/>
                <c:pt idx="0">
                  <c:v>Teachers working (Actual)</c:v>
                </c:pt>
              </c:strCache>
            </c:strRef>
          </c:tx>
          <c:spPr>
            <a:ln w="28575" cap="rnd">
              <a:solidFill>
                <a:schemeClr val="accent5"/>
              </a:solidFill>
              <a:round/>
            </a:ln>
            <a:effectLst/>
          </c:spPr>
          <c:marker>
            <c:symbol val="none"/>
          </c:marker>
          <c:trendline>
            <c:spPr>
              <a:ln w="25400" cap="rnd">
                <a:solidFill>
                  <a:schemeClr val="accent5"/>
                </a:solidFill>
                <a:prstDash val="sysDot"/>
              </a:ln>
              <a:effectLst/>
            </c:spPr>
            <c:trendlineType val="linear"/>
            <c:dispRSqr val="0"/>
            <c:dispEq val="0"/>
          </c:trendline>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'T19'!$D$5:$D$24</c:f>
              <c:numCache>
                <c:formatCode>#,##0</c:formatCode>
                <c:ptCount val="20"/>
                <c:pt idx="0">
                  <c:v>23609.024999999998</c:v>
                </c:pt>
                <c:pt idx="1">
                  <c:v>24599.024999999998</c:v>
                </c:pt>
                <c:pt idx="2">
                  <c:v>25157.55</c:v>
                </c:pt>
                <c:pt idx="3">
                  <c:v>25810.489600000001</c:v>
                </c:pt>
                <c:pt idx="4">
                  <c:v>24662.444599999999</c:v>
                </c:pt>
                <c:pt idx="5">
                  <c:v>26805.783600000002</c:v>
                </c:pt>
                <c:pt idx="6">
                  <c:v>26635.180200000003</c:v>
                </c:pt>
                <c:pt idx="7">
                  <c:v>27877.32</c:v>
                </c:pt>
                <c:pt idx="8">
                  <c:v>27689.148000000001</c:v>
                </c:pt>
              </c:numCache>
            </c:numRef>
          </c:val>
          <c:smooth val="1"/>
          <c:extLst>
            <c:ext xmlns:c16="http://schemas.microsoft.com/office/drawing/2014/chart" uri="{C3380CC4-5D6E-409C-BE32-E72D297353CC}">
              <c16:uniqueId val="{00000001-9E0C-4261-81E2-90B106C895E0}"/>
            </c:ext>
          </c:extLst>
        </c:ser>
        <c:dLbls>
          <c:showLegendKey val="0"/>
          <c:showVal val="0"/>
          <c:showCatName val="0"/>
          <c:showSerName val="0"/>
          <c:showPercent val="0"/>
          <c:showBubbleSize val="0"/>
        </c:dLbls>
        <c:smooth val="0"/>
        <c:axId val="110934112"/>
        <c:axId val="110934592"/>
      </c:lineChart>
      <c:catAx>
        <c:axId val="110934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10934592"/>
        <c:crosses val="autoZero"/>
        <c:auto val="1"/>
        <c:lblAlgn val="ctr"/>
        <c:lblOffset val="100"/>
        <c:noMultiLvlLbl val="0"/>
      </c:catAx>
      <c:valAx>
        <c:axId val="110934592"/>
        <c:scaling>
          <c:orientation val="minMax"/>
          <c:max val="3500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10934112"/>
        <c:crosses val="autoZero"/>
        <c:crossBetween val="between"/>
      </c:valAx>
      <c:spPr>
        <a:noFill/>
        <a:ln>
          <a:noFill/>
        </a:ln>
        <a:effectLst/>
      </c:spPr>
    </c:plotArea>
    <c:legend>
      <c:legendPos val="b"/>
      <c:layout>
        <c:manualLayout>
          <c:xMode val="edge"/>
          <c:yMode val="edge"/>
          <c:x val="4.4383202099737541E-2"/>
          <c:y val="0.95682955459713281"/>
          <c:w val="0.9399221203906889"/>
          <c:h val="3.061818277740407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sz="2000"/>
              <a:t>Total FTE required with under-5 population on secondary axis</a:t>
            </a:r>
          </a:p>
          <a:p>
            <a:pPr>
              <a:defRPr/>
            </a:pPr>
            <a:r>
              <a:rPr lang="en-NZ" sz="1200"/>
              <a:t>Education &amp; Care services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2"/>
          <c:order val="1"/>
          <c:tx>
            <c:strRef>
              <c:f>'T19.1'!$D$4</c:f>
              <c:strCache>
                <c:ptCount val="1"/>
                <c:pt idx="0">
                  <c:v>Supply (Actual)</c:v>
                </c:pt>
              </c:strCache>
            </c:strRef>
          </c:tx>
          <c:spPr>
            <a:ln w="28575" cap="rnd">
              <a:solidFill>
                <a:schemeClr val="accent3"/>
              </a:solidFill>
              <a:round/>
            </a:ln>
            <a:effectLst/>
          </c:spPr>
          <c:marker>
            <c:symbol val="none"/>
          </c:marker>
          <c:trendline>
            <c:spPr>
              <a:ln w="19050" cap="rnd">
                <a:solidFill>
                  <a:schemeClr val="accent3"/>
                </a:solidFill>
                <a:prstDash val="sysDot"/>
              </a:ln>
              <a:effectLst/>
            </c:spPr>
            <c:trendlineType val="linear"/>
            <c:dispRSqr val="0"/>
            <c:dispEq val="0"/>
          </c:trendline>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'T19.1'!$D$5:$D$24</c:f>
              <c:numCache>
                <c:formatCode>#,##0</c:formatCode>
                <c:ptCount val="20"/>
                <c:pt idx="0">
                  <c:v>20294.174999999999</c:v>
                </c:pt>
                <c:pt idx="1">
                  <c:v>21247.875</c:v>
                </c:pt>
                <c:pt idx="2">
                  <c:v>21744.524999999998</c:v>
                </c:pt>
                <c:pt idx="3">
                  <c:v>22542.531200000001</c:v>
                </c:pt>
                <c:pt idx="4">
                  <c:v>21231.3</c:v>
                </c:pt>
                <c:pt idx="5">
                  <c:v>23254.429200000002</c:v>
                </c:pt>
                <c:pt idx="6">
                  <c:v>23183.638600000002</c:v>
                </c:pt>
                <c:pt idx="7">
                  <c:v>24259.092000000001</c:v>
                </c:pt>
                <c:pt idx="8">
                  <c:v>23812.158599999999</c:v>
                </c:pt>
              </c:numCache>
            </c:numRef>
          </c:val>
          <c:smooth val="1"/>
          <c:extLst>
            <c:ext xmlns:c16="http://schemas.microsoft.com/office/drawing/2014/chart" uri="{C3380CC4-5D6E-409C-BE32-E72D297353CC}">
              <c16:uniqueId val="{00000002-1FC6-442C-9B00-A46FD5B6B7FE}"/>
            </c:ext>
          </c:extLst>
        </c:ser>
        <c:ser>
          <c:idx val="0"/>
          <c:order val="2"/>
          <c:tx>
            <c:strRef>
              <c:f>'T19.1'!$B$4</c:f>
              <c:strCache>
                <c:ptCount val="1"/>
                <c:pt idx="0">
                  <c:v>Total Demand (Low)</c:v>
                </c:pt>
              </c:strCache>
            </c:strRef>
          </c:tx>
          <c:spPr>
            <a:ln w="28575" cap="rnd">
              <a:solidFill>
                <a:schemeClr val="accent1"/>
              </a:solidFill>
              <a:prstDash val="dash"/>
              <a:round/>
            </a:ln>
            <a:effectLst/>
          </c:spPr>
          <c:marker>
            <c:symbol val="none"/>
          </c:marker>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'T19.1'!$B$5:$B$24</c:f>
              <c:numCache>
                <c:formatCode>#,##0</c:formatCode>
                <c:ptCount val="20"/>
                <c:pt idx="8">
                  <c:v>23812.158599999999</c:v>
                </c:pt>
                <c:pt idx="9">
                  <c:v>20345</c:v>
                </c:pt>
                <c:pt idx="10">
                  <c:v>19895</c:v>
                </c:pt>
                <c:pt idx="11">
                  <c:v>19470</c:v>
                </c:pt>
                <c:pt idx="12">
                  <c:v>19475</c:v>
                </c:pt>
                <c:pt idx="13">
                  <c:v>19475</c:v>
                </c:pt>
                <c:pt idx="14">
                  <c:v>19425</c:v>
                </c:pt>
                <c:pt idx="15">
                  <c:v>19375</c:v>
                </c:pt>
                <c:pt idx="16">
                  <c:v>19325</c:v>
                </c:pt>
                <c:pt idx="17">
                  <c:v>19300</c:v>
                </c:pt>
                <c:pt idx="18">
                  <c:v>19290</c:v>
                </c:pt>
                <c:pt idx="19">
                  <c:v>19320</c:v>
                </c:pt>
              </c:numCache>
            </c:numRef>
          </c:val>
          <c:smooth val="1"/>
          <c:extLst>
            <c:ext xmlns:c16="http://schemas.microsoft.com/office/drawing/2014/chart" uri="{C3380CC4-5D6E-409C-BE32-E72D297353CC}">
              <c16:uniqueId val="{00000000-1FC6-442C-9B00-A46FD5B6B7FE}"/>
            </c:ext>
          </c:extLst>
        </c:ser>
        <c:ser>
          <c:idx val="3"/>
          <c:order val="3"/>
          <c:tx>
            <c:strRef>
              <c:f>'T19.1'!$E$4</c:f>
              <c:strCache>
                <c:ptCount val="1"/>
                <c:pt idx="0">
                  <c:v>Total Demand (Medium)</c:v>
                </c:pt>
              </c:strCache>
            </c:strRef>
          </c:tx>
          <c:spPr>
            <a:ln w="28575" cap="rnd">
              <a:solidFill>
                <a:schemeClr val="accent3"/>
              </a:solidFill>
              <a:prstDash val="dash"/>
              <a:round/>
            </a:ln>
            <a:effectLst/>
          </c:spPr>
          <c:marker>
            <c:symbol val="none"/>
          </c:marker>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'T19.1'!$E$5:$E$24</c:f>
              <c:numCache>
                <c:formatCode>#,##0</c:formatCode>
                <c:ptCount val="20"/>
                <c:pt idx="8">
                  <c:v>23812.158599999999</c:v>
                </c:pt>
                <c:pt idx="9">
                  <c:v>21815</c:v>
                </c:pt>
                <c:pt idx="10">
                  <c:v>21465</c:v>
                </c:pt>
                <c:pt idx="11">
                  <c:v>21185</c:v>
                </c:pt>
                <c:pt idx="12">
                  <c:v>21400</c:v>
                </c:pt>
                <c:pt idx="13">
                  <c:v>21630</c:v>
                </c:pt>
                <c:pt idx="14">
                  <c:v>21740</c:v>
                </c:pt>
                <c:pt idx="15">
                  <c:v>21840</c:v>
                </c:pt>
                <c:pt idx="16">
                  <c:v>21935</c:v>
                </c:pt>
                <c:pt idx="17">
                  <c:v>22035</c:v>
                </c:pt>
                <c:pt idx="18">
                  <c:v>22145</c:v>
                </c:pt>
                <c:pt idx="19">
                  <c:v>22270</c:v>
                </c:pt>
              </c:numCache>
            </c:numRef>
          </c:val>
          <c:smooth val="1"/>
          <c:extLst>
            <c:ext xmlns:c16="http://schemas.microsoft.com/office/drawing/2014/chart" uri="{C3380CC4-5D6E-409C-BE32-E72D297353CC}">
              <c16:uniqueId val="{00000003-1FC6-442C-9B00-A46FD5B6B7FE}"/>
            </c:ext>
          </c:extLst>
        </c:ser>
        <c:ser>
          <c:idx val="4"/>
          <c:order val="4"/>
          <c:tx>
            <c:strRef>
              <c:f>'T19.1'!$F$4</c:f>
              <c:strCache>
                <c:ptCount val="1"/>
                <c:pt idx="0">
                  <c:v>Total Demand (High)</c:v>
                </c:pt>
              </c:strCache>
            </c:strRef>
          </c:tx>
          <c:spPr>
            <a:ln w="28575" cap="rnd">
              <a:solidFill>
                <a:schemeClr val="accent6"/>
              </a:solidFill>
              <a:prstDash val="dash"/>
              <a:round/>
            </a:ln>
            <a:effectLst/>
          </c:spPr>
          <c:marker>
            <c:symbol val="none"/>
          </c:marker>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'T19.1'!$F$5:$F$24</c:f>
              <c:numCache>
                <c:formatCode>#,##0</c:formatCode>
                <c:ptCount val="20"/>
                <c:pt idx="8">
                  <c:v>23812.158599999999</c:v>
                </c:pt>
                <c:pt idx="9">
                  <c:v>22790</c:v>
                </c:pt>
                <c:pt idx="10">
                  <c:v>22555</c:v>
                </c:pt>
                <c:pt idx="11">
                  <c:v>22430</c:v>
                </c:pt>
                <c:pt idx="12">
                  <c:v>22850</c:v>
                </c:pt>
                <c:pt idx="13">
                  <c:v>23325</c:v>
                </c:pt>
                <c:pt idx="14">
                  <c:v>23640</c:v>
                </c:pt>
                <c:pt idx="15">
                  <c:v>23875</c:v>
                </c:pt>
                <c:pt idx="16">
                  <c:v>24145</c:v>
                </c:pt>
                <c:pt idx="17">
                  <c:v>24385</c:v>
                </c:pt>
                <c:pt idx="18">
                  <c:v>24615</c:v>
                </c:pt>
                <c:pt idx="19">
                  <c:v>24840</c:v>
                </c:pt>
              </c:numCache>
            </c:numRef>
          </c:val>
          <c:smooth val="1"/>
          <c:extLst>
            <c:ext xmlns:c16="http://schemas.microsoft.com/office/drawing/2014/chart" uri="{C3380CC4-5D6E-409C-BE32-E72D297353CC}">
              <c16:uniqueId val="{00000004-1FC6-442C-9B00-A46FD5B6B7FE}"/>
            </c:ext>
          </c:extLst>
        </c:ser>
        <c:dLbls>
          <c:showLegendKey val="0"/>
          <c:showVal val="0"/>
          <c:showCatName val="0"/>
          <c:showSerName val="0"/>
          <c:showPercent val="0"/>
          <c:showBubbleSize val="0"/>
        </c:dLbls>
        <c:marker val="1"/>
        <c:smooth val="0"/>
        <c:axId val="154039360"/>
        <c:axId val="154051360"/>
      </c:lineChart>
      <c:lineChart>
        <c:grouping val="standard"/>
        <c:varyColors val="0"/>
        <c:ser>
          <c:idx val="5"/>
          <c:order val="0"/>
          <c:tx>
            <c:v>Population</c:v>
          </c:tx>
          <c:spPr>
            <a:ln w="28575" cap="rnd">
              <a:solidFill>
                <a:srgbClr val="C00000"/>
              </a:solidFill>
              <a:round/>
            </a:ln>
            <a:effectLst/>
          </c:spPr>
          <c:marker>
            <c:symbol val="none"/>
          </c:marker>
          <c:val>
            <c:numRef>
              <c:f>'T2'!$R$6:$R$25</c:f>
              <c:numCache>
                <c:formatCode>_-* #,##0_-;\-* #,##0_-;_-* "-"??_-;_-@_-</c:formatCode>
                <c:ptCount val="20"/>
                <c:pt idx="0">
                  <c:v>304710</c:v>
                </c:pt>
                <c:pt idx="1">
                  <c:v>305520</c:v>
                </c:pt>
                <c:pt idx="2">
                  <c:v>305030</c:v>
                </c:pt>
                <c:pt idx="3">
                  <c:v>305330</c:v>
                </c:pt>
                <c:pt idx="4">
                  <c:v>305200</c:v>
                </c:pt>
                <c:pt idx="5">
                  <c:v>304370</c:v>
                </c:pt>
                <c:pt idx="6">
                  <c:v>302730</c:v>
                </c:pt>
                <c:pt idx="7">
                  <c:v>302310</c:v>
                </c:pt>
                <c:pt idx="8">
                  <c:v>300700</c:v>
                </c:pt>
              </c:numCache>
            </c:numRef>
          </c:val>
          <c:smooth val="1"/>
          <c:extLst>
            <c:ext xmlns:c16="http://schemas.microsoft.com/office/drawing/2014/chart" uri="{C3380CC4-5D6E-409C-BE32-E72D297353CC}">
              <c16:uniqueId val="{0000000C-1FC6-442C-9B00-A46FD5B6B7FE}"/>
            </c:ext>
          </c:extLst>
        </c:ser>
        <c:ser>
          <c:idx val="6"/>
          <c:order val="5"/>
          <c:tx>
            <c:v>Population (forecast)</c:v>
          </c:tx>
          <c:spPr>
            <a:ln w="28575" cap="rnd">
              <a:solidFill>
                <a:srgbClr val="C00000"/>
              </a:solidFill>
              <a:prstDash val="dash"/>
              <a:round/>
            </a:ln>
            <a:effectLst/>
          </c:spPr>
          <c:marker>
            <c:symbol val="none"/>
          </c:marker>
          <c:val>
            <c:numRef>
              <c:f>'T2'!$S$6:$S$25</c:f>
              <c:numCache>
                <c:formatCode>_-* #,##0_-;\-* #,##0_-;_-* "-"??_-;_-@_-</c:formatCode>
                <c:ptCount val="20"/>
                <c:pt idx="8">
                  <c:v>300700</c:v>
                </c:pt>
                <c:pt idx="9">
                  <c:v>297410</c:v>
                </c:pt>
                <c:pt idx="10">
                  <c:v>293620</c:v>
                </c:pt>
                <c:pt idx="11">
                  <c:v>290450</c:v>
                </c:pt>
                <c:pt idx="12">
                  <c:v>291600</c:v>
                </c:pt>
                <c:pt idx="13">
                  <c:v>292850</c:v>
                </c:pt>
                <c:pt idx="14">
                  <c:v>292960</c:v>
                </c:pt>
                <c:pt idx="15">
                  <c:v>293000</c:v>
                </c:pt>
                <c:pt idx="16">
                  <c:v>293040</c:v>
                </c:pt>
                <c:pt idx="17">
                  <c:v>293200</c:v>
                </c:pt>
                <c:pt idx="18">
                  <c:v>293550</c:v>
                </c:pt>
                <c:pt idx="19">
                  <c:v>294150</c:v>
                </c:pt>
              </c:numCache>
            </c:numRef>
          </c:val>
          <c:smooth val="1"/>
          <c:extLst>
            <c:ext xmlns:c16="http://schemas.microsoft.com/office/drawing/2014/chart" uri="{C3380CC4-5D6E-409C-BE32-E72D297353CC}">
              <c16:uniqueId val="{0000000D-1FC6-442C-9B00-A46FD5B6B7FE}"/>
            </c:ext>
          </c:extLst>
        </c:ser>
        <c:dLbls>
          <c:showLegendKey val="0"/>
          <c:showVal val="0"/>
          <c:showCatName val="0"/>
          <c:showSerName val="0"/>
          <c:showPercent val="0"/>
          <c:showBubbleSize val="0"/>
        </c:dLbls>
        <c:marker val="1"/>
        <c:smooth val="0"/>
        <c:axId val="778123840"/>
        <c:axId val="778116160"/>
      </c:lineChart>
      <c:catAx>
        <c:axId val="154039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4051360"/>
        <c:crosses val="autoZero"/>
        <c:auto val="1"/>
        <c:lblAlgn val="ctr"/>
        <c:lblOffset val="100"/>
        <c:noMultiLvlLbl val="0"/>
      </c:catAx>
      <c:valAx>
        <c:axId val="1540513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sz="1600"/>
                  <a:t>Demand for ECE teachers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4039360"/>
        <c:crosses val="autoZero"/>
        <c:crossBetween val="between"/>
      </c:valAx>
      <c:valAx>
        <c:axId val="778116160"/>
        <c:scaling>
          <c:orientation val="minMax"/>
          <c:max val="350000"/>
          <c:min val="0"/>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sz="1600"/>
                  <a:t>Population aged under 5</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 #,##0_-;_-* &quot;-&quot;??_-;_-@_-" sourceLinked="1"/>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778123840"/>
        <c:crosses val="max"/>
        <c:crossBetween val="between"/>
      </c:valAx>
      <c:catAx>
        <c:axId val="778123840"/>
        <c:scaling>
          <c:orientation val="minMax"/>
        </c:scaling>
        <c:delete val="1"/>
        <c:axPos val="b"/>
        <c:numFmt formatCode="General" sourceLinked="1"/>
        <c:majorTickMark val="out"/>
        <c:minorTickMark val="none"/>
        <c:tickLblPos val="nextTo"/>
        <c:crossAx val="778116160"/>
        <c:crosses val="autoZero"/>
        <c:auto val="1"/>
        <c:lblAlgn val="ctr"/>
        <c:lblOffset val="100"/>
        <c:noMultiLvlLbl val="0"/>
      </c:catAx>
      <c:spPr>
        <a:noFill/>
        <a:ln>
          <a:noFill/>
        </a:ln>
        <a:effectLst/>
      </c:spPr>
    </c:plotArea>
    <c:legend>
      <c:legendPos val="b"/>
      <c:legendEntry>
        <c:idx val="5"/>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NZ"/>
              <a:t>Qualified Teacher demand </a:t>
            </a:r>
            <a:r>
              <a:rPr lang="en-NZ" sz="1400" b="0" i="0" u="none" strike="noStrike" kern="1200" spc="0" baseline="0">
                <a:solidFill>
                  <a:sysClr val="windowText" lastClr="000000">
                    <a:lumMod val="65000"/>
                    <a:lumOff val="35000"/>
                  </a:sysClr>
                </a:solidFill>
                <a:latin typeface="+mn-lt"/>
                <a:ea typeface="+mn-ea"/>
                <a:cs typeface="+mn-cs"/>
              </a:rPr>
              <a:t>- Centre-based, teacher-led services</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sz="1200" i="1"/>
              <a:t>with straight-line supply trend</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sz="1200" b="0" i="0" u="none" strike="noStrike" kern="1200" spc="0" baseline="0">
                <a:solidFill>
                  <a:sysClr val="windowText" lastClr="000000">
                    <a:lumMod val="65000"/>
                    <a:lumOff val="35000"/>
                  </a:sysClr>
                </a:solidFill>
              </a:rPr>
              <a:t>assumes that work pattern changes will follow 2018-2023 direction</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1"/>
          <c:order val="0"/>
          <c:tx>
            <c:strRef>
              <c:f>'T19'!$I$4</c:f>
              <c:strCache>
                <c:ptCount val="1"/>
                <c:pt idx="0">
                  <c:v>Supply (Actual)</c:v>
                </c:pt>
              </c:strCache>
            </c:strRef>
          </c:tx>
          <c:spPr>
            <a:ln w="28575" cap="rnd">
              <a:solidFill>
                <a:schemeClr val="accent2"/>
              </a:solidFill>
              <a:round/>
            </a:ln>
            <a:effectLst/>
          </c:spPr>
          <c:marker>
            <c:symbol val="none"/>
          </c:marker>
          <c:trendline>
            <c:spPr>
              <a:ln w="19050" cap="rnd">
                <a:solidFill>
                  <a:schemeClr val="accent2"/>
                </a:solidFill>
                <a:prstDash val="sysDot"/>
              </a:ln>
              <a:effectLst/>
            </c:spPr>
            <c:trendlineType val="linear"/>
            <c:dispRSqr val="0"/>
            <c:dispEq val="0"/>
          </c:trendline>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'T19'!$I$5:$I$24</c:f>
              <c:numCache>
                <c:formatCode>#,##0</c:formatCode>
                <c:ptCount val="20"/>
                <c:pt idx="0">
                  <c:v>16221.974999999999</c:v>
                </c:pt>
                <c:pt idx="1">
                  <c:v>16690.575000000001</c:v>
                </c:pt>
                <c:pt idx="2">
                  <c:v>16986.75</c:v>
                </c:pt>
                <c:pt idx="3">
                  <c:v>17295.398399999998</c:v>
                </c:pt>
                <c:pt idx="4">
                  <c:v>17475.4414</c:v>
                </c:pt>
                <c:pt idx="5">
                  <c:v>18579.7896</c:v>
                </c:pt>
                <c:pt idx="6">
                  <c:v>18265.948</c:v>
                </c:pt>
                <c:pt idx="7">
                  <c:v>19118.288</c:v>
                </c:pt>
                <c:pt idx="8">
                  <c:v>19558.745999999999</c:v>
                </c:pt>
              </c:numCache>
            </c:numRef>
          </c:val>
          <c:smooth val="1"/>
          <c:extLst>
            <c:ext xmlns:c16="http://schemas.microsoft.com/office/drawing/2014/chart" uri="{C3380CC4-5D6E-409C-BE32-E72D297353CC}">
              <c16:uniqueId val="{00000001-B7E4-4F55-B8C1-24CFB5EBC7C5}"/>
            </c:ext>
          </c:extLst>
        </c:ser>
        <c:ser>
          <c:idx val="0"/>
          <c:order val="1"/>
          <c:tx>
            <c:strRef>
              <c:f>'T19'!$H$4</c:f>
              <c:strCache>
                <c:ptCount val="1"/>
                <c:pt idx="0">
                  <c:v>Teachers needed (Low)</c:v>
                </c:pt>
              </c:strCache>
            </c:strRef>
          </c:tx>
          <c:spPr>
            <a:ln w="28575" cap="rnd">
              <a:solidFill>
                <a:schemeClr val="accent1"/>
              </a:solidFill>
              <a:prstDash val="lgDash"/>
              <a:round/>
            </a:ln>
            <a:effectLst/>
          </c:spPr>
          <c:marker>
            <c:symbol val="none"/>
          </c:marker>
          <c:dPt>
            <c:idx val="0"/>
            <c:marker>
              <c:symbol val="none"/>
            </c:marker>
            <c:bubble3D val="0"/>
            <c:spPr>
              <a:ln w="28575" cap="rnd">
                <a:solidFill>
                  <a:schemeClr val="accent1"/>
                </a:solidFill>
                <a:prstDash val="lgDash"/>
                <a:round/>
              </a:ln>
              <a:effectLst/>
            </c:spPr>
            <c:extLst>
              <c:ext xmlns:c16="http://schemas.microsoft.com/office/drawing/2014/chart" uri="{C3380CC4-5D6E-409C-BE32-E72D297353CC}">
                <c16:uniqueId val="{0000001C-2B51-41D2-9021-3F0BD87C3704}"/>
              </c:ext>
            </c:extLst>
          </c:dPt>
          <c:dPt>
            <c:idx val="1"/>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1D-2B51-41D2-9021-3F0BD87C3704}"/>
              </c:ext>
            </c:extLst>
          </c:dPt>
          <c:dPt>
            <c:idx val="2"/>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1E-2B51-41D2-9021-3F0BD87C3704}"/>
              </c:ext>
            </c:extLst>
          </c:dPt>
          <c:dPt>
            <c:idx val="3"/>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1F-2B51-41D2-9021-3F0BD87C3704}"/>
              </c:ext>
            </c:extLst>
          </c:dPt>
          <c:dPt>
            <c:idx val="4"/>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0-2B51-41D2-9021-3F0BD87C3704}"/>
              </c:ext>
            </c:extLst>
          </c:dPt>
          <c:dPt>
            <c:idx val="5"/>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1-2B51-41D2-9021-3F0BD87C3704}"/>
              </c:ext>
            </c:extLst>
          </c:dPt>
          <c:dPt>
            <c:idx val="6"/>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2-2B51-41D2-9021-3F0BD87C3704}"/>
              </c:ext>
            </c:extLst>
          </c:dPt>
          <c:dPt>
            <c:idx val="7"/>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3-2B51-41D2-9021-3F0BD87C3704}"/>
              </c:ext>
            </c:extLst>
          </c:dPt>
          <c:dPt>
            <c:idx val="8"/>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4-2B51-41D2-9021-3F0BD87C3704}"/>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'T19'!$H$5:$H$24</c:f>
              <c:numCache>
                <c:formatCode>#,##0</c:formatCode>
                <c:ptCount val="20"/>
                <c:pt idx="0">
                  <c:v>9395</c:v>
                </c:pt>
                <c:pt idx="1">
                  <c:v>9507.5</c:v>
                </c:pt>
                <c:pt idx="2">
                  <c:v>9622.5</c:v>
                </c:pt>
                <c:pt idx="3">
                  <c:v>9612.5</c:v>
                </c:pt>
                <c:pt idx="4">
                  <c:v>9310</c:v>
                </c:pt>
                <c:pt idx="5">
                  <c:v>9587.5</c:v>
                </c:pt>
                <c:pt idx="6">
                  <c:v>9040</c:v>
                </c:pt>
                <c:pt idx="7">
                  <c:v>9630</c:v>
                </c:pt>
                <c:pt idx="8">
                  <c:v>9807.5</c:v>
                </c:pt>
                <c:pt idx="9">
                  <c:v>13405</c:v>
                </c:pt>
                <c:pt idx="10">
                  <c:v>13105</c:v>
                </c:pt>
                <c:pt idx="11">
                  <c:v>12825</c:v>
                </c:pt>
                <c:pt idx="12">
                  <c:v>12830</c:v>
                </c:pt>
                <c:pt idx="13">
                  <c:v>12830</c:v>
                </c:pt>
                <c:pt idx="14">
                  <c:v>12800</c:v>
                </c:pt>
                <c:pt idx="15">
                  <c:v>12765</c:v>
                </c:pt>
                <c:pt idx="16">
                  <c:v>12730</c:v>
                </c:pt>
                <c:pt idx="17">
                  <c:v>12710</c:v>
                </c:pt>
                <c:pt idx="18">
                  <c:v>12705</c:v>
                </c:pt>
                <c:pt idx="19">
                  <c:v>12720</c:v>
                </c:pt>
              </c:numCache>
            </c:numRef>
          </c:val>
          <c:smooth val="1"/>
          <c:extLst>
            <c:ext xmlns:c16="http://schemas.microsoft.com/office/drawing/2014/chart" uri="{C3380CC4-5D6E-409C-BE32-E72D297353CC}">
              <c16:uniqueId val="{00000000-B7E4-4F55-B8C1-24CFB5EBC7C5}"/>
            </c:ext>
          </c:extLst>
        </c:ser>
        <c:ser>
          <c:idx val="2"/>
          <c:order val="2"/>
          <c:tx>
            <c:strRef>
              <c:f>'T19'!$J$4</c:f>
              <c:strCache>
                <c:ptCount val="1"/>
                <c:pt idx="0">
                  <c:v>Teachers needed (Medium)</c:v>
                </c:pt>
              </c:strCache>
            </c:strRef>
          </c:tx>
          <c:spPr>
            <a:ln w="28575" cap="rnd">
              <a:solidFill>
                <a:schemeClr val="accent3">
                  <a:lumMod val="40000"/>
                  <a:lumOff val="60000"/>
                </a:schemeClr>
              </a:solidFill>
              <a:prstDash val="lgDash"/>
              <a:round/>
            </a:ln>
            <a:effectLst/>
          </c:spPr>
          <c:marker>
            <c:symbol val="none"/>
          </c:marker>
          <c:dPt>
            <c:idx val="0"/>
            <c:marker>
              <c:symbol val="none"/>
            </c:marker>
            <c:bubble3D val="0"/>
            <c:spPr>
              <a:ln w="28575" cap="rnd">
                <a:solidFill>
                  <a:schemeClr val="accent3">
                    <a:lumMod val="40000"/>
                    <a:lumOff val="60000"/>
                  </a:schemeClr>
                </a:solidFill>
                <a:prstDash val="lgDash"/>
                <a:round/>
              </a:ln>
              <a:effectLst/>
            </c:spPr>
            <c:extLst>
              <c:ext xmlns:c16="http://schemas.microsoft.com/office/drawing/2014/chart" uri="{C3380CC4-5D6E-409C-BE32-E72D297353CC}">
                <c16:uniqueId val="{00000001-2B51-41D2-9021-3F0BD87C3704}"/>
              </c:ext>
            </c:extLst>
          </c:dPt>
          <c:dPt>
            <c:idx val="1"/>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2-2B51-41D2-9021-3F0BD87C3704}"/>
              </c:ext>
            </c:extLst>
          </c:dPt>
          <c:dPt>
            <c:idx val="2"/>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3-2B51-41D2-9021-3F0BD87C3704}"/>
              </c:ext>
            </c:extLst>
          </c:dPt>
          <c:dPt>
            <c:idx val="3"/>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4-2B51-41D2-9021-3F0BD87C3704}"/>
              </c:ext>
            </c:extLst>
          </c:dPt>
          <c:dPt>
            <c:idx val="4"/>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5-2B51-41D2-9021-3F0BD87C3704}"/>
              </c:ext>
            </c:extLst>
          </c:dPt>
          <c:dPt>
            <c:idx val="5"/>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6-2B51-41D2-9021-3F0BD87C3704}"/>
              </c:ext>
            </c:extLst>
          </c:dPt>
          <c:dPt>
            <c:idx val="6"/>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7-2B51-41D2-9021-3F0BD87C3704}"/>
              </c:ext>
            </c:extLst>
          </c:dPt>
          <c:dPt>
            <c:idx val="7"/>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8-2B51-41D2-9021-3F0BD87C3704}"/>
              </c:ext>
            </c:extLst>
          </c:dPt>
          <c:dPt>
            <c:idx val="8"/>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9-2B51-41D2-9021-3F0BD87C3704}"/>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'T19'!$J$5:$J$24</c:f>
              <c:numCache>
                <c:formatCode>#,##0</c:formatCode>
                <c:ptCount val="20"/>
                <c:pt idx="0">
                  <c:v>15032</c:v>
                </c:pt>
                <c:pt idx="1">
                  <c:v>15212</c:v>
                </c:pt>
                <c:pt idx="2">
                  <c:v>15396</c:v>
                </c:pt>
                <c:pt idx="3">
                  <c:v>15380</c:v>
                </c:pt>
                <c:pt idx="4">
                  <c:v>14896</c:v>
                </c:pt>
                <c:pt idx="5">
                  <c:v>15340</c:v>
                </c:pt>
                <c:pt idx="6">
                  <c:v>14464</c:v>
                </c:pt>
                <c:pt idx="7">
                  <c:v>15408</c:v>
                </c:pt>
                <c:pt idx="8">
                  <c:v>15692</c:v>
                </c:pt>
                <c:pt idx="9">
                  <c:v>17660</c:v>
                </c:pt>
                <c:pt idx="10">
                  <c:v>17380</c:v>
                </c:pt>
                <c:pt idx="11">
                  <c:v>17150</c:v>
                </c:pt>
                <c:pt idx="12">
                  <c:v>17330</c:v>
                </c:pt>
                <c:pt idx="13">
                  <c:v>17515</c:v>
                </c:pt>
                <c:pt idx="14">
                  <c:v>17600</c:v>
                </c:pt>
                <c:pt idx="15">
                  <c:v>17680</c:v>
                </c:pt>
                <c:pt idx="16">
                  <c:v>17760</c:v>
                </c:pt>
                <c:pt idx="17">
                  <c:v>17840</c:v>
                </c:pt>
                <c:pt idx="18">
                  <c:v>17930</c:v>
                </c:pt>
                <c:pt idx="19">
                  <c:v>18025</c:v>
                </c:pt>
              </c:numCache>
            </c:numRef>
          </c:val>
          <c:smooth val="1"/>
          <c:extLst>
            <c:ext xmlns:c16="http://schemas.microsoft.com/office/drawing/2014/chart" uri="{C3380CC4-5D6E-409C-BE32-E72D297353CC}">
              <c16:uniqueId val="{00000002-B7E4-4F55-B8C1-24CFB5EBC7C5}"/>
            </c:ext>
          </c:extLst>
        </c:ser>
        <c:ser>
          <c:idx val="3"/>
          <c:order val="3"/>
          <c:tx>
            <c:strRef>
              <c:f>'T19'!$K$4</c:f>
              <c:strCache>
                <c:ptCount val="1"/>
                <c:pt idx="0">
                  <c:v>Teachers needed (High)</c:v>
                </c:pt>
              </c:strCache>
            </c:strRef>
          </c:tx>
          <c:spPr>
            <a:ln w="28575" cap="rnd">
              <a:solidFill>
                <a:schemeClr val="accent4"/>
              </a:solidFill>
              <a:prstDash val="lgDash"/>
              <a:round/>
            </a:ln>
            <a:effectLst/>
          </c:spPr>
          <c:marker>
            <c:symbol val="none"/>
          </c:marker>
          <c:dPt>
            <c:idx val="0"/>
            <c:marker>
              <c:symbol val="none"/>
            </c:marker>
            <c:bubble3D val="0"/>
            <c:spPr>
              <a:ln w="28575" cap="rnd">
                <a:solidFill>
                  <a:schemeClr val="accent4"/>
                </a:solidFill>
                <a:prstDash val="lgDash"/>
                <a:round/>
              </a:ln>
              <a:effectLst/>
            </c:spPr>
            <c:extLst>
              <c:ext xmlns:c16="http://schemas.microsoft.com/office/drawing/2014/chart" uri="{C3380CC4-5D6E-409C-BE32-E72D297353CC}">
                <c16:uniqueId val="{00000013-2B51-41D2-9021-3F0BD87C3704}"/>
              </c:ext>
            </c:extLst>
          </c:dPt>
          <c:dPt>
            <c:idx val="1"/>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4-2B51-41D2-9021-3F0BD87C3704}"/>
              </c:ext>
            </c:extLst>
          </c:dPt>
          <c:dPt>
            <c:idx val="2"/>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5-2B51-41D2-9021-3F0BD87C3704}"/>
              </c:ext>
            </c:extLst>
          </c:dPt>
          <c:dPt>
            <c:idx val="3"/>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6-2B51-41D2-9021-3F0BD87C3704}"/>
              </c:ext>
            </c:extLst>
          </c:dPt>
          <c:dPt>
            <c:idx val="4"/>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7-2B51-41D2-9021-3F0BD87C3704}"/>
              </c:ext>
            </c:extLst>
          </c:dPt>
          <c:dPt>
            <c:idx val="5"/>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8-2B51-41D2-9021-3F0BD87C3704}"/>
              </c:ext>
            </c:extLst>
          </c:dPt>
          <c:dPt>
            <c:idx val="6"/>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9-2B51-41D2-9021-3F0BD87C3704}"/>
              </c:ext>
            </c:extLst>
          </c:dPt>
          <c:dPt>
            <c:idx val="7"/>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A-2B51-41D2-9021-3F0BD87C3704}"/>
              </c:ext>
            </c:extLst>
          </c:dPt>
          <c:dPt>
            <c:idx val="8"/>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B-2B51-41D2-9021-3F0BD87C3704}"/>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'T19'!$K$5:$K$24</c:f>
              <c:numCache>
                <c:formatCode>#,##0</c:formatCode>
                <c:ptCount val="20"/>
                <c:pt idx="0">
                  <c:v>18790</c:v>
                </c:pt>
                <c:pt idx="1">
                  <c:v>19015</c:v>
                </c:pt>
                <c:pt idx="2">
                  <c:v>19245</c:v>
                </c:pt>
                <c:pt idx="3">
                  <c:v>19225</c:v>
                </c:pt>
                <c:pt idx="4">
                  <c:v>18620</c:v>
                </c:pt>
                <c:pt idx="5">
                  <c:v>19175</c:v>
                </c:pt>
                <c:pt idx="6">
                  <c:v>18080</c:v>
                </c:pt>
                <c:pt idx="7">
                  <c:v>19260</c:v>
                </c:pt>
                <c:pt idx="8">
                  <c:v>19615</c:v>
                </c:pt>
                <c:pt idx="9">
                  <c:v>26400</c:v>
                </c:pt>
                <c:pt idx="10">
                  <c:v>26130</c:v>
                </c:pt>
                <c:pt idx="11">
                  <c:v>25985</c:v>
                </c:pt>
                <c:pt idx="12">
                  <c:v>26480</c:v>
                </c:pt>
                <c:pt idx="13">
                  <c:v>27025</c:v>
                </c:pt>
                <c:pt idx="14">
                  <c:v>27390</c:v>
                </c:pt>
                <c:pt idx="15">
                  <c:v>27660</c:v>
                </c:pt>
                <c:pt idx="16">
                  <c:v>27975</c:v>
                </c:pt>
                <c:pt idx="17">
                  <c:v>28250</c:v>
                </c:pt>
                <c:pt idx="18">
                  <c:v>28520</c:v>
                </c:pt>
                <c:pt idx="19">
                  <c:v>28785</c:v>
                </c:pt>
              </c:numCache>
            </c:numRef>
          </c:val>
          <c:smooth val="1"/>
          <c:extLst>
            <c:ext xmlns:c16="http://schemas.microsoft.com/office/drawing/2014/chart" uri="{C3380CC4-5D6E-409C-BE32-E72D297353CC}">
              <c16:uniqueId val="{00000003-B7E4-4F55-B8C1-24CFB5EBC7C5}"/>
            </c:ext>
          </c:extLst>
        </c:ser>
        <c:dLbls>
          <c:showLegendKey val="0"/>
          <c:showVal val="0"/>
          <c:showCatName val="0"/>
          <c:showSerName val="0"/>
          <c:showPercent val="0"/>
          <c:showBubbleSize val="0"/>
        </c:dLbls>
        <c:smooth val="0"/>
        <c:axId val="102038415"/>
        <c:axId val="102030735"/>
      </c:lineChart>
      <c:catAx>
        <c:axId val="1020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2030735"/>
        <c:crosses val="autoZero"/>
        <c:auto val="1"/>
        <c:lblAlgn val="ctr"/>
        <c:lblOffset val="100"/>
        <c:noMultiLvlLbl val="0"/>
      </c:catAx>
      <c:valAx>
        <c:axId val="10203073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20384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Total FTE workforce demand</a:t>
            </a:r>
            <a:r>
              <a:rPr lang="en-NZ" baseline="0"/>
              <a:t> for </a:t>
            </a:r>
            <a:r>
              <a:rPr lang="en-NZ"/>
              <a:t>all</a:t>
            </a:r>
            <a:r>
              <a:rPr lang="en-NZ" baseline="0"/>
              <a:t> enrollable service types</a:t>
            </a:r>
          </a:p>
          <a:p>
            <a:pPr>
              <a:defRPr/>
            </a:pPr>
            <a:r>
              <a:rPr lang="en-NZ" i="1" baseline="0"/>
              <a:t>with straight-line supply trend</a:t>
            </a:r>
          </a:p>
          <a:p>
            <a:pPr>
              <a:defRPr/>
            </a:pPr>
            <a:r>
              <a:rPr lang="en-NZ" sz="1200" i="0" baseline="0"/>
              <a:t>assumes that work pattern changes will follow 2018-2023 direction</a:t>
            </a:r>
            <a:endParaRPr lang="en-NZ" sz="1200" i="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1234004014492962E-2"/>
          <c:y val="0.10309990591571416"/>
          <c:w val="0.92231094036746042"/>
          <c:h val="0.78343128289326314"/>
        </c:manualLayout>
      </c:layout>
      <c:lineChart>
        <c:grouping val="standard"/>
        <c:varyColors val="0"/>
        <c:ser>
          <c:idx val="2"/>
          <c:order val="0"/>
          <c:tx>
            <c:strRef>
              <c:f>'T23'!$D$5</c:f>
              <c:strCache>
                <c:ptCount val="1"/>
                <c:pt idx="0">
                  <c:v>Supply</c:v>
                </c:pt>
              </c:strCache>
            </c:strRef>
          </c:tx>
          <c:spPr>
            <a:ln w="28575" cap="rnd">
              <a:solidFill>
                <a:schemeClr val="accent3"/>
              </a:solidFill>
              <a:round/>
            </a:ln>
            <a:effectLst/>
          </c:spPr>
          <c:marker>
            <c:symbol val="none"/>
          </c:marker>
          <c:trendline>
            <c:spPr>
              <a:ln w="19050" cap="rnd">
                <a:solidFill>
                  <a:schemeClr val="accent3"/>
                </a:solidFill>
                <a:prstDash val="sysDot"/>
              </a:ln>
              <a:effectLst/>
            </c:spPr>
            <c:trendlineType val="linear"/>
            <c:dispRSqr val="0"/>
            <c:dispEq val="0"/>
          </c:trendline>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'T23'!$D$6:$D$25</c:f>
              <c:numCache>
                <c:formatCode>#,##0</c:formatCode>
                <c:ptCount val="20"/>
                <c:pt idx="0">
                  <c:v>27801.674999999999</c:v>
                </c:pt>
                <c:pt idx="1">
                  <c:v>28745.474999999999</c:v>
                </c:pt>
                <c:pt idx="2">
                  <c:v>28744.649999999998</c:v>
                </c:pt>
                <c:pt idx="3">
                  <c:v>29356.095999999998</c:v>
                </c:pt>
                <c:pt idx="4">
                  <c:v>27973.694800000001</c:v>
                </c:pt>
                <c:pt idx="5">
                  <c:v>30314.481600000003</c:v>
                </c:pt>
                <c:pt idx="6">
                  <c:v>29942.207400000003</c:v>
                </c:pt>
                <c:pt idx="7">
                  <c:v>31230.531999999999</c:v>
                </c:pt>
                <c:pt idx="8">
                  <c:v>30967.203999999998</c:v>
                </c:pt>
              </c:numCache>
            </c:numRef>
          </c:val>
          <c:smooth val="1"/>
          <c:extLst>
            <c:ext xmlns:c16="http://schemas.microsoft.com/office/drawing/2014/chart" uri="{C3380CC4-5D6E-409C-BE32-E72D297353CC}">
              <c16:uniqueId val="{00000002-8BE4-4E49-A511-ACE65724F9F4}"/>
            </c:ext>
          </c:extLst>
        </c:ser>
        <c:ser>
          <c:idx val="0"/>
          <c:order val="1"/>
          <c:tx>
            <c:strRef>
              <c:f>'T23'!$B$5</c:f>
              <c:strCache>
                <c:ptCount val="1"/>
                <c:pt idx="0">
                  <c:v>Total Demand (Low)</c:v>
                </c:pt>
              </c:strCache>
            </c:strRef>
          </c:tx>
          <c:spPr>
            <a:ln w="28575" cap="rnd">
              <a:solidFill>
                <a:schemeClr val="accent1"/>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'T23'!$B$6:$B$25</c:f>
              <c:numCache>
                <c:formatCode>#,##0</c:formatCode>
                <c:ptCount val="20"/>
                <c:pt idx="8">
                  <c:v>30967.203999999998</c:v>
                </c:pt>
                <c:pt idx="9">
                  <c:v>27865</c:v>
                </c:pt>
                <c:pt idx="10">
                  <c:v>27245</c:v>
                </c:pt>
                <c:pt idx="11">
                  <c:v>26665</c:v>
                </c:pt>
                <c:pt idx="12">
                  <c:v>26665</c:v>
                </c:pt>
                <c:pt idx="13">
                  <c:v>26665</c:v>
                </c:pt>
                <c:pt idx="14">
                  <c:v>26590</c:v>
                </c:pt>
                <c:pt idx="15">
                  <c:v>26530</c:v>
                </c:pt>
                <c:pt idx="16">
                  <c:v>26445</c:v>
                </c:pt>
                <c:pt idx="17">
                  <c:v>26405</c:v>
                </c:pt>
                <c:pt idx="18">
                  <c:v>26395</c:v>
                </c:pt>
                <c:pt idx="19">
                  <c:v>26420</c:v>
                </c:pt>
              </c:numCache>
            </c:numRef>
          </c:val>
          <c:smooth val="1"/>
          <c:extLst>
            <c:ext xmlns:c16="http://schemas.microsoft.com/office/drawing/2014/chart" uri="{C3380CC4-5D6E-409C-BE32-E72D297353CC}">
              <c16:uniqueId val="{00000000-8BE4-4E49-A511-ACE65724F9F4}"/>
            </c:ext>
          </c:extLst>
        </c:ser>
        <c:ser>
          <c:idx val="3"/>
          <c:order val="2"/>
          <c:tx>
            <c:strRef>
              <c:f>'T23'!$E$5</c:f>
              <c:strCache>
                <c:ptCount val="1"/>
                <c:pt idx="0">
                  <c:v>Total Demand (Medium)</c:v>
                </c:pt>
              </c:strCache>
            </c:strRef>
          </c:tx>
          <c:spPr>
            <a:ln w="28575" cap="rnd">
              <a:solidFill>
                <a:schemeClr val="accent3"/>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'T23'!$E$6:$E$25</c:f>
              <c:numCache>
                <c:formatCode>#,##0</c:formatCode>
                <c:ptCount val="20"/>
                <c:pt idx="8">
                  <c:v>30967.203999999998</c:v>
                </c:pt>
                <c:pt idx="9">
                  <c:v>29875</c:v>
                </c:pt>
                <c:pt idx="10">
                  <c:v>29400</c:v>
                </c:pt>
                <c:pt idx="11">
                  <c:v>29010</c:v>
                </c:pt>
                <c:pt idx="12">
                  <c:v>29310</c:v>
                </c:pt>
                <c:pt idx="13">
                  <c:v>29615</c:v>
                </c:pt>
                <c:pt idx="14">
                  <c:v>29765</c:v>
                </c:pt>
                <c:pt idx="15">
                  <c:v>29890</c:v>
                </c:pt>
                <c:pt idx="16">
                  <c:v>30015</c:v>
                </c:pt>
                <c:pt idx="17">
                  <c:v>30155</c:v>
                </c:pt>
                <c:pt idx="18">
                  <c:v>30300</c:v>
                </c:pt>
                <c:pt idx="19">
                  <c:v>30470</c:v>
                </c:pt>
              </c:numCache>
            </c:numRef>
          </c:val>
          <c:smooth val="1"/>
          <c:extLst>
            <c:ext xmlns:c16="http://schemas.microsoft.com/office/drawing/2014/chart" uri="{C3380CC4-5D6E-409C-BE32-E72D297353CC}">
              <c16:uniqueId val="{00000003-8BE4-4E49-A511-ACE65724F9F4}"/>
            </c:ext>
          </c:extLst>
        </c:ser>
        <c:ser>
          <c:idx val="4"/>
          <c:order val="3"/>
          <c:tx>
            <c:strRef>
              <c:f>'T23'!$F$5</c:f>
              <c:strCache>
                <c:ptCount val="1"/>
                <c:pt idx="0">
                  <c:v>Total Demand (High)</c:v>
                </c:pt>
              </c:strCache>
            </c:strRef>
          </c:tx>
          <c:spPr>
            <a:ln w="28575" cap="rnd">
              <a:solidFill>
                <a:schemeClr val="accent4"/>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'T23'!$F$6:$F$25</c:f>
              <c:numCache>
                <c:formatCode>#,##0</c:formatCode>
                <c:ptCount val="20"/>
                <c:pt idx="8">
                  <c:v>30967.203999999998</c:v>
                </c:pt>
                <c:pt idx="9">
                  <c:v>31205</c:v>
                </c:pt>
                <c:pt idx="10">
                  <c:v>30880</c:v>
                </c:pt>
                <c:pt idx="11">
                  <c:v>30700</c:v>
                </c:pt>
                <c:pt idx="12">
                  <c:v>31290</c:v>
                </c:pt>
                <c:pt idx="13">
                  <c:v>31935</c:v>
                </c:pt>
                <c:pt idx="14">
                  <c:v>32365</c:v>
                </c:pt>
                <c:pt idx="15">
                  <c:v>32680</c:v>
                </c:pt>
                <c:pt idx="16">
                  <c:v>33030</c:v>
                </c:pt>
                <c:pt idx="17">
                  <c:v>33365</c:v>
                </c:pt>
                <c:pt idx="18">
                  <c:v>33675</c:v>
                </c:pt>
                <c:pt idx="19">
                  <c:v>33985</c:v>
                </c:pt>
              </c:numCache>
            </c:numRef>
          </c:val>
          <c:smooth val="1"/>
          <c:extLst>
            <c:ext xmlns:c16="http://schemas.microsoft.com/office/drawing/2014/chart" uri="{C3380CC4-5D6E-409C-BE32-E72D297353CC}">
              <c16:uniqueId val="{00000004-8BE4-4E49-A511-ACE65724F9F4}"/>
            </c:ext>
          </c:extLst>
        </c:ser>
        <c:dLbls>
          <c:showLegendKey val="0"/>
          <c:showVal val="0"/>
          <c:showCatName val="0"/>
          <c:showSerName val="0"/>
          <c:showPercent val="0"/>
          <c:showBubbleSize val="0"/>
        </c:dLbls>
        <c:smooth val="0"/>
        <c:axId val="835934176"/>
        <c:axId val="835940416"/>
      </c:lineChart>
      <c:catAx>
        <c:axId val="835934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35940416"/>
        <c:crosses val="autoZero"/>
        <c:auto val="1"/>
        <c:lblAlgn val="ctr"/>
        <c:lblOffset val="100"/>
        <c:noMultiLvlLbl val="0"/>
      </c:catAx>
      <c:valAx>
        <c:axId val="835940416"/>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35934176"/>
        <c:crosses val="autoZero"/>
        <c:crossBetween val="between"/>
        <c:majorUnit val="5000"/>
      </c:valAx>
      <c:spPr>
        <a:noFill/>
        <a:ln>
          <a:noFill/>
        </a:ln>
        <a:effectLst/>
      </c:spPr>
    </c:plotArea>
    <c:legend>
      <c:legendPos val="b"/>
      <c:layout>
        <c:manualLayout>
          <c:xMode val="edge"/>
          <c:yMode val="edge"/>
          <c:x val="1.0039677286921359E-2"/>
          <c:y val="0.93535338893199327"/>
          <c:w val="0.9703006821117055"/>
          <c:h val="5.195875237948507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Qualified FTE demand</a:t>
            </a:r>
            <a:r>
              <a:rPr lang="en-NZ" baseline="0"/>
              <a:t> </a:t>
            </a:r>
            <a:r>
              <a:rPr lang="en-NZ"/>
              <a:t>all enrollable service types</a:t>
            </a:r>
          </a:p>
          <a:p>
            <a:pPr>
              <a:defRPr/>
            </a:pPr>
            <a:r>
              <a:rPr lang="en-NZ" i="1"/>
              <a:t>with straight-line</a:t>
            </a:r>
            <a:r>
              <a:rPr lang="en-NZ" i="1" baseline="0"/>
              <a:t> supply trend</a:t>
            </a:r>
            <a:endParaRPr lang="en-NZ" i="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'T23'!$I$5</c:f>
              <c:strCache>
                <c:ptCount val="1"/>
                <c:pt idx="0">
                  <c:v>Supply</c:v>
                </c:pt>
              </c:strCache>
            </c:strRef>
          </c:tx>
          <c:spPr>
            <a:ln w="28575" cap="rnd">
              <a:solidFill>
                <a:schemeClr val="accent3"/>
              </a:solidFill>
              <a:round/>
            </a:ln>
            <a:effectLst/>
          </c:spPr>
          <c:marker>
            <c:symbol val="none"/>
          </c:marker>
          <c:trendline>
            <c:spPr>
              <a:ln w="19050" cap="rnd">
                <a:solidFill>
                  <a:schemeClr val="accent2"/>
                </a:solidFill>
                <a:prstDash val="sysDot"/>
              </a:ln>
              <a:effectLst/>
            </c:spPr>
            <c:trendlineType val="linear"/>
            <c:dispRSqr val="0"/>
            <c:dispEq val="0"/>
          </c:trendline>
          <c:trendline>
            <c:spPr>
              <a:ln w="19050" cap="rnd">
                <a:solidFill>
                  <a:schemeClr val="accent3"/>
                </a:solidFill>
                <a:prstDash val="sysDot"/>
              </a:ln>
              <a:effectLst/>
            </c:spPr>
            <c:trendlineType val="linear"/>
            <c:dispRSqr val="0"/>
            <c:dispEq val="0"/>
          </c:trendline>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'T23'!$I$6:$I$25</c:f>
              <c:numCache>
                <c:formatCode>#,##0</c:formatCode>
                <c:ptCount val="20"/>
                <c:pt idx="0">
                  <c:v>19333.875</c:v>
                </c:pt>
                <c:pt idx="1">
                  <c:v>19764.524999999998</c:v>
                </c:pt>
                <c:pt idx="2">
                  <c:v>19674.1875</c:v>
                </c:pt>
                <c:pt idx="3">
                  <c:v>19974.4944</c:v>
                </c:pt>
                <c:pt idx="4">
                  <c:v>19980.734799999998</c:v>
                </c:pt>
                <c:pt idx="5">
                  <c:v>21237.0324</c:v>
                </c:pt>
                <c:pt idx="6">
                  <c:v>20780.6666</c:v>
                </c:pt>
                <c:pt idx="7">
                  <c:v>21608.088</c:v>
                </c:pt>
                <c:pt idx="8">
                  <c:v>21981.98</c:v>
                </c:pt>
              </c:numCache>
            </c:numRef>
          </c:val>
          <c:smooth val="1"/>
          <c:extLst>
            <c:ext xmlns:c16="http://schemas.microsoft.com/office/drawing/2014/chart" uri="{C3380CC4-5D6E-409C-BE32-E72D297353CC}">
              <c16:uniqueId val="{00000002-76A8-4ECE-8216-70FFABDDA793}"/>
            </c:ext>
          </c:extLst>
        </c:ser>
        <c:ser>
          <c:idx val="0"/>
          <c:order val="1"/>
          <c:tx>
            <c:strRef>
              <c:f>'T23'!$H$5</c:f>
              <c:strCache>
                <c:ptCount val="1"/>
                <c:pt idx="0">
                  <c:v>Demand (Low)</c:v>
                </c:pt>
              </c:strCache>
            </c:strRef>
          </c:tx>
          <c:spPr>
            <a:ln w="28575" cap="rnd">
              <a:solidFill>
                <a:schemeClr val="accent1"/>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'T23'!$H$6:$H$25</c:f>
              <c:numCache>
                <c:formatCode>#,##0</c:formatCode>
                <c:ptCount val="20"/>
                <c:pt idx="8">
                  <c:v>21981.98</c:v>
                </c:pt>
                <c:pt idx="9">
                  <c:v>19790</c:v>
                </c:pt>
                <c:pt idx="10">
                  <c:v>19340</c:v>
                </c:pt>
                <c:pt idx="11">
                  <c:v>18935</c:v>
                </c:pt>
                <c:pt idx="12">
                  <c:v>18935</c:v>
                </c:pt>
                <c:pt idx="13">
                  <c:v>18935</c:v>
                </c:pt>
                <c:pt idx="14">
                  <c:v>18875</c:v>
                </c:pt>
                <c:pt idx="15">
                  <c:v>18840</c:v>
                </c:pt>
                <c:pt idx="16">
                  <c:v>18775</c:v>
                </c:pt>
                <c:pt idx="17">
                  <c:v>18745</c:v>
                </c:pt>
                <c:pt idx="18">
                  <c:v>18740</c:v>
                </c:pt>
                <c:pt idx="19">
                  <c:v>18755</c:v>
                </c:pt>
              </c:numCache>
            </c:numRef>
          </c:val>
          <c:smooth val="1"/>
          <c:extLst>
            <c:ext xmlns:c16="http://schemas.microsoft.com/office/drawing/2014/chart" uri="{C3380CC4-5D6E-409C-BE32-E72D297353CC}">
              <c16:uniqueId val="{00000003-76A8-4ECE-8216-70FFABDDA793}"/>
            </c:ext>
          </c:extLst>
        </c:ser>
        <c:ser>
          <c:idx val="2"/>
          <c:order val="2"/>
          <c:tx>
            <c:strRef>
              <c:f>'T23'!$J$5</c:f>
              <c:strCache>
                <c:ptCount val="1"/>
                <c:pt idx="0">
                  <c:v>Demand (Medium)</c:v>
                </c:pt>
              </c:strCache>
            </c:strRef>
          </c:tx>
          <c:spPr>
            <a:ln w="28575" cap="rnd">
              <a:solidFill>
                <a:schemeClr val="accent3"/>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'T23'!$J$6:$J$25</c:f>
              <c:numCache>
                <c:formatCode>#,##0</c:formatCode>
                <c:ptCount val="20"/>
                <c:pt idx="8">
                  <c:v>21981.98</c:v>
                </c:pt>
                <c:pt idx="9">
                  <c:v>21205</c:v>
                </c:pt>
                <c:pt idx="10">
                  <c:v>20875</c:v>
                </c:pt>
                <c:pt idx="11">
                  <c:v>20595</c:v>
                </c:pt>
                <c:pt idx="12">
                  <c:v>20805</c:v>
                </c:pt>
                <c:pt idx="13">
                  <c:v>21025</c:v>
                </c:pt>
                <c:pt idx="14">
                  <c:v>21135</c:v>
                </c:pt>
                <c:pt idx="15">
                  <c:v>21220</c:v>
                </c:pt>
                <c:pt idx="16">
                  <c:v>21310</c:v>
                </c:pt>
                <c:pt idx="17">
                  <c:v>21410</c:v>
                </c:pt>
                <c:pt idx="18">
                  <c:v>21510</c:v>
                </c:pt>
                <c:pt idx="19">
                  <c:v>21635</c:v>
                </c:pt>
              </c:numCache>
            </c:numRef>
          </c:val>
          <c:smooth val="1"/>
          <c:extLst>
            <c:ext xmlns:c16="http://schemas.microsoft.com/office/drawing/2014/chart" uri="{C3380CC4-5D6E-409C-BE32-E72D297353CC}">
              <c16:uniqueId val="{00000004-76A8-4ECE-8216-70FFABDDA793}"/>
            </c:ext>
          </c:extLst>
        </c:ser>
        <c:ser>
          <c:idx val="3"/>
          <c:order val="3"/>
          <c:tx>
            <c:strRef>
              <c:f>'T23'!$K$5</c:f>
              <c:strCache>
                <c:ptCount val="1"/>
                <c:pt idx="0">
                  <c:v>Demand (High)</c:v>
                </c:pt>
              </c:strCache>
            </c:strRef>
          </c:tx>
          <c:spPr>
            <a:ln w="28575" cap="rnd">
              <a:solidFill>
                <a:schemeClr val="accent4"/>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'T23'!$K$6:$K$25</c:f>
              <c:numCache>
                <c:formatCode>#,##0</c:formatCode>
                <c:ptCount val="20"/>
                <c:pt idx="8">
                  <c:v>21981.98</c:v>
                </c:pt>
                <c:pt idx="9">
                  <c:v>22155</c:v>
                </c:pt>
                <c:pt idx="10">
                  <c:v>21925</c:v>
                </c:pt>
                <c:pt idx="11">
                  <c:v>21790</c:v>
                </c:pt>
                <c:pt idx="12">
                  <c:v>22210</c:v>
                </c:pt>
                <c:pt idx="13">
                  <c:v>22675</c:v>
                </c:pt>
                <c:pt idx="14">
                  <c:v>22980</c:v>
                </c:pt>
                <c:pt idx="15">
                  <c:v>23205</c:v>
                </c:pt>
                <c:pt idx="16">
                  <c:v>23455</c:v>
                </c:pt>
                <c:pt idx="17">
                  <c:v>23690</c:v>
                </c:pt>
                <c:pt idx="18">
                  <c:v>23905</c:v>
                </c:pt>
                <c:pt idx="19">
                  <c:v>24135</c:v>
                </c:pt>
              </c:numCache>
            </c:numRef>
          </c:val>
          <c:smooth val="1"/>
          <c:extLst>
            <c:ext xmlns:c16="http://schemas.microsoft.com/office/drawing/2014/chart" uri="{C3380CC4-5D6E-409C-BE32-E72D297353CC}">
              <c16:uniqueId val="{00000005-76A8-4ECE-8216-70FFABDDA793}"/>
            </c:ext>
          </c:extLst>
        </c:ser>
        <c:dLbls>
          <c:showLegendKey val="0"/>
          <c:showVal val="0"/>
          <c:showCatName val="0"/>
          <c:showSerName val="0"/>
          <c:showPercent val="0"/>
          <c:showBubbleSize val="0"/>
        </c:dLbls>
        <c:smooth val="0"/>
        <c:axId val="858936208"/>
        <c:axId val="858937168"/>
      </c:lineChart>
      <c:catAx>
        <c:axId val="858936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58937168"/>
        <c:crosses val="autoZero"/>
        <c:auto val="1"/>
        <c:lblAlgn val="ctr"/>
        <c:lblOffset val="100"/>
        <c:noMultiLvlLbl val="0"/>
      </c:catAx>
      <c:valAx>
        <c:axId val="858937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58936208"/>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1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1C974F0C-FE20-4886-9C7A-B45FDB5594A0}">
  <sheetPr/>
  <sheetViews>
    <sheetView zoomScale="62" workbookViewId="0" zoomToFit="1"/>
  </sheetViews>
  <sheetProtection algorithmName="SHA-512" hashValue="M8fiFxJ+HZd2e/5WWezPBC72zitWCMYsodWCF3i7L4xbiBkw/cZ961TsnCrBOzpbGhGrPjSVmx8RYsk84tJi/w==" saltValue="hhtzZsHzbUeBoVvhix/QYw==" spinCount="100000" content="1" objects="1"/>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8A9A0B0C-CA79-4682-A09F-7AACC9ADE4D6}">
  <sheetPr/>
  <sheetViews>
    <sheetView zoomScale="60" workbookViewId="0"/>
  </sheetViews>
  <sheetProtection algorithmName="SHA-512" hashValue="MQ/z1WDZNUy0cxw6tjkEmQUNAqmvT1HzzSS9iD1Y0GS4+D5SO0ZPw87ZEDRzDT5sERAQo9176y7sVAXDBjcx3Q==" saltValue="Om0/vrcum4c2Td5XP42B5g==" spinCount="100000" content="1" objects="1"/>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BFB29C13-8569-45BA-9425-716696E9A7CE}">
  <sheetPr>
    <tabColor rgb="FF7030A0"/>
  </sheetPr>
  <sheetViews>
    <sheetView zoomScale="70" workbookViewId="0"/>
  </sheetViews>
  <sheetProtection algorithmName="SHA-512" hashValue="Yf0SectkDFs1tI05TjMh0N64EbYUSORkri1tmWANugw+GoLyYsNj6EwkwnVfiwN1r9o2gMGvm8zhDZwZSXp5dg==" saltValue="XBhpvfULI4X8gRnulTmmVA==" spinCount="100000" content="1" objects="1"/>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F41DD71B-691C-4CDA-885B-7030440836E9}">
  <sheetPr/>
  <sheetViews>
    <sheetView zoomScale="85" workbookViewId="0"/>
  </sheetViews>
  <sheetProtection algorithmName="SHA-512" hashValue="pmZFoY8Yy1V8B0z/VNqChZ3AExXXcUmranj9kO5QC83zvNVdOO/t+B8jhX7QhszU8GnTSWEbGCVAFmymGYDviQ==" saltValue="BikmW85VzowF5fNFOK/EpQ==" spinCount="100000" content="1" objects="1"/>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126E65B6-1C4E-4FA5-A290-3C8461AF79EA}">
  <sheetPr/>
  <sheetViews>
    <sheetView zoomScale="62" workbookViewId="0" zoomToFit="1"/>
  </sheetViews>
  <sheetProtection algorithmName="SHA-512" hashValue="4Z6PCxJtSViJDPzNEGTqSh+S2Mtxo+g0+Sgdr+2IixIeDHj/7eM1Gq1JLo0aurk8YI26rzPht8lQ5tHlykjxPA==" saltValue="p4p+DP3rJ8OsslEWolX7ng==" spinCount="100000" content="1" objects="1"/>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0ACCB84-250E-4BA2-A080-F7497ED6109F}">
  <sheetPr/>
  <sheetViews>
    <sheetView zoomScale="62" workbookViewId="0" zoomToFit="1"/>
  </sheetViews>
  <sheetProtection algorithmName="SHA-512" hashValue="oLngX8v0oXvZoqT4wyX3dtyzS8wqMNBdh96GibKRN3bLGmSbyvR3tNU5W6bMWbhCZBNxsLxdKEDC0kwDehva5A==" saltValue="GgtAoi0izxvjtnS4KdvFqA==" spinCount="100000" content="1" objects="1"/>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6B16AD0E-2AA1-4FB5-AE01-562AD0036E51}">
  <sheetPr/>
  <sheetViews>
    <sheetView zoomScale="116" workbookViewId="0" zoomToFit="1"/>
  </sheetViews>
  <sheetProtection algorithmName="SHA-512" hashValue="xwJKOS9Wr/HXYPQSdpUzwce3icpnel3ZSjr4Aixgouj7LnENp+UzBYrY8b4paKx8DIxSrprh3mGtpJ4ZWU3awQ==" saltValue="Y4Dcq0/5EdjdlVndvOG3iA==" spinCount="100000" content="1" objects="1"/>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1</xdr:col>
      <xdr:colOff>3048000</xdr:colOff>
      <xdr:row>2</xdr:row>
      <xdr:rowOff>1490869</xdr:rowOff>
    </xdr:from>
    <xdr:to>
      <xdr:col>1</xdr:col>
      <xdr:colOff>3048000</xdr:colOff>
      <xdr:row>2</xdr:row>
      <xdr:rowOff>1630017</xdr:rowOff>
    </xdr:to>
    <xdr:cxnSp macro="">
      <xdr:nvCxnSpPr>
        <xdr:cNvPr id="4" name="Straight Arrow Connector 3">
          <a:extLst>
            <a:ext uri="{FF2B5EF4-FFF2-40B4-BE49-F238E27FC236}">
              <a16:creationId xmlns:a16="http://schemas.microsoft.com/office/drawing/2014/main" id="{F6DAF295-7E65-51C7-8F00-8DAABBC1C3FB}"/>
            </a:ext>
          </a:extLst>
        </xdr:cNvPr>
        <xdr:cNvCxnSpPr/>
      </xdr:nvCxnSpPr>
      <xdr:spPr>
        <a:xfrm flipV="1">
          <a:off x="3551583" y="1861930"/>
          <a:ext cx="0" cy="13914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1</xdr:col>
      <xdr:colOff>16329</xdr:colOff>
      <xdr:row>1</xdr:row>
      <xdr:rowOff>174172</xdr:rowOff>
    </xdr:from>
    <xdr:to>
      <xdr:col>4</xdr:col>
      <xdr:colOff>322698</xdr:colOff>
      <xdr:row>2</xdr:row>
      <xdr:rowOff>4602528</xdr:rowOff>
    </xdr:to>
    <xdr:pic>
      <xdr:nvPicPr>
        <xdr:cNvPr id="2" name="Picture 1">
          <a:extLst>
            <a:ext uri="{FF2B5EF4-FFF2-40B4-BE49-F238E27FC236}">
              <a16:creationId xmlns:a16="http://schemas.microsoft.com/office/drawing/2014/main" id="{113EBCC0-3DF2-5485-0909-25C32B7D0526}"/>
            </a:ext>
          </a:extLst>
        </xdr:cNvPr>
        <xdr:cNvPicPr>
          <a:picLocks noChangeAspect="1"/>
        </xdr:cNvPicPr>
      </xdr:nvPicPr>
      <xdr:blipFill>
        <a:blip xmlns:r="http://schemas.openxmlformats.org/officeDocument/2006/relationships" r:embed="rId1"/>
        <a:stretch>
          <a:fillRect/>
        </a:stretch>
      </xdr:blipFill>
      <xdr:spPr>
        <a:xfrm>
          <a:off x="533400" y="359229"/>
          <a:ext cx="10685898" cy="46134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113964</xdr:colOff>
      <xdr:row>13</xdr:row>
      <xdr:rowOff>46392</xdr:rowOff>
    </xdr:from>
    <xdr:to>
      <xdr:col>14</xdr:col>
      <xdr:colOff>526677</xdr:colOff>
      <xdr:row>27</xdr:row>
      <xdr:rowOff>107352</xdr:rowOff>
    </xdr:to>
    <xdr:graphicFrame macro="">
      <xdr:nvGraphicFramePr>
        <xdr:cNvPr id="2" name="Chart 1">
          <a:extLst>
            <a:ext uri="{FF2B5EF4-FFF2-40B4-BE49-F238E27FC236}">
              <a16:creationId xmlns:a16="http://schemas.microsoft.com/office/drawing/2014/main" id="{F67953F6-FD35-40EA-9A1D-305E4E1148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absoluteAnchor>
    <xdr:pos x="0" y="0"/>
    <xdr:ext cx="9296751" cy="6066152"/>
    <xdr:graphicFrame macro="">
      <xdr:nvGraphicFramePr>
        <xdr:cNvPr id="2" name="Chart 1">
          <a:extLst>
            <a:ext uri="{FF2B5EF4-FFF2-40B4-BE49-F238E27FC236}">
              <a16:creationId xmlns:a16="http://schemas.microsoft.com/office/drawing/2014/main" id="{40612EFB-3BC6-EAFD-DD50-50BCF6BC2EBB}"/>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307286" cy="6077857"/>
    <xdr:graphicFrame macro="">
      <xdr:nvGraphicFramePr>
        <xdr:cNvPr id="2" name="Chart 1">
          <a:extLst>
            <a:ext uri="{FF2B5EF4-FFF2-40B4-BE49-F238E27FC236}">
              <a16:creationId xmlns:a16="http://schemas.microsoft.com/office/drawing/2014/main" id="{59729D94-D65A-0A77-4342-1F262C8DD22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0.27119</cdr:x>
      <cdr:y>0.06426</cdr:y>
    </cdr:from>
    <cdr:to>
      <cdr:x>0.3957</cdr:x>
      <cdr:y>0.91299</cdr:y>
    </cdr:to>
    <cdr:sp macro="" textlink="">
      <cdr:nvSpPr>
        <cdr:cNvPr id="3" name="Rectangle 2">
          <a:extLst xmlns:a="http://schemas.openxmlformats.org/drawingml/2006/main">
            <a:ext uri="{FF2B5EF4-FFF2-40B4-BE49-F238E27FC236}">
              <a16:creationId xmlns:a16="http://schemas.microsoft.com/office/drawing/2014/main" id="{DED87992-1735-F825-2EE9-DC0CB6B3F5A5}"/>
            </a:ext>
          </a:extLst>
        </cdr:cNvPr>
        <cdr:cNvSpPr/>
      </cdr:nvSpPr>
      <cdr:spPr>
        <a:xfrm xmlns:a="http://schemas.openxmlformats.org/drawingml/2006/main">
          <a:off x="3146373" y="486383"/>
          <a:ext cx="1444597" cy="6424308"/>
        </a:xfrm>
        <a:prstGeom xmlns:a="http://schemas.openxmlformats.org/drawingml/2006/main" prst="rect">
          <a:avLst/>
        </a:prstGeom>
        <a:solidFill xmlns:a="http://schemas.openxmlformats.org/drawingml/2006/main">
          <a:schemeClr val="accent2">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vert="vert270" tIns="180000" bIns="180000" anchor="ctr"/>
        <a:lstStyle xmlns:a="http://schemas.openxmlformats.org/drawingml/2006/main"/>
        <a:p xmlns:a="http://schemas.openxmlformats.org/drawingml/2006/main">
          <a:pPr algn="l"/>
          <a:r>
            <a:rPr lang="en-NZ" sz="1400" kern="1200">
              <a:solidFill>
                <a:sysClr val="windowText" lastClr="000000"/>
              </a:solidFill>
            </a:rPr>
            <a:t>Pandemic instability</a:t>
          </a:r>
        </a:p>
      </cdr:txBody>
    </cdr:sp>
  </cdr:relSizeAnchor>
  <cdr:relSizeAnchor xmlns:cdr="http://schemas.openxmlformats.org/drawingml/2006/chartDrawing">
    <cdr:from>
      <cdr:x>0.39529</cdr:x>
      <cdr:y>0.06548</cdr:y>
    </cdr:from>
    <cdr:to>
      <cdr:x>0.48528</cdr:x>
      <cdr:y>0.91364</cdr:y>
    </cdr:to>
    <cdr:sp macro="" textlink="">
      <cdr:nvSpPr>
        <cdr:cNvPr id="4" name="Rectangle 3">
          <a:extLst xmlns:a="http://schemas.openxmlformats.org/drawingml/2006/main">
            <a:ext uri="{FF2B5EF4-FFF2-40B4-BE49-F238E27FC236}">
              <a16:creationId xmlns:a16="http://schemas.microsoft.com/office/drawing/2014/main" id="{F1A54607-ED25-D3E4-BE71-B8BE83B0B374}"/>
            </a:ext>
          </a:extLst>
        </cdr:cNvPr>
        <cdr:cNvSpPr/>
      </cdr:nvSpPr>
      <cdr:spPr>
        <a:xfrm xmlns:a="http://schemas.openxmlformats.org/drawingml/2006/main">
          <a:off x="4586291" y="495630"/>
          <a:ext cx="1044000" cy="6420007"/>
        </a:xfrm>
        <a:prstGeom xmlns:a="http://schemas.openxmlformats.org/drawingml/2006/main" prst="rect">
          <a:avLst/>
        </a:prstGeom>
        <a:solidFill xmlns:a="http://schemas.openxmlformats.org/drawingml/2006/main">
          <a:schemeClr val="accent3">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vert="vert270" tIns="180000" bIns="180000" anchor="ctr"/>
        <a:lstStyle xmlns:a="http://schemas.openxmlformats.org/drawingml/2006/main"/>
        <a:p xmlns:a="http://schemas.openxmlformats.org/drawingml/2006/main">
          <a:pPr algn="l"/>
          <a:r>
            <a:rPr lang="en-NZ" sz="1400" kern="1200">
              <a:solidFill>
                <a:sysClr val="windowText" lastClr="000000"/>
              </a:solidFill>
            </a:rPr>
            <a:t>Market correction</a:t>
          </a:r>
        </a:p>
      </cdr:txBody>
    </cdr:sp>
  </cdr:relSizeAnchor>
  <cdr:relSizeAnchor xmlns:cdr="http://schemas.openxmlformats.org/drawingml/2006/chartDrawing">
    <cdr:from>
      <cdr:x>0.08734</cdr:x>
      <cdr:y>0.2423</cdr:y>
    </cdr:from>
    <cdr:to>
      <cdr:x>0.96594</cdr:x>
      <cdr:y>0.28648</cdr:y>
    </cdr:to>
    <cdr:cxnSp macro="">
      <cdr:nvCxnSpPr>
        <cdr:cNvPr id="7" name="Straight Arrow Connector 6">
          <a:extLst xmlns:a="http://schemas.openxmlformats.org/drawingml/2006/main">
            <a:ext uri="{FF2B5EF4-FFF2-40B4-BE49-F238E27FC236}">
              <a16:creationId xmlns:a16="http://schemas.microsoft.com/office/drawing/2014/main" id="{3D4D5364-4205-888D-304C-8A1D4E30C207}"/>
            </a:ext>
          </a:extLst>
        </cdr:cNvPr>
        <cdr:cNvCxnSpPr/>
      </cdr:nvCxnSpPr>
      <cdr:spPr>
        <a:xfrm xmlns:a="http://schemas.openxmlformats.org/drawingml/2006/main">
          <a:off x="1013298" y="1834069"/>
          <a:ext cx="10193776" cy="334388"/>
        </a:xfrm>
        <a:prstGeom xmlns:a="http://schemas.openxmlformats.org/drawingml/2006/main" prst="straightConnector1">
          <a:avLst/>
        </a:prstGeom>
        <a:ln xmlns:a="http://schemas.openxmlformats.org/drawingml/2006/main">
          <a:prstDash val="sysDash"/>
          <a:tailEnd type="none"/>
        </a:ln>
      </cdr:spPr>
      <cdr:style>
        <a:lnRef xmlns:a="http://schemas.openxmlformats.org/drawingml/2006/main" idx="2">
          <a:schemeClr val="accent1"/>
        </a:lnRef>
        <a:fillRef xmlns:a="http://schemas.openxmlformats.org/drawingml/2006/main" idx="0">
          <a:schemeClr val="accent1"/>
        </a:fillRef>
        <a:effectRef xmlns:a="http://schemas.openxmlformats.org/drawingml/2006/main" idx="1">
          <a:schemeClr val="accent1"/>
        </a:effectRef>
        <a:fontRef xmlns:a="http://schemas.openxmlformats.org/drawingml/2006/main" idx="minor">
          <a:schemeClr val="tx1"/>
        </a:fontRef>
      </cdr:style>
    </cdr:cxnSp>
  </cdr:relSizeAnchor>
  <cdr:relSizeAnchor xmlns:cdr="http://schemas.openxmlformats.org/drawingml/2006/chartDrawing">
    <cdr:from>
      <cdr:x>0.87481</cdr:x>
      <cdr:y>0.31191</cdr:y>
    </cdr:from>
    <cdr:to>
      <cdr:x>0.8917</cdr:x>
      <cdr:y>0.47388</cdr:y>
    </cdr:to>
    <cdr:cxnSp macro="">
      <cdr:nvCxnSpPr>
        <cdr:cNvPr id="9" name="Straight Arrow Connector 8">
          <a:extLst xmlns:a="http://schemas.openxmlformats.org/drawingml/2006/main">
            <a:ext uri="{FF2B5EF4-FFF2-40B4-BE49-F238E27FC236}">
              <a16:creationId xmlns:a16="http://schemas.microsoft.com/office/drawing/2014/main" id="{37871B1F-DA84-7FD2-2203-F00EE42FDA49}"/>
            </a:ext>
          </a:extLst>
        </cdr:cNvPr>
        <cdr:cNvCxnSpPr>
          <a:endCxn xmlns:a="http://schemas.openxmlformats.org/drawingml/2006/main" id="10" idx="0"/>
        </cdr:cNvCxnSpPr>
      </cdr:nvCxnSpPr>
      <cdr:spPr>
        <a:xfrm xmlns:a="http://schemas.openxmlformats.org/drawingml/2006/main" flipH="1">
          <a:off x="10149755" y="2360984"/>
          <a:ext cx="196016" cy="1225976"/>
        </a:xfrm>
        <a:prstGeom xmlns:a="http://schemas.openxmlformats.org/drawingml/2006/main" prst="straightConnector1">
          <a:avLst/>
        </a:prstGeom>
        <a:ln xmlns:a="http://schemas.openxmlformats.org/drawingml/2006/main">
          <a:tailEnd type="triangle"/>
        </a:ln>
      </cdr:spPr>
      <cdr:style>
        <a:lnRef xmlns:a="http://schemas.openxmlformats.org/drawingml/2006/main" idx="2">
          <a:schemeClr val="accent2"/>
        </a:lnRef>
        <a:fillRef xmlns:a="http://schemas.openxmlformats.org/drawingml/2006/main" idx="0">
          <a:schemeClr val="accent2"/>
        </a:fillRef>
        <a:effectRef xmlns:a="http://schemas.openxmlformats.org/drawingml/2006/main" idx="1">
          <a:schemeClr val="accent2"/>
        </a:effectRef>
        <a:fontRef xmlns:a="http://schemas.openxmlformats.org/drawingml/2006/main" idx="minor">
          <a:schemeClr val="tx1"/>
        </a:fontRef>
      </cdr:style>
    </cdr:cxnSp>
  </cdr:relSizeAnchor>
  <cdr:relSizeAnchor xmlns:cdr="http://schemas.openxmlformats.org/drawingml/2006/chartDrawing">
    <cdr:from>
      <cdr:x>0.82053</cdr:x>
      <cdr:y>0.47388</cdr:y>
    </cdr:from>
    <cdr:to>
      <cdr:x>0.92908</cdr:x>
      <cdr:y>0.5066</cdr:y>
    </cdr:to>
    <cdr:sp macro="" textlink="">
      <cdr:nvSpPr>
        <cdr:cNvPr id="10" name="Rectangle 9">
          <a:extLst xmlns:a="http://schemas.openxmlformats.org/drawingml/2006/main">
            <a:ext uri="{FF2B5EF4-FFF2-40B4-BE49-F238E27FC236}">
              <a16:creationId xmlns:a16="http://schemas.microsoft.com/office/drawing/2014/main" id="{103806D9-DBFC-8793-662F-4C132AD74635}"/>
            </a:ext>
          </a:extLst>
        </cdr:cNvPr>
        <cdr:cNvSpPr/>
      </cdr:nvSpPr>
      <cdr:spPr>
        <a:xfrm xmlns:a="http://schemas.openxmlformats.org/drawingml/2006/main">
          <a:off x="9520042" y="3586960"/>
          <a:ext cx="1259426" cy="247668"/>
        </a:xfrm>
        <a:prstGeom xmlns:a="http://schemas.openxmlformats.org/drawingml/2006/main" prst="rect">
          <a:avLst/>
        </a:prstGeom>
        <a:solidFill xmlns:a="http://schemas.openxmlformats.org/drawingml/2006/main">
          <a:schemeClr val="accent2"/>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pPr algn="ctr"/>
          <a:r>
            <a:rPr lang="en-NZ" kern="1200"/>
            <a:t>Trend with covid</a:t>
          </a:r>
        </a:p>
      </cdr:txBody>
    </cdr:sp>
  </cdr:relSizeAnchor>
  <cdr:relSizeAnchor xmlns:cdr="http://schemas.openxmlformats.org/drawingml/2006/chartDrawing">
    <cdr:from>
      <cdr:x>0.85153</cdr:x>
      <cdr:y>0.13053</cdr:y>
    </cdr:from>
    <cdr:to>
      <cdr:x>0.88342</cdr:x>
      <cdr:y>0.27979</cdr:y>
    </cdr:to>
    <cdr:cxnSp macro="">
      <cdr:nvCxnSpPr>
        <cdr:cNvPr id="12" name="Straight Arrow Connector 11">
          <a:extLst xmlns:a="http://schemas.openxmlformats.org/drawingml/2006/main">
            <a:ext uri="{FF2B5EF4-FFF2-40B4-BE49-F238E27FC236}">
              <a16:creationId xmlns:a16="http://schemas.microsoft.com/office/drawing/2014/main" id="{A5E7B6EF-0A1F-6366-A8A8-005938667132}"/>
            </a:ext>
          </a:extLst>
        </cdr:cNvPr>
        <cdr:cNvCxnSpPr>
          <a:endCxn xmlns:a="http://schemas.openxmlformats.org/drawingml/2006/main" id="13" idx="2"/>
        </cdr:cNvCxnSpPr>
      </cdr:nvCxnSpPr>
      <cdr:spPr>
        <a:xfrm xmlns:a="http://schemas.openxmlformats.org/drawingml/2006/main" flipV="1">
          <a:off x="9879654" y="988034"/>
          <a:ext cx="370040" cy="1129759"/>
        </a:xfrm>
        <a:prstGeom xmlns:a="http://schemas.openxmlformats.org/drawingml/2006/main" prst="straightConnector1">
          <a:avLst/>
        </a:prstGeom>
        <a:ln xmlns:a="http://schemas.openxmlformats.org/drawingml/2006/main">
          <a:tailEnd type="triangle"/>
        </a:ln>
      </cdr:spPr>
      <cdr:style>
        <a:lnRef xmlns:a="http://schemas.openxmlformats.org/drawingml/2006/main" idx="2">
          <a:schemeClr val="accent1"/>
        </a:lnRef>
        <a:fillRef xmlns:a="http://schemas.openxmlformats.org/drawingml/2006/main" idx="0">
          <a:schemeClr val="accent1"/>
        </a:fillRef>
        <a:effectRef xmlns:a="http://schemas.openxmlformats.org/drawingml/2006/main" idx="1">
          <a:schemeClr val="accent1"/>
        </a:effectRef>
        <a:fontRef xmlns:a="http://schemas.openxmlformats.org/drawingml/2006/main" idx="minor">
          <a:schemeClr val="tx1"/>
        </a:fontRef>
      </cdr:style>
    </cdr:cxnSp>
  </cdr:relSizeAnchor>
  <cdr:relSizeAnchor xmlns:cdr="http://schemas.openxmlformats.org/drawingml/2006/chartDrawing">
    <cdr:from>
      <cdr:x>0.83342</cdr:x>
      <cdr:y>0.07294</cdr:y>
    </cdr:from>
    <cdr:to>
      <cdr:x>0.93342</cdr:x>
      <cdr:y>0.13053</cdr:y>
    </cdr:to>
    <cdr:sp macro="" textlink="">
      <cdr:nvSpPr>
        <cdr:cNvPr id="13" name="Rectangle 12">
          <a:extLst xmlns:a="http://schemas.openxmlformats.org/drawingml/2006/main">
            <a:ext uri="{FF2B5EF4-FFF2-40B4-BE49-F238E27FC236}">
              <a16:creationId xmlns:a16="http://schemas.microsoft.com/office/drawing/2014/main" id="{0749DA53-34DC-5636-0C55-165DDD060170}"/>
            </a:ext>
          </a:extLst>
        </cdr:cNvPr>
        <cdr:cNvSpPr/>
      </cdr:nvSpPr>
      <cdr:spPr>
        <a:xfrm xmlns:a="http://schemas.openxmlformats.org/drawingml/2006/main">
          <a:off x="9669581" y="552116"/>
          <a:ext cx="1160226" cy="435918"/>
        </a:xfrm>
        <a:prstGeom xmlns:a="http://schemas.openxmlformats.org/drawingml/2006/main" prst="rect">
          <a:avLst/>
        </a:prstGeom>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NZ" kern="1200"/>
            <a:t>Trend ignoring covid</a:t>
          </a:r>
          <a:r>
            <a:rPr lang="en-NZ" kern="1200" baseline="0"/>
            <a:t> years</a:t>
          </a:r>
          <a:endParaRPr lang="en-NZ" kern="1200"/>
        </a:p>
      </cdr:txBody>
    </cdr:sp>
  </cdr:relSizeAnchor>
</c:userShapes>
</file>

<file path=xl/drawings/drawing6.xml><?xml version="1.0" encoding="utf-8"?>
<xdr:wsDr xmlns:xdr="http://schemas.openxmlformats.org/drawingml/2006/spreadsheetDrawing" xmlns:a="http://schemas.openxmlformats.org/drawingml/2006/main">
  <xdr:absoluteAnchor>
    <xdr:pos x="0" y="0"/>
    <xdr:ext cx="9307286" cy="6080449"/>
    <xdr:graphicFrame macro="">
      <xdr:nvGraphicFramePr>
        <xdr:cNvPr id="2" name="Chart 1">
          <a:extLst>
            <a:ext uri="{FF2B5EF4-FFF2-40B4-BE49-F238E27FC236}">
              <a16:creationId xmlns:a16="http://schemas.microsoft.com/office/drawing/2014/main" id="{E14E830F-744C-4B25-4BCE-DF3E106D2D51}"/>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c:userShapes xmlns:c="http://schemas.openxmlformats.org/drawingml/2006/chart">
  <cdr:relSizeAnchor xmlns:cdr="http://schemas.openxmlformats.org/drawingml/2006/chartDrawing">
    <cdr:from>
      <cdr:x>0.24851</cdr:x>
      <cdr:y>0.11048</cdr:y>
    </cdr:from>
    <cdr:to>
      <cdr:x>0.38421</cdr:x>
      <cdr:y>0.93506</cdr:y>
    </cdr:to>
    <cdr:sp macro="" textlink="">
      <cdr:nvSpPr>
        <cdr:cNvPr id="2" name="Rectangle 1">
          <a:extLst xmlns:a="http://schemas.openxmlformats.org/drawingml/2006/main">
            <a:ext uri="{FF2B5EF4-FFF2-40B4-BE49-F238E27FC236}">
              <a16:creationId xmlns:a16="http://schemas.microsoft.com/office/drawing/2014/main" id="{6A0E6C10-CE04-7431-7331-28ED8B0347FF}"/>
            </a:ext>
          </a:extLst>
        </cdr:cNvPr>
        <cdr:cNvSpPr/>
      </cdr:nvSpPr>
      <cdr:spPr>
        <a:xfrm xmlns:a="http://schemas.openxmlformats.org/drawingml/2006/main">
          <a:off x="2681829" y="867098"/>
          <a:ext cx="1464451" cy="6471798"/>
        </a:xfrm>
        <a:prstGeom xmlns:a="http://schemas.openxmlformats.org/drawingml/2006/main" prst="rect">
          <a:avLst/>
        </a:prstGeom>
        <a:solidFill xmlns:a="http://schemas.openxmlformats.org/drawingml/2006/main">
          <a:schemeClr val="accent2">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vert270" tIns="180000" bIns="180000" anchor="ct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ctr"/>
          <a:r>
            <a:rPr lang="en-NZ" sz="1400" kern="1200">
              <a:solidFill>
                <a:sysClr val="windowText" lastClr="000000"/>
              </a:solidFill>
            </a:rPr>
            <a:t>Pandemic</a:t>
          </a:r>
          <a:r>
            <a:rPr lang="en-NZ" sz="1400" kern="1200" baseline="0">
              <a:solidFill>
                <a:sysClr val="windowText" lastClr="000000"/>
              </a:solidFill>
            </a:rPr>
            <a:t> instability</a:t>
          </a:r>
          <a:endParaRPr lang="en-NZ" sz="1400" kern="1200">
            <a:solidFill>
              <a:sysClr val="windowText" lastClr="000000"/>
            </a:solidFill>
          </a:endParaRPr>
        </a:p>
      </cdr:txBody>
    </cdr:sp>
  </cdr:relSizeAnchor>
</c:userShapes>
</file>

<file path=xl/drawings/drawing8.xml><?xml version="1.0" encoding="utf-8"?>
<xdr:wsDr xmlns:xdr="http://schemas.openxmlformats.org/drawingml/2006/spreadsheetDrawing" xmlns:a="http://schemas.openxmlformats.org/drawingml/2006/main">
  <xdr:absoluteAnchor>
    <xdr:pos x="0" y="0"/>
    <xdr:ext cx="9297681" cy="6070387"/>
    <xdr:graphicFrame macro="">
      <xdr:nvGraphicFramePr>
        <xdr:cNvPr id="2" name="Chart 1">
          <a:extLst>
            <a:ext uri="{FF2B5EF4-FFF2-40B4-BE49-F238E27FC236}">
              <a16:creationId xmlns:a16="http://schemas.microsoft.com/office/drawing/2014/main" id="{0B4BD382-285F-597D-7379-6D500E964EC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9296751" cy="6066152"/>
    <xdr:graphicFrame macro="">
      <xdr:nvGraphicFramePr>
        <xdr:cNvPr id="2" name="Chart 1">
          <a:extLst>
            <a:ext uri="{FF2B5EF4-FFF2-40B4-BE49-F238E27FC236}">
              <a16:creationId xmlns:a16="http://schemas.microsoft.com/office/drawing/2014/main" id="{2F9F8EC1-B6FD-E3F7-61E7-5DD327FF75B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c:userShapes xmlns:c="http://schemas.openxmlformats.org/drawingml/2006/chart">
  <cdr:relSizeAnchor xmlns:cdr="http://schemas.openxmlformats.org/drawingml/2006/chartDrawing">
    <cdr:from>
      <cdr:x>0.2504</cdr:x>
      <cdr:y>0.1105</cdr:y>
    </cdr:from>
    <cdr:to>
      <cdr:x>0.39121</cdr:x>
      <cdr:y>0.94719</cdr:y>
    </cdr:to>
    <cdr:sp macro="" textlink="">
      <cdr:nvSpPr>
        <cdr:cNvPr id="3" name="Rectangle 2">
          <a:extLst xmlns:a="http://schemas.openxmlformats.org/drawingml/2006/main">
            <a:ext uri="{FF2B5EF4-FFF2-40B4-BE49-F238E27FC236}">
              <a16:creationId xmlns:a16="http://schemas.microsoft.com/office/drawing/2014/main" id="{DB4564F2-6E7C-DDC6-9E8D-D2113EA35B6B}"/>
            </a:ext>
          </a:extLst>
        </cdr:cNvPr>
        <cdr:cNvSpPr/>
      </cdr:nvSpPr>
      <cdr:spPr>
        <a:xfrm xmlns:a="http://schemas.openxmlformats.org/drawingml/2006/main">
          <a:off x="2326240" y="670216"/>
          <a:ext cx="1308159" cy="5074702"/>
        </a:xfrm>
        <a:prstGeom xmlns:a="http://schemas.openxmlformats.org/drawingml/2006/main" prst="rect">
          <a:avLst/>
        </a:prstGeom>
        <a:solidFill xmlns:a="http://schemas.openxmlformats.org/drawingml/2006/main">
          <a:schemeClr val="accent2">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vert270" tIns="180000" anchor="ct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r"/>
          <a:r>
            <a:rPr lang="en-NZ" sz="1400" kern="1200">
              <a:solidFill>
                <a:sysClr val="windowText" lastClr="000000"/>
              </a:solidFill>
            </a:rPr>
            <a:t>Pandemic</a:t>
          </a:r>
          <a:r>
            <a:rPr lang="en-NZ" sz="1400" kern="1200" baseline="0">
              <a:solidFill>
                <a:sysClr val="windowText" lastClr="000000"/>
              </a:solidFill>
            </a:rPr>
            <a:t> instability</a:t>
          </a:r>
          <a:endParaRPr lang="en-NZ" sz="1400" kern="1200">
            <a:solidFill>
              <a:sysClr val="windowText" lastClr="000000"/>
            </a:solidFill>
          </a:endParaRPr>
        </a:p>
      </cdr:txBody>
    </cdr:sp>
  </cdr:relSizeAnchor>
</c:userShapes>
</file>

<file path=xl/drawings/drawing11.xml><?xml version="1.0" encoding="utf-8"?>
<xdr:wsDr xmlns:xdr="http://schemas.openxmlformats.org/drawingml/2006/spreadsheetDrawing" xmlns:a="http://schemas.openxmlformats.org/drawingml/2006/main">
  <xdr:absoluteAnchor>
    <xdr:pos x="0" y="0"/>
    <xdr:ext cx="9296751" cy="6066152"/>
    <xdr:graphicFrame macro="">
      <xdr:nvGraphicFramePr>
        <xdr:cNvPr id="2" name="Chart 1">
          <a:extLst>
            <a:ext uri="{FF2B5EF4-FFF2-40B4-BE49-F238E27FC236}">
              <a16:creationId xmlns:a16="http://schemas.microsoft.com/office/drawing/2014/main" id="{25609789-F79C-2454-45BE-1B6CBE87FC2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9306034" cy="6065345"/>
    <xdr:graphicFrame macro="">
      <xdr:nvGraphicFramePr>
        <xdr:cNvPr id="2" name="Chart 1">
          <a:extLst>
            <a:ext uri="{FF2B5EF4-FFF2-40B4-BE49-F238E27FC236}">
              <a16:creationId xmlns:a16="http://schemas.microsoft.com/office/drawing/2014/main" id="{C7D47474-06F8-F411-0B87-A2DA219FB32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4E7772A-F93B-4C91-A4E0-96256575B625}" name="workbook_contents" displayName="workbook_contents" ref="A17:C42" totalsRowShown="0" headerRowDxfId="302" dataDxfId="301">
  <autoFilter ref="A17:C42" xr:uid="{74E7772A-F93B-4C91-A4E0-96256575B625}"/>
  <tableColumns count="3">
    <tableColumn id="1" xr3:uid="{962A3815-7696-4C7D-8616-78AB75D61C80}" name="Sheet label" dataDxfId="300"/>
    <tableColumn id="2" xr3:uid="{05ECEE4C-2267-4889-B881-9B5C2C647D0D}" name="Type" dataDxfId="299"/>
    <tableColumn id="3" xr3:uid="{9076264D-CAC4-4A50-AD19-D25A1A2A7B74}" name="Description" dataDxfId="29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43C6998-0B39-4453-8A67-08519BC27972}" name="externally_sourced_inputs" displayName="externally_sourced_inputs" ref="A1:D15" totalsRowShown="0" headerRowDxfId="297" dataDxfId="296">
  <autoFilter ref="A1:D15" xr:uid="{F43C6998-0B39-4453-8A67-08519BC27972}"/>
  <tableColumns count="4">
    <tableColumn id="1" xr3:uid="{43907819-4329-4792-9845-1E303FC1A315}" name="Item" dataDxfId="295"/>
    <tableColumn id="2" xr3:uid="{72CB6029-96F0-4B65-8122-6188E0E053C8}" name="Source" dataDxfId="294"/>
    <tableColumn id="3" xr3:uid="{76EB3A2C-1622-4A07-A283-C78F667BDB1B}" name="File link (internal) or URL (external)" dataDxfId="293" dataCellStyle="Hyperlink"/>
    <tableColumn id="4" xr3:uid="{488C0AE5-283E-473B-8C85-D95DD454B6B7}" name="Notes" dataDxfId="29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774BAE6-F4FB-4647-AFC3-A7B13DF25C84}" name="assumptions" displayName="assumptions" ref="A1:B12" totalsRowShown="0" dataDxfId="291">
  <autoFilter ref="A1:B12" xr:uid="{1774BAE6-F4FB-4647-AFC3-A7B13DF25C84}"/>
  <tableColumns count="2">
    <tableColumn id="1" xr3:uid="{A3DF1A97-F86B-43BE-B098-0D30D2FE63E0}" name="Assumption" dataDxfId="290"/>
    <tableColumn id="2" xr3:uid="{E2A1F1DD-BE08-479C-AFC7-9DAE7EF26CC7}" name="Assumption details" dataDxfId="289"/>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6EC4152-B371-4C1A-87D9-B0BA4998DD75}" name="Table1" displayName="Table1" ref="A1:B11" totalsRowShown="0" headerRowDxfId="288" dataDxfId="287">
  <autoFilter ref="A1:B11" xr:uid="{C6EC4152-B371-4C1A-87D9-B0BA4998DD75}"/>
  <tableColumns count="2">
    <tableColumn id="1" xr3:uid="{6C203D63-BFC0-4413-AD1B-0BD23BFEBAAE}" name="Limitation" dataDxfId="286"/>
    <tableColumn id="2" xr3:uid="{D97C75ED-70BE-4F5A-89F8-64DD80988745}" name="Description" dataDxfId="285"/>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DA14D8C-D003-4D05-B678-F850E70F1609}" name="data_dictionary" displayName="data_dictionary" ref="A1:B14" totalsRowShown="0" dataDxfId="284">
  <autoFilter ref="A1:B14" xr:uid="{2DA14D8C-D003-4D05-B678-F850E70F1609}"/>
  <tableColumns count="2">
    <tableColumn id="1" xr3:uid="{CF67590E-C731-4C1F-9A70-DB6A727657D6}" name="Term" dataDxfId="283"/>
    <tableColumn id="2" xr3:uid="{D25A4979-F591-424F-AEC2-1C0EEDCAB004}" name="Description" dataDxfId="282"/>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D9FCB75-5DAD-4DB2-AEF2-56D812FA29DE}" name="Table7" displayName="Table7" ref="A2:G13" totalsRowShown="0" headerRowDxfId="281">
  <autoFilter ref="A2:G13" xr:uid="{4D9FCB75-5DAD-4DB2-AEF2-56D812FA29DE}"/>
  <tableColumns count="7">
    <tableColumn id="1" xr3:uid="{7FCCABAF-33FB-45C4-8414-0390BA68DB3A}" name="Service Type"/>
    <tableColumn id="2" xr3:uid="{D7E98175-EF50-4A59-B46F-3B77DDBE1CE1}" name="Age Group"/>
    <tableColumn id="3" xr3:uid="{681F08CD-4326-4D55-A750-65D841A3D467}" name="Required Adult:Child Ratio" dataDxfId="280"/>
    <tableColumn id="4" xr3:uid="{7FCAB79A-531B-4DEF-BA66-035833B839E8}" name="min multiplier" dataDxfId="279"/>
    <tableColumn id="7" xr3:uid="{FFDEBF42-95C4-4F80-816F-96B53D1D048B}" name="mean multiplier" dataDxfId="278">
      <calculatedColumnFormula>1/4.38</calculatedColumnFormula>
    </tableColumn>
    <tableColumn id="5" xr3:uid="{A4DC51CA-7D27-4B51-84A8-FFE2C323B732}" name="% qualified teachers (min)" dataDxfId="277"/>
    <tableColumn id="6" xr3:uid="{4FC2B648-1A4D-47CE-94F8-0197C4F6A78E}" name="Min. qualified teacher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46E10AF-3F70-4568-A9EC-EA01A79A943C}" name="MarketShare" displayName="MarketShare" ref="A3:D29" totalsRowShown="0" headerRowDxfId="276" dataDxfId="275">
  <autoFilter ref="A3:D29" xr:uid="{126FC4FB-C39A-43F6-BA93-D92CAADC04E2}"/>
  <tableColumns count="4">
    <tableColumn id="1" xr3:uid="{DE811014-4427-4018-A29C-5C70E5338A55}" name="Year" dataDxfId="274"/>
    <tableColumn id="2" xr3:uid="{A56AF288-FC20-4E13-B928-792F49A91FF2}" name="Education &amp; Care" dataDxfId="273"/>
    <tableColumn id="3" xr3:uid="{F821B91C-D0A7-4A3B-B407-99C76084A1CE}" name="Kindergarten" dataDxfId="272"/>
    <tableColumn id="4" xr3:uid="{AFB49F83-3DFC-4A88-90EC-8CCB96028E2A}" name="Te Kōhanga Reo*" dataDxfId="271"/>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AB14E0F-92F0-4AF9-9E98-A6D83DE4E42E}" name="YearOnYearChange" displayName="YearOnYearChange" ref="A32:D57" totalsRowShown="0" headerRowDxfId="270" dataDxfId="269">
  <autoFilter ref="A32:D57" xr:uid="{7F02730F-1CC0-4262-A793-D0B927905EE1}"/>
  <tableColumns count="4">
    <tableColumn id="1" xr3:uid="{099100BE-8393-413D-BEDD-B57E9292BA64}" name="Year" dataDxfId="268"/>
    <tableColumn id="2" xr3:uid="{484B4F6A-462E-411D-BCA3-C25942BEA103}" name="Education &amp; Care" dataDxfId="267">
      <calculatedColumnFormula>B5-B4</calculatedColumnFormula>
    </tableColumn>
    <tableColumn id="3" xr3:uid="{85D7F4C9-8C29-4F2D-8A26-5C30D18E96C0}" name="Kindergarten" dataDxfId="266">
      <calculatedColumnFormula>C5-C4</calculatedColumnFormula>
    </tableColumn>
    <tableColumn id="4" xr3:uid="{BDD3DB3B-04CD-4A37-8D66-137A25173FBF}" name="Te Kōhanga Reo*" dataDxfId="265">
      <calculatedColumnFormula>D5-D4</calculatedColumnFormula>
    </tableColumn>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D74CEBC-6AD9-44A6-9CCB-9CE9F6236059}" name="AttendanceLevels" displayName="AttendanceLevels" ref="F60:I62" totalsRowShown="0" headerRowDxfId="264">
  <autoFilter ref="F60:I62" xr:uid="{62E739C1-687A-4682-84D9-8493BC1E0D86}"/>
  <tableColumns count="4">
    <tableColumn id="1" xr3:uid="{974FAB17-F043-4073-B3CE-584332DD501B}" name="Measure"/>
    <tableColumn id="2" xr3:uid="{E36CE2EE-B756-45D8-886B-A91AD142D6D0}" name="Education &amp; Care" dataDxfId="263">
      <calculatedColumnFormula>G60/40</calculatedColumnFormula>
    </tableColumn>
    <tableColumn id="3" xr3:uid="{60A50524-3CEF-4D8E-A80C-D94A8FFE7DA6}" name="Kindergarten" dataDxfId="262">
      <calculatedColumnFormula>H60/40</calculatedColumnFormula>
    </tableColumn>
    <tableColumn id="4" xr3:uid="{F2D181FE-97A7-45D8-A058-1C25D56D166D}" name="Te Kōhanga Reo*" dataDxfId="261">
      <calculatedColumnFormula>I60/40</calculatedColumnFormula>
    </tableColumn>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560914A7-5835-4DFD-82CB-9CA5A27424E3}" name="CentreBasedHeadcountEnrolmentsLow" displayName="CentreBasedHeadcountEnrolmentsLow" ref="A83:D94" totalsRowShown="0" headerRowDxfId="260" dataDxfId="259">
  <autoFilter ref="A83:D94" xr:uid="{E0C3EA6A-4DF3-4CA3-8680-3DF2335DE5F6}"/>
  <tableColumns count="4">
    <tableColumn id="1" xr3:uid="{C7DAF487-9D6C-4588-B11A-1044BE9ABA5B}" name="Year" dataDxfId="258"/>
    <tableColumn id="2" xr3:uid="{36DEAD7C-52F0-4B41-B6F7-970E1A77EA1B}" name="Education &amp; Care" dataDxfId="257">
      <calculatedColumnFormula>MROUND(('T15'!$Q15*B$75),5)</calculatedColumnFormula>
    </tableColumn>
    <tableColumn id="3" xr3:uid="{DD8F40FF-0C98-4586-A4FB-B27562B8ABC5}" name="Kindergarten" dataDxfId="256">
      <calculatedColumnFormula>MROUND(('T15'!$Q15*C$75),5)</calculatedColumnFormula>
    </tableColumn>
    <tableColumn id="5" xr3:uid="{4FA247BE-E6E6-4C22-8824-4C9836A3029E}" name="Total" dataDxfId="255">
      <calculatedColumnFormula>SUM(B84:C84)</calculatedColumnFormula>
    </tableColumn>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2353D63-DC9D-4413-B786-0E03C6FC4D20}" name="CentreBasedHeadcountEnrolmentsMedium" displayName="CentreBasedHeadcountEnrolmentsMedium" ref="A97:D108" totalsRowShown="0" headerRowDxfId="254" dataDxfId="253">
  <autoFilter ref="A97:D108" xr:uid="{BFE79344-D4C2-4D94-ABDE-513FD4A5E93E}"/>
  <tableColumns count="4">
    <tableColumn id="1" xr3:uid="{40C0AE64-61C8-4B04-A2D5-5ED26F1C283C}" name="Year" dataDxfId="252"/>
    <tableColumn id="2" xr3:uid="{B2553972-2616-4EE7-9F95-6814240F1E3F}" name="Education &amp; Care" dataDxfId="251">
      <calculatedColumnFormula>MROUND(('T15'!$S15*B$75),5)</calculatedColumnFormula>
    </tableColumn>
    <tableColumn id="3" xr3:uid="{3EA33AD2-5457-4C73-937C-528BA15207FA}" name="Kindergarten" dataDxfId="250">
      <calculatedColumnFormula>MROUND(('T15'!$S15*C$75),5)</calculatedColumnFormula>
    </tableColumn>
    <tableColumn id="5" xr3:uid="{91E65121-D3BF-4817-B1A0-EE18193D8651}" name="Total" dataDxfId="249">
      <calculatedColumnFormula>SUM(B98:C98)</calculatedColumnFormula>
    </tableColumn>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BA9869D-2765-44C0-BA51-87E5E089B08F}" name="CentreBasedHeadcountEnrolmentsHigh" displayName="CentreBasedHeadcountEnrolmentsHigh" ref="A111:D122" totalsRowShown="0" headerRowDxfId="248" dataDxfId="247">
  <autoFilter ref="A111:D122" xr:uid="{1C058F11-B8BD-4742-A8CB-54D9A2CD0908}"/>
  <tableColumns count="4">
    <tableColumn id="1" xr3:uid="{23E6B7AB-1D71-4391-AD98-0CF67732E3A9}" name="Year" dataDxfId="246"/>
    <tableColumn id="2" xr3:uid="{45DC7B55-ABE9-4F20-A6C2-B2897550B23A}" name="Education &amp; Care" dataDxfId="245">
      <calculatedColumnFormula>MROUND(('T15'!$T15*B$69),5)</calculatedColumnFormula>
    </tableColumn>
    <tableColumn id="3" xr3:uid="{297B1ABC-921C-4DAE-A40D-5F70903612F6}" name="Kindergarten" dataDxfId="244">
      <calculatedColumnFormula>MROUND(('T15'!$T15*C$75),5)</calculatedColumnFormula>
    </tableColumn>
    <tableColumn id="5" xr3:uid="{2EEA6083-03DD-487C-8AE8-57CF572F790E}" name="Total" dataDxfId="243">
      <calculatedColumnFormula>SUM(B112:C112)</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74D5ED0-AD4B-4B70-AC8B-EA2BF585EA34}" name="RatioMultipliers" displayName="RatioMultipliers" ref="F65:I70" totalsRowShown="0" headerRowDxfId="242">
  <autoFilter ref="F65:I70" xr:uid="{430246C1-3734-4FAE-996D-5BA2EA3ACD7C}"/>
  <tableColumns count="4">
    <tableColumn id="1" xr3:uid="{3458C697-17AA-4E2C-A1ED-E9D4BC478283}" name="Group"/>
    <tableColumn id="2" xr3:uid="{4678584A-B53F-4F12-9062-5932E4F21DBE}" name="Education &amp; Care" dataDxfId="241"/>
    <tableColumn id="3" xr3:uid="{5DCF7258-1E73-4615-AFF7-280732EA672B}" name="Kindergarten" dataDxfId="240"/>
    <tableColumn id="4" xr3:uid="{22386595-06C3-4286-816A-48CBDE973AB2}" name="Te Kōhanga Reo" dataDxfId="239"/>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45EE925F-C705-40B5-8DD5-B0967E754CF6}" name="MarketBreakdown" displayName="MarketBreakdown" ref="F73:I77" totalsRowShown="0" headerRowDxfId="238" dataDxfId="237">
  <autoFilter ref="F73:I77" xr:uid="{FC584478-A257-4DFB-80A5-AFE19D9245FA}"/>
  <tableColumns count="4">
    <tableColumn id="1" xr3:uid="{40F60B53-A1B5-4861-BDA7-D0171EC2F31E}" name="Group" dataDxfId="236"/>
    <tableColumn id="2" xr3:uid="{DDA22E98-B361-4CA5-8545-A1924E782162}" name="Education &amp; Care" dataDxfId="235"/>
    <tableColumn id="3" xr3:uid="{7D535D71-4342-46AC-9674-26104B42CD56}" name="Kindergarten" dataDxfId="234"/>
    <tableColumn id="4" xr3:uid="{A2D37179-EA83-4864-B5D4-F4CE8CD6A7C1}" name="Te Kōhanga Reo" dataDxfId="23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4AEFCBF-0D59-4AD7-8CD0-04B6A8A34C83}" name="LowScenarioCentreBasedFTEDemand" displayName="LowScenarioCentreBasedFTEDemand" ref="F83:M94" totalsRowShown="0" headerRowDxfId="232" dataDxfId="231">
  <autoFilter ref="F83:M94" xr:uid="{77E00049-BA17-467E-9B02-CEDB596E41E2}"/>
  <tableColumns count="8">
    <tableColumn id="1" xr3:uid="{14712942-528A-4EDB-9154-19A3D1BDB2D5}" name="Year" dataDxfId="230"/>
    <tableColumn id="2" xr3:uid="{8BE94D4D-CBA1-4870-8E58-6CEE98F0731D}" name="Education &amp; Care (under 2s)" dataDxfId="229">
      <calculatedColumnFormula>MROUND(((CentreBasedHeadcountEnrolmentsLow[[#This Row],[Education &amp; Care]]*G$74)*G$68)*'Source-fte_qualstus_x_servtype'!J32,5)</calculatedColumnFormula>
    </tableColumn>
    <tableColumn id="3" xr3:uid="{D6CC12D2-9066-4399-9BCE-454709B1E370}" name="Education &amp; Care (2s)" dataDxfId="228">
      <calculatedColumnFormula>MROUND(((CentreBasedHeadcountEnrolmentsLow[[#This Row],[Education &amp; Care]]*G$75)*G$69)*'Source-fte_qualstus_x_servtype'!J32,5)</calculatedColumnFormula>
    </tableColumn>
    <tableColumn id="4" xr3:uid="{194FD553-54DE-45E3-9E19-D3FB69F66BEF}" name="Education &amp; Care (3+)" dataDxfId="227">
      <calculatedColumnFormula>MROUND(((CentreBasedHeadcountEnrolmentsLow[[#This Row],[Education &amp; Care]]*SUM(G$76:G$77))*G$70)*'Source-fte_qualstus_x_servtype'!J32,5)</calculatedColumnFormula>
    </tableColumn>
    <tableColumn id="5" xr3:uid="{24DE3AB9-9ACE-4050-97A2-39D7F46F767E}" name="Kindergarten (Under 2s)" dataDxfId="226">
      <calculatedColumnFormula>MROUND(((CentreBasedHeadcountEnrolmentsLow[[#This Row],[Kindergarten]]*H$74)*H$68)*'Source-fte_qualstus_x_servtype'!J32,5)</calculatedColumnFormula>
    </tableColumn>
    <tableColumn id="6" xr3:uid="{249850D6-16DF-4FB9-92E4-8A32BB17169B}" name="Kindergarten (2s)" dataDxfId="225">
      <calculatedColumnFormula>MROUND(((CentreBasedHeadcountEnrolmentsLow[[#This Row],[Kindergarten]]*H$75)*H$69)*'Source-fte_qualstus_x_servtype'!J32,5)</calculatedColumnFormula>
    </tableColumn>
    <tableColumn id="7" xr3:uid="{8E7510DC-DE6A-4076-9735-B187D515C597}" name="Kindergarten (3+)" dataDxfId="224">
      <calculatedColumnFormula>MROUND(((CentreBasedHeadcountEnrolmentsLow[[#This Row],[Kindergarten]]*SUM(H$76:H$77))*H$70)*'Source-fte_qualstus_x_servtype'!J32,5)</calculatedColumnFormula>
    </tableColumn>
    <tableColumn id="10" xr3:uid="{8C79FB7B-6597-4C16-B634-41D44DDFC671}" name="Total FTE" dataDxfId="223">
      <calculatedColumnFormula>SUM(G84:L84)</calculatedColumnFormula>
    </tableColumn>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B563C43-DB99-4756-9CAE-3FB1283948F7}" name="MediumScenarioCentreBasedFTEDemand" displayName="MediumScenarioCentreBasedFTEDemand" ref="F97:M108" totalsRowShown="0" headerRowDxfId="222" dataDxfId="221">
  <autoFilter ref="F97:M108" xr:uid="{EB431A8A-26C6-4D67-9292-D08165CA0D51}"/>
  <tableColumns count="8">
    <tableColumn id="1" xr3:uid="{0F0CCC32-79C6-497E-AC95-735B6A4AFAA9}" name="Year" dataDxfId="220"/>
    <tableColumn id="2" xr3:uid="{E62D5AE1-3E16-43B4-BD7A-876764CED48B}" name="Education &amp; Care (under 2s)" dataDxfId="219">
      <calculatedColumnFormula>MROUND(((CentreBasedHeadcountEnrolmentsMedium[[#This Row],[Education &amp; Care]]*G$74)*G$68)*'Source-fte_qualstus_x_servtype'!J32,5)</calculatedColumnFormula>
    </tableColumn>
    <tableColumn id="3" xr3:uid="{2369C36D-690A-47D0-818B-FA3F0E29C33A}" name="Education &amp; Care (2s)" dataDxfId="218">
      <calculatedColumnFormula>MROUND(((CentreBasedHeadcountEnrolmentsMedium[[#This Row],[Education &amp; Care]]*G$75)*G$69)*'Source-fte_qualstus_x_servtype'!J32,5)</calculatedColumnFormula>
    </tableColumn>
    <tableColumn id="4" xr3:uid="{F84A418A-04C2-4ED9-A3F3-CAFD42E30E22}" name="Education &amp; Care (3+)" dataDxfId="217">
      <calculatedColumnFormula>MROUND(((CentreBasedHeadcountEnrolmentsMedium[[#This Row],[Education &amp; Care]]*SUM(G$76:G$77))*G$70)*'Source-fte_qualstus_x_servtype'!J32,5)</calculatedColumnFormula>
    </tableColumn>
    <tableColumn id="5" xr3:uid="{31AE42E0-B0E6-4F3B-935A-B5E45C2DA002}" name="Kindergarten (Under 2s)" dataDxfId="216">
      <calculatedColumnFormula>MROUND(((CentreBasedHeadcountEnrolmentsMedium[[#This Row],[Kindergarten]]*H$74)*H$68)*'Source-fte_qualstus_x_servtype'!J32,5)</calculatedColumnFormula>
    </tableColumn>
    <tableColumn id="6" xr3:uid="{090C3FB0-C7BC-4674-98B0-404B7D071C00}" name="Kindergarten (2s)" dataDxfId="215">
      <calculatedColumnFormula>MROUND(((CentreBasedHeadcountEnrolmentsMedium[[#This Row],[Kindergarten]]*H$75)*H$69)*'Source-fte_qualstus_x_servtype'!J32,5)</calculatedColumnFormula>
    </tableColumn>
    <tableColumn id="7" xr3:uid="{9D011C69-69B0-477A-A619-9606E6F9D59C}" name="Kindergarten (3+)" dataDxfId="214">
      <calculatedColumnFormula>MROUND(((CentreBasedHeadcountEnrolmentsMedium[[#This Row],[Kindergarten]]*SUM(H$76:H$77))*H$70)*'Source-fte_qualstus_x_servtype'!J32,5)</calculatedColumnFormula>
    </tableColumn>
    <tableColumn id="10" xr3:uid="{B81995A8-C8F8-4A72-962D-127CA776AE08}" name="Total FTE" dataDxfId="213">
      <calculatedColumnFormula>SUM(G98:L98)</calculatedColumnFormula>
    </tableColumn>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FC7E43AC-A99C-46E2-AE56-C996463041B9}" name="HighScenarioCentreBasedFTEDemand" displayName="HighScenarioCentreBasedFTEDemand" ref="F111:M122" totalsRowShown="0" headerRowDxfId="212" dataDxfId="211">
  <autoFilter ref="F111:M122" xr:uid="{9E73CA19-3477-4DD9-8DC1-F7697AB3BA5D}"/>
  <tableColumns count="8">
    <tableColumn id="1" xr3:uid="{BB800893-ED86-4C9C-9630-D6F1BD7C4516}" name="Year" dataDxfId="210"/>
    <tableColumn id="2" xr3:uid="{3748FA27-CB75-4974-8B41-07A3DEFE85EF}" name="Education &amp; Care (under 2s)" dataDxfId="209">
      <calculatedColumnFormula>MROUND(((CentreBasedHeadcountEnrolmentsHigh[[#This Row],[Education &amp; Care]]*G$74)*G$68)*'Source-fte_qualstus_x_servtype'!J32,5)</calculatedColumnFormula>
    </tableColumn>
    <tableColumn id="3" xr3:uid="{D275A9CE-C491-40EB-A15A-FD7545B6B5F7}" name="Education &amp; Care (2s)" dataDxfId="208">
      <calculatedColumnFormula>MROUND(((CentreBasedHeadcountEnrolmentsHigh[[#This Row],[Education &amp; Care]]*G$75)*G$69)*'Source-fte_qualstus_x_servtype'!J32,5)</calculatedColumnFormula>
    </tableColumn>
    <tableColumn id="4" xr3:uid="{20BFE2C0-61D3-45C1-9D42-BA1B223355BF}" name="Education &amp; Care (3+)" dataDxfId="207">
      <calculatedColumnFormula>MROUND(((CentreBasedHeadcountEnrolmentsHigh[[#This Row],[Education &amp; Care]]*SUM(G$76:G$77))*G$70)*'Source-fte_qualstus_x_servtype'!J32,5)</calculatedColumnFormula>
    </tableColumn>
    <tableColumn id="5" xr3:uid="{4EDF55DA-B0B6-416A-B318-89C62485B40C}" name="Kindergarten (Under 2s)" dataDxfId="206">
      <calculatedColumnFormula>MROUND(((CentreBasedHeadcountEnrolmentsHigh[[#This Row],[Kindergarten]]*H$74)*H$68)*'Source-fte_qualstus_x_servtype'!J32,5)</calculatedColumnFormula>
    </tableColumn>
    <tableColumn id="6" xr3:uid="{48F95056-B2A7-4552-9AB7-DE89780DA17E}" name="Kindergarten (2s)" dataDxfId="205">
      <calculatedColumnFormula>MROUND(((CentreBasedHeadcountEnrolmentsHigh[[#This Row],[Kindergarten]]*H$75)*H$69)*'Source-fte_qualstus_x_servtype'!J32,5)</calculatedColumnFormula>
    </tableColumn>
    <tableColumn id="7" xr3:uid="{A7A2C5B9-15FC-4034-A99A-4202BE736C94}" name="Kindergarten (3+)" dataDxfId="204">
      <calculatedColumnFormula>MROUND(((CentreBasedHeadcountEnrolmentsHigh[[#This Row],[Kindergarten]]*SUM(H$76:H$77))*H$70)*'Source-fte_qualstus_x_servtype'!J32,5)</calculatedColumnFormula>
    </tableColumn>
    <tableColumn id="10" xr3:uid="{59A97276-4E67-43F9-B661-ED3D74CAEF69}" name="Total FTE" dataDxfId="203">
      <calculatedColumnFormula>SUM(G112:L112)</calculatedColumnFormula>
    </tableColumn>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D495F3A-FF2F-4E72-86CF-73E7D4CCE913}" name="QualifiedStaffMultipliers" displayName="QualifiedStaffMultipliers" ref="K60:M63" totalsRowShown="0">
  <autoFilter ref="K60:M63" xr:uid="{B3123DB6-65B5-46FD-9A67-F8918E74BCA6}"/>
  <tableColumns count="3">
    <tableColumn id="1" xr3:uid="{684C3BDF-7838-457D-9379-57113094207F}" name="Target"/>
    <tableColumn id="2" xr3:uid="{439E58EB-F4FE-4535-9F14-55553E449BE0}" name="Education &amp; Care" dataDxfId="202"/>
    <tableColumn id="3" xr3:uid="{5F6F347E-26FA-40DD-B510-28B791372C12}" name="Kindergarten" dataDxfId="201"/>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BF6FB621-7ABD-44ED-A9F0-C300BD5192A8}" name="LowScenarioQualifedFTE" displayName="LowScenarioQualifedFTE" ref="O83:R94" totalsRowShown="0" headerRowDxfId="200" dataDxfId="199">
  <autoFilter ref="O83:R94" xr:uid="{DC844FC6-BF33-49A5-827F-B3F667C2444F}"/>
  <tableColumns count="4">
    <tableColumn id="1" xr3:uid="{BC1C291A-6FDD-4EBC-8276-543960E5070A}" name="Year" dataDxfId="198"/>
    <tableColumn id="2" xr3:uid="{FDAF8E4E-A41B-4CA1-AAEF-A4527B63108B}" name="Education &amp; Care" dataDxfId="197">
      <calculatedColumnFormula>MROUND(SUM(LowScenarioCentreBasedFTEDemand[[#This Row],[Education &amp; Care (under 2s)]:[Education &amp; Care (3+)]])*L$61,5)</calculatedColumnFormula>
    </tableColumn>
    <tableColumn id="3" xr3:uid="{E142A528-6AB4-4EAD-A722-9C43E148E742}" name="Kindergarten" dataDxfId="196">
      <calculatedColumnFormula>MROUND(SUM(LowScenarioCentreBasedFTEDemand[[#This Row],[Kindergarten (Under 2s)]:[Kindergarten (3+)]])*M$61,5)</calculatedColumnFormula>
    </tableColumn>
    <tableColumn id="4" xr3:uid="{CD66A6BC-7E5C-42AE-BFB7-3453E2868A42}" name="Total FTE" dataDxfId="195">
      <calculatedColumnFormula>SUM(P84:Q84)</calculatedColumnFormula>
    </tableColumn>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71DF3B2-2EF9-47C7-949F-E64A424486AA}" name="MediumScenarioQualifiedFTE" displayName="MediumScenarioQualifiedFTE" ref="O97:R108" totalsRowShown="0" headerRowDxfId="194" dataDxfId="193">
  <autoFilter ref="O97:R108" xr:uid="{AEA6D796-B0B4-4EA0-8027-78A0C0F54834}"/>
  <tableColumns count="4">
    <tableColumn id="1" xr3:uid="{6EA897BB-9E19-4DA2-95ED-F1E1F76CF507}" name="Year" dataDxfId="192"/>
    <tableColumn id="2" xr3:uid="{1A68613E-FED1-4AC3-9639-266FB6E1108A}" name="Education &amp; Care" dataDxfId="191">
      <calculatedColumnFormula>MROUND(SUM(MediumScenarioCentreBasedFTEDemand[[#This Row],[Education &amp; Care (under 2s)]:[Education &amp; Care (3+)]])*L$62,5)</calculatedColumnFormula>
    </tableColumn>
    <tableColumn id="3" xr3:uid="{D3E4DF1F-4ED9-46CA-8B1F-70DD320B8979}" name="Kindergarten" dataDxfId="190">
      <calculatedColumnFormula>MROUND(SUM(MediumScenarioCentreBasedFTEDemand[[#This Row],[Kindergarten (Under 2s)]:[Kindergarten (3+)]])*M$62,5)</calculatedColumnFormula>
    </tableColumn>
    <tableColumn id="4" xr3:uid="{EEE0ADC5-0828-4D44-87B3-6E29F2D3DBC6}" name="Total FTE" dataDxfId="189">
      <calculatedColumnFormula>SUM(P98:Q98)</calculatedColumnFormula>
    </tableColumn>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C3AAB056-C12E-4EF1-91B9-C509083530F7}" name="HighScenarioQualifiedFTE" displayName="HighScenarioQualifiedFTE" ref="O111:R122" totalsRowShown="0" headerRowDxfId="188" dataDxfId="187">
  <autoFilter ref="O111:R122" xr:uid="{CFC42DBC-43CD-4E74-807E-8EA881D52194}"/>
  <tableColumns count="4">
    <tableColumn id="1" xr3:uid="{D6FEF889-D51A-419C-9CAE-FE3D0196CFA5}" name="Year" dataDxfId="186"/>
    <tableColumn id="2" xr3:uid="{11AAD4CD-30C7-46A6-A7C9-25372DB934D3}" name="Education &amp; Care" dataDxfId="185">
      <calculatedColumnFormula>MROUND(SUM(HighScenarioCentreBasedFTEDemand[[#This Row],[Education &amp; Care (under 2s)]:[Education &amp; Care (3+)]])*L$63,5)</calculatedColumnFormula>
    </tableColumn>
    <tableColumn id="3" xr3:uid="{66540453-E916-47A3-9450-2E85BC8279DB}" name="Kindergarten" dataDxfId="184">
      <calculatedColumnFormula>MROUND(SUM(HighScenarioCentreBasedFTEDemand[[#This Row],[Kindergarten (Under 2s)]:[Kindergarten (3+)]])*M$61,5)</calculatedColumnFormula>
    </tableColumn>
    <tableColumn id="4" xr3:uid="{0B8F3E98-4AA2-4A13-9033-2E858E580C10}" name="Total FTE" dataDxfId="183">
      <calculatedColumnFormula>SUM(P112:Q112)</calculatedColumnFormula>
    </tableColumn>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1CFC41E-B047-48CB-B717-F4FA787E3B10}" name="ComplianceScenarioEnrolments" displayName="ComplianceScenarioEnrolments" ref="A125:D136" totalsRowShown="0" headerRowDxfId="182">
  <autoFilter ref="A125:D136" xr:uid="{A1CFC41E-B047-48CB-B717-F4FA787E3B10}"/>
  <tableColumns count="4">
    <tableColumn id="1" xr3:uid="{FBF94E25-92A0-429A-90B4-7FA7EC94A336}" name="Year" dataDxfId="181"/>
    <tableColumn id="2" xr3:uid="{66FB38FA-B0DF-4DFA-B428-5E513B62DF10}" name="Education &amp; Care" dataDxfId="180"/>
    <tableColumn id="3" xr3:uid="{276C66D3-A924-4338-A27B-0F3037AB3E32}" name="Kindergarten" dataDxfId="179"/>
    <tableColumn id="4" xr3:uid="{4B09268F-D709-45FA-B9BC-3F8E67A57286}" name="Total" dataDxfId="178"/>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CF2958B7-BECB-4794-B072-8CBBDE114908}" name="HighScenarioCentreBasedFTEDemand12" displayName="HighScenarioCentreBasedFTEDemand12" ref="F125:M136" totalsRowShown="0" headerRowDxfId="177" dataDxfId="176">
  <autoFilter ref="F125:M136" xr:uid="{CF2958B7-BECB-4794-B072-8CBBDE114908}"/>
  <tableColumns count="8">
    <tableColumn id="1" xr3:uid="{B4C37292-9897-440C-B103-1921EA1027F0}" name="Year" dataDxfId="175"/>
    <tableColumn id="2" xr3:uid="{C407F233-8E46-4075-B6F9-DC773115B070}" name="Education &amp; Care (under 2s)" dataDxfId="174">
      <calculatedColumnFormula>MROUND(((ComplianceScenarioEnrolments[[#This Row],[Education &amp; Care]]*G$74)*G$68)*'Source-fte_qualstus_x_servtype'!J31,5)</calculatedColumnFormula>
    </tableColumn>
    <tableColumn id="3" xr3:uid="{719503AE-5178-4527-8359-061215D89612}" name="Education &amp; Care (2s)" dataDxfId="173">
      <calculatedColumnFormula>MROUND(((ComplianceScenarioEnrolments[[#This Row],[Education &amp; Care]]*G$75)*G$69)*'Source-fte_qualstus_x_servtype'!J31,5)</calculatedColumnFormula>
    </tableColumn>
    <tableColumn id="4" xr3:uid="{1E503CC4-A5B6-40E0-9D2A-B76BA8E86989}" name="Education &amp; Care (3+)" dataDxfId="172">
      <calculatedColumnFormula>MROUND(((ComplianceScenarioEnrolments[[#This Row],[Education &amp; Care]]*SUM(G$76:G$77))*G$70)*'Source-fte_qualstus_x_servtype'!J31,5)</calculatedColumnFormula>
    </tableColumn>
    <tableColumn id="5" xr3:uid="{5B9EB3FF-EE28-42F5-85EE-798BD49B4EBA}" name="Kindergarten (Under 2s)" dataDxfId="171">
      <calculatedColumnFormula>MROUND(((ComplianceScenarioEnrolments[[#This Row],[Kindergarten]]*H$74)*H$68)*'Source-fte_qualstus_x_servtype'!J31,5)</calculatedColumnFormula>
    </tableColumn>
    <tableColumn id="6" xr3:uid="{849134F0-C7C2-46B6-A070-E42156EA0C54}" name="Kindergarten (2s)" dataDxfId="170">
      <calculatedColumnFormula>MROUND(((ComplianceScenarioEnrolments[[#This Row],[Kindergarten]]*H$75)*H$69)*'Source-fte_qualstus_x_servtype'!J31,5)</calculatedColumnFormula>
    </tableColumn>
    <tableColumn id="7" xr3:uid="{1E43206C-6BFF-406E-AA27-EA06B0B29016}" name="Kindergarten (3+)" dataDxfId="169">
      <calculatedColumnFormula>MROUND(((ComplianceScenarioEnrolments[[#This Row],[Kindergarten]]*SUM(H$76:H$77))*H$70)*'Source-fte_qualstus_x_servtype'!J31,5)</calculatedColumnFormula>
    </tableColumn>
    <tableColumn id="10" xr3:uid="{54951593-C98F-45D4-BCBD-952600223AFA}" name="Total FTE" dataDxfId="168">
      <calculatedColumnFormula>SUM(G126:L126)</calculatedColumnFormula>
    </tableColumn>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ED0573E4-FDBF-4BC0-8734-2A98A8AE2AA1}" name="ComplianceScenarioFTENeeded" displayName="ComplianceScenarioFTENeeded" ref="O125:R136" totalsRowShown="0" headerRowDxfId="167" dataDxfId="166">
  <autoFilter ref="O125:R136" xr:uid="{ED0573E4-FDBF-4BC0-8734-2A98A8AE2AA1}"/>
  <tableColumns count="4">
    <tableColumn id="1" xr3:uid="{C45F9911-294C-4B3F-83B1-831D92631F63}" name="Year" dataDxfId="165"/>
    <tableColumn id="2" xr3:uid="{F189244B-FD97-49D6-9269-167C56DD6A73}" name="Education &amp; Care" dataDxfId="164">
      <calculatedColumnFormula>SUM(HighScenarioCentreBasedFTEDemand12[[#This Row],[Education &amp; Care (2s)]:[Kindergarten (Under 2s)]])</calculatedColumnFormula>
    </tableColumn>
    <tableColumn id="3" xr3:uid="{713B7914-B8A1-4B78-BDE9-DDEE59499DB6}" name="Kindergarten" dataDxfId="163">
      <calculatedColumnFormula>SUM(HighScenarioCentreBasedFTEDemand12[[#This Row],[Kindergarten (Under 2s)]:[Kindergarten (3+)]])</calculatedColumnFormula>
    </tableColumn>
    <tableColumn id="4" xr3:uid="{BA001978-1523-4707-9A5A-2A7571C3AF02}" name="Total FTE" dataDxfId="162">
      <calculatedColumnFormula>SUM(P126:Q126)</calculatedColumnFormula>
    </tableColumn>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188EACAE-5CD7-46B7-9D73-0E2915B4EC8A}" name="MarketShare29" displayName="MarketShare29" ref="B3:G29" totalsRowShown="0" headerRowDxfId="161" dataDxfId="160">
  <autoFilter ref="B3:G29" xr:uid="{126FC4FB-C39A-43F6-BA93-D92CAADC04E2}"/>
  <tableColumns count="6">
    <tableColumn id="1" xr3:uid="{0FFBAE87-0432-450E-8B2D-972A440727D6}" name="Year" dataDxfId="159"/>
    <tableColumn id="2" xr3:uid="{BFD35A49-A6F5-4EF0-ACF4-C08C57F5B589}" name="Education &amp; Care" dataDxfId="158"/>
    <tableColumn id="3" xr3:uid="{6FA8BCF3-CBE1-41B3-9B23-99ABF34E811E}" name="Kindergarten" dataDxfId="157"/>
    <tableColumn id="4" xr3:uid="{A4C1784B-1E11-467E-A60C-CF2BE99A62F3}" name="Te Kōhanga Reo*" dataDxfId="156"/>
    <tableColumn id="5" xr3:uid="{093A404E-9779-490E-A8E0-150539C33AB1}" name="Home-based" dataDxfId="155"/>
    <tableColumn id="6" xr3:uid="{A291C23B-5106-4AA3-8EB7-5BC34B8E06B3}" name="Playcentre" dataDxfId="154"/>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A20525CD-F6C5-469D-A333-751D4AD1506E}" name="YearOnYearChange30" displayName="YearOnYearChange30" ref="B32:G57" totalsRowShown="0" headerRowDxfId="153" dataDxfId="152" headerRowBorderDxfId="150" tableBorderDxfId="151" totalsRowBorderDxfId="149">
  <autoFilter ref="B32:G57" xr:uid="{7F02730F-1CC0-4262-A793-D0B927905EE1}"/>
  <tableColumns count="6">
    <tableColumn id="1" xr3:uid="{4EE674CA-9A9F-43E6-B9F1-93CBC1F92C87}" name="Year" dataDxfId="148"/>
    <tableColumn id="2" xr3:uid="{271A8744-CE40-4532-B58F-B911A5B8EDDC}" name="Education &amp; Care" dataDxfId="147">
      <calculatedColumnFormula>C5-C4</calculatedColumnFormula>
    </tableColumn>
    <tableColumn id="3" xr3:uid="{C0760562-6387-4B5E-97DD-A88F263B9201}" name="Kindergarten" dataDxfId="146">
      <calculatedColumnFormula>D5-D4</calculatedColumnFormula>
    </tableColumn>
    <tableColumn id="4" xr3:uid="{EF562897-A4FE-41A7-95A8-25363C500D55}" name="Te Kōhanga Reo*" dataDxfId="145">
      <calculatedColumnFormula>E5-E4</calculatedColumnFormula>
    </tableColumn>
    <tableColumn id="5" xr3:uid="{AAE83A8A-58B3-46F5-BCA1-3F4B80207D7B}" name="Home-based" dataDxfId="144">
      <calculatedColumnFormula>F5-F4</calculatedColumnFormula>
    </tableColumn>
    <tableColumn id="6" xr3:uid="{30FAEB23-80B5-4A93-9332-C6F5A5FF1A7D}" name="Playcentre" dataDxfId="143">
      <calculatedColumnFormula>G5-G4</calculatedColumnFormula>
    </tableColumn>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FC82FCC-A182-4278-AE26-F4AFD85F4C01}" name="AttendanceLevels31" displayName="AttendanceLevels31" ref="K60:P62" totalsRowShown="0" headerRowDxfId="142">
  <autoFilter ref="K60:P62" xr:uid="{62E739C1-687A-4682-84D9-8493BC1E0D86}"/>
  <tableColumns count="6">
    <tableColumn id="1" xr3:uid="{330642D6-8A8A-493E-8D8F-B3EC12685B1F}" name="Measure"/>
    <tableColumn id="2" xr3:uid="{09FA378E-B9C1-4EAB-AA73-B8347A03EDA6}" name="Education &amp; Care" dataDxfId="141">
      <calculatedColumnFormula>L60/40</calculatedColumnFormula>
    </tableColumn>
    <tableColumn id="3" xr3:uid="{EBAF6240-9184-4851-BD49-1D0E11244A66}" name="Kindergarten" dataDxfId="140">
      <calculatedColumnFormula>M60/40</calculatedColumnFormula>
    </tableColumn>
    <tableColumn id="4" xr3:uid="{FED69BCD-9A8A-49B1-8DF9-EFA4AE299D4C}" name="Te Kōhanga Reo*" dataDxfId="139">
      <calculatedColumnFormula>N60/40</calculatedColumnFormula>
    </tableColumn>
    <tableColumn id="5" xr3:uid="{8AD5FE30-CE61-4D9D-8911-F7FB04AAA8A3}" name="Home-based" dataDxfId="138"/>
    <tableColumn id="6" xr3:uid="{9B822DE0-F6F2-424C-801A-2E9A9C50510C}" name="Playcentre" dataDxfId="137"/>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808A537-B0CC-4EAA-A10E-2F428F7B0ACE}" name="CentreBasedHeadcountEnrolmentsLow32" displayName="CentreBasedHeadcountEnrolmentsLow32" ref="B83:H94" totalsRowShown="0" headerRowDxfId="136" dataDxfId="135">
  <autoFilter ref="B83:H94" xr:uid="{E0C3EA6A-4DF3-4CA3-8680-3DF2335DE5F6}"/>
  <tableColumns count="7">
    <tableColumn id="1" xr3:uid="{485E1CF1-6D39-4148-AC5F-F88BCE56A037}" name="Year" dataDxfId="134"/>
    <tableColumn id="2" xr3:uid="{EA88FC68-5C27-4906-8208-72C896045C88}" name="Education &amp; Care" dataDxfId="133">
      <calculatedColumnFormula>MROUND(('T15'!$Q15*C$75),5)</calculatedColumnFormula>
    </tableColumn>
    <tableColumn id="3" xr3:uid="{DBB8853E-0BEF-4EC3-B3D3-831FADDB8E7A}" name="Kindergarten" dataDxfId="132">
      <calculatedColumnFormula>MROUND(('T15'!$Q15*D$75),5)</calculatedColumnFormula>
    </tableColumn>
    <tableColumn id="6" xr3:uid="{8864BE01-9AB9-4632-8515-688FDD9CA99B}" name="Kōhanga Reo" dataDxfId="131">
      <calculatedColumnFormula>MROUND(('T15'!$Q15*E$75),5)</calculatedColumnFormula>
    </tableColumn>
    <tableColumn id="7" xr3:uid="{251EF483-65BD-40F0-9199-B5DB85B93632}" name="Home-based" dataDxfId="130">
      <calculatedColumnFormula>MROUND(('T15'!$Q15*F$75),5)</calculatedColumnFormula>
    </tableColumn>
    <tableColumn id="8" xr3:uid="{25B5108A-874D-4136-BBF0-334887B2080F}" name="Playcentre" dataDxfId="129">
      <calculatedColumnFormula>MROUND(('T15'!$Q15*G$75),5)</calculatedColumnFormula>
    </tableColumn>
    <tableColumn id="5" xr3:uid="{959CF81F-AEFE-4155-ADB5-3666A626D1E1}" name="Total" dataDxfId="128">
      <calculatedColumnFormula>SUM(C84:E84)</calculatedColumnFormula>
    </tableColumn>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5094DAFD-F715-4E89-B510-E710DB47187F}" name="CentreBasedHeadcountEnrolmentsMedium33" displayName="CentreBasedHeadcountEnrolmentsMedium33" ref="B97:H108" totalsRowShown="0" headerRowDxfId="127" dataDxfId="126">
  <autoFilter ref="B97:H108" xr:uid="{BFE79344-D4C2-4D94-ABDE-513FD4A5E93E}"/>
  <tableColumns count="7">
    <tableColumn id="1" xr3:uid="{3EB67A7A-5403-407A-A2B4-69C431E5C710}" name="Year" dataDxfId="125"/>
    <tableColumn id="2" xr3:uid="{02451691-3355-42D1-936F-487B0475158F}" name="Education &amp; Care" dataDxfId="124">
      <calculatedColumnFormula>MROUND(('T15'!$S15*C$75),5)</calculatedColumnFormula>
    </tableColumn>
    <tableColumn id="3" xr3:uid="{FB0744CF-8E0F-4691-86FD-1C0EBA4E8D93}" name="Kindergarten" dataDxfId="123">
      <calculatedColumnFormula>MROUND(('T15'!$S15*D$75),5)</calculatedColumnFormula>
    </tableColumn>
    <tableColumn id="4" xr3:uid="{80B7FA6F-2CE2-45BF-954A-330C036AC51D}" name="Kōhanga Reo" dataDxfId="122">
      <calculatedColumnFormula>MROUND(('T15'!$S15*E$75),5)</calculatedColumnFormula>
    </tableColumn>
    <tableColumn id="6" xr3:uid="{4B2929DD-4E41-4E82-ABD8-E8C9805DE534}" name="Home-based" dataDxfId="121">
      <calculatedColumnFormula>MROUND(('T15'!$S15*F$75),5)</calculatedColumnFormula>
    </tableColumn>
    <tableColumn id="7" xr3:uid="{DDE7B6C2-C9FD-443D-9F68-874BFB45D5B1}" name="Playcentre" dataDxfId="120">
      <calculatedColumnFormula>MROUND(('T15'!$S15*G$75),5)</calculatedColumnFormula>
    </tableColumn>
    <tableColumn id="5" xr3:uid="{7192A084-ED23-4A73-A272-89C60FAD5C05}" name="Total" dataDxfId="119">
      <calculatedColumnFormula>SUM(C98:G98)</calculatedColumnFormula>
    </tableColumn>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6DD56B1F-986F-432B-AA6E-3CFCEE3D69BD}" name="CentreBasedHeadcountEnrolmentsHigh34" displayName="CentreBasedHeadcountEnrolmentsHigh34" ref="B111:H122" totalsRowShown="0" headerRowDxfId="118" dataDxfId="117">
  <autoFilter ref="B111:H122" xr:uid="{1C058F11-B8BD-4742-A8CB-54D9A2CD0908}"/>
  <tableColumns count="7">
    <tableColumn id="1" xr3:uid="{28C1429E-EA95-496E-A41C-25884E230907}" name="Year" dataDxfId="116"/>
    <tableColumn id="2" xr3:uid="{44D355BA-A8BC-493F-850F-B4BCC4A71B17}" name="Education &amp; Care" dataDxfId="115">
      <calculatedColumnFormula>MROUND(('T15'!$T15*C$75),5)</calculatedColumnFormula>
    </tableColumn>
    <tableColumn id="3" xr3:uid="{0761242D-1CFF-44F9-BB88-DD0B91E04CBE}" name="Kindergarten" dataDxfId="114">
      <calculatedColumnFormula>MROUND(('T15'!$T15*D$75),5)</calculatedColumnFormula>
    </tableColumn>
    <tableColumn id="4" xr3:uid="{921CBB97-E5D0-43C5-899D-89DA5116878E}" name="Kōhanga Reo" dataDxfId="113">
      <calculatedColumnFormula>MROUND(('T15'!$T15*E$75),5)</calculatedColumnFormula>
    </tableColumn>
    <tableColumn id="6" xr3:uid="{6861196A-BC10-4786-89DF-A6E279939F83}" name="Home-based" dataDxfId="112">
      <calculatedColumnFormula>MROUND(('T15'!$T15*F$75),5)</calculatedColumnFormula>
    </tableColumn>
    <tableColumn id="7" xr3:uid="{5EA6622B-65D1-4FFF-AF74-52B3FA8FC511}" name="Playcentre" dataDxfId="111">
      <calculatedColumnFormula>MROUND(('T15'!$T15*G$75),5)</calculatedColumnFormula>
    </tableColumn>
    <tableColumn id="5" xr3:uid="{74C26B52-EFB6-4C38-956E-A776077DFF6E}" name="Total" dataDxfId="110">
      <calculatedColumnFormula>SUM(C112:G112)</calculatedColumnFormula>
    </tableColumn>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48BF9980-B083-4972-9EB4-77D11839EB5D}" name="RatioMultipliers35" displayName="RatioMultipliers35" ref="K65:P70" totalsRowShown="0" headerRowDxfId="109">
  <autoFilter ref="K65:P70" xr:uid="{430246C1-3734-4FAE-996D-5BA2EA3ACD7C}"/>
  <tableColumns count="6">
    <tableColumn id="1" xr3:uid="{E4E2E108-9B00-4126-9BB0-297C9E7634CF}" name="Group"/>
    <tableColumn id="2" xr3:uid="{2795DD8C-01D4-4713-9406-B3DD5F516B7E}" name="Education &amp; Care" dataDxfId="108"/>
    <tableColumn id="3" xr3:uid="{4D070505-7002-4010-BF36-0E0615175FEA}" name="Kindergarten" dataDxfId="107"/>
    <tableColumn id="4" xr3:uid="{029FD225-9657-4EFE-8C18-F117DBAE02BA}" name="Te Kōhanga Reo" dataDxfId="106"/>
    <tableColumn id="5" xr3:uid="{C1FA5E5B-93B5-4ABA-B509-8EF6A4FEF517}" name="Home-based" dataDxfId="105"/>
    <tableColumn id="6" xr3:uid="{8DF86D26-8C26-42F9-8AB9-9C45F5BEB6DD}" name="Playcentre" dataDxfId="104"/>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B7049828-492A-4A88-8EC8-C0670D4955B8}" name="MarketBreakdown36" displayName="MarketBreakdown36" ref="K73:P78" totalsRowShown="0" headerRowDxfId="103" dataDxfId="102">
  <autoFilter ref="K73:P78" xr:uid="{FC584478-A257-4DFB-80A5-AFE19D9245FA}"/>
  <tableColumns count="6">
    <tableColumn id="1" xr3:uid="{D35F35BA-E81C-42B7-950D-1C2524D69C53}" name="Group" dataDxfId="101"/>
    <tableColumn id="2" xr3:uid="{ECC6FF95-CBA7-4EEA-A63D-15345C8AF3C9}" name="Education &amp; Care" dataDxfId="100"/>
    <tableColumn id="3" xr3:uid="{3BE92D72-1DE7-459A-86BD-C9C0E585541C}" name="Kindergarten" dataDxfId="99"/>
    <tableColumn id="4" xr3:uid="{C7C934BA-BA69-4831-B5CD-36CDEF28BA41}" name="Te Kōhanga Reo" dataDxfId="98"/>
    <tableColumn id="5" xr3:uid="{937A0AE7-66C7-4814-8DE2-E2EE1E1989D5}" name="Home-based" dataDxfId="97"/>
    <tableColumn id="6" xr3:uid="{D1EAA025-6FEB-4BDD-95D8-0227AE71C515}" name="Playcentre" dataDxfId="96"/>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66A2F8BF-6C9E-4EE0-9F6D-C77B72F6DEB7}" name="LowScenarioCentreBasedFTEDemand37" displayName="LowScenarioCentreBasedFTEDemand37" ref="K83:V94" totalsRowShown="0" headerRowDxfId="95" dataDxfId="94">
  <autoFilter ref="K83:V94" xr:uid="{77E00049-BA17-467E-9B02-CEDB596E41E2}"/>
  <tableColumns count="12">
    <tableColumn id="1" xr3:uid="{41EEE6E8-72F3-4750-82CB-E5CF161CAB2F}" name="Year" dataDxfId="93"/>
    <tableColumn id="2" xr3:uid="{BE694BB2-B23A-4B7E-A589-DDD942E12009}" name="Education &amp; Care (under 2s)" dataDxfId="92">
      <calculatedColumnFormula>MROUND(((CentreBasedHeadcountEnrolmentsLow32[[#This Row],[Education &amp; Care]]*L$74)*L$68)*'Source-fte_qualstus_x_servtype'!J32,5)</calculatedColumnFormula>
    </tableColumn>
    <tableColumn id="3" xr3:uid="{7DFDB3CC-B038-4F3C-81F3-8439335DF051}" name="Education &amp; Care (2s)" dataDxfId="91">
      <calculatedColumnFormula>MROUND(((CentreBasedHeadcountEnrolmentsLow32[[#This Row],[Education &amp; Care]]*L$75)*L$69)*'Source-fte_qualstus_x_servtype'!J32,5)</calculatedColumnFormula>
    </tableColumn>
    <tableColumn id="4" xr3:uid="{E32B270E-BE40-4A9B-A03D-5C637E963E66}" name="Education &amp; Care (3+)" dataDxfId="90">
      <calculatedColumnFormula>MROUND(((CentreBasedHeadcountEnrolmentsLow32[[#This Row],[Education &amp; Care]]*SUM(L$76:L$77))*L$70)*'Source-fte_qualstus_x_servtype'!J32,5)</calculatedColumnFormula>
    </tableColumn>
    <tableColumn id="5" xr3:uid="{1430CDCB-F899-40AB-9F24-5F4F6CFF7E8A}" name="Kindergarten (Under 2s)" dataDxfId="89">
      <calculatedColumnFormula>MROUND(((CentreBasedHeadcountEnrolmentsLow32[[#This Row],[Kindergarten]]*M$74)*M$68)*'Source-fte_qualstus_x_servtype'!J32,5)</calculatedColumnFormula>
    </tableColumn>
    <tableColumn id="6" xr3:uid="{81E53DDA-AFEB-480A-802D-2AF66B83F5F7}" name="Kindergarten (2s)" dataDxfId="88">
      <calculatedColumnFormula>MROUND(((CentreBasedHeadcountEnrolmentsLow32[[#This Row],[Kindergarten]]*M$75)*M$69)*'Source-fte_qualstus_x_servtype'!J32,5)</calculatedColumnFormula>
    </tableColumn>
    <tableColumn id="7" xr3:uid="{2DA2059B-3088-4AC9-986E-D0E4A43824ED}" name="Kindergarten (3+)" dataDxfId="87">
      <calculatedColumnFormula>MROUND(((CentreBasedHeadcountEnrolmentsLow32[[#This Row],[Kindergarten]]*SUM(M$76:M$77))*M$70)*'Source-fte_qualstus_x_servtype'!J32,5)</calculatedColumnFormula>
    </tableColumn>
    <tableColumn id="8" xr3:uid="{8446E19D-39AA-4B4C-852E-094849EBBBE0}" name="Kōhanga Reo (Under 2s)" dataDxfId="86">
      <calculatedColumnFormula>MROUND(((CentreBasedHeadcountEnrolmentsLow32[[#This Row],[Kōhanga Reo]]*SUM(N$74))*N$66)*'Source-fte_qualstus_x_servtype'!J32,5)</calculatedColumnFormula>
    </tableColumn>
    <tableColumn id="9" xr3:uid="{153E447A-8ABF-41F5-87D6-CD2BAFBF7784}" name="Kōhanga Reo (2+)" dataDxfId="85">
      <calculatedColumnFormula>MROUND(((CentreBasedHeadcountEnrolmentsLow32[[#This Row],[Kōhanga Reo]]*SUM(N$75:N$77))*N$67)*'Source-fte_qualstus_x_servtype'!J32,5)</calculatedColumnFormula>
    </tableColumn>
    <tableColumn id="11" xr3:uid="{307D4164-6100-46EF-8D64-634DEBC5E7FC}" name="Home-based" dataDxfId="84">
      <calculatedColumnFormula>MROUND(((CentreBasedHeadcountEnrolmentsLow32[[#This Row],[Home-based]]*SUM(O$78))*O$67)*'Source-fte_qualstus_x_servtype'!J32,5)</calculatedColumnFormula>
    </tableColumn>
    <tableColumn id="12" xr3:uid="{18CA56B5-B0F6-4E39-B568-FBC9BFB63B1E}" name="Playcentre" dataDxfId="83">
      <calculatedColumnFormula>MROUND(((CentreBasedHeadcountEnrolmentsLow32[[#This Row],[Playcentre]])*P$67)*0.5,5)</calculatedColumnFormula>
    </tableColumn>
    <tableColumn id="10" xr3:uid="{68B975D8-614D-40BF-B7E9-8B928F2E33A6}" name="Total FTE" dataDxfId="82">
      <calculatedColumnFormula>SUM(L84:U84)</calculatedColumnFormula>
    </tableColumn>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BD7BEC52-1870-4364-B5AD-58ACB559FD79}" name="MediumScenarioCentreBasedFTEDemand38" displayName="MediumScenarioCentreBasedFTEDemand38" ref="K97:V108" totalsRowShown="0" headerRowDxfId="81" dataDxfId="80">
  <autoFilter ref="K97:V108" xr:uid="{EB431A8A-26C6-4D67-9292-D08165CA0D51}"/>
  <tableColumns count="12">
    <tableColumn id="1" xr3:uid="{14291B7B-5AA7-4E61-94BF-35727521635D}" name="Year" dataDxfId="79"/>
    <tableColumn id="2" xr3:uid="{FDF112FF-3430-4C74-90A9-47EB15CF2F6D}" name="Education &amp; Care (under 2s)" dataDxfId="78">
      <calculatedColumnFormula>MROUND(((CentreBasedHeadcountEnrolmentsMedium33[[#This Row],[Education &amp; Care]]*L$74)*L$68)*'Source-fte_qualstus_x_servtype'!J32,5)</calculatedColumnFormula>
    </tableColumn>
    <tableColumn id="3" xr3:uid="{493561F2-1B20-4899-9402-E44F66205AF9}" name="Education &amp; Care (2s)" dataDxfId="77">
      <calculatedColumnFormula>MROUND(((CentreBasedHeadcountEnrolmentsMedium33[[#This Row],[Education &amp; Care]]*L$75)*L$69)*'Source-fte_qualstus_x_servtype'!J32,5)</calculatedColumnFormula>
    </tableColumn>
    <tableColumn id="4" xr3:uid="{8661EFE5-7199-4AFD-97AA-5373500D51C9}" name="Education &amp; Care (3+)" dataDxfId="76">
      <calculatedColumnFormula>MROUND(((CentreBasedHeadcountEnrolmentsMedium33[[#This Row],[Education &amp; Care]]*SUM(L$76:L$77))*L$70)*'Source-fte_qualstus_x_servtype'!J32,5)</calculatedColumnFormula>
    </tableColumn>
    <tableColumn id="5" xr3:uid="{CB469519-CDA1-4615-85B3-02574E65FE92}" name="Kindergarten (Under 2s)" dataDxfId="75">
      <calculatedColumnFormula>MROUND(((CentreBasedHeadcountEnrolmentsMedium33[[#This Row],[Kindergarten]]*M$74)*M$68)*'Source-fte_qualstus_x_servtype'!J32,5)</calculatedColumnFormula>
    </tableColumn>
    <tableColumn id="6" xr3:uid="{4CAB570C-59C9-4349-8D9C-82D1561714C7}" name="Kindergarten (2s)" dataDxfId="74">
      <calculatedColumnFormula>MROUND(((CentreBasedHeadcountEnrolmentsMedium33[[#This Row],[Kindergarten]]*M$75)*M$69)*'Source-fte_qualstus_x_servtype'!J32,5)</calculatedColumnFormula>
    </tableColumn>
    <tableColumn id="7" xr3:uid="{3BE92A4F-7FCD-49BE-8A78-BD3BD9EF3154}" name="Kindergarten (3+)" dataDxfId="73">
      <calculatedColumnFormula>MROUND(((CentreBasedHeadcountEnrolmentsMedium33[[#This Row],[Kindergarten]]*SUM(M$76:M$77))*M$70)*'Source-fte_qualstus_x_servtype'!J32,5)</calculatedColumnFormula>
    </tableColumn>
    <tableColumn id="8" xr3:uid="{791F4F25-7A04-4999-A173-C04205B5F189}" name="Kōhanga Reo (Under 2s)" dataDxfId="72">
      <calculatedColumnFormula>MROUND(((CentreBasedHeadcountEnrolmentsMedium33[[#This Row],[Kōhanga Reo]]*SUM(N$74))*N$66)*'Source-fte_qualstus_x_servtype'!J32,5)</calculatedColumnFormula>
    </tableColumn>
    <tableColumn id="9" xr3:uid="{0B33BBE0-5B7D-4367-93C2-AB4CBD7F2273}" name="Kōhanga Reo (2+)" dataDxfId="71">
      <calculatedColumnFormula>MROUND(((CentreBasedHeadcountEnrolmentsMedium33[[#This Row],[Kōhanga Reo]]*SUM(N$75:N$77))*N$67)*'Source-fte_qualstus_x_servtype'!J32,5)</calculatedColumnFormula>
    </tableColumn>
    <tableColumn id="11" xr3:uid="{203DEA89-AF95-4F48-A880-F3373E59415A}" name="Home-based" dataDxfId="70">
      <calculatedColumnFormula>MROUND(((CentreBasedHeadcountEnrolmentsMedium33[[#This Row],[Home-based]]*SUM(O$78))*O$67)*'Source-fte_qualstus_x_servtype'!J32,5)</calculatedColumnFormula>
    </tableColumn>
    <tableColumn id="12" xr3:uid="{F0976962-75F5-4C0B-A7A7-A4428C04CCB4}" name="Playcentre" dataDxfId="69">
      <calculatedColumnFormula>MROUND(((CentreBasedHeadcountEnrolmentsMedium33[[#This Row],[Playcentre]]*SUM(P$78))*P$67)*0.5,5)</calculatedColumnFormula>
    </tableColumn>
    <tableColumn id="10" xr3:uid="{AF85A084-CE3A-4714-AC99-BC6A06A093C5}" name="Total FTE" dataDxfId="68">
      <calculatedColumnFormula>SUM(L98:U98)</calculatedColumnFormula>
    </tableColumn>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B4ADEF27-5021-4216-A0D8-CF2F7737BF4F}" name="HighScenarioCentreBasedFTEDemand39" displayName="HighScenarioCentreBasedFTEDemand39" ref="K111:V122" totalsRowShown="0" headerRowDxfId="67" dataDxfId="66">
  <autoFilter ref="K111:V122" xr:uid="{9E73CA19-3477-4DD9-8DC1-F7697AB3BA5D}"/>
  <tableColumns count="12">
    <tableColumn id="1" xr3:uid="{E0C2F014-806F-410E-A35A-B22AA1B277AB}" name="Year" dataDxfId="65"/>
    <tableColumn id="2" xr3:uid="{54EC25F6-90B8-4A4F-AE36-187576AD1252}" name="Education &amp; Care (under 2s)" dataDxfId="64">
      <calculatedColumnFormula>MROUND(((CentreBasedHeadcountEnrolmentsHigh34[[#This Row],[Education &amp; Care]]*L$74)*L$68)*'Source-fte_qualstus_x_servtype'!J32,5)</calculatedColumnFormula>
    </tableColumn>
    <tableColumn id="3" xr3:uid="{3177EA23-69C1-40D2-8BC4-44C693613B50}" name="Education &amp; Care (2s)" dataDxfId="63">
      <calculatedColumnFormula>MROUND(((CentreBasedHeadcountEnrolmentsHigh34[[#This Row],[Education &amp; Care]]*L$75)*L$69)*'Source-fte_qualstus_x_servtype'!J32,5)</calculatedColumnFormula>
    </tableColumn>
    <tableColumn id="4" xr3:uid="{CD2EB1B1-B68C-4B72-B5D1-C3C79BE1BF7D}" name="Education &amp; Care (3+)" dataDxfId="62">
      <calculatedColumnFormula>MROUND(((CentreBasedHeadcountEnrolmentsHigh34[[#This Row],[Education &amp; Care]]*SUM(L$76:L$77))*L$70)*'Source-fte_qualstus_x_servtype'!J32,5)</calculatedColumnFormula>
    </tableColumn>
    <tableColumn id="5" xr3:uid="{B37AAF59-76CB-47D9-829E-7768BC816F0D}" name="Kindergarten (Under 2s)" dataDxfId="61">
      <calculatedColumnFormula>MROUND(((CentreBasedHeadcountEnrolmentsHigh34[[#This Row],[Kindergarten]]*M$74)*M$68)*'Source-fte_qualstus_x_servtype'!J32,5)</calculatedColumnFormula>
    </tableColumn>
    <tableColumn id="6" xr3:uid="{6E7BCD1D-AD58-4EA4-9823-D3BBFC2F1CC4}" name="Kindergarten (2s)" dataDxfId="60">
      <calculatedColumnFormula>MROUND(((CentreBasedHeadcountEnrolmentsHigh34[[#This Row],[Kindergarten]]*M$75)*M$69)*'Source-fte_qualstus_x_servtype'!J32,5)</calculatedColumnFormula>
    </tableColumn>
    <tableColumn id="7" xr3:uid="{6B6608F7-B9E4-4902-9212-BFCCE4C866D5}" name="Kindergarten (3+)" dataDxfId="59">
      <calculatedColumnFormula>MROUND(((CentreBasedHeadcountEnrolmentsHigh34[[#This Row],[Kindergarten]]*SUM(M$76:M$77))*M$70)*'Source-fte_qualstus_x_servtype'!J32,5)</calculatedColumnFormula>
    </tableColumn>
    <tableColumn id="8" xr3:uid="{CDB521BD-2F28-4363-B40A-CF59CE8C076E}" name="Kōhanga Reo (Under 2s)" dataDxfId="58">
      <calculatedColumnFormula>MROUND(((CentreBasedHeadcountEnrolmentsHigh34[[#This Row],[Kōhanga Reo]]*SUM(N$74))*N$66)*'Source-fte_qualstus_x_servtype'!J32,5)</calculatedColumnFormula>
    </tableColumn>
    <tableColumn id="9" xr3:uid="{762EC745-5E7E-4912-8FCE-AAD68A7E2D36}" name="Kōhanga Reo (2+)" dataDxfId="57">
      <calculatedColumnFormula>MROUND(((CentreBasedHeadcountEnrolmentsHigh34[[#This Row],[Kōhanga Reo]]*SUM(N$75:N$77))*N$67)*'Source-fte_qualstus_x_servtype'!J32,5)</calculatedColumnFormula>
    </tableColumn>
    <tableColumn id="11" xr3:uid="{51FFF1FC-5ADB-4F36-B2AF-5C8DF0C9634B}" name="Home-based" dataDxfId="56">
      <calculatedColumnFormula>MROUND(((CentreBasedHeadcountEnrolmentsHigh34[[#This Row],[Home-based]]*SUM(O$78))*O$67)*'Source-fte_qualstus_x_servtype'!J32,5)</calculatedColumnFormula>
    </tableColumn>
    <tableColumn id="12" xr3:uid="{8C490443-62E0-4079-872A-CCCF97DADB75}" name="Playcentre" dataDxfId="55">
      <calculatedColumnFormula>MROUND(((CentreBasedHeadcountEnrolmentsHigh34[[#This Row],[Playcentre]]*SUM(P$78))*P$67)*0.5,5)</calculatedColumnFormula>
    </tableColumn>
    <tableColumn id="10" xr3:uid="{35B42473-45CB-4AB3-91CE-29832C33D09C}" name="Total FTE" dataDxfId="54">
      <calculatedColumnFormula>SUM(L112:U112)</calculatedColumnFormula>
    </tableColumn>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65F9178-A345-4DC3-BA19-E04F1A0734BF}" name="QualifiedStaffMultipliers40" displayName="QualifiedStaffMultipliers40" ref="R60:U63" totalsRowShown="0">
  <autoFilter ref="R60:U63" xr:uid="{B3123DB6-65B5-46FD-9A67-F8918E74BCA6}"/>
  <tableColumns count="4">
    <tableColumn id="1" xr3:uid="{FD0865AA-58A4-4B95-914F-F7757C16C522}" name="Target" dataDxfId="53"/>
    <tableColumn id="4" xr3:uid="{014E7A66-273A-482D-9EBF-1221A4201910}" name="Education &amp; Care" dataDxfId="52"/>
    <tableColumn id="3" xr3:uid="{861ABF8A-5929-47E3-9377-9474D7BC7FDC}" name="Kindergarten" dataDxfId="51"/>
    <tableColumn id="2" xr3:uid="{0E9ECD9E-2D3D-4007-9244-0822FD669227}" name="Other" dataDxfId="50"/>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7F7B66A5-447D-44D8-AE2E-3BE294605B92}" name="LowScenarioQualifedFTE41" displayName="LowScenarioQualifedFTE41" ref="Y83:AE94" totalsRowShown="0" headerRowDxfId="49" dataDxfId="48">
  <autoFilter ref="Y83:AE94" xr:uid="{DC844FC6-BF33-49A5-827F-B3F667C2444F}"/>
  <tableColumns count="7">
    <tableColumn id="1" xr3:uid="{C2E37BD8-50B3-4ECF-8AEA-6EEA4220D85A}" name="Year" dataDxfId="47"/>
    <tableColumn id="2" xr3:uid="{2CC4EC1F-8CE5-418B-A849-1856463CACA8}" name="Education &amp; Care" dataDxfId="46">
      <calculatedColumnFormula>MROUND(SUM(LowScenarioCentreBasedFTEDemand37[[#This Row],[Education &amp; Care (under 2s)]:[Education &amp; Care (3+)]])*U$62,5)</calculatedColumnFormula>
    </tableColumn>
    <tableColumn id="3" xr3:uid="{06B0CADC-0C6F-4CE2-9502-DE174A8FAD2D}" name="Kindergarten" dataDxfId="45">
      <calculatedColumnFormula>MROUND(SUM(LowScenarioCentreBasedFTEDemand37[[#This Row],[Kindergarten (Under 2s)]:[Kindergarten (3+)]])*T$61,5)</calculatedColumnFormula>
    </tableColumn>
    <tableColumn id="5" xr3:uid="{2FB14B02-FB3D-428F-975A-5D13FEFC772B}" name="Kōhanga Reo" dataDxfId="44">
      <calculatedColumnFormula>MROUND(SUM(LowScenarioCentreBasedFTEDemand37[[#This Row],[Kōhanga Reo (Under 2s)]:[Kōhanga Reo (2+)]])*U$62,5)</calculatedColumnFormula>
    </tableColumn>
    <tableColumn id="6" xr3:uid="{6E8EC1E7-B4E5-4242-8847-73EDA4CBDAAA}" name="Home-based" dataDxfId="43">
      <calculatedColumnFormula>MROUND(LowScenarioCentreBasedFTEDemand37[[#This Row],[Home-based]]*U$62,5)</calculatedColumnFormula>
    </tableColumn>
    <tableColumn id="7" xr3:uid="{CE5546D8-6B7E-4CCF-A8F1-2D470EBAE488}" name="Playcentre" dataDxfId="42">
      <calculatedColumnFormula>MROUND(LowScenarioCentreBasedFTEDemand37[[#This Row],[Playcentre]]*U$62,5)</calculatedColumnFormula>
    </tableColumn>
    <tableColumn id="4" xr3:uid="{5650E03B-7FD7-436E-9330-EEF639C7A8AE}" name="Total FTE" dataDxfId="41">
      <calculatedColumnFormula>SUM(Z84:AD84)</calculatedColumnFormula>
    </tableColumn>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F9906E3-E766-487A-BACA-E9077BCA8B10}" name="MediumScenarioQualifiedFTE42" displayName="MediumScenarioQualifiedFTE42" ref="Y97:AE108" totalsRowShown="0" headerRowDxfId="40" dataDxfId="39">
  <autoFilter ref="Y97:AE108" xr:uid="{AEA6D796-B0B4-4EA0-8027-78A0C0F54834}"/>
  <tableColumns count="7">
    <tableColumn id="1" xr3:uid="{DE71EFD3-8595-4B79-9BBD-2434675EE2FE}" name="Year" dataDxfId="38"/>
    <tableColumn id="2" xr3:uid="{7A6C5137-F091-4FAF-BC87-1C89D2573FB1}" name="Education &amp; Care" dataDxfId="37">
      <calculatedColumnFormula>MROUND(SUM(MediumScenarioCentreBasedFTEDemand38[[#This Row],[Education &amp; Care (under 2s)]:[Education &amp; Care (3+)]])*U$62,5)</calculatedColumnFormula>
    </tableColumn>
    <tableColumn id="3" xr3:uid="{6DD43ED3-3E84-4F8A-9AB2-ED570255BC08}" name="Kindergarten" dataDxfId="36">
      <calculatedColumnFormula>MROUND(SUM(MediumScenarioCentreBasedFTEDemand38[[#This Row],[Kindergarten (Under 2s)]:[Kindergarten (3+)]])*T$62,5)</calculatedColumnFormula>
    </tableColumn>
    <tableColumn id="4" xr3:uid="{D3AC7E35-8EDC-4C2A-92B9-7CAAB8208D56}" name="Kōhanga Reo" dataDxfId="35">
      <calculatedColumnFormula>MROUND(SUM(MediumScenarioCentreBasedFTEDemand38[[#This Row],[Kōhanga Reo (Under 2s)]:[Kōhanga Reo (2+)]])*U$62,5)</calculatedColumnFormula>
    </tableColumn>
    <tableColumn id="6" xr3:uid="{4FFAC3EB-ACCB-4EEB-B26F-07880E43E951}" name="Home-based" dataDxfId="34">
      <calculatedColumnFormula>MROUND(MediumScenarioCentreBasedFTEDemand38[[#This Row],[Home-based]]*U$62,5)</calculatedColumnFormula>
    </tableColumn>
    <tableColumn id="7" xr3:uid="{C0FD8FC3-E09E-4FAA-A6C4-A663D25D4047}" name="Playcentre" dataDxfId="33">
      <calculatedColumnFormula>MROUND(MediumScenarioCentreBasedFTEDemand38[[#This Row],[Playcentre]]*U$62,5)</calculatedColumnFormula>
    </tableColumn>
    <tableColumn id="5" xr3:uid="{C0C3D4F1-433D-414A-9298-1BCAB8941566}" name="Total FTE" dataDxfId="32">
      <calculatedColumnFormula>SUM(Z98:AD98)</calculatedColumnFormula>
    </tableColumn>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CDB5E48F-F011-495C-B95B-C895047D9AFD}" name="HighScenarioQualifiedFTE43" displayName="HighScenarioQualifiedFTE43" ref="Y111:AE122" totalsRowShown="0" headerRowDxfId="31" dataDxfId="30">
  <autoFilter ref="Y111:AE122" xr:uid="{CFC42DBC-43CD-4E74-807E-8EA881D52194}"/>
  <tableColumns count="7">
    <tableColumn id="1" xr3:uid="{6AF15E8E-2E08-4753-A7BB-7BD9D16AE24E}" name="Year" dataDxfId="29"/>
    <tableColumn id="2" xr3:uid="{4E40988E-BA77-4B92-9C4E-D30BFAC0A8F8}" name="Education &amp; Care" dataDxfId="28">
      <calculatedColumnFormula>MROUND(SUM(HighScenarioCentreBasedFTEDemand39[[#This Row],[Education &amp; Care (under 2s)]:[Education &amp; Care (3+)]])*U$62,5)</calculatedColumnFormula>
    </tableColumn>
    <tableColumn id="3" xr3:uid="{09799FFF-696A-4675-8E05-E319031ABF57}" name="Kindergarten" dataDxfId="27">
      <calculatedColumnFormula>MROUND(SUM(HighScenarioCentreBasedFTEDemand39[[#This Row],[Kindergarten (Under 2s)]:[Kindergarten (3+)]])*T$61,5)</calculatedColumnFormula>
    </tableColumn>
    <tableColumn id="5" xr3:uid="{0B144ED3-BDC8-484D-A198-B91D93AA1C63}" name="Kōhanga Reo" dataDxfId="26">
      <calculatedColumnFormula>MROUND(SUM(HighScenarioCentreBasedFTEDemand39[[#This Row],[Kōhanga Reo (Under 2s)]:[Kōhanga Reo (2+)]])*U$62,5)</calculatedColumnFormula>
    </tableColumn>
    <tableColumn id="6" xr3:uid="{6970EB81-98C9-44E3-9E2C-ED68661BD4AA}" name="Home-based" dataDxfId="25">
      <calculatedColumnFormula>MROUND(HighScenarioCentreBasedFTEDemand39[[#This Row],[Home-based]]*U$62,5)</calculatedColumnFormula>
    </tableColumn>
    <tableColumn id="7" xr3:uid="{828DE48C-46E0-4CB2-833B-9C67A12DF68A}" name="Playcentre" dataDxfId="24">
      <calculatedColumnFormula>MROUND(HighScenarioCentreBasedFTEDemand39[[#This Row],[Playcentre]]*U$62,5)</calculatedColumnFormula>
    </tableColumn>
    <tableColumn id="4" xr3:uid="{3AB38D31-0E31-4B05-B364-7BE6F35EB53E}" name="Total FTE" dataDxfId="23">
      <calculatedColumnFormula>SUM(Z112:AD112)</calculatedColumnFormula>
    </tableColumn>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4552D38-F927-46CA-BF68-92F046C7958F}" name="ComplianceScenarioHeadcountEnrolments" displayName="ComplianceScenarioHeadcountEnrolments" ref="B125:H136" totalsRowShown="0" headerRowDxfId="22" dataDxfId="21">
  <autoFilter ref="B125:H136" xr:uid="{34552D38-F927-46CA-BF68-92F046C7958F}"/>
  <tableColumns count="7">
    <tableColumn id="1" xr3:uid="{648C48BD-582C-4E69-818C-D9817C2E3B6D}" name="Year" dataDxfId="20"/>
    <tableColumn id="2" xr3:uid="{C5FF6CB7-6A33-4A15-95C6-FE0B6BBB2704}" name="Education &amp; Care" dataDxfId="19"/>
    <tableColumn id="3" xr3:uid="{D4B660F7-CEEA-49C8-9B94-14EFAB7FDAD9}" name="Kindergarten" dataDxfId="18"/>
    <tableColumn id="4" xr3:uid="{D0C00BE5-7A90-4622-AABD-9582BA39E330}" name="Kōhanga Reo" dataDxfId="17"/>
    <tableColumn id="5" xr3:uid="{8EF518AF-EEA6-4C5F-A964-F9ADB9EBB24F}" name="Home-based" dataDxfId="16"/>
    <tableColumn id="6" xr3:uid="{4B5A5438-74E6-44FB-BAE5-101A0D1DFDAB}" name="Playcentre" dataDxfId="15"/>
    <tableColumn id="7" xr3:uid="{A2C031FA-3803-4B32-85E7-DCD52DDB8D3E}" name="Total" dataDxfId="14"/>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E1FD888-7136-457B-9F66-8178E0DACD1C}" name="HighScenarioCentreBasedFTEDemand3947" displayName="HighScenarioCentreBasedFTEDemand3947" ref="K125:V136" totalsRowShown="0" headerRowDxfId="13" dataDxfId="12">
  <autoFilter ref="K125:V136" xr:uid="{CE1FD888-7136-457B-9F66-8178E0DACD1C}"/>
  <tableColumns count="12">
    <tableColumn id="1" xr3:uid="{13667B14-56A7-4431-8F8C-A6E58F1EEC36}" name="Year" dataDxfId="11"/>
    <tableColumn id="2" xr3:uid="{089160A2-FA4D-4888-8B84-8EE3ED8C7B43}" name="Education &amp; Care (under 2s)" dataDxfId="10">
      <calculatedColumnFormula>MROUND(((ComplianceScenarioHeadcountEnrolments[[#This Row],[Education &amp; Care]]*L$74)*L$66)*'Source-fte_qualstus_x_servtype'!J32,1)</calculatedColumnFormula>
    </tableColumn>
    <tableColumn id="3" xr3:uid="{182A0C7B-538F-4E04-BE03-3B9C07643DC7}" name="Education &amp; Care (2s)" dataDxfId="9">
      <calculatedColumnFormula>MROUND(((ComplianceScenarioHeadcountEnrolments[[#This Row],[Education &amp; Care]]*L$75)*L$67)*'Source-fte_qualstus_x_servtype'!J32,5)</calculatedColumnFormula>
    </tableColumn>
    <tableColumn id="4" xr3:uid="{F2849DB0-1554-4D93-A1B5-C3D2923B135F}" name="Education &amp; Care (3+)" dataDxfId="8">
      <calculatedColumnFormula>MROUND(((ComplianceScenarioHeadcountEnrolments[[#This Row],[Education &amp; Care]]*SUM(L$76:L$77))*L$67)*'Source-fte_qualstus_x_servtype'!J32,5)</calculatedColumnFormula>
    </tableColumn>
    <tableColumn id="5" xr3:uid="{725E0472-5D72-4E03-9D64-9336516DF916}" name="Kindergarten (Under 2s)" dataDxfId="7">
      <calculatedColumnFormula>MROUND(((ComplianceScenarioHeadcountEnrolments[[#This Row],[Kindergarten]]*M$74)*M$66)*'Source-fte_qualstus_x_servtype'!J32,5)</calculatedColumnFormula>
    </tableColumn>
    <tableColumn id="6" xr3:uid="{A18A1DFC-E86F-452B-A832-323E032818FD}" name="Kindergarten (2s)" dataDxfId="6">
      <calculatedColumnFormula>MROUND(((ComplianceScenarioHeadcountEnrolments[[#This Row],[Kindergarten]]*M$75)*M$67)*'Source-fte_qualstus_x_servtype'!J32,5)</calculatedColumnFormula>
    </tableColumn>
    <tableColumn id="7" xr3:uid="{1CD0C1DF-C093-44BA-B5F2-D50BDA931DD6}" name="Kindergarten (3+)" dataDxfId="5">
      <calculatedColumnFormula>MROUND(((ComplianceScenarioHeadcountEnrolments[[#This Row],[Kindergarten]]*SUM(M$76:M$77))*M$67)*'Source-fte_qualstus_x_servtype'!J32,5)</calculatedColumnFormula>
    </tableColumn>
    <tableColumn id="8" xr3:uid="{DEAB6AC9-88C2-4DFE-87E2-246F0E44FF9D}" name="Kōhanga Reo (Under 2s)" dataDxfId="4">
      <calculatedColumnFormula>MROUND(((ComplianceScenarioHeadcountEnrolments[[#This Row],[Kōhanga Reo]]*SUM(N$74))*N$66)*'Source-fte_qualstus_x_servtype'!J32,5)</calculatedColumnFormula>
    </tableColumn>
    <tableColumn id="9" xr3:uid="{A7BAD653-9392-42EA-ABEE-728268731B9B}" name="Kōhanga Reo (2+)" dataDxfId="3">
      <calculatedColumnFormula>MROUND(((ComplianceScenarioHeadcountEnrolments[[#This Row],[Kōhanga Reo]]*SUM(N$75:N$77))*N$67)*'Source-fte_qualstus_x_servtype'!J32,5)</calculatedColumnFormula>
    </tableColumn>
    <tableColumn id="11" xr3:uid="{16B1C5F2-7DF3-40DC-93FA-3C8AD9C3E2D3}" name="Home-based" dataDxfId="2">
      <calculatedColumnFormula>MROUND(((ComplianceScenarioHeadcountEnrolments[[#This Row],[Home-based]]*SUM(O$78))*O$67)*'Source-fte_qualstus_x_servtype'!J32,5)</calculatedColumnFormula>
    </tableColumn>
    <tableColumn id="12" xr3:uid="{44D24057-6BF5-4D86-B9E5-764B07592D81}" name="Playcentre" dataDxfId="1">
      <calculatedColumnFormula>MROUND(((ComplianceScenarioHeadcountEnrolments[[#This Row],[Playcentre]]*SUM(P$78))*P$67)*0.5,5)</calculatedColumnFormula>
    </tableColumn>
    <tableColumn id="10" xr3:uid="{34D5F560-61CE-49EE-853D-55FC3EE1352E}" name="Total FTE" dataDxfId="0">
      <calculatedColumnFormula>SUM(L126:U126)</calculatedColumnFormula>
    </tableColumn>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B14" dT="2025-07-10T06:33:24.38" personId="{00000000-0000-0000-0000-000000000000}" id="{7D466B88-4877-4A8F-839F-37835EE75388}">
    <text>The range of this chart looks alarming. It could be significantly narrowed down if it assumed that the proportion of the workforce who are qualified teachers will remain at the mean level observed over the 2016-2025 period.</text>
  </threadedComment>
</ThreadedComments>
</file>

<file path=xl/threadedComments/threadedComment2.xml><?xml version="1.0" encoding="utf-8"?>
<ThreadedComments xmlns="http://schemas.microsoft.com/office/spreadsheetml/2018/threadedcomments" xmlns:x="http://schemas.openxmlformats.org/spreadsheetml/2006/main">
  <threadedComment ref="H15" dT="2025-07-10T06:39:57.50" personId="{00000000-0000-0000-0000-000000000000}" id="{9720BDC3-8B3A-4C2D-8785-BF27ACE5BA16}">
    <text>Range between low and high scenarios would be reduced if same proportion assumption was applied (71% qualified) instead of minimum regulated (50%) for low and max funding band (100%) for high</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https://www.educationcounts.govt.nz/directories/early-childhood-services" TargetMode="External"/><Relationship Id="rId13" Type="http://schemas.openxmlformats.org/officeDocument/2006/relationships/hyperlink" Target="file:///C:\Users\User\AppData\Local\:x:\r\sites\StrategyandAdviceToituteWaiora\Insights%20Team\Data%20Analytics\Data\Data%20Sources\Education%20Counts\ECE%20services%20directory.csv" TargetMode="External"/><Relationship Id="rId3" Type="http://schemas.openxmlformats.org/officeDocument/2006/relationships/hyperlink" Target="file:///C:\Users\User\AppData\Local\:x:\r\sites\StrategyandAdviceToituteWaiora\Insights%20Team\Data%20Analytics\Data\Data%20Sources\Education%20Counts\Participation%20in%20ECE%202000-2024.xlsx" TargetMode="External"/><Relationship Id="rId7" Type="http://schemas.openxmlformats.org/officeDocument/2006/relationships/hyperlink" Target="https://www.legislation.govt.nz/regulation/public/2011/0198/latest/DLM3773517.html?search=qs_act%40bill%40regulation%40deemedreg_early+childhood+education_resel_25_h&amp;p=1" TargetMode="External"/><Relationship Id="rId12" Type="http://schemas.openxmlformats.org/officeDocument/2006/relationships/hyperlink" Target="file:///C:\Users\User\AppData\Local\:x:\r\sites\StrategyandAdviceToituteWaiora\Insights%20Team\Data%20Analytics\Data\Data%20Sources\Education%20Counts\ECE%20adult%20to%20child%20ratios%202023-2024.xlsx" TargetMode="External"/><Relationship Id="rId2" Type="http://schemas.openxmlformats.org/officeDocument/2006/relationships/hyperlink" Target="file:///C:\Users\User\AppData\Local\:x:\r\sites\StrategyandAdviceToituteWaiora\Insights%20Team\Data%20Analytics\Data\Data%20Sources\Stats%20NZ\Stats_NZ_Population_Projections.xlsx" TargetMode="External"/><Relationship Id="rId16" Type="http://schemas.openxmlformats.org/officeDocument/2006/relationships/table" Target="../tables/table2.xml"/><Relationship Id="rId1" Type="http://schemas.openxmlformats.org/officeDocument/2006/relationships/hyperlink" Target="file:///C:\Users\User\AppData\Local\:x:\r\sites\StrategyandAdviceToituteWaiora\Insights%20Team\Data%20Analytics\Data\Data%20Sources\Stats%20NZ\Population%205%20and%20under%202015-2024.csv" TargetMode="External"/><Relationship Id="rId6" Type="http://schemas.openxmlformats.org/officeDocument/2006/relationships/hyperlink" Target="https://www.playcentre.org.nz/resource-centre/supervision-requirements/" TargetMode="External"/><Relationship Id="rId11" Type="http://schemas.openxmlformats.org/officeDocument/2006/relationships/hyperlink" Target="https://www.educationcounts.govt.nz/__data/assets/excel_doc/0005/184559/19_Qualification-Teaching-Staff-Time-Series-2011-2024.xlsx" TargetMode="External"/><Relationship Id="rId5" Type="http://schemas.openxmlformats.org/officeDocument/2006/relationships/hyperlink" Target="file:///C:\Users\User\AppData\Local\:x:\r\sites\StrategyandAdviceToituteWaiora\Insights%20Team\Data%20Analytics\Data\Data%20Sources\IDI\CONFIDENTIALISED%20ANZSIC%20activity%20dimensions.xlsx" TargetMode="External"/><Relationship Id="rId15" Type="http://schemas.openxmlformats.org/officeDocument/2006/relationships/table" Target="../tables/table1.xml"/><Relationship Id="rId10" Type="http://schemas.openxmlformats.org/officeDocument/2006/relationships/hyperlink" Target="file:///C:\Users\User\AppData\Local\:x:\r\sites\StrategyandAdviceToituteWaiora\Insights%20Team\Data%20Analytics\Data\Data%20Sources\Education%20Counts\ECE%20participation%202021-2024%20pivot%20-%20by%20age%20and%20service%20type.xlsx" TargetMode="External"/><Relationship Id="rId4" Type="http://schemas.openxmlformats.org/officeDocument/2006/relationships/hyperlink" Target="file:///C:\Users\User\AppData\Local\:x:\r\sites\StrategyandAdviceToituteWaiora\Insights%20Team\Data%20Analytics\Data\Data%20Sources\Education%20Counts\ECE%20teaching%20staff%20by%20full%20or%20part%20time%20status%202011-2024.xlsx" TargetMode="External"/><Relationship Id="rId9" Type="http://schemas.openxmlformats.org/officeDocument/2006/relationships/hyperlink" Target="file:///C:\Users\User\AppData\Local\:x:\r\sites\StrategyandAdviceToituteWaiora\Insights%20Team\Data%20Analytics\Data\Data%20Sources\Education%20Counts\Number%20of%20licensed%20ECE%20places%202000-2024.xlsx" TargetMode="External"/><Relationship Id="rId14" Type="http://schemas.openxmlformats.org/officeDocument/2006/relationships/hyperlink" Target="https://aus01.safelinks.protection.outlook.com/?url=https%3A%2F%2Fexplore.data.stats.govt.nz%2Fvis%3Ffs%255b0%255d%3DSociety%252C1%257CPopulation%2520projections%2523CAT_POPULATION_PROJECTIONS%2523%257CNational%2520population%2520projections%2523CAT_NATIONAL_POPULATION_PROJECTIONS%2523%26pg%3D0%26fc%3DSociety%26bp%3Dtrue%26snb%3D9%26df%255bds%255d%3Dds-nsiws-disseminate%26df%255bid%255d%3DPOPPR_NAT_007%26df%255bag%255d%3DSTATSNZ%26df%255bvs%255d%3D1.0%26dq%3DP75%252BP50%252BP25.2060%252B2059%252B2057%252B2055%252B2054%252B2053%252B2052%252B2056%252B2051%252B2050%252B2049%252B2048%252B2047%252B2046%252B2045%252B2044%252B2042%252B2041%252B2040%252B2039%252B2036%252B2037%252B2035%252B2034%252B2032%252B2031%252B2030%252B2029%252B2024%252B2025%252B2026%252B2027%252B2028%252B2033%252B2038%252B2043%252B2058.SEX3.AGEXXX4%252BAGEXXX5%252BAGEXXX0%252BAGEXXX3%252BAGEXXX2%252BAGEXXX1%252BTOTALALLAGES%26ly%255brw%255d%3DYEAR_POPPR_NAT_007%26ly%255bcl%255d%3DSCENARIO_POPPR_NAT_007%26to%255bTIME%255d%3Dfalse&amp;data=05%7C02%7CCerelia.Diprose%40toitutewaiora.nz%7C9cc483f81f9941ce602308ddd3cea9dd%7C469509a0f47e42458bf195deae62bd7f%7C0%7C0%7C638899606779325442%7CUnknown%7CTWFpbGZsb3d8eyJFbXB0eU1hcGkiOnRydWUsIlYiOiIwLjAuMDAwMCIsIlAiOiJXaW4zMiIsIkFOIjoiTWFpbCIsIldUIjoyfQ%3D%3D%7C0%7C%7C%7C&amp;sdata=eBgaRE39OMY5Okfb0zcrhLbsuYxT%2BHaRBXIVxaPKj3M%3D&amp;reserved=0"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table" Target="../tables/table4.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5.xml"/><Relationship Id="rId1" Type="http://schemas.openxmlformats.org/officeDocument/2006/relationships/vmlDrawing" Target="../drawings/vmlDrawing1.vml"/><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table" Target="../tables/table6.xml"/><Relationship Id="rId1" Type="http://schemas.openxmlformats.org/officeDocument/2006/relationships/vmlDrawing" Target="../drawings/vmlDrawing2.vml"/></Relationships>
</file>

<file path=xl/worksheets/_rels/sheet15.xml.rels><?xml version="1.0" encoding="UTF-8" standalone="yes"?>
<Relationships xmlns="http://schemas.openxmlformats.org/package/2006/relationships"><Relationship Id="rId8" Type="http://schemas.openxmlformats.org/officeDocument/2006/relationships/table" Target="../tables/table14.xml"/><Relationship Id="rId13" Type="http://schemas.openxmlformats.org/officeDocument/2006/relationships/table" Target="../tables/table19.xml"/><Relationship Id="rId18" Type="http://schemas.openxmlformats.org/officeDocument/2006/relationships/table" Target="../tables/table24.xml"/><Relationship Id="rId3" Type="http://schemas.openxmlformats.org/officeDocument/2006/relationships/table" Target="../tables/table9.xml"/><Relationship Id="rId7" Type="http://schemas.openxmlformats.org/officeDocument/2006/relationships/table" Target="../tables/table13.xml"/><Relationship Id="rId12" Type="http://schemas.openxmlformats.org/officeDocument/2006/relationships/table" Target="../tables/table18.xml"/><Relationship Id="rId17" Type="http://schemas.openxmlformats.org/officeDocument/2006/relationships/table" Target="../tables/table23.xml"/><Relationship Id="rId2" Type="http://schemas.openxmlformats.org/officeDocument/2006/relationships/table" Target="../tables/table8.xml"/><Relationship Id="rId16" Type="http://schemas.openxmlformats.org/officeDocument/2006/relationships/table" Target="../tables/table22.xml"/><Relationship Id="rId1" Type="http://schemas.openxmlformats.org/officeDocument/2006/relationships/table" Target="../tables/table7.xml"/><Relationship Id="rId6" Type="http://schemas.openxmlformats.org/officeDocument/2006/relationships/table" Target="../tables/table12.xml"/><Relationship Id="rId11" Type="http://schemas.openxmlformats.org/officeDocument/2006/relationships/table" Target="../tables/table17.xml"/><Relationship Id="rId5" Type="http://schemas.openxmlformats.org/officeDocument/2006/relationships/table" Target="../tables/table11.xml"/><Relationship Id="rId15" Type="http://schemas.openxmlformats.org/officeDocument/2006/relationships/table" Target="../tables/table21.xml"/><Relationship Id="rId10" Type="http://schemas.openxmlformats.org/officeDocument/2006/relationships/table" Target="../tables/table16.xml"/><Relationship Id="rId4" Type="http://schemas.openxmlformats.org/officeDocument/2006/relationships/table" Target="../tables/table10.xml"/><Relationship Id="rId9" Type="http://schemas.openxmlformats.org/officeDocument/2006/relationships/table" Target="../tables/table15.xml"/><Relationship Id="rId14" Type="http://schemas.openxmlformats.org/officeDocument/2006/relationships/table" Target="../tables/table20.xml"/></Relationships>
</file>

<file path=xl/worksheets/_rels/sheet16.xml.rels><?xml version="1.0" encoding="UTF-8" standalone="yes"?>
<Relationships xmlns="http://schemas.openxmlformats.org/package/2006/relationships"><Relationship Id="rId8" Type="http://schemas.openxmlformats.org/officeDocument/2006/relationships/table" Target="../tables/table32.xml"/><Relationship Id="rId13" Type="http://schemas.openxmlformats.org/officeDocument/2006/relationships/table" Target="../tables/table37.xml"/><Relationship Id="rId3" Type="http://schemas.openxmlformats.org/officeDocument/2006/relationships/table" Target="../tables/table27.xml"/><Relationship Id="rId7" Type="http://schemas.openxmlformats.org/officeDocument/2006/relationships/table" Target="../tables/table31.xml"/><Relationship Id="rId12" Type="http://schemas.openxmlformats.org/officeDocument/2006/relationships/table" Target="../tables/table36.xml"/><Relationship Id="rId17" Type="http://schemas.openxmlformats.org/officeDocument/2006/relationships/table" Target="../tables/table41.xml"/><Relationship Id="rId2" Type="http://schemas.openxmlformats.org/officeDocument/2006/relationships/table" Target="../tables/table26.xml"/><Relationship Id="rId16" Type="http://schemas.openxmlformats.org/officeDocument/2006/relationships/table" Target="../tables/table40.xml"/><Relationship Id="rId1" Type="http://schemas.openxmlformats.org/officeDocument/2006/relationships/table" Target="../tables/table25.xml"/><Relationship Id="rId6" Type="http://schemas.openxmlformats.org/officeDocument/2006/relationships/table" Target="../tables/table30.xml"/><Relationship Id="rId11" Type="http://schemas.openxmlformats.org/officeDocument/2006/relationships/table" Target="../tables/table35.xml"/><Relationship Id="rId5" Type="http://schemas.openxmlformats.org/officeDocument/2006/relationships/table" Target="../tables/table29.xml"/><Relationship Id="rId15" Type="http://schemas.openxmlformats.org/officeDocument/2006/relationships/table" Target="../tables/table39.xml"/><Relationship Id="rId10" Type="http://schemas.openxmlformats.org/officeDocument/2006/relationships/table" Target="../tables/table34.xml"/><Relationship Id="rId4" Type="http://schemas.openxmlformats.org/officeDocument/2006/relationships/table" Target="../tables/table28.xml"/><Relationship Id="rId9" Type="http://schemas.openxmlformats.org/officeDocument/2006/relationships/table" Target="../tables/table33.xml"/><Relationship Id="rId14" Type="http://schemas.openxmlformats.org/officeDocument/2006/relationships/table" Target="../tables/table38.xml"/></Relationships>
</file>

<file path=xl/worksheets/_rels/sheet21.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2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E9A8A-F4CD-474A-85E8-7119F1A8467F}">
  <dimension ref="A1:D42"/>
  <sheetViews>
    <sheetView tabSelected="1" topLeftCell="A10" workbookViewId="0">
      <selection activeCell="D23" sqref="D23"/>
    </sheetView>
  </sheetViews>
  <sheetFormatPr defaultColWidth="8.85546875" defaultRowHeight="14.65"/>
  <cols>
    <col min="1" max="1" width="28.7109375" bestFit="1" customWidth="1"/>
    <col min="2" max="2" width="19.7109375" bestFit="1" customWidth="1"/>
    <col min="3" max="3" width="78.85546875" customWidth="1"/>
    <col min="4" max="4" width="53.28515625" customWidth="1"/>
  </cols>
  <sheetData>
    <row r="1" spans="1:4">
      <c r="A1" s="1" t="s">
        <v>0</v>
      </c>
      <c r="B1" s="1" t="s">
        <v>1</v>
      </c>
      <c r="C1" s="1" t="s">
        <v>2</v>
      </c>
      <c r="D1" s="1" t="s">
        <v>3</v>
      </c>
    </row>
    <row r="2" spans="1:4">
      <c r="A2" s="11" t="s">
        <v>4</v>
      </c>
      <c r="B2" s="10" t="s">
        <v>5</v>
      </c>
      <c r="C2" s="100" t="s">
        <v>6</v>
      </c>
      <c r="D2" s="10"/>
    </row>
    <row r="3" spans="1:4">
      <c r="A3" s="11" t="s">
        <v>7</v>
      </c>
      <c r="B3" s="10" t="s">
        <v>8</v>
      </c>
      <c r="C3" s="100" t="s">
        <v>9</v>
      </c>
      <c r="D3" s="10"/>
    </row>
    <row r="4" spans="1:4">
      <c r="A4" s="11" t="s">
        <v>10</v>
      </c>
      <c r="B4" s="10" t="s">
        <v>11</v>
      </c>
      <c r="C4" s="100" t="s">
        <v>12</v>
      </c>
      <c r="D4" s="10"/>
    </row>
    <row r="5" spans="1:4" ht="29.1">
      <c r="A5" s="11" t="s">
        <v>13</v>
      </c>
      <c r="B5" s="10" t="s">
        <v>11</v>
      </c>
      <c r="C5" s="100" t="s">
        <v>14</v>
      </c>
      <c r="D5" s="10"/>
    </row>
    <row r="6" spans="1:4">
      <c r="A6" s="11" t="s">
        <v>15</v>
      </c>
      <c r="B6" s="10" t="s">
        <v>16</v>
      </c>
      <c r="C6" s="100" t="s">
        <v>17</v>
      </c>
      <c r="D6" s="10" t="s">
        <v>18</v>
      </c>
    </row>
    <row r="7" spans="1:4" ht="29.1">
      <c r="A7" s="11" t="s">
        <v>19</v>
      </c>
      <c r="B7" s="10" t="s">
        <v>20</v>
      </c>
      <c r="C7" s="100" t="s">
        <v>21</v>
      </c>
      <c r="D7" s="10"/>
    </row>
    <row r="8" spans="1:4" ht="29.1">
      <c r="A8" s="11" t="s">
        <v>22</v>
      </c>
      <c r="B8" s="10" t="s">
        <v>23</v>
      </c>
      <c r="C8" s="100" t="s">
        <v>24</v>
      </c>
      <c r="D8" s="10"/>
    </row>
    <row r="9" spans="1:4">
      <c r="A9" s="10" t="s">
        <v>25</v>
      </c>
      <c r="B9" s="10" t="s">
        <v>11</v>
      </c>
      <c r="C9" s="100" t="s">
        <v>26</v>
      </c>
      <c r="D9" s="10" t="s">
        <v>27</v>
      </c>
    </row>
    <row r="10" spans="1:4">
      <c r="A10" s="10" t="s">
        <v>28</v>
      </c>
      <c r="B10" s="10" t="s">
        <v>11</v>
      </c>
      <c r="C10" s="100" t="s">
        <v>29</v>
      </c>
      <c r="D10" s="10" t="s">
        <v>30</v>
      </c>
    </row>
    <row r="11" spans="1:4">
      <c r="A11" s="10" t="s">
        <v>31</v>
      </c>
      <c r="B11" s="10" t="s">
        <v>11</v>
      </c>
      <c r="C11" s="100" t="s">
        <v>32</v>
      </c>
      <c r="D11" s="10" t="s">
        <v>33</v>
      </c>
    </row>
    <row r="12" spans="1:4">
      <c r="A12" s="10" t="s">
        <v>34</v>
      </c>
      <c r="B12" s="10" t="s">
        <v>11</v>
      </c>
      <c r="C12" s="100" t="s">
        <v>35</v>
      </c>
      <c r="D12" s="10" t="s">
        <v>36</v>
      </c>
    </row>
    <row r="13" spans="1:4">
      <c r="A13" s="10" t="s">
        <v>37</v>
      </c>
      <c r="B13" s="10" t="s">
        <v>11</v>
      </c>
      <c r="C13" s="133" t="s">
        <v>38</v>
      </c>
      <c r="D13" s="10" t="s">
        <v>39</v>
      </c>
    </row>
    <row r="14" spans="1:4">
      <c r="A14" s="10" t="s">
        <v>40</v>
      </c>
      <c r="B14" s="10" t="s">
        <v>11</v>
      </c>
      <c r="C14" s="133" t="s">
        <v>41</v>
      </c>
      <c r="D14" s="10" t="s">
        <v>42</v>
      </c>
    </row>
    <row r="15" spans="1:4">
      <c r="A15" s="10" t="s">
        <v>43</v>
      </c>
      <c r="B15" s="10" t="s">
        <v>44</v>
      </c>
      <c r="C15" s="133" t="s">
        <v>45</v>
      </c>
      <c r="D15" s="10" t="s">
        <v>46</v>
      </c>
    </row>
    <row r="17" spans="1:3">
      <c r="A17" s="1" t="s">
        <v>47</v>
      </c>
      <c r="B17" s="1" t="s">
        <v>48</v>
      </c>
      <c r="C17" s="1" t="s">
        <v>49</v>
      </c>
    </row>
    <row r="18" spans="1:3">
      <c r="A18" s="10" t="s">
        <v>50</v>
      </c>
      <c r="B18" s="10" t="s">
        <v>51</v>
      </c>
      <c r="C18" s="11" t="s">
        <v>52</v>
      </c>
    </row>
    <row r="19" spans="1:3">
      <c r="A19" s="10" t="s">
        <v>53</v>
      </c>
      <c r="B19" s="10" t="s">
        <v>51</v>
      </c>
      <c r="C19" s="11" t="s">
        <v>54</v>
      </c>
    </row>
    <row r="20" spans="1:3">
      <c r="A20" s="10" t="s">
        <v>55</v>
      </c>
      <c r="B20" s="10" t="s">
        <v>51</v>
      </c>
      <c r="C20" s="11" t="s">
        <v>56</v>
      </c>
    </row>
    <row r="21" spans="1:3">
      <c r="A21" s="10" t="s">
        <v>57</v>
      </c>
      <c r="B21" s="10" t="s">
        <v>51</v>
      </c>
      <c r="C21" s="11" t="s">
        <v>58</v>
      </c>
    </row>
    <row r="22" spans="1:3">
      <c r="A22" s="10" t="s">
        <v>59</v>
      </c>
      <c r="B22" s="10" t="s">
        <v>51</v>
      </c>
      <c r="C22" s="11" t="s">
        <v>60</v>
      </c>
    </row>
    <row r="23" spans="1:3">
      <c r="A23" s="10" t="s">
        <v>61</v>
      </c>
      <c r="B23" s="10" t="s">
        <v>51</v>
      </c>
      <c r="C23" s="11" t="s">
        <v>62</v>
      </c>
    </row>
    <row r="24" spans="1:3" ht="29.1">
      <c r="A24" s="10" t="s">
        <v>63</v>
      </c>
      <c r="B24" s="10" t="s">
        <v>51</v>
      </c>
      <c r="C24" s="11" t="s">
        <v>64</v>
      </c>
    </row>
    <row r="25" spans="1:3" ht="29.1">
      <c r="A25" s="10" t="s">
        <v>65</v>
      </c>
      <c r="B25" s="10" t="s">
        <v>51</v>
      </c>
      <c r="C25" s="11" t="s">
        <v>66</v>
      </c>
    </row>
    <row r="26" spans="1:3">
      <c r="A26" s="10" t="s">
        <v>67</v>
      </c>
      <c r="B26" s="173" t="s">
        <v>51</v>
      </c>
      <c r="C26" s="11" t="s">
        <v>68</v>
      </c>
    </row>
    <row r="27" spans="1:3">
      <c r="A27" s="10" t="s">
        <v>69</v>
      </c>
      <c r="B27" s="10" t="s">
        <v>51</v>
      </c>
      <c r="C27" s="11" t="s">
        <v>70</v>
      </c>
    </row>
    <row r="28" spans="1:3" ht="29.1">
      <c r="A28" s="10" t="s">
        <v>71</v>
      </c>
      <c r="B28" s="172" t="s">
        <v>51</v>
      </c>
      <c r="C28" s="11" t="s">
        <v>72</v>
      </c>
    </row>
    <row r="29" spans="1:3" ht="29.1">
      <c r="A29" s="10" t="s">
        <v>73</v>
      </c>
      <c r="B29" s="10" t="s">
        <v>51</v>
      </c>
      <c r="C29" s="11" t="s">
        <v>74</v>
      </c>
    </row>
    <row r="30" spans="1:3">
      <c r="A30" s="10" t="s">
        <v>75</v>
      </c>
      <c r="B30" s="10" t="s">
        <v>51</v>
      </c>
      <c r="C30" s="11" t="s">
        <v>76</v>
      </c>
    </row>
    <row r="31" spans="1:3">
      <c r="A31" s="10" t="s">
        <v>77</v>
      </c>
      <c r="B31" s="10" t="s">
        <v>51</v>
      </c>
      <c r="C31" s="11" t="s">
        <v>78</v>
      </c>
    </row>
    <row r="32" spans="1:3" ht="29.1">
      <c r="A32" s="10" t="s">
        <v>79</v>
      </c>
      <c r="B32" s="10" t="s">
        <v>51</v>
      </c>
      <c r="C32" s="11" t="s">
        <v>80</v>
      </c>
    </row>
    <row r="33" spans="1:3" ht="29.1">
      <c r="A33" s="10" t="s">
        <v>81</v>
      </c>
      <c r="B33" s="10" t="s">
        <v>51</v>
      </c>
      <c r="C33" s="11" t="s">
        <v>82</v>
      </c>
    </row>
    <row r="34" spans="1:3">
      <c r="A34" s="10" t="s">
        <v>83</v>
      </c>
      <c r="B34" s="10" t="s">
        <v>84</v>
      </c>
      <c r="C34" s="11" t="s">
        <v>85</v>
      </c>
    </row>
    <row r="35" spans="1:3">
      <c r="A35" s="10" t="s">
        <v>86</v>
      </c>
      <c r="B35" s="10" t="s">
        <v>84</v>
      </c>
      <c r="C35" s="11" t="s">
        <v>87</v>
      </c>
    </row>
    <row r="36" spans="1:3">
      <c r="A36" s="10" t="s">
        <v>88</v>
      </c>
      <c r="B36" s="10" t="s">
        <v>84</v>
      </c>
      <c r="C36" s="11" t="s">
        <v>89</v>
      </c>
    </row>
    <row r="37" spans="1:3" ht="29.1">
      <c r="A37" s="10" t="s">
        <v>90</v>
      </c>
      <c r="B37" s="172" t="s">
        <v>84</v>
      </c>
      <c r="C37" s="11" t="s">
        <v>91</v>
      </c>
    </row>
    <row r="38" spans="1:3" ht="29.1">
      <c r="A38" s="10" t="s">
        <v>92</v>
      </c>
      <c r="B38" s="10" t="s">
        <v>84</v>
      </c>
      <c r="C38" s="11" t="s">
        <v>93</v>
      </c>
    </row>
    <row r="39" spans="1:3" ht="29.1">
      <c r="A39" s="10" t="s">
        <v>94</v>
      </c>
      <c r="B39" s="10" t="s">
        <v>84</v>
      </c>
      <c r="C39" s="11" t="s">
        <v>95</v>
      </c>
    </row>
    <row r="40" spans="1:3" ht="29.1">
      <c r="A40" s="10" t="s">
        <v>96</v>
      </c>
      <c r="B40" s="10" t="s">
        <v>84</v>
      </c>
      <c r="C40" s="11" t="s">
        <v>97</v>
      </c>
    </row>
    <row r="41" spans="1:3" ht="29.1">
      <c r="A41" s="10" t="s">
        <v>98</v>
      </c>
      <c r="B41" s="10" t="s">
        <v>84</v>
      </c>
      <c r="C41" s="11" t="s">
        <v>99</v>
      </c>
    </row>
    <row r="42" spans="1:3">
      <c r="A42" s="10" t="s">
        <v>100</v>
      </c>
      <c r="B42" s="10" t="s">
        <v>101</v>
      </c>
      <c r="C42" s="11" t="s">
        <v>102</v>
      </c>
    </row>
  </sheetData>
  <sheetProtection formatCells="0" formatColumns="0" formatRows="0" sort="0" autoFilter="0" pivotTables="0"/>
  <phoneticPr fontId="6" type="noConversion"/>
  <hyperlinks>
    <hyperlink ref="C2" r:id="rId1" display="../../../../../../:x:/r/sites/StrategyandAdviceToituteWaiora/Insights Team/Data Analytics/Data/Data Sources/Stats NZ/Population 5 and under 2015-2024.csv?d=wf4e474a9cc2d4da9ab403a6a674a58a9&amp;csf=1&amp;web=1&amp;e=GT70hC" xr:uid="{BA736F25-AAC6-4664-8514-8A4D9F1BD7DE}"/>
    <hyperlink ref="C3" r:id="rId2" display="../../../../../../:x:/r/sites/StrategyandAdviceToituteWaiora/Insights Team/Data Analytics/Data/Data Sources/Stats NZ/Stats_NZ_Population_Projections.xlsx?d=w2d6ae2961175418d9d437955f26a3130&amp;csf=1&amp;web=1&amp;e=oetEhQ" xr:uid="{32655C9B-0591-4555-998A-4A62B8E6F7BD}"/>
    <hyperlink ref="C4" r:id="rId3" display="../../../../../../:x:/r/sites/StrategyandAdviceToituteWaiora/Insights Team/Data Analytics/Data/Data Sources/Education Counts/Participation in ECE 2000-2024.xlsx?d=we42abe82b0fa42979b94f961fbd2a79f&amp;csf=1&amp;web=1&amp;e=eCleoc" xr:uid="{84D4DC9F-E50D-4FB5-94A6-3E04ADD463A5}"/>
    <hyperlink ref="C5" r:id="rId4" display="../../../../../../:x:/r/sites/StrategyandAdviceToituteWaiora/Insights Team/Data Analytics/Data/Data Sources/Education Counts/ECE teaching staff by full or part time status 2011-2024.xlsx?d=wcbd5e0be13684d65a705f69fd58e2054&amp;csf=1&amp;web=1&amp;e=mxGTaf" xr:uid="{BB98B0A6-567F-4349-9ED2-C906ABD2345F}"/>
    <hyperlink ref="C6" r:id="rId5" display="../../../../../../:x:/r/sites/StrategyandAdviceToituteWaiora/Insights Team/Data Analytics/Data/Data Sources/IDI/CONFIDENTIALISED ANZSIC activity dimensions.xlsx?d=wa085356fdcf84f559ccb4ad0b36364eb&amp;csf=1&amp;web=1&amp;e=AK09DS" xr:uid="{99AC2E60-4892-4719-947F-FD78175029F7}"/>
    <hyperlink ref="C7" r:id="rId6" display="https://www.playcentre.org.nz/resource-centre/supervision-requirements/" xr:uid="{C4F1820E-84AE-4A12-A6F1-7D2CACC82E21}"/>
    <hyperlink ref="C8" r:id="rId7" location="DLM3773519" display="https://www.legislation.govt.nz/regulation/public/2011/0198/latest/DLM3773517.html?search=qs_act%40bill%40regulation%40deemedreg_early+childhood+education_resel_25_h&amp;p=1 - DLM3773519" xr:uid="{87824862-1CE3-4D2F-BF12-56E880E02B31}"/>
    <hyperlink ref="C9" r:id="rId8" display="https://www.educationcounts.govt.nz/directories/early-childhood-services" xr:uid="{32D4E3D2-B92E-406B-82F6-75FC670E7E91}"/>
    <hyperlink ref="C10" r:id="rId9" display="../../../../../../:x:/r/sites/StrategyandAdviceToituteWaiora/Insights Team/Data Analytics/Data/Data Sources/Education Counts/Number of licensed ECE places 2000-2024.xlsx?d=w8e5c158c994845b8ba590297f4b8ce99&amp;csf=1&amp;web=1&amp;e=rWgZb1" xr:uid="{E36F1970-861E-4510-9040-D9BC60A173A3}"/>
    <hyperlink ref="C11" r:id="rId10" display="../../../../../../:x:/r/sites/StrategyandAdviceToituteWaiora/Insights Team/Data Analytics/Data/Data Sources/Education Counts/ECE participation 2021-2024 pivot - by age and service type.xlsx?d=w34af230c214d4b4888622747d6332060&amp;csf=1&amp;web=1&amp;e=u0z1s8" xr:uid="{8DC4274F-5150-46D0-9A08-B8E652BEE459}"/>
    <hyperlink ref="C12" r:id="rId11" xr:uid="{C7C0626E-57DC-4245-9DE8-BEA3800955C8}"/>
    <hyperlink ref="C13" r:id="rId12" display="../../../../../../:x:/r/sites/StrategyandAdviceToituteWaiora/Insights Team/Data Analytics/Data/Data Sources/Education Counts/ECE adult to child ratios 2023-2024.xlsx?d=w55f94d899ee448a6b977980335418066&amp;csf=1&amp;web=1&amp;e=PgdXGn" xr:uid="{E70876F8-609A-43C3-A2FE-B2C73F4EFE66}"/>
    <hyperlink ref="C14" r:id="rId13" display="../../../../../../:x:/r/sites/StrategyandAdviceToituteWaiora/Insights Team/Data Analytics/Data/Data Sources/Education Counts/ECE services directory.csv?d=w37c0235fc6a0403691cd7623af6d833c&amp;csf=1&amp;web=1&amp;e=Enk6mI" xr:uid="{1E978EC7-8708-4DAF-99B1-0B507C7C3FCE}"/>
    <hyperlink ref="C15" r:id="rId14" display="https://aus01.safelinks.protection.outlook.com/?url=https%3A%2F%2Fexplore.data.stats.govt.nz%2Fvis%3Ffs%255b0%255d%3DSociety%252C1%257CPopulation%2520projections%2523CAT_POPULATION_PROJECTIONS%2523%257CNational%2520population%2520projections%2523CAT_NATIONAL_POPULATION_PROJECTIONS%2523%26pg%3D0%26fc%3DSociety%26bp%3Dtrue%26snb%3D9%26df%255bds%255d%3Dds-nsiws-disseminate%26df%255bid%255d%3DPOPPR_NAT_007%26df%255bag%255d%3DSTATSNZ%26df%255bvs%255d%3D1.0%26dq%3DP75%252BP50%252BP25.2060%252B2059%252B2057%252B2055%252B2054%252B2053%252B2052%252B2056%252B2051%252B2050%252B2049%252B2048%252B2047%252B2046%252B2045%252B2044%252B2042%252B2041%252B2040%252B2039%252B2036%252B2037%252B2035%252B2034%252B2032%252B2031%252B2030%252B2029%252B2024%252B2025%252B2026%252B2027%252B2028%252B2033%252B2038%252B2043%252B2058.SEX3.AGEXXX4%252BAGEXXX5%252BAGEXXX0%252BAGEXXX3%252BAGEXXX2%252BAGEXXX1%252BTOTALALLAGES%26ly%255brw%255d%3DYEAR_POPPR_NAT_007%26ly%255bcl%255d%3DSCENARIO_POPPR_NAT_007%26to%255bTIME%255d%3Dfalse&amp;data=05%7C02%7CCerelia.Diprose%40toitutewaiora.nz%7C9cc483f81f9941ce602308ddd3cea9dd%7C469509a0f47e42458bf195deae62bd7f%7C0%7C0%7C638899606779325442%7CUnknown%7CTWFpbGZsb3d8eyJFbXB0eU1hcGkiOnRydWUsIlYiOiIwLjAuMDAwMCIsIlAiOiJXaW4zMiIsIkFOIjoiTWFpbCIsIldUIjoyfQ%3D%3D%7C0%7C%7C%7C&amp;sdata=eBgaRE39OMY5Okfb0zcrhLbsuYxT%2BHaRBXIVxaPKj3M%3D&amp;reserved=0" xr:uid="{DF25AD48-DFC8-482E-896B-BC9D8A2F38EB}"/>
  </hyperlinks>
  <pageMargins left="0.7" right="0.7" top="0.75" bottom="0.75" header="0.3" footer="0.3"/>
  <tableParts count="2">
    <tablePart r:id="rId15"/>
    <tablePart r:id="rId1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6224D-30FE-4EC1-A2F1-AE2BCCC86478}">
  <dimension ref="A1:B12"/>
  <sheetViews>
    <sheetView zoomScaleNormal="100" workbookViewId="0">
      <pane ySplit="1" topLeftCell="A11" activePane="bottomLeft" state="frozen"/>
      <selection pane="bottomLeft" activeCell="B12" sqref="B12"/>
    </sheetView>
  </sheetViews>
  <sheetFormatPr defaultColWidth="8.85546875" defaultRowHeight="14.65"/>
  <cols>
    <col min="1" max="1" width="23" bestFit="1" customWidth="1"/>
    <col min="2" max="2" width="67" bestFit="1" customWidth="1"/>
  </cols>
  <sheetData>
    <row r="1" spans="1:2">
      <c r="A1" t="s">
        <v>103</v>
      </c>
      <c r="B1" t="s">
        <v>104</v>
      </c>
    </row>
    <row r="2" spans="1:2" ht="29.1">
      <c r="A2" s="11" t="s">
        <v>105</v>
      </c>
      <c r="B2" s="11" t="s">
        <v>106</v>
      </c>
    </row>
    <row r="3" spans="1:2" ht="72.95">
      <c r="A3" s="11" t="s">
        <v>107</v>
      </c>
      <c r="B3" s="11" t="s">
        <v>108</v>
      </c>
    </row>
    <row r="4" spans="1:2" ht="29.1">
      <c r="A4" s="11" t="s">
        <v>109</v>
      </c>
      <c r="B4" s="11" t="s">
        <v>110</v>
      </c>
    </row>
    <row r="5" spans="1:2" ht="102">
      <c r="A5" s="11" t="s">
        <v>111</v>
      </c>
      <c r="B5" s="11" t="s">
        <v>112</v>
      </c>
    </row>
    <row r="6" spans="1:2" ht="58.35">
      <c r="A6" s="11" t="s">
        <v>113</v>
      </c>
      <c r="B6" s="11" t="s">
        <v>114</v>
      </c>
    </row>
    <row r="7" spans="1:2" ht="43.7">
      <c r="A7" s="11" t="s">
        <v>115</v>
      </c>
      <c r="B7" s="11" t="s">
        <v>116</v>
      </c>
    </row>
    <row r="8" spans="1:2" ht="58.35">
      <c r="A8" s="11" t="s">
        <v>117</v>
      </c>
      <c r="B8" s="11" t="s">
        <v>118</v>
      </c>
    </row>
    <row r="9" spans="1:2" ht="29.1">
      <c r="A9" s="11" t="s">
        <v>119</v>
      </c>
      <c r="B9" s="11" t="s">
        <v>120</v>
      </c>
    </row>
    <row r="10" spans="1:2" ht="43.7">
      <c r="A10" s="11" t="s">
        <v>121</v>
      </c>
      <c r="B10" s="11" t="s">
        <v>122</v>
      </c>
    </row>
    <row r="11" spans="1:2" ht="42.6" customHeight="1">
      <c r="A11" s="11" t="s">
        <v>117</v>
      </c>
      <c r="B11" s="11" t="s">
        <v>123</v>
      </c>
    </row>
    <row r="12" spans="1:2" ht="58.35">
      <c r="A12" s="11" t="s">
        <v>124</v>
      </c>
      <c r="B12" s="11" t="s">
        <v>125</v>
      </c>
    </row>
  </sheetData>
  <sheetProtection algorithmName="SHA-512" hashValue="M824IBIUF0OZIUp35FGWkbfjlbdR3hHOc7vjNOt+BXx5lKXQhHSyB5gAAYy7jr/Zzv0+Ua/jYi09hFj++Kb82Q==" saltValue="jmiyBL0XdstWNdUewJsBvw==" spinCount="100000" sheet="1" objects="1" scenarios="1" formatCells="0" formatColumns="0" formatRows="0" sort="0" autoFilter="0" pivotTables="0"/>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C8B71-E6C8-440B-ABBD-B1F282A9EAF3}">
  <dimension ref="A1:B11"/>
  <sheetViews>
    <sheetView zoomScaleNormal="100" workbookViewId="0">
      <selection activeCell="A11" sqref="A11"/>
    </sheetView>
  </sheetViews>
  <sheetFormatPr defaultColWidth="9" defaultRowHeight="14.65"/>
  <cols>
    <col min="1" max="1" width="37" style="10" bestFit="1" customWidth="1"/>
    <col min="2" max="2" width="87" style="10" customWidth="1"/>
    <col min="3" max="16384" width="9" style="10"/>
  </cols>
  <sheetData>
    <row r="1" spans="1:2">
      <c r="A1" s="10" t="s">
        <v>126</v>
      </c>
      <c r="B1" s="10" t="s">
        <v>49</v>
      </c>
    </row>
    <row r="2" spans="1:2" ht="58.35">
      <c r="A2" s="10" t="s">
        <v>127</v>
      </c>
      <c r="B2" s="11" t="s">
        <v>128</v>
      </c>
    </row>
    <row r="3" spans="1:2" ht="43.7">
      <c r="A3" s="11" t="s">
        <v>129</v>
      </c>
      <c r="B3" s="11" t="s">
        <v>130</v>
      </c>
    </row>
    <row r="4" spans="1:2" ht="29.1">
      <c r="A4" s="10" t="s">
        <v>131</v>
      </c>
      <c r="B4" s="11" t="s">
        <v>132</v>
      </c>
    </row>
    <row r="5" spans="1:2">
      <c r="A5" s="10" t="s">
        <v>133</v>
      </c>
      <c r="B5" s="11" t="s">
        <v>134</v>
      </c>
    </row>
    <row r="6" spans="1:2" ht="43.7">
      <c r="A6" s="10" t="s">
        <v>135</v>
      </c>
      <c r="B6" s="11" t="s">
        <v>136</v>
      </c>
    </row>
    <row r="7" spans="1:2" ht="43.7">
      <c r="A7" s="10" t="s">
        <v>137</v>
      </c>
      <c r="B7" s="11" t="s">
        <v>138</v>
      </c>
    </row>
    <row r="8" spans="1:2" ht="58.35">
      <c r="A8" s="10" t="s">
        <v>139</v>
      </c>
      <c r="B8" s="11" t="s">
        <v>140</v>
      </c>
    </row>
    <row r="9" spans="1:2" ht="102">
      <c r="A9" s="10" t="s">
        <v>141</v>
      </c>
      <c r="B9" s="11" t="s">
        <v>142</v>
      </c>
    </row>
    <row r="10" spans="1:2" ht="29.1">
      <c r="A10" s="10" t="s">
        <v>143</v>
      </c>
      <c r="B10" s="11" t="s">
        <v>144</v>
      </c>
    </row>
    <row r="11" spans="1:2" ht="43.7">
      <c r="A11" s="10" t="s">
        <v>145</v>
      </c>
      <c r="B11" s="11" t="s">
        <v>146</v>
      </c>
    </row>
  </sheetData>
  <sheetProtection algorithmName="SHA-512" hashValue="IAJ+0AhRWeK+xwOcSttOQeOBNEAc/yxaAXrGCUXhfwQK6ZDqqM2VCjd9wA6jmovwVW5fKQ/8bP8iQ1CZxPUoGQ==" saltValue="VtwSdOmGQMzfNV5/Jnt+Pg==" spinCount="100000" sheet="1" objects="1" scenarios="1" formatCells="0" formatColumns="0" formatRows="0" sort="0" autoFilter="0" pivotTables="0"/>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336FA-274A-4F3D-8416-2012E2397187}">
  <dimension ref="A1:B14"/>
  <sheetViews>
    <sheetView workbookViewId="0">
      <selection sqref="A1:XFD1048576"/>
    </sheetView>
  </sheetViews>
  <sheetFormatPr defaultColWidth="8.85546875" defaultRowHeight="14.65"/>
  <cols>
    <col min="1" max="1" width="35.28515625" customWidth="1"/>
    <col min="2" max="2" width="82" customWidth="1"/>
  </cols>
  <sheetData>
    <row r="1" spans="1:2">
      <c r="A1" t="s">
        <v>147</v>
      </c>
      <c r="B1" t="s">
        <v>49</v>
      </c>
    </row>
    <row r="2" spans="1:2" ht="29.1">
      <c r="A2" s="10" t="s">
        <v>148</v>
      </c>
      <c r="B2" s="11" t="s">
        <v>149</v>
      </c>
    </row>
    <row r="3" spans="1:2" ht="29.1">
      <c r="A3" s="10" t="s">
        <v>150</v>
      </c>
      <c r="B3" s="11" t="s">
        <v>151</v>
      </c>
    </row>
    <row r="4" spans="1:2" ht="29.1">
      <c r="A4" s="10" t="s">
        <v>152</v>
      </c>
      <c r="B4" s="11" t="s">
        <v>153</v>
      </c>
    </row>
    <row r="5" spans="1:2" ht="29.1">
      <c r="A5" s="10" t="s">
        <v>154</v>
      </c>
      <c r="B5" s="11" t="s">
        <v>155</v>
      </c>
    </row>
    <row r="6" spans="1:2" ht="43.7">
      <c r="A6" s="10" t="s">
        <v>111</v>
      </c>
      <c r="B6" s="11" t="s">
        <v>156</v>
      </c>
    </row>
    <row r="7" spans="1:2">
      <c r="A7" s="10" t="s">
        <v>157</v>
      </c>
      <c r="B7" s="11" t="s">
        <v>158</v>
      </c>
    </row>
    <row r="8" spans="1:2">
      <c r="A8" s="10" t="s">
        <v>159</v>
      </c>
      <c r="B8" s="11" t="s">
        <v>160</v>
      </c>
    </row>
    <row r="9" spans="1:2">
      <c r="A9" s="10" t="s">
        <v>161</v>
      </c>
      <c r="B9" s="11" t="s">
        <v>162</v>
      </c>
    </row>
    <row r="10" spans="1:2" ht="29.1">
      <c r="A10" s="10" t="s">
        <v>163</v>
      </c>
      <c r="B10" s="11" t="s">
        <v>164</v>
      </c>
    </row>
    <row r="11" spans="1:2" ht="29.1">
      <c r="A11" s="10" t="s">
        <v>107</v>
      </c>
      <c r="B11" s="11" t="s">
        <v>165</v>
      </c>
    </row>
    <row r="12" spans="1:2" ht="29.1">
      <c r="A12" s="10" t="s">
        <v>166</v>
      </c>
      <c r="B12" s="11" t="s">
        <v>167</v>
      </c>
    </row>
    <row r="13" spans="1:2" ht="43.7">
      <c r="A13" s="10" t="s">
        <v>168</v>
      </c>
      <c r="B13" s="11" t="s">
        <v>169</v>
      </c>
    </row>
    <row r="14" spans="1:2" ht="29.1">
      <c r="A14" s="10" t="s">
        <v>170</v>
      </c>
      <c r="B14" s="11" t="s">
        <v>171</v>
      </c>
    </row>
  </sheetData>
  <sheetProtection algorithmName="SHA-512" hashValue="ug1tubgc1JECnT/z9DrQ3FanaPZInMN91reejL0q0RaQRzcL5pQ0aRGW/7EJpSRFyLfde1d+xf9F6gYq8PElVA==" saltValue="IOi40q4dmBJNGBpkjTPr2A==" spinCount="100000" sheet="1" objects="1" scenarios="1" formatCells="0" formatColumns="0" formatRows="0" sort="0" autoFilter="0" pivotTables="0"/>
  <pageMargins left="0.7" right="0.7" top="0.75" bottom="0.75" header="0.3" footer="0.3"/>
  <legacy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37526-E946-43CE-A7BE-B0132A28BD65}">
  <dimension ref="A1:H30"/>
  <sheetViews>
    <sheetView topLeftCell="A15" zoomScale="60" zoomScaleNormal="60" workbookViewId="0">
      <selection activeCell="K3" sqref="K3"/>
    </sheetView>
  </sheetViews>
  <sheetFormatPr defaultColWidth="8.85546875" defaultRowHeight="14.65"/>
  <cols>
    <col min="1" max="1" width="7.28515625" customWidth="1"/>
    <col min="2" max="2" width="78.42578125" customWidth="1"/>
    <col min="3" max="3" width="59.42578125" bestFit="1" customWidth="1"/>
  </cols>
  <sheetData>
    <row r="1" spans="1:8">
      <c r="A1" s="1" t="s">
        <v>172</v>
      </c>
    </row>
    <row r="2" spans="1:8">
      <c r="A2" s="6" t="s">
        <v>173</v>
      </c>
    </row>
    <row r="3" spans="1:8" ht="370.35" customHeight="1"/>
    <row r="4" spans="1:8">
      <c r="A4" s="1"/>
    </row>
    <row r="5" spans="1:8">
      <c r="A5" s="6" t="s">
        <v>174</v>
      </c>
    </row>
    <row r="6" spans="1:8">
      <c r="A6" s="6" t="s">
        <v>175</v>
      </c>
    </row>
    <row r="7" spans="1:8" ht="282.95" customHeight="1">
      <c r="A7" s="174" t="s">
        <v>176</v>
      </c>
      <c r="B7" s="174"/>
      <c r="C7" s="174"/>
      <c r="D7" s="11"/>
      <c r="E7" s="11"/>
      <c r="F7" s="11"/>
      <c r="G7" s="11"/>
      <c r="H7" s="11"/>
    </row>
    <row r="9" spans="1:8">
      <c r="A9" s="6" t="s">
        <v>177</v>
      </c>
    </row>
    <row r="10" spans="1:8">
      <c r="A10" s="5" t="s">
        <v>178</v>
      </c>
      <c r="B10" s="5" t="s">
        <v>49</v>
      </c>
      <c r="C10" s="5" t="s">
        <v>179</v>
      </c>
    </row>
    <row r="11" spans="1:8" ht="16.350000000000001">
      <c r="A11" s="52" t="s">
        <v>180</v>
      </c>
      <c r="B11" t="s">
        <v>181</v>
      </c>
    </row>
    <row r="12" spans="1:8" ht="16.350000000000001">
      <c r="A12" s="52" t="s">
        <v>182</v>
      </c>
      <c r="B12" t="s">
        <v>183</v>
      </c>
    </row>
    <row r="13" spans="1:8">
      <c r="A13" s="52" t="s">
        <v>184</v>
      </c>
      <c r="B13" t="s">
        <v>185</v>
      </c>
      <c r="C13" t="s">
        <v>186</v>
      </c>
    </row>
    <row r="14" spans="1:8">
      <c r="A14" s="52" t="s">
        <v>187</v>
      </c>
      <c r="B14" t="s">
        <v>188</v>
      </c>
      <c r="C14" t="s">
        <v>189</v>
      </c>
    </row>
    <row r="15" spans="1:8">
      <c r="A15" s="52" t="s">
        <v>190</v>
      </c>
      <c r="B15" t="s">
        <v>191</v>
      </c>
      <c r="C15" t="s">
        <v>192</v>
      </c>
    </row>
    <row r="16" spans="1:8">
      <c r="A16" s="52" t="s">
        <v>193</v>
      </c>
      <c r="B16" t="s">
        <v>194</v>
      </c>
    </row>
    <row r="17" spans="1:3">
      <c r="A17" s="52" t="s">
        <v>195</v>
      </c>
      <c r="B17" t="s">
        <v>196</v>
      </c>
      <c r="C17" t="s">
        <v>197</v>
      </c>
    </row>
    <row r="18" spans="1:3">
      <c r="A18" s="52" t="s">
        <v>198</v>
      </c>
      <c r="B18" t="s">
        <v>199</v>
      </c>
    </row>
    <row r="19" spans="1:3">
      <c r="A19" s="5"/>
    </row>
    <row r="20" spans="1:3">
      <c r="B20" s="1" t="s">
        <v>200</v>
      </c>
    </row>
    <row r="22" spans="1:3" ht="16.350000000000001">
      <c r="A22" s="5" t="s">
        <v>201</v>
      </c>
      <c r="B22" s="37" t="s">
        <v>202</v>
      </c>
      <c r="C22" t="s">
        <v>203</v>
      </c>
    </row>
    <row r="23" spans="1:3">
      <c r="A23" s="5" t="s">
        <v>204</v>
      </c>
      <c r="B23" s="37" t="s">
        <v>205</v>
      </c>
      <c r="C23" t="s">
        <v>206</v>
      </c>
    </row>
    <row r="24" spans="1:3">
      <c r="A24" s="5"/>
      <c r="B24" s="59" t="s">
        <v>207</v>
      </c>
    </row>
    <row r="25" spans="1:3">
      <c r="A25" s="5" t="s">
        <v>208</v>
      </c>
      <c r="B25" s="37" t="s">
        <v>209</v>
      </c>
      <c r="C25" t="s">
        <v>210</v>
      </c>
    </row>
    <row r="26" spans="1:3">
      <c r="A26" s="5" t="s">
        <v>211</v>
      </c>
      <c r="B26" s="37" t="s">
        <v>212</v>
      </c>
      <c r="C26" s="5" t="s">
        <v>213</v>
      </c>
    </row>
    <row r="27" spans="1:3">
      <c r="A27" s="5" t="s">
        <v>214</v>
      </c>
      <c r="B27" s="37" t="s">
        <v>215</v>
      </c>
      <c r="C27" s="5" t="s">
        <v>216</v>
      </c>
    </row>
    <row r="29" spans="1:3">
      <c r="A29" s="6" t="s">
        <v>217</v>
      </c>
    </row>
    <row r="30" spans="1:3" ht="74.45" customHeight="1">
      <c r="A30" s="174" t="s">
        <v>218</v>
      </c>
      <c r="B30" s="174"/>
      <c r="C30" s="174"/>
    </row>
  </sheetData>
  <sheetProtection algorithmName="SHA-512" hashValue="stjdH7CcUpR7mRHvhnOGUaUcOzFiD+R7pOU8x8cBp4IeJvdS5jo0E/onHC40/zHem1LlP5aG+HgDyuMeDb7Gug==" saltValue="4V3LXJ/ujwW2Z6SBr30beg==" spinCount="100000" sheet="1" objects="1" scenarios="1" formatCells="0" formatColumns="0" formatRows="0" sort="0" autoFilter="0" pivotTables="0"/>
  <mergeCells count="2">
    <mergeCell ref="A7:C7"/>
    <mergeCell ref="A30:C3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F5A2C-A730-4A32-B233-718D077ABF5B}">
  <dimension ref="A1:B11"/>
  <sheetViews>
    <sheetView workbookViewId="0">
      <selection activeCell="B15" sqref="B15"/>
    </sheetView>
  </sheetViews>
  <sheetFormatPr defaultColWidth="8.85546875" defaultRowHeight="14.65"/>
  <cols>
    <col min="1" max="1" width="2.28515625" customWidth="1"/>
    <col min="2" max="2" width="161" customWidth="1"/>
  </cols>
  <sheetData>
    <row r="1" spans="1:2">
      <c r="A1" s="1" t="s">
        <v>219</v>
      </c>
    </row>
    <row r="2" spans="1:2" ht="6" customHeight="1"/>
    <row r="3" spans="1:2">
      <c r="B3" t="s">
        <v>220</v>
      </c>
    </row>
    <row r="4" spans="1:2">
      <c r="B4" t="s">
        <v>221</v>
      </c>
    </row>
    <row r="5" spans="1:2">
      <c r="B5" t="s">
        <v>222</v>
      </c>
    </row>
    <row r="6" spans="1:2">
      <c r="B6" t="s">
        <v>223</v>
      </c>
    </row>
    <row r="7" spans="1:2">
      <c r="B7" t="s">
        <v>224</v>
      </c>
    </row>
    <row r="8" spans="1:2">
      <c r="B8" t="s">
        <v>225</v>
      </c>
    </row>
    <row r="9" spans="1:2">
      <c r="B9" t="s">
        <v>226</v>
      </c>
    </row>
    <row r="10" spans="1:2">
      <c r="B10" t="s">
        <v>227</v>
      </c>
    </row>
    <row r="11" spans="1:2">
      <c r="B11" t="s">
        <v>228</v>
      </c>
    </row>
  </sheetData>
  <sheetProtection algorithmName="SHA-512" hashValue="5NY8kfS4F/70mhQZKxvfVJvqYFsyzCa/n0QJNYHp5Ccbgs/zFNYTMQPpZk+3BsdL8QKMow8/BgQVL/KFmCt3mA==" saltValue="oZPyh9LZCrUh93O8yJ0rpA==" spinCount="100000" sheet="1" objects="1" scenarios="1" formatCells="0" formatColumns="0" formatRows="0" insertRows="0" sort="0" autoFilter="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53E29-EAE3-411D-81FF-0A8BF01471D7}">
  <dimension ref="A1:S44"/>
  <sheetViews>
    <sheetView zoomScale="85" zoomScaleNormal="85" workbookViewId="0">
      <selection activeCell="M29" sqref="M29"/>
    </sheetView>
  </sheetViews>
  <sheetFormatPr defaultColWidth="8.85546875" defaultRowHeight="14.65"/>
  <cols>
    <col min="1" max="1" width="9" style="1"/>
    <col min="3" max="3" width="11" bestFit="1" customWidth="1"/>
    <col min="9" max="9" width="11" bestFit="1" customWidth="1"/>
    <col min="16" max="16" width="12.28515625" bestFit="1" customWidth="1"/>
  </cols>
  <sheetData>
    <row r="1" spans="1:19">
      <c r="A1" s="1" t="s">
        <v>229</v>
      </c>
      <c r="I1" t="s">
        <v>230</v>
      </c>
    </row>
    <row r="2" spans="1:19">
      <c r="A2" t="s">
        <v>231</v>
      </c>
      <c r="B2" s="37" t="s">
        <v>232</v>
      </c>
      <c r="C2" s="37" t="s">
        <v>233</v>
      </c>
      <c r="D2" s="37" t="s">
        <v>234</v>
      </c>
      <c r="E2" s="37" t="s">
        <v>235</v>
      </c>
      <c r="F2" s="37" t="s">
        <v>236</v>
      </c>
      <c r="G2" s="37" t="s">
        <v>237</v>
      </c>
      <c r="H2" s="37" t="s">
        <v>238</v>
      </c>
      <c r="I2" s="37" t="s">
        <v>232</v>
      </c>
      <c r="J2" s="37" t="s">
        <v>233</v>
      </c>
      <c r="K2" s="37" t="s">
        <v>234</v>
      </c>
      <c r="L2" s="37" t="s">
        <v>235</v>
      </c>
      <c r="M2" s="37" t="s">
        <v>236</v>
      </c>
      <c r="N2" s="37" t="s">
        <v>237</v>
      </c>
    </row>
    <row r="3" spans="1:19">
      <c r="A3" s="1">
        <v>2015</v>
      </c>
      <c r="B3" s="38">
        <v>58870</v>
      </c>
      <c r="C3" s="39">
        <v>59020</v>
      </c>
      <c r="D3" s="40">
        <v>61290</v>
      </c>
      <c r="E3" s="38">
        <v>62450</v>
      </c>
      <c r="F3" s="39">
        <v>63580</v>
      </c>
      <c r="G3">
        <v>65080</v>
      </c>
      <c r="H3">
        <f>SUM(B3:G3)</f>
        <v>370290</v>
      </c>
    </row>
    <row r="4" spans="1:19">
      <c r="A4" s="1">
        <v>2016</v>
      </c>
      <c r="B4" s="40">
        <v>59400</v>
      </c>
      <c r="C4" s="38">
        <v>59550</v>
      </c>
      <c r="D4" s="39">
        <v>59980</v>
      </c>
      <c r="E4" s="40">
        <v>62440</v>
      </c>
      <c r="F4" s="38">
        <v>63340</v>
      </c>
      <c r="G4" s="39">
        <v>64400</v>
      </c>
      <c r="H4">
        <f t="shared" ref="H4:H12" si="0">SUM(B4:G4)</f>
        <v>369110</v>
      </c>
      <c r="I4" s="36">
        <f>(B4/B3)-1</f>
        <v>9.0028877187022793E-3</v>
      </c>
      <c r="J4" s="36">
        <f>(C4/C3)-1</f>
        <v>8.9800067773635472E-3</v>
      </c>
      <c r="K4" s="36">
        <f t="shared" ref="J4:N12" si="1">(D4/D3)-1</f>
        <v>-2.1373796704193149E-2</v>
      </c>
      <c r="L4" s="36">
        <f t="shared" si="1"/>
        <v>-1.6012810248200449E-4</v>
      </c>
      <c r="M4" s="36">
        <f t="shared" si="1"/>
        <v>-3.774771940861954E-3</v>
      </c>
      <c r="N4" s="36">
        <f t="shared" si="1"/>
        <v>-1.0448678549477619E-2</v>
      </c>
      <c r="P4" s="7">
        <f>SUM(B4:C4)</f>
        <v>118950</v>
      </c>
      <c r="Q4" s="7">
        <f>SUM(D4:F4)</f>
        <v>185760</v>
      </c>
      <c r="S4">
        <v>185760</v>
      </c>
    </row>
    <row r="5" spans="1:19">
      <c r="A5" s="1">
        <v>2017</v>
      </c>
      <c r="B5" s="39">
        <v>60150</v>
      </c>
      <c r="C5" s="40">
        <v>59970</v>
      </c>
      <c r="D5" s="38">
        <v>60760</v>
      </c>
      <c r="E5" s="39">
        <v>61180</v>
      </c>
      <c r="F5" s="40">
        <v>63460</v>
      </c>
      <c r="G5" s="38">
        <v>64350</v>
      </c>
      <c r="H5">
        <f t="shared" si="0"/>
        <v>369870</v>
      </c>
      <c r="I5" s="36">
        <f t="shared" ref="I5:I12" si="2">(B5/B4)-1</f>
        <v>1.2626262626262541E-2</v>
      </c>
      <c r="J5" s="36">
        <f>(C5/C4)-1</f>
        <v>7.0528967254408492E-3</v>
      </c>
      <c r="K5" s="36">
        <f t="shared" si="1"/>
        <v>1.3004334778259352E-2</v>
      </c>
      <c r="L5" s="36">
        <f t="shared" si="1"/>
        <v>-2.0179372197309364E-2</v>
      </c>
      <c r="M5" s="36">
        <f t="shared" si="1"/>
        <v>1.8945374171139839E-3</v>
      </c>
      <c r="N5" s="36">
        <f t="shared" si="1"/>
        <v>-7.763975155279379E-4</v>
      </c>
      <c r="P5" s="7">
        <f t="shared" ref="P5:P12" si="3">SUM(B5:C5)</f>
        <v>120120</v>
      </c>
      <c r="Q5" s="7">
        <f t="shared" ref="Q5:Q12" si="4">SUM(D5:F5)</f>
        <v>185400</v>
      </c>
      <c r="S5">
        <v>185400</v>
      </c>
    </row>
    <row r="6" spans="1:19">
      <c r="A6" s="1">
        <v>2018</v>
      </c>
      <c r="B6" s="38">
        <v>59530</v>
      </c>
      <c r="C6" s="39">
        <v>60520</v>
      </c>
      <c r="D6" s="40">
        <v>60890</v>
      </c>
      <c r="E6" s="38">
        <v>61880</v>
      </c>
      <c r="F6" s="39">
        <v>62210</v>
      </c>
      <c r="G6" s="40">
        <v>64430</v>
      </c>
      <c r="H6">
        <f t="shared" si="0"/>
        <v>369460</v>
      </c>
      <c r="I6" s="36">
        <f t="shared" si="2"/>
        <v>-1.0307564422277649E-2</v>
      </c>
      <c r="J6" s="36">
        <f t="shared" si="1"/>
        <v>9.1712522928131257E-3</v>
      </c>
      <c r="K6" s="36">
        <f t="shared" si="1"/>
        <v>2.1395655036207106E-3</v>
      </c>
      <c r="L6" s="36">
        <f t="shared" si="1"/>
        <v>1.1441647597254079E-2</v>
      </c>
      <c r="M6" s="36">
        <f t="shared" si="1"/>
        <v>-1.9697447210841434E-2</v>
      </c>
      <c r="N6" s="36">
        <f t="shared" si="1"/>
        <v>1.2432012432013195E-3</v>
      </c>
      <c r="P6" s="7">
        <f t="shared" si="3"/>
        <v>120050</v>
      </c>
      <c r="Q6" s="7">
        <f t="shared" si="4"/>
        <v>184980</v>
      </c>
      <c r="S6">
        <v>184980</v>
      </c>
    </row>
    <row r="7" spans="1:19">
      <c r="A7" s="1">
        <v>2019</v>
      </c>
      <c r="B7" s="40">
        <v>59640</v>
      </c>
      <c r="C7" s="38">
        <v>59750</v>
      </c>
      <c r="D7" s="39">
        <v>61290</v>
      </c>
      <c r="E7" s="40">
        <v>61790</v>
      </c>
      <c r="F7" s="38">
        <v>62860</v>
      </c>
      <c r="G7" s="39">
        <v>63270</v>
      </c>
      <c r="H7">
        <f t="shared" si="0"/>
        <v>368600</v>
      </c>
      <c r="I7" s="36">
        <f t="shared" si="2"/>
        <v>1.8478078279859922E-3</v>
      </c>
      <c r="J7" s="36">
        <f t="shared" si="1"/>
        <v>-1.2723066754791845E-2</v>
      </c>
      <c r="K7" s="36">
        <f t="shared" si="1"/>
        <v>6.5692231893579311E-3</v>
      </c>
      <c r="L7" s="36">
        <f t="shared" si="1"/>
        <v>-1.4544279250161551E-3</v>
      </c>
      <c r="M7" s="36">
        <f t="shared" si="1"/>
        <v>1.0448480951615435E-2</v>
      </c>
      <c r="N7" s="36">
        <f t="shared" si="1"/>
        <v>-1.8004035387241935E-2</v>
      </c>
      <c r="P7" s="7">
        <f t="shared" si="3"/>
        <v>119390</v>
      </c>
      <c r="Q7" s="7">
        <f t="shared" si="4"/>
        <v>185940</v>
      </c>
      <c r="S7">
        <v>185940</v>
      </c>
    </row>
    <row r="8" spans="1:19">
      <c r="A8" s="1">
        <v>2020</v>
      </c>
      <c r="B8" s="39">
        <v>59330</v>
      </c>
      <c r="C8" s="40">
        <v>60080</v>
      </c>
      <c r="D8" s="38">
        <v>60610</v>
      </c>
      <c r="E8" s="39">
        <v>62410</v>
      </c>
      <c r="F8" s="40">
        <v>62770</v>
      </c>
      <c r="G8" s="38">
        <v>63900</v>
      </c>
      <c r="H8">
        <f t="shared" si="0"/>
        <v>369100</v>
      </c>
      <c r="I8" s="36">
        <f t="shared" si="2"/>
        <v>-5.197853789403073E-3</v>
      </c>
      <c r="J8" s="36">
        <f t="shared" si="1"/>
        <v>5.5230125523013651E-3</v>
      </c>
      <c r="K8" s="36">
        <f t="shared" si="1"/>
        <v>-1.1094795235764399E-2</v>
      </c>
      <c r="L8" s="36">
        <f t="shared" si="1"/>
        <v>1.0033986081890323E-2</v>
      </c>
      <c r="M8" s="36">
        <f t="shared" si="1"/>
        <v>-1.4317531021317276E-3</v>
      </c>
      <c r="N8" s="36">
        <f t="shared" si="1"/>
        <v>9.957325746799528E-3</v>
      </c>
      <c r="P8" s="7">
        <f t="shared" si="3"/>
        <v>119410</v>
      </c>
      <c r="Q8" s="7">
        <f t="shared" si="4"/>
        <v>185790</v>
      </c>
      <c r="S8">
        <v>185790</v>
      </c>
    </row>
    <row r="9" spans="1:19">
      <c r="A9" s="1">
        <v>2021</v>
      </c>
      <c r="B9" s="38">
        <v>60860</v>
      </c>
      <c r="C9" s="39">
        <v>59520</v>
      </c>
      <c r="D9" s="40">
        <v>60420</v>
      </c>
      <c r="E9" s="38">
        <v>60930</v>
      </c>
      <c r="F9" s="39">
        <v>62640</v>
      </c>
      <c r="G9" s="40">
        <v>62990</v>
      </c>
      <c r="H9">
        <f t="shared" si="0"/>
        <v>367360</v>
      </c>
      <c r="I9" s="36">
        <f t="shared" si="2"/>
        <v>2.5787965616045794E-2</v>
      </c>
      <c r="J9" s="36">
        <f t="shared" si="1"/>
        <v>-9.320905459387463E-3</v>
      </c>
      <c r="K9" s="36">
        <f t="shared" si="1"/>
        <v>-3.1347962382445305E-3</v>
      </c>
      <c r="L9" s="36">
        <f t="shared" si="1"/>
        <v>-2.3714148373658039E-2</v>
      </c>
      <c r="M9" s="36">
        <f t="shared" si="1"/>
        <v>-2.0710530508204483E-3</v>
      </c>
      <c r="N9" s="36">
        <f t="shared" si="1"/>
        <v>-1.4241001564945233E-2</v>
      </c>
      <c r="P9" s="7">
        <f t="shared" si="3"/>
        <v>120380</v>
      </c>
      <c r="Q9" s="7">
        <f t="shared" si="4"/>
        <v>183990</v>
      </c>
      <c r="S9">
        <v>183990</v>
      </c>
    </row>
    <row r="10" spans="1:19">
      <c r="A10" s="1">
        <v>2022</v>
      </c>
      <c r="B10" s="40">
        <v>60340</v>
      </c>
      <c r="C10" s="38">
        <v>60720</v>
      </c>
      <c r="D10" s="39">
        <v>59670</v>
      </c>
      <c r="E10" s="40">
        <v>60840</v>
      </c>
      <c r="F10" s="38">
        <v>61160</v>
      </c>
      <c r="G10" s="39">
        <v>62710</v>
      </c>
      <c r="H10">
        <f t="shared" si="0"/>
        <v>365440</v>
      </c>
      <c r="I10" s="36">
        <f t="shared" si="2"/>
        <v>-8.544199802826169E-3</v>
      </c>
      <c r="J10" s="36">
        <f t="shared" si="1"/>
        <v>2.0161290322580738E-2</v>
      </c>
      <c r="K10" s="36">
        <f t="shared" si="1"/>
        <v>-1.2413108242303905E-2</v>
      </c>
      <c r="L10" s="36">
        <f t="shared" si="1"/>
        <v>-1.477104874446078E-3</v>
      </c>
      <c r="M10" s="36">
        <f t="shared" si="1"/>
        <v>-2.3627075351213334E-2</v>
      </c>
      <c r="N10" s="36">
        <f t="shared" si="1"/>
        <v>-4.4451500238132935E-3</v>
      </c>
      <c r="P10" s="7">
        <f t="shared" si="3"/>
        <v>121060</v>
      </c>
      <c r="Q10" s="7">
        <f t="shared" si="4"/>
        <v>181670</v>
      </c>
      <c r="S10">
        <v>181670</v>
      </c>
    </row>
    <row r="11" spans="1:19">
      <c r="A11" s="1">
        <v>2023</v>
      </c>
      <c r="B11" s="41">
        <v>56840</v>
      </c>
      <c r="C11" s="40">
        <v>60790</v>
      </c>
      <c r="D11" s="38">
        <v>61490</v>
      </c>
      <c r="E11" s="39">
        <v>60840</v>
      </c>
      <c r="F11" s="40">
        <v>62350</v>
      </c>
      <c r="G11" s="38">
        <v>62620</v>
      </c>
      <c r="H11">
        <f t="shared" si="0"/>
        <v>364930</v>
      </c>
      <c r="I11" s="36">
        <f t="shared" si="2"/>
        <v>-5.8004640371229654E-2</v>
      </c>
      <c r="J11" s="36">
        <f t="shared" si="1"/>
        <v>1.1528326745717798E-3</v>
      </c>
      <c r="K11" s="36">
        <f t="shared" si="1"/>
        <v>3.0501089324618702E-2</v>
      </c>
      <c r="L11" s="36">
        <f t="shared" si="1"/>
        <v>0</v>
      </c>
      <c r="M11" s="36">
        <f t="shared" si="1"/>
        <v>1.9457161543492418E-2</v>
      </c>
      <c r="N11" s="36">
        <f t="shared" si="1"/>
        <v>-1.4351778025832873E-3</v>
      </c>
      <c r="P11" s="7">
        <f t="shared" si="3"/>
        <v>117630</v>
      </c>
      <c r="Q11" s="7">
        <f t="shared" si="4"/>
        <v>184680</v>
      </c>
      <c r="S11">
        <v>184680</v>
      </c>
    </row>
    <row r="12" spans="1:19">
      <c r="A12" s="1">
        <v>2024</v>
      </c>
      <c r="B12">
        <v>57070</v>
      </c>
      <c r="C12" s="39">
        <v>57190</v>
      </c>
      <c r="D12" s="40">
        <v>61700</v>
      </c>
      <c r="E12" s="38">
        <v>62510</v>
      </c>
      <c r="F12" s="39">
        <v>62230</v>
      </c>
      <c r="G12" s="40">
        <v>63930</v>
      </c>
      <c r="H12">
        <f t="shared" si="0"/>
        <v>364630</v>
      </c>
      <c r="I12" s="36">
        <f t="shared" si="2"/>
        <v>4.0464461646727568E-3</v>
      </c>
      <c r="J12" s="36">
        <f t="shared" si="1"/>
        <v>-5.9220266491199158E-2</v>
      </c>
      <c r="K12" s="36">
        <f t="shared" si="1"/>
        <v>3.4151894617011624E-3</v>
      </c>
      <c r="L12" s="36">
        <f t="shared" si="1"/>
        <v>2.7449046679815847E-2</v>
      </c>
      <c r="M12" s="36">
        <f t="shared" si="1"/>
        <v>-1.9246190858059897E-3</v>
      </c>
      <c r="N12" s="36">
        <f t="shared" si="1"/>
        <v>2.0919833918875863E-2</v>
      </c>
      <c r="P12" s="7">
        <f t="shared" si="3"/>
        <v>114260</v>
      </c>
      <c r="Q12" s="7">
        <f t="shared" si="4"/>
        <v>186440</v>
      </c>
      <c r="S12">
        <v>186440</v>
      </c>
    </row>
    <row r="14" spans="1:19">
      <c r="A14" s="1" t="s">
        <v>239</v>
      </c>
    </row>
    <row r="15" spans="1:19">
      <c r="A15" s="1">
        <v>2015</v>
      </c>
      <c r="B15" s="38"/>
      <c r="C15" s="39"/>
      <c r="D15" s="40"/>
      <c r="E15" s="38"/>
      <c r="F15" s="39"/>
    </row>
    <row r="16" spans="1:19">
      <c r="A16" s="1">
        <v>2016</v>
      </c>
      <c r="B16" s="40"/>
      <c r="C16" s="38">
        <f>C4-B3</f>
        <v>680</v>
      </c>
      <c r="D16" s="39">
        <f>D4-C3</f>
        <v>960</v>
      </c>
      <c r="E16" s="40">
        <f>E4-D3</f>
        <v>1150</v>
      </c>
      <c r="F16" s="38">
        <f>F4-E3</f>
        <v>890</v>
      </c>
      <c r="G16" s="39">
        <f>G4-F3</f>
        <v>820</v>
      </c>
    </row>
    <row r="17" spans="1:8">
      <c r="A17" s="1">
        <v>2017</v>
      </c>
      <c r="B17" s="39"/>
      <c r="C17" s="40">
        <f t="shared" ref="C17:C23" si="5">C5-B4</f>
        <v>570</v>
      </c>
      <c r="D17" s="38">
        <f>D5-C4</f>
        <v>1210</v>
      </c>
      <c r="E17" s="39">
        <f>E5-D4</f>
        <v>1200</v>
      </c>
      <c r="F17" s="40">
        <f t="shared" ref="D17:G24" si="6">F5-E4</f>
        <v>1020</v>
      </c>
      <c r="G17" s="38">
        <f t="shared" si="6"/>
        <v>1010</v>
      </c>
    </row>
    <row r="18" spans="1:8">
      <c r="A18" s="1">
        <v>2018</v>
      </c>
      <c r="B18" s="38"/>
      <c r="C18" s="39">
        <f>C6-B5</f>
        <v>370</v>
      </c>
      <c r="D18" s="40">
        <f t="shared" si="6"/>
        <v>920</v>
      </c>
      <c r="E18" s="38">
        <f t="shared" si="6"/>
        <v>1120</v>
      </c>
      <c r="F18" s="39">
        <f t="shared" si="6"/>
        <v>1030</v>
      </c>
      <c r="G18" s="40">
        <f t="shared" si="6"/>
        <v>970</v>
      </c>
    </row>
    <row r="19" spans="1:8">
      <c r="A19" s="1">
        <v>2019</v>
      </c>
      <c r="B19" s="40"/>
      <c r="C19" s="38">
        <f>C7-B6</f>
        <v>220</v>
      </c>
      <c r="D19" s="39">
        <f t="shared" si="6"/>
        <v>770</v>
      </c>
      <c r="E19" s="40">
        <f t="shared" si="6"/>
        <v>900</v>
      </c>
      <c r="F19" s="38">
        <f t="shared" si="6"/>
        <v>980</v>
      </c>
      <c r="G19" s="39">
        <f t="shared" si="6"/>
        <v>1060</v>
      </c>
    </row>
    <row r="20" spans="1:8">
      <c r="A20" s="1">
        <v>2020</v>
      </c>
      <c r="B20" s="39"/>
      <c r="C20" s="40">
        <f t="shared" si="5"/>
        <v>440</v>
      </c>
      <c r="D20" s="38">
        <f t="shared" si="6"/>
        <v>860</v>
      </c>
      <c r="E20" s="39">
        <f t="shared" si="6"/>
        <v>1120</v>
      </c>
      <c r="F20" s="40">
        <f t="shared" si="6"/>
        <v>980</v>
      </c>
      <c r="G20" s="38">
        <f t="shared" si="6"/>
        <v>1040</v>
      </c>
    </row>
    <row r="21" spans="1:8">
      <c r="A21" s="1">
        <v>2021</v>
      </c>
      <c r="B21" s="38"/>
      <c r="C21" s="39">
        <f t="shared" si="5"/>
        <v>190</v>
      </c>
      <c r="D21" s="40">
        <f t="shared" si="6"/>
        <v>340</v>
      </c>
      <c r="E21" s="38">
        <f t="shared" si="6"/>
        <v>320</v>
      </c>
      <c r="F21" s="39">
        <f t="shared" si="6"/>
        <v>230</v>
      </c>
      <c r="G21" s="40">
        <f t="shared" si="6"/>
        <v>220</v>
      </c>
    </row>
    <row r="22" spans="1:8">
      <c r="A22" s="1">
        <v>2022</v>
      </c>
      <c r="B22" s="40"/>
      <c r="C22" s="38">
        <f t="shared" si="5"/>
        <v>-140</v>
      </c>
      <c r="D22" s="39">
        <f t="shared" si="6"/>
        <v>150</v>
      </c>
      <c r="E22" s="40">
        <f t="shared" si="6"/>
        <v>420</v>
      </c>
      <c r="F22" s="38">
        <f t="shared" si="6"/>
        <v>230</v>
      </c>
      <c r="G22" s="39">
        <f t="shared" si="6"/>
        <v>70</v>
      </c>
    </row>
    <row r="23" spans="1:8">
      <c r="A23" s="1">
        <v>2023</v>
      </c>
      <c r="B23" s="41"/>
      <c r="C23" s="40">
        <f t="shared" si="5"/>
        <v>450</v>
      </c>
      <c r="D23" s="38">
        <f t="shared" si="6"/>
        <v>770</v>
      </c>
      <c r="E23" s="39">
        <f t="shared" si="6"/>
        <v>1170</v>
      </c>
      <c r="F23" s="40">
        <f t="shared" si="6"/>
        <v>1510</v>
      </c>
      <c r="G23" s="38">
        <f t="shared" si="6"/>
        <v>1460</v>
      </c>
    </row>
    <row r="24" spans="1:8">
      <c r="A24" s="1">
        <v>2024</v>
      </c>
      <c r="C24" s="39">
        <f>C12-B11</f>
        <v>350</v>
      </c>
      <c r="D24" s="40">
        <f>D12-C11</f>
        <v>910</v>
      </c>
      <c r="E24" s="38">
        <f t="shared" si="6"/>
        <v>1020</v>
      </c>
      <c r="F24" s="39">
        <f>F12-E11</f>
        <v>1390</v>
      </c>
      <c r="G24" s="40">
        <f>G12-F11</f>
        <v>1580</v>
      </c>
    </row>
    <row r="25" spans="1:8" ht="15" thickBot="1">
      <c r="A25" s="6"/>
      <c r="B25" s="5"/>
      <c r="G25" s="42" t="s">
        <v>240</v>
      </c>
      <c r="H25" s="43">
        <f>SUM(C16:G24)</f>
        <v>34930</v>
      </c>
    </row>
    <row r="26" spans="1:8" ht="15" thickTop="1"/>
    <row r="27" spans="1:8">
      <c r="A27" s="1" t="s">
        <v>241</v>
      </c>
    </row>
    <row r="28" spans="1:8">
      <c r="A28" s="1">
        <v>2015</v>
      </c>
      <c r="B28" s="45"/>
      <c r="C28" s="46"/>
      <c r="D28" s="47"/>
      <c r="E28" s="45"/>
      <c r="F28" s="46"/>
      <c r="G28" s="36"/>
    </row>
    <row r="29" spans="1:8">
      <c r="A29" s="1">
        <v>2016</v>
      </c>
      <c r="B29" s="47"/>
      <c r="C29" s="45">
        <f t="shared" ref="C29:G32" si="7">C16/B3</f>
        <v>1.1550874808900968E-2</v>
      </c>
      <c r="D29" s="46">
        <f t="shared" si="7"/>
        <v>1.6265672653337851E-2</v>
      </c>
      <c r="E29" s="47">
        <f t="shared" si="7"/>
        <v>1.8763256648719202E-2</v>
      </c>
      <c r="F29" s="45">
        <f t="shared" si="7"/>
        <v>1.4251401120896717E-2</v>
      </c>
      <c r="G29" s="46">
        <f t="shared" si="7"/>
        <v>1.2897137464611514E-2</v>
      </c>
    </row>
    <row r="30" spans="1:8">
      <c r="A30" s="1">
        <v>2017</v>
      </c>
      <c r="B30" s="46"/>
      <c r="C30" s="47">
        <f t="shared" si="7"/>
        <v>9.5959595959595953E-3</v>
      </c>
      <c r="D30" s="45">
        <f t="shared" si="7"/>
        <v>2.0319059613769942E-2</v>
      </c>
      <c r="E30" s="46">
        <f t="shared" si="7"/>
        <v>2.0006668889629875E-2</v>
      </c>
      <c r="F30" s="47">
        <f t="shared" si="7"/>
        <v>1.6335682254964765E-2</v>
      </c>
      <c r="G30" s="45">
        <f t="shared" si="7"/>
        <v>1.5945689927376067E-2</v>
      </c>
    </row>
    <row r="31" spans="1:8">
      <c r="A31" s="1">
        <v>2018</v>
      </c>
      <c r="B31" s="45"/>
      <c r="C31" s="46">
        <f t="shared" si="7"/>
        <v>6.1512884455527843E-3</v>
      </c>
      <c r="D31" s="47">
        <f t="shared" si="7"/>
        <v>1.5341003835250959E-2</v>
      </c>
      <c r="E31" s="45">
        <f t="shared" si="7"/>
        <v>1.8433179723502304E-2</v>
      </c>
      <c r="F31" s="46">
        <f t="shared" si="7"/>
        <v>1.6835567178816607E-2</v>
      </c>
      <c r="G31" s="47">
        <f t="shared" si="7"/>
        <v>1.5285219035612984E-2</v>
      </c>
    </row>
    <row r="32" spans="1:8">
      <c r="A32" s="1">
        <v>2019</v>
      </c>
      <c r="B32" s="47"/>
      <c r="C32" s="45">
        <f t="shared" si="7"/>
        <v>3.6956156559717788E-3</v>
      </c>
      <c r="D32" s="46">
        <f t="shared" si="7"/>
        <v>1.2723066754791804E-2</v>
      </c>
      <c r="E32" s="47">
        <f t="shared" si="7"/>
        <v>1.4780752176055182E-2</v>
      </c>
      <c r="F32" s="45">
        <f t="shared" si="7"/>
        <v>1.5837104072398189E-2</v>
      </c>
      <c r="G32" s="46">
        <f t="shared" si="7"/>
        <v>1.7039061244172964E-2</v>
      </c>
    </row>
    <row r="33" spans="1:7">
      <c r="A33" s="1">
        <v>2020</v>
      </c>
      <c r="B33" s="46"/>
      <c r="C33" s="47">
        <f t="shared" ref="C33:G37" si="8">C20/B7</f>
        <v>7.3775989268947016E-3</v>
      </c>
      <c r="D33" s="45">
        <f t="shared" si="8"/>
        <v>1.4393305439330545E-2</v>
      </c>
      <c r="E33" s="46">
        <f t="shared" si="8"/>
        <v>1.8273780388317833E-2</v>
      </c>
      <c r="F33" s="47">
        <f t="shared" si="8"/>
        <v>1.5860171548794304E-2</v>
      </c>
      <c r="G33" s="45">
        <f t="shared" si="8"/>
        <v>1.6544702513522112E-2</v>
      </c>
    </row>
    <row r="34" spans="1:7">
      <c r="A34" s="1">
        <v>2021</v>
      </c>
      <c r="B34" s="45"/>
      <c r="C34" s="46">
        <f t="shared" si="8"/>
        <v>3.2024271026462161E-3</v>
      </c>
      <c r="D34" s="47">
        <f t="shared" si="8"/>
        <v>5.659121171770972E-3</v>
      </c>
      <c r="E34" s="45">
        <f t="shared" si="8"/>
        <v>5.2796568223065499E-3</v>
      </c>
      <c r="F34" s="46">
        <f t="shared" si="8"/>
        <v>3.6853068418522673E-3</v>
      </c>
      <c r="G34" s="47">
        <f t="shared" si="8"/>
        <v>3.5048590090807712E-3</v>
      </c>
    </row>
    <row r="35" spans="1:7">
      <c r="A35" s="1">
        <v>2022</v>
      </c>
      <c r="B35" s="47"/>
      <c r="C35" s="45">
        <f t="shared" si="8"/>
        <v>-2.3003614853762734E-3</v>
      </c>
      <c r="D35" s="46">
        <f t="shared" si="8"/>
        <v>2.5201612903225806E-3</v>
      </c>
      <c r="E35" s="47">
        <f t="shared" si="8"/>
        <v>6.9513406156901684E-3</v>
      </c>
      <c r="F35" s="45">
        <f t="shared" si="8"/>
        <v>3.7748235680288857E-3</v>
      </c>
      <c r="G35" s="46">
        <f t="shared" si="8"/>
        <v>1.1174968071519795E-3</v>
      </c>
    </row>
    <row r="36" spans="1:7">
      <c r="A36" s="1">
        <v>2023</v>
      </c>
      <c r="B36" s="48"/>
      <c r="C36" s="47">
        <f t="shared" si="8"/>
        <v>7.457739476300961E-3</v>
      </c>
      <c r="D36" s="45">
        <f t="shared" si="8"/>
        <v>1.2681159420289856E-2</v>
      </c>
      <c r="E36" s="46">
        <f t="shared" si="8"/>
        <v>1.9607843137254902E-2</v>
      </c>
      <c r="F36" s="47">
        <f t="shared" si="8"/>
        <v>2.4819197896120974E-2</v>
      </c>
      <c r="G36" s="45">
        <f t="shared" si="8"/>
        <v>2.3871811641595814E-2</v>
      </c>
    </row>
    <row r="37" spans="1:7">
      <c r="A37" s="1">
        <v>2024</v>
      </c>
      <c r="B37" s="36"/>
      <c r="C37" s="46">
        <f t="shared" si="8"/>
        <v>6.1576354679802959E-3</v>
      </c>
      <c r="D37" s="47">
        <f t="shared" si="8"/>
        <v>1.4969567363053134E-2</v>
      </c>
      <c r="E37" s="45">
        <f t="shared" si="8"/>
        <v>1.6588063099691006E-2</v>
      </c>
      <c r="F37" s="46">
        <f t="shared" si="8"/>
        <v>2.2846811308349771E-2</v>
      </c>
      <c r="G37" s="47">
        <f t="shared" si="8"/>
        <v>2.5340817963111467E-2</v>
      </c>
    </row>
    <row r="41" spans="1:7">
      <c r="A41" s="1" t="s">
        <v>242</v>
      </c>
      <c r="C41" s="44">
        <f>MIN(C29:C37)</f>
        <v>-2.3003614853762734E-3</v>
      </c>
      <c r="D41" s="44">
        <f t="shared" ref="D41:G41" si="9">MIN(D29:D37)</f>
        <v>2.5201612903225806E-3</v>
      </c>
      <c r="E41" s="44">
        <f t="shared" si="9"/>
        <v>5.2796568223065499E-3</v>
      </c>
      <c r="F41" s="44">
        <f t="shared" si="9"/>
        <v>3.6853068418522673E-3</v>
      </c>
      <c r="G41" s="44">
        <f t="shared" si="9"/>
        <v>1.1174968071519795E-3</v>
      </c>
    </row>
    <row r="42" spans="1:7">
      <c r="A42" s="1" t="s">
        <v>243</v>
      </c>
      <c r="C42" s="44">
        <f>AVERAGE(C29:C37)</f>
        <v>5.8765308883145587E-3</v>
      </c>
      <c r="D42" s="44">
        <f t="shared" ref="D42:G42" si="10">AVERAGE(D29:D37)</f>
        <v>1.2763568615768627E-2</v>
      </c>
      <c r="E42" s="44">
        <f t="shared" si="10"/>
        <v>1.5409393500129669E-2</v>
      </c>
      <c r="F42" s="44">
        <f t="shared" si="10"/>
        <v>1.4916229532246941E-2</v>
      </c>
      <c r="G42" s="44">
        <f t="shared" si="10"/>
        <v>1.4616310622915074E-2</v>
      </c>
    </row>
    <row r="43" spans="1:7">
      <c r="A43" s="1" t="s">
        <v>244</v>
      </c>
      <c r="C43" s="44">
        <f>MEDIAN(C29:C37)</f>
        <v>6.1576354679802959E-3</v>
      </c>
      <c r="D43" s="44">
        <f t="shared" ref="D43:G43" si="11">MEDIAN(D29:D37)</f>
        <v>1.4393305439330545E-2</v>
      </c>
      <c r="E43" s="44">
        <f t="shared" si="11"/>
        <v>1.8273780388317833E-2</v>
      </c>
      <c r="F43" s="44">
        <f t="shared" si="11"/>
        <v>1.5860171548794304E-2</v>
      </c>
      <c r="G43" s="44">
        <f t="shared" si="11"/>
        <v>1.5945689927376067E-2</v>
      </c>
    </row>
    <row r="44" spans="1:7">
      <c r="A44" s="1" t="s">
        <v>245</v>
      </c>
      <c r="C44" s="44">
        <f>MAX(C29:C37)</f>
        <v>1.1550874808900968E-2</v>
      </c>
      <c r="D44" s="44">
        <f t="shared" ref="D44:G44" si="12">MAX(D29:D37)</f>
        <v>2.0319059613769942E-2</v>
      </c>
      <c r="E44" s="44">
        <f t="shared" si="12"/>
        <v>2.0006668889629875E-2</v>
      </c>
      <c r="F44" s="44">
        <f t="shared" si="12"/>
        <v>2.4819197896120974E-2</v>
      </c>
      <c r="G44" s="44">
        <f t="shared" si="12"/>
        <v>2.5340817963111467E-2</v>
      </c>
    </row>
  </sheetData>
  <sheetProtection algorithmName="SHA-512" hashValue="YKTFHO+G8EiqvYgHKG2FcCBwa0EQfqIjsc9Y72so+VZPteqBjzCFy+NkEafhK+WxWzF0m+dxucS8mDft6bVXDA==" saltValue="LtYhn1fNy7JtZ9Po2CbcBA==" spinCount="100000" sheet="1" objects="1" scenarios="1" formatCells="0" formatColumns="0" formatRows="0" insertRows="0" sort="0" autoFilter="0" pivotTables="0"/>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B336-CCC6-43AD-BB75-710B2590758B}">
  <dimension ref="A1:AB30"/>
  <sheetViews>
    <sheetView workbookViewId="0">
      <selection activeCell="T15" sqref="T15:T25"/>
    </sheetView>
  </sheetViews>
  <sheetFormatPr defaultColWidth="8.85546875" defaultRowHeight="14.65"/>
  <cols>
    <col min="2" max="7" width="8" bestFit="1" customWidth="1"/>
    <col min="8" max="8" width="8.85546875" bestFit="1" customWidth="1"/>
    <col min="9" max="16" width="8" bestFit="1" customWidth="1"/>
    <col min="17" max="20" width="9" bestFit="1" customWidth="1"/>
  </cols>
  <sheetData>
    <row r="1" spans="1:28">
      <c r="A1" s="1" t="s">
        <v>246</v>
      </c>
    </row>
    <row r="2" spans="1:28">
      <c r="A2" s="1" t="s">
        <v>247</v>
      </c>
      <c r="C2" s="2"/>
      <c r="F2" s="3">
        <v>3.6956156559717788E-3</v>
      </c>
      <c r="I2" s="3">
        <v>1.2681159420289856E-2</v>
      </c>
      <c r="L2" s="3">
        <v>1.4780752176055182E-2</v>
      </c>
      <c r="O2" s="3">
        <v>1.4251401120896717E-2</v>
      </c>
    </row>
    <row r="3" spans="1:28">
      <c r="B3" s="175" t="s">
        <v>248</v>
      </c>
      <c r="C3" s="175"/>
      <c r="D3" s="175"/>
      <c r="E3" s="175" t="s">
        <v>249</v>
      </c>
      <c r="F3" s="175"/>
      <c r="G3" s="175"/>
      <c r="H3" s="175" t="s">
        <v>250</v>
      </c>
      <c r="I3" s="175"/>
      <c r="J3" s="175"/>
      <c r="K3" s="175" t="s">
        <v>251</v>
      </c>
      <c r="L3" s="175"/>
      <c r="M3" s="175"/>
      <c r="N3" s="175" t="s">
        <v>252</v>
      </c>
      <c r="O3" s="175"/>
      <c r="P3" s="175"/>
      <c r="Q3" s="175" t="s">
        <v>238</v>
      </c>
      <c r="R3" s="175"/>
      <c r="S3" s="175"/>
      <c r="T3" s="175"/>
      <c r="U3" s="175" t="s">
        <v>253</v>
      </c>
      <c r="V3" s="175"/>
      <c r="W3" s="175"/>
      <c r="X3" s="175"/>
      <c r="Y3" s="175" t="s">
        <v>254</v>
      </c>
      <c r="Z3" s="175"/>
      <c r="AA3" s="175"/>
      <c r="AB3" s="175"/>
    </row>
    <row r="4" spans="1:28">
      <c r="A4" t="s">
        <v>231</v>
      </c>
      <c r="B4" s="5" t="s">
        <v>255</v>
      </c>
      <c r="C4" s="5" t="s">
        <v>244</v>
      </c>
      <c r="D4" s="5" t="s">
        <v>256</v>
      </c>
      <c r="E4" s="5" t="s">
        <v>255</v>
      </c>
      <c r="F4" s="5" t="s">
        <v>244</v>
      </c>
      <c r="G4" s="5" t="s">
        <v>256</v>
      </c>
      <c r="H4" s="5" t="s">
        <v>255</v>
      </c>
      <c r="I4" s="5" t="s">
        <v>244</v>
      </c>
      <c r="J4" s="5" t="s">
        <v>256</v>
      </c>
      <c r="K4" s="5" t="s">
        <v>255</v>
      </c>
      <c r="L4" s="5" t="s">
        <v>244</v>
      </c>
      <c r="M4" s="5" t="s">
        <v>256</v>
      </c>
      <c r="N4" s="5" t="s">
        <v>255</v>
      </c>
      <c r="O4" s="5" t="s">
        <v>244</v>
      </c>
      <c r="P4" s="5" t="s">
        <v>256</v>
      </c>
      <c r="Q4" s="1" t="s">
        <v>255</v>
      </c>
      <c r="R4" s="1" t="s">
        <v>257</v>
      </c>
      <c r="S4" s="1" t="s">
        <v>244</v>
      </c>
      <c r="T4" s="1" t="s">
        <v>256</v>
      </c>
      <c r="U4" s="1" t="s">
        <v>255</v>
      </c>
      <c r="V4" s="1" t="s">
        <v>257</v>
      </c>
      <c r="W4" s="1" t="s">
        <v>258</v>
      </c>
      <c r="X4" s="1" t="s">
        <v>256</v>
      </c>
      <c r="Y4" s="1" t="s">
        <v>255</v>
      </c>
      <c r="Z4" s="1" t="s">
        <v>257</v>
      </c>
      <c r="AA4" s="1" t="s">
        <v>258</v>
      </c>
      <c r="AB4" s="1" t="s">
        <v>256</v>
      </c>
    </row>
    <row r="5" spans="1:28">
      <c r="A5">
        <v>2015</v>
      </c>
      <c r="B5" s="7"/>
      <c r="C5" s="7">
        <v>58870</v>
      </c>
      <c r="D5" s="7"/>
      <c r="E5" s="7"/>
      <c r="F5" s="7">
        <v>59020</v>
      </c>
      <c r="G5" s="7"/>
      <c r="H5" s="7"/>
      <c r="I5" s="7">
        <v>61290</v>
      </c>
      <c r="J5" s="7"/>
      <c r="K5" s="7"/>
      <c r="L5" s="7">
        <v>62450</v>
      </c>
      <c r="M5" s="7"/>
      <c r="N5" s="7"/>
      <c r="O5" s="7">
        <v>63580</v>
      </c>
      <c r="P5" s="7"/>
      <c r="Q5" s="8"/>
      <c r="R5" s="8">
        <f>SUM(C5,F5,I5,L5,O5)</f>
        <v>305210</v>
      </c>
      <c r="S5" s="8"/>
      <c r="T5" s="8"/>
      <c r="U5" s="7"/>
      <c r="V5" s="7">
        <f>SUM(C5,F5)</f>
        <v>117890</v>
      </c>
      <c r="W5" s="7"/>
      <c r="X5" s="7"/>
      <c r="Z5" s="22">
        <f>SUM(I5,L5,O5)</f>
        <v>187320</v>
      </c>
    </row>
    <row r="6" spans="1:28">
      <c r="A6">
        <v>2016</v>
      </c>
      <c r="B6" s="7"/>
      <c r="C6" s="7">
        <v>59400</v>
      </c>
      <c r="D6" s="7"/>
      <c r="E6" s="7"/>
      <c r="F6" s="7">
        <v>59550</v>
      </c>
      <c r="G6" s="7"/>
      <c r="H6" s="7"/>
      <c r="I6" s="7">
        <v>59980</v>
      </c>
      <c r="J6" s="7"/>
      <c r="K6" s="7"/>
      <c r="L6" s="7">
        <v>62440</v>
      </c>
      <c r="M6" s="7"/>
      <c r="N6" s="7"/>
      <c r="O6" s="7">
        <v>63340</v>
      </c>
      <c r="P6" s="7"/>
      <c r="Q6" s="8"/>
      <c r="R6" s="8">
        <f>SUM(C6,F6,I6,L6,O6)</f>
        <v>304710</v>
      </c>
      <c r="S6" s="8"/>
      <c r="T6" s="8"/>
      <c r="U6" s="7"/>
      <c r="V6" s="7">
        <f t="shared" ref="V6:V14" si="0">SUM(C6,F6)</f>
        <v>118950</v>
      </c>
      <c r="W6" s="7"/>
      <c r="X6" s="7"/>
      <c r="Z6" s="22">
        <f t="shared" ref="Z6:Z14" si="1">SUM(I6,L6,O6)</f>
        <v>185760</v>
      </c>
    </row>
    <row r="7" spans="1:28">
      <c r="A7">
        <v>2017</v>
      </c>
      <c r="B7" s="7"/>
      <c r="C7" s="7">
        <v>60150</v>
      </c>
      <c r="D7" s="7"/>
      <c r="E7" s="7"/>
      <c r="F7" s="7">
        <v>59970</v>
      </c>
      <c r="G7" s="7"/>
      <c r="H7" s="7"/>
      <c r="I7" s="7">
        <v>60760</v>
      </c>
      <c r="J7" s="7"/>
      <c r="K7" s="7"/>
      <c r="L7" s="7">
        <v>61180</v>
      </c>
      <c r="M7" s="7"/>
      <c r="N7" s="7"/>
      <c r="O7" s="7">
        <v>63460</v>
      </c>
      <c r="P7" s="7"/>
      <c r="Q7" s="8"/>
      <c r="R7" s="8">
        <f>SUM(C7,F7,I7,L7,O7)</f>
        <v>305520</v>
      </c>
      <c r="S7" s="8"/>
      <c r="T7" s="8"/>
      <c r="U7" s="7"/>
      <c r="V7" s="7">
        <f t="shared" si="0"/>
        <v>120120</v>
      </c>
      <c r="W7" s="7"/>
      <c r="X7" s="7"/>
      <c r="Z7" s="22">
        <f t="shared" si="1"/>
        <v>185400</v>
      </c>
    </row>
    <row r="8" spans="1:28">
      <c r="A8">
        <v>2018</v>
      </c>
      <c r="B8" s="7"/>
      <c r="C8" s="7">
        <v>59530</v>
      </c>
      <c r="D8" s="7"/>
      <c r="E8" s="7"/>
      <c r="F8" s="7">
        <v>60520</v>
      </c>
      <c r="G8" s="7"/>
      <c r="H8" s="7"/>
      <c r="I8" s="7">
        <v>60890</v>
      </c>
      <c r="J8" s="7"/>
      <c r="K8" s="7"/>
      <c r="L8" s="7">
        <v>61880</v>
      </c>
      <c r="M8" s="7"/>
      <c r="N8" s="7"/>
      <c r="O8" s="7">
        <v>62210</v>
      </c>
      <c r="P8" s="7"/>
      <c r="Q8" s="8"/>
      <c r="R8" s="8">
        <f>SUM(C8,F8,I8,L8,O8)</f>
        <v>305030</v>
      </c>
      <c r="S8" s="8"/>
      <c r="T8" s="8"/>
      <c r="U8" s="7"/>
      <c r="V8" s="7">
        <f t="shared" si="0"/>
        <v>120050</v>
      </c>
      <c r="W8" s="7"/>
      <c r="X8" s="7"/>
      <c r="Z8" s="22">
        <f t="shared" si="1"/>
        <v>184980</v>
      </c>
    </row>
    <row r="9" spans="1:28">
      <c r="A9">
        <v>2019</v>
      </c>
      <c r="B9" s="7"/>
      <c r="C9" s="7">
        <v>59640</v>
      </c>
      <c r="D9" s="7"/>
      <c r="E9" s="7"/>
      <c r="F9" s="7">
        <v>59750</v>
      </c>
      <c r="G9" s="7"/>
      <c r="H9" s="7"/>
      <c r="I9" s="7">
        <v>61290</v>
      </c>
      <c r="J9" s="7"/>
      <c r="K9" s="7"/>
      <c r="L9" s="7">
        <v>61790</v>
      </c>
      <c r="M9" s="7"/>
      <c r="N9" s="7"/>
      <c r="O9" s="7">
        <v>62860</v>
      </c>
      <c r="P9" s="7"/>
      <c r="Q9" s="8"/>
      <c r="R9" s="8">
        <f>SUM(C9,F9,I9,L9,O9)</f>
        <v>305330</v>
      </c>
      <c r="S9" s="8"/>
      <c r="T9" s="8"/>
      <c r="U9" s="7"/>
      <c r="V9" s="7">
        <f t="shared" si="0"/>
        <v>119390</v>
      </c>
      <c r="W9" s="7"/>
      <c r="X9" s="7"/>
      <c r="Z9" s="22">
        <f t="shared" si="1"/>
        <v>185940</v>
      </c>
    </row>
    <row r="10" spans="1:28">
      <c r="A10">
        <v>2020</v>
      </c>
      <c r="B10" s="7"/>
      <c r="C10" s="7">
        <v>59330</v>
      </c>
      <c r="D10" s="7"/>
      <c r="E10" s="7"/>
      <c r="F10" s="7">
        <v>60080</v>
      </c>
      <c r="G10" s="7"/>
      <c r="H10" s="7"/>
      <c r="I10" s="7">
        <v>60610</v>
      </c>
      <c r="J10" s="7"/>
      <c r="K10" s="7"/>
      <c r="L10" s="7">
        <v>62410</v>
      </c>
      <c r="M10" s="7"/>
      <c r="N10" s="7"/>
      <c r="O10" s="7">
        <v>62770</v>
      </c>
      <c r="P10" s="7"/>
      <c r="Q10" s="8"/>
      <c r="R10" s="8">
        <f t="shared" ref="R10:R12" si="2">SUM(C10,F10,I10,L10,O10)</f>
        <v>305200</v>
      </c>
      <c r="S10" s="8"/>
      <c r="T10" s="8"/>
      <c r="U10" s="7"/>
      <c r="V10" s="7">
        <f t="shared" si="0"/>
        <v>119410</v>
      </c>
      <c r="W10" s="7"/>
      <c r="X10" s="7"/>
      <c r="Z10" s="22">
        <f t="shared" si="1"/>
        <v>185790</v>
      </c>
    </row>
    <row r="11" spans="1:28">
      <c r="A11">
        <v>2021</v>
      </c>
      <c r="B11" s="7"/>
      <c r="C11" s="7">
        <v>60860</v>
      </c>
      <c r="D11" s="7"/>
      <c r="E11" s="7"/>
      <c r="F11" s="7">
        <v>59520</v>
      </c>
      <c r="G11" s="7"/>
      <c r="H11" s="7"/>
      <c r="I11" s="7">
        <v>60420</v>
      </c>
      <c r="J11" s="7"/>
      <c r="K11" s="7"/>
      <c r="L11" s="7">
        <v>60930</v>
      </c>
      <c r="M11" s="7"/>
      <c r="N11" s="7"/>
      <c r="O11" s="7">
        <v>62640</v>
      </c>
      <c r="P11" s="7"/>
      <c r="Q11" s="8"/>
      <c r="R11" s="8">
        <f>SUM(C11,F11,I11,L11,O11)</f>
        <v>304370</v>
      </c>
      <c r="S11" s="8"/>
      <c r="T11" s="8"/>
      <c r="U11" s="7"/>
      <c r="V11" s="7">
        <f t="shared" si="0"/>
        <v>120380</v>
      </c>
      <c r="W11" s="7"/>
      <c r="X11" s="7"/>
      <c r="Z11" s="22">
        <f t="shared" si="1"/>
        <v>183990</v>
      </c>
    </row>
    <row r="12" spans="1:28">
      <c r="A12">
        <v>2022</v>
      </c>
      <c r="B12" s="7"/>
      <c r="C12" s="7">
        <v>60340</v>
      </c>
      <c r="D12" s="7"/>
      <c r="E12" s="7"/>
      <c r="F12" s="7">
        <v>60720</v>
      </c>
      <c r="G12" s="7"/>
      <c r="H12" s="7"/>
      <c r="I12" s="7">
        <v>59670</v>
      </c>
      <c r="J12" s="7"/>
      <c r="K12" s="7"/>
      <c r="L12" s="7">
        <v>60840</v>
      </c>
      <c r="M12" s="7"/>
      <c r="N12" s="7"/>
      <c r="O12" s="7">
        <v>61160</v>
      </c>
      <c r="P12" s="7"/>
      <c r="Q12" s="8"/>
      <c r="R12" s="8">
        <f t="shared" si="2"/>
        <v>302730</v>
      </c>
      <c r="S12" s="8"/>
      <c r="T12" s="8"/>
      <c r="U12" s="7"/>
      <c r="V12" s="7">
        <f t="shared" si="0"/>
        <v>121060</v>
      </c>
      <c r="W12" s="7"/>
      <c r="X12" s="7"/>
      <c r="Z12" s="22">
        <f t="shared" si="1"/>
        <v>181670</v>
      </c>
    </row>
    <row r="13" spans="1:28">
      <c r="A13">
        <v>2023</v>
      </c>
      <c r="B13" s="7"/>
      <c r="C13" s="7">
        <v>56840</v>
      </c>
      <c r="D13" s="7"/>
      <c r="E13" s="7"/>
      <c r="F13" s="7">
        <v>60790</v>
      </c>
      <c r="G13" s="7"/>
      <c r="H13" s="7"/>
      <c r="I13" s="7">
        <v>61490</v>
      </c>
      <c r="J13" s="7"/>
      <c r="K13" s="7"/>
      <c r="L13" s="7">
        <v>60840</v>
      </c>
      <c r="M13" s="7"/>
      <c r="N13" s="7"/>
      <c r="O13" s="7">
        <v>62350</v>
      </c>
      <c r="P13" s="7"/>
      <c r="Q13" s="8"/>
      <c r="R13" s="8">
        <f>SUM(C13,F13,I13,L13,O13)</f>
        <v>302310</v>
      </c>
      <c r="S13" s="8"/>
      <c r="T13" s="8"/>
      <c r="U13" s="7"/>
      <c r="V13" s="7">
        <f t="shared" si="0"/>
        <v>117630</v>
      </c>
      <c r="W13" s="7"/>
      <c r="X13" s="7"/>
      <c r="Z13" s="22">
        <f t="shared" si="1"/>
        <v>184680</v>
      </c>
    </row>
    <row r="14" spans="1:28">
      <c r="A14">
        <v>2024</v>
      </c>
      <c r="B14" s="7"/>
      <c r="C14" s="7">
        <v>57070</v>
      </c>
      <c r="D14" s="7"/>
      <c r="E14" s="7"/>
      <c r="F14" s="7">
        <v>57190</v>
      </c>
      <c r="G14" s="7"/>
      <c r="H14" s="7"/>
      <c r="I14" s="7">
        <v>61700</v>
      </c>
      <c r="J14" s="7"/>
      <c r="K14" s="7"/>
      <c r="L14" s="7">
        <v>62510</v>
      </c>
      <c r="M14" s="7"/>
      <c r="N14" s="7"/>
      <c r="O14" s="7">
        <v>62230</v>
      </c>
      <c r="P14" s="7"/>
      <c r="Q14" s="8">
        <v>300700</v>
      </c>
      <c r="R14" s="8">
        <f>SUM(C14,F14,I14,L14,O14)</f>
        <v>300700</v>
      </c>
      <c r="S14" s="8">
        <v>300700</v>
      </c>
      <c r="T14" s="8">
        <v>300700</v>
      </c>
      <c r="U14" s="7">
        <f>V14</f>
        <v>114260</v>
      </c>
      <c r="V14" s="7">
        <f t="shared" si="0"/>
        <v>114260</v>
      </c>
      <c r="W14" s="7">
        <f>V14</f>
        <v>114260</v>
      </c>
      <c r="X14" s="7">
        <f>V14</f>
        <v>114260</v>
      </c>
      <c r="Y14" s="7">
        <f>Z14</f>
        <v>186440</v>
      </c>
      <c r="Z14" s="22">
        <f t="shared" si="1"/>
        <v>186440</v>
      </c>
      <c r="AA14" s="22">
        <f>Z14</f>
        <v>186440</v>
      </c>
      <c r="AB14" s="22">
        <f>Z14</f>
        <v>186440</v>
      </c>
    </row>
    <row r="15" spans="1:28">
      <c r="A15">
        <v>2025</v>
      </c>
      <c r="B15" s="9">
        <v>56850</v>
      </c>
      <c r="C15" s="9">
        <v>58130</v>
      </c>
      <c r="D15" s="9">
        <v>59320</v>
      </c>
      <c r="E15" s="9">
        <v>56790</v>
      </c>
      <c r="F15" s="9">
        <v>57030</v>
      </c>
      <c r="G15" s="9">
        <v>57240</v>
      </c>
      <c r="H15" s="9">
        <v>57140</v>
      </c>
      <c r="I15" s="9">
        <v>57380</v>
      </c>
      <c r="J15" s="9">
        <v>57570</v>
      </c>
      <c r="K15" s="9">
        <v>61720</v>
      </c>
      <c r="L15" s="9">
        <v>61980</v>
      </c>
      <c r="M15" s="9">
        <v>62170</v>
      </c>
      <c r="N15" s="9">
        <v>62610</v>
      </c>
      <c r="O15" s="9">
        <v>62890</v>
      </c>
      <c r="P15" s="9">
        <v>63050</v>
      </c>
      <c r="Q15" s="8">
        <f>SUM(B15,E15,H15,K15,N15)</f>
        <v>295110</v>
      </c>
      <c r="R15" s="7"/>
      <c r="S15" s="8">
        <f>SUM(C15,F15,I15,L15,O15)</f>
        <v>297410</v>
      </c>
      <c r="T15" s="8">
        <f>SUM(D15,G15,J15,M15,P15)</f>
        <v>299350</v>
      </c>
      <c r="U15" s="22">
        <f>SUM(B15,E15)</f>
        <v>113640</v>
      </c>
      <c r="W15" s="22">
        <f>SUM(C15,F15)</f>
        <v>115160</v>
      </c>
      <c r="X15" s="22">
        <f>SUM(D15,F15)</f>
        <v>116350</v>
      </c>
      <c r="Y15" s="7">
        <f>SUM(I15,L15,O15)</f>
        <v>182250</v>
      </c>
      <c r="Z15" s="22"/>
      <c r="AA15" s="22">
        <f>SUM(I15,L15,O15)</f>
        <v>182250</v>
      </c>
      <c r="AB15" s="22">
        <f>SUM(I15,L15,O15)</f>
        <v>182250</v>
      </c>
    </row>
    <row r="16" spans="1:28">
      <c r="A16">
        <v>2026</v>
      </c>
      <c r="B16" s="9">
        <v>56100</v>
      </c>
      <c r="C16" s="9">
        <v>58140</v>
      </c>
      <c r="D16" s="9">
        <v>59990</v>
      </c>
      <c r="E16" s="9">
        <v>56510</v>
      </c>
      <c r="F16" s="9">
        <v>58120</v>
      </c>
      <c r="G16" s="9">
        <v>59390</v>
      </c>
      <c r="H16" s="9">
        <v>56880</v>
      </c>
      <c r="I16" s="9">
        <v>57260</v>
      </c>
      <c r="J16" s="9">
        <v>57580</v>
      </c>
      <c r="K16" s="9">
        <v>57290</v>
      </c>
      <c r="L16" s="9">
        <v>57700</v>
      </c>
      <c r="M16" s="9">
        <v>58050</v>
      </c>
      <c r="N16" s="9">
        <v>61950</v>
      </c>
      <c r="O16" s="9">
        <v>62400</v>
      </c>
      <c r="P16" s="9">
        <v>62760</v>
      </c>
      <c r="Q16" s="8">
        <f t="shared" ref="Q16:Q28" si="3">SUM(B16,E16,H16,K16,N16)</f>
        <v>288730</v>
      </c>
      <c r="R16" s="7"/>
      <c r="S16" s="8">
        <f t="shared" ref="S16:S28" si="4">SUM(C16,F16,I16,L16,O16)</f>
        <v>293620</v>
      </c>
      <c r="T16" s="8">
        <f>SUM(O16,L16,I16,G16,D16)</f>
        <v>296740</v>
      </c>
      <c r="U16" s="22">
        <f>SUM(B16,E16)</f>
        <v>112610</v>
      </c>
      <c r="W16" s="22">
        <f>SUM(C16,F16)</f>
        <v>116260</v>
      </c>
      <c r="X16" s="22">
        <f t="shared" ref="X16:X28" si="5">SUM(D16,G16)</f>
        <v>119380</v>
      </c>
      <c r="Y16" s="7">
        <f>SUM(I16,L16,O16)</f>
        <v>177360</v>
      </c>
      <c r="Z16" s="22"/>
      <c r="AA16" s="22">
        <f t="shared" ref="AA16:AB28" si="6">SUM(I16,L16,O16)</f>
        <v>177360</v>
      </c>
      <c r="AB16" s="22">
        <f>SUM(I16,L16,O16)</f>
        <v>177360</v>
      </c>
    </row>
    <row r="17" spans="1:28">
      <c r="A17">
        <v>2027</v>
      </c>
      <c r="B17" s="9">
        <v>55500</v>
      </c>
      <c r="C17" s="9">
        <v>58130</v>
      </c>
      <c r="D17" s="9">
        <v>60480</v>
      </c>
      <c r="E17" s="9">
        <v>56090</v>
      </c>
      <c r="F17" s="9">
        <v>58160</v>
      </c>
      <c r="G17" s="9">
        <v>60080</v>
      </c>
      <c r="H17" s="9">
        <v>56750</v>
      </c>
      <c r="I17" s="9">
        <v>58380</v>
      </c>
      <c r="J17" s="9">
        <v>59670</v>
      </c>
      <c r="K17" s="9">
        <v>57060</v>
      </c>
      <c r="L17" s="9">
        <v>57620</v>
      </c>
      <c r="M17" s="9">
        <v>58130</v>
      </c>
      <c r="N17" s="9">
        <v>57540</v>
      </c>
      <c r="O17" s="9">
        <v>58160</v>
      </c>
      <c r="P17" s="9">
        <v>58710</v>
      </c>
      <c r="Q17" s="8">
        <f t="shared" si="3"/>
        <v>282940</v>
      </c>
      <c r="R17" s="7"/>
      <c r="S17" s="8">
        <f t="shared" si="4"/>
        <v>290450</v>
      </c>
      <c r="T17" s="8">
        <f>SUM(O17,L17,J17,G17,D17)</f>
        <v>296010</v>
      </c>
      <c r="U17" s="22">
        <f t="shared" ref="U17:U28" si="7">SUM(B17,E17)</f>
        <v>111590</v>
      </c>
      <c r="W17" s="22">
        <f t="shared" ref="W17:W28" si="8">SUM(C17,F17)</f>
        <v>116290</v>
      </c>
      <c r="X17" s="22">
        <f t="shared" si="5"/>
        <v>120560</v>
      </c>
      <c r="Y17" s="7">
        <f>SUM(H17,L17,O17)</f>
        <v>172530</v>
      </c>
      <c r="Z17" s="22"/>
      <c r="AA17" s="22">
        <f t="shared" si="6"/>
        <v>174160</v>
      </c>
      <c r="AB17" s="22">
        <f>SUM(J17,L17,O17)</f>
        <v>175450</v>
      </c>
    </row>
    <row r="18" spans="1:28">
      <c r="A18">
        <v>2028</v>
      </c>
      <c r="B18" s="9">
        <v>55090</v>
      </c>
      <c r="C18" s="9">
        <v>58100</v>
      </c>
      <c r="D18" s="9">
        <v>60960</v>
      </c>
      <c r="E18" s="9">
        <v>55470</v>
      </c>
      <c r="F18" s="9">
        <v>58170</v>
      </c>
      <c r="G18" s="9">
        <v>60580</v>
      </c>
      <c r="H18" s="9">
        <v>56360</v>
      </c>
      <c r="I18" s="9">
        <v>58450</v>
      </c>
      <c r="J18" s="9">
        <v>60380</v>
      </c>
      <c r="K18" s="9">
        <v>57080</v>
      </c>
      <c r="L18" s="9">
        <v>58770</v>
      </c>
      <c r="M18" s="9">
        <v>60140</v>
      </c>
      <c r="N18" s="9">
        <v>57370</v>
      </c>
      <c r="O18" s="9">
        <v>58110</v>
      </c>
      <c r="P18" s="9">
        <v>58750</v>
      </c>
      <c r="Q18" s="8">
        <f t="shared" si="3"/>
        <v>281370</v>
      </c>
      <c r="R18" s="7"/>
      <c r="S18" s="8">
        <f t="shared" si="4"/>
        <v>291600</v>
      </c>
      <c r="T18" s="8">
        <f>SUM(O18,M18,J18,G18,D18)</f>
        <v>300170</v>
      </c>
      <c r="U18" s="22">
        <f t="shared" si="7"/>
        <v>110560</v>
      </c>
      <c r="W18" s="22">
        <f t="shared" si="8"/>
        <v>116270</v>
      </c>
      <c r="X18" s="22">
        <f t="shared" si="5"/>
        <v>121540</v>
      </c>
      <c r="Y18" s="7">
        <f>SUM(H18,K18,O18)</f>
        <v>171550</v>
      </c>
      <c r="Z18" s="22"/>
      <c r="AA18" s="22">
        <f t="shared" si="6"/>
        <v>175330</v>
      </c>
      <c r="AB18" s="22">
        <f>SUM(J18,M18,O18)</f>
        <v>178630</v>
      </c>
    </row>
    <row r="19" spans="1:28">
      <c r="A19">
        <v>2029</v>
      </c>
      <c r="B19" s="9">
        <v>54710</v>
      </c>
      <c r="C19" s="9">
        <v>58070</v>
      </c>
      <c r="D19" s="9">
        <v>61270</v>
      </c>
      <c r="E19" s="9">
        <v>55080</v>
      </c>
      <c r="F19" s="9">
        <v>58160</v>
      </c>
      <c r="G19" s="9">
        <v>61040</v>
      </c>
      <c r="H19" s="9">
        <v>55840</v>
      </c>
      <c r="I19" s="9">
        <v>58480</v>
      </c>
      <c r="J19" s="9">
        <v>60890</v>
      </c>
      <c r="K19" s="9">
        <v>56710</v>
      </c>
      <c r="L19" s="9">
        <v>58860</v>
      </c>
      <c r="M19" s="9">
        <v>60930</v>
      </c>
      <c r="N19" s="9">
        <v>57560</v>
      </c>
      <c r="O19" s="9">
        <v>59280</v>
      </c>
      <c r="P19" s="9">
        <v>60690</v>
      </c>
      <c r="Q19" s="8">
        <f t="shared" si="3"/>
        <v>279900</v>
      </c>
      <c r="R19" s="7"/>
      <c r="S19" s="8">
        <f t="shared" si="4"/>
        <v>292850</v>
      </c>
      <c r="T19" s="8">
        <f>SUM(P19,M19,J19,G19,D19)</f>
        <v>304820</v>
      </c>
      <c r="U19" s="22">
        <f t="shared" si="7"/>
        <v>109790</v>
      </c>
      <c r="W19" s="22">
        <f t="shared" si="8"/>
        <v>116230</v>
      </c>
      <c r="X19" s="22">
        <f t="shared" si="5"/>
        <v>122310</v>
      </c>
      <c r="Y19" s="7">
        <f t="shared" ref="Y19:Y28" si="9">SUM(H19,K19,N19)</f>
        <v>170110</v>
      </c>
      <c r="Z19" s="22"/>
      <c r="AA19" s="22">
        <f t="shared" si="6"/>
        <v>176620</v>
      </c>
      <c r="AB19" s="22">
        <f t="shared" si="6"/>
        <v>182510</v>
      </c>
    </row>
    <row r="20" spans="1:28">
      <c r="A20">
        <v>2030</v>
      </c>
      <c r="B20" s="9">
        <v>54380</v>
      </c>
      <c r="C20" s="9">
        <v>58050</v>
      </c>
      <c r="D20" s="9">
        <v>61580</v>
      </c>
      <c r="E20" s="9">
        <v>54780</v>
      </c>
      <c r="F20" s="9">
        <v>58140</v>
      </c>
      <c r="G20" s="9">
        <v>61390</v>
      </c>
      <c r="H20" s="9">
        <v>55390</v>
      </c>
      <c r="I20" s="9">
        <v>58480</v>
      </c>
      <c r="J20" s="9">
        <v>61390</v>
      </c>
      <c r="K20" s="9">
        <v>56270</v>
      </c>
      <c r="L20" s="9">
        <v>58900</v>
      </c>
      <c r="M20" s="9">
        <v>61310</v>
      </c>
      <c r="N20" s="9">
        <v>57170</v>
      </c>
      <c r="O20" s="9">
        <v>59390</v>
      </c>
      <c r="P20" s="9">
        <v>61590</v>
      </c>
      <c r="Q20" s="8">
        <f t="shared" si="3"/>
        <v>277990</v>
      </c>
      <c r="R20" s="7"/>
      <c r="S20" s="8">
        <f t="shared" si="4"/>
        <v>292960</v>
      </c>
      <c r="T20" s="8">
        <f t="shared" ref="T20:T28" si="10">SUM(P20,M20,J20,G20,D20)</f>
        <v>307260</v>
      </c>
      <c r="U20" s="22">
        <f t="shared" si="7"/>
        <v>109160</v>
      </c>
      <c r="W20" s="22">
        <f t="shared" si="8"/>
        <v>116190</v>
      </c>
      <c r="X20" s="22">
        <f t="shared" si="5"/>
        <v>122970</v>
      </c>
      <c r="Y20" s="7">
        <f t="shared" si="9"/>
        <v>168830</v>
      </c>
      <c r="Z20" s="22"/>
      <c r="AA20" s="22">
        <f t="shared" si="6"/>
        <v>176770</v>
      </c>
      <c r="AB20" s="22">
        <f t="shared" si="6"/>
        <v>184290</v>
      </c>
    </row>
    <row r="21" spans="1:28">
      <c r="A21">
        <v>2031</v>
      </c>
      <c r="B21" s="9">
        <v>53950</v>
      </c>
      <c r="C21" s="9">
        <v>58060</v>
      </c>
      <c r="D21" s="9">
        <v>61880</v>
      </c>
      <c r="E21" s="9">
        <v>54460</v>
      </c>
      <c r="F21" s="9">
        <v>58130</v>
      </c>
      <c r="G21" s="9">
        <v>61620</v>
      </c>
      <c r="H21" s="9">
        <v>55050</v>
      </c>
      <c r="I21" s="9">
        <v>58460</v>
      </c>
      <c r="J21" s="9">
        <v>61650</v>
      </c>
      <c r="K21" s="9">
        <v>55820</v>
      </c>
      <c r="L21" s="9">
        <v>58910</v>
      </c>
      <c r="M21" s="9">
        <v>61830</v>
      </c>
      <c r="N21" s="9">
        <v>56810</v>
      </c>
      <c r="O21" s="9">
        <v>59440</v>
      </c>
      <c r="P21" s="9">
        <v>61910</v>
      </c>
      <c r="Q21" s="8">
        <f t="shared" si="3"/>
        <v>276090</v>
      </c>
      <c r="R21" s="7"/>
      <c r="S21" s="8">
        <f t="shared" si="4"/>
        <v>293000</v>
      </c>
      <c r="T21" s="8">
        <f t="shared" si="10"/>
        <v>308890</v>
      </c>
      <c r="U21" s="22">
        <f t="shared" si="7"/>
        <v>108410</v>
      </c>
      <c r="W21" s="22">
        <f t="shared" si="8"/>
        <v>116190</v>
      </c>
      <c r="X21" s="22">
        <f t="shared" si="5"/>
        <v>123500</v>
      </c>
      <c r="Y21" s="7">
        <f t="shared" si="9"/>
        <v>167680</v>
      </c>
      <c r="Z21" s="22"/>
      <c r="AA21" s="22">
        <f t="shared" si="6"/>
        <v>176810</v>
      </c>
      <c r="AB21" s="22">
        <f t="shared" si="6"/>
        <v>185390</v>
      </c>
    </row>
    <row r="22" spans="1:28">
      <c r="A22">
        <v>2032</v>
      </c>
      <c r="B22" s="9">
        <v>53760</v>
      </c>
      <c r="C22" s="9">
        <v>58100</v>
      </c>
      <c r="D22" s="9">
        <v>62280</v>
      </c>
      <c r="E22" s="9">
        <v>54010</v>
      </c>
      <c r="F22" s="9">
        <v>58140</v>
      </c>
      <c r="G22" s="9">
        <v>61970</v>
      </c>
      <c r="H22" s="9">
        <v>54790</v>
      </c>
      <c r="I22" s="9">
        <v>58450</v>
      </c>
      <c r="J22" s="9">
        <v>62010</v>
      </c>
      <c r="K22" s="9">
        <v>55470</v>
      </c>
      <c r="L22" s="9">
        <v>58900</v>
      </c>
      <c r="M22" s="9">
        <v>62200</v>
      </c>
      <c r="N22" s="9">
        <v>56310</v>
      </c>
      <c r="O22" s="9">
        <v>59450</v>
      </c>
      <c r="P22" s="9">
        <v>62410</v>
      </c>
      <c r="Q22" s="8">
        <f t="shared" si="3"/>
        <v>274340</v>
      </c>
      <c r="R22" s="7"/>
      <c r="S22" s="8">
        <f t="shared" si="4"/>
        <v>293040</v>
      </c>
      <c r="T22" s="8">
        <f t="shared" si="10"/>
        <v>310870</v>
      </c>
      <c r="U22" s="22">
        <f t="shared" si="7"/>
        <v>107770</v>
      </c>
      <c r="W22" s="22">
        <f t="shared" si="8"/>
        <v>116240</v>
      </c>
      <c r="X22" s="22">
        <f t="shared" si="5"/>
        <v>124250</v>
      </c>
      <c r="Y22" s="7">
        <f t="shared" si="9"/>
        <v>166570</v>
      </c>
      <c r="Z22" s="22"/>
      <c r="AA22" s="22">
        <f t="shared" si="6"/>
        <v>176800</v>
      </c>
      <c r="AB22" s="22">
        <f t="shared" si="6"/>
        <v>186620</v>
      </c>
    </row>
    <row r="23" spans="1:28">
      <c r="A23">
        <v>2033</v>
      </c>
      <c r="B23" s="9">
        <v>53570</v>
      </c>
      <c r="C23" s="9">
        <v>58210</v>
      </c>
      <c r="D23" s="9">
        <v>62710</v>
      </c>
      <c r="E23" s="9">
        <v>53870</v>
      </c>
      <c r="F23" s="9">
        <v>58190</v>
      </c>
      <c r="G23" s="9">
        <v>62280</v>
      </c>
      <c r="H23" s="9">
        <v>54370</v>
      </c>
      <c r="I23" s="9">
        <v>58470</v>
      </c>
      <c r="J23" s="9">
        <v>62300</v>
      </c>
      <c r="K23" s="9">
        <v>55180</v>
      </c>
      <c r="L23" s="9">
        <v>58890</v>
      </c>
      <c r="M23" s="9">
        <v>62620</v>
      </c>
      <c r="N23" s="9">
        <v>55930</v>
      </c>
      <c r="O23" s="9">
        <v>59440</v>
      </c>
      <c r="P23" s="9">
        <v>62770</v>
      </c>
      <c r="Q23" s="8">
        <f t="shared" si="3"/>
        <v>272920</v>
      </c>
      <c r="R23" s="7"/>
      <c r="S23" s="8">
        <f t="shared" si="4"/>
        <v>293200</v>
      </c>
      <c r="T23" s="8">
        <f t="shared" si="10"/>
        <v>312680</v>
      </c>
      <c r="U23" s="22">
        <f t="shared" si="7"/>
        <v>107440</v>
      </c>
      <c r="W23" s="22">
        <f t="shared" si="8"/>
        <v>116400</v>
      </c>
      <c r="X23" s="22">
        <f t="shared" si="5"/>
        <v>124990</v>
      </c>
      <c r="Y23" s="7">
        <f t="shared" si="9"/>
        <v>165480</v>
      </c>
      <c r="Z23" s="22"/>
      <c r="AA23" s="22">
        <f t="shared" si="6"/>
        <v>176800</v>
      </c>
      <c r="AB23" s="22">
        <f t="shared" si="6"/>
        <v>187690</v>
      </c>
    </row>
    <row r="24" spans="1:28">
      <c r="A24">
        <v>2034</v>
      </c>
      <c r="B24" s="9">
        <v>53610</v>
      </c>
      <c r="C24" s="9">
        <v>58380</v>
      </c>
      <c r="D24" s="9">
        <v>62970</v>
      </c>
      <c r="E24" s="9">
        <v>53690</v>
      </c>
      <c r="F24" s="9">
        <v>58300</v>
      </c>
      <c r="G24" s="9">
        <v>62780</v>
      </c>
      <c r="H24" s="9">
        <v>54180</v>
      </c>
      <c r="I24" s="9">
        <v>58520</v>
      </c>
      <c r="J24" s="9">
        <v>62600</v>
      </c>
      <c r="K24" s="9">
        <v>54800</v>
      </c>
      <c r="L24" s="9">
        <v>58910</v>
      </c>
      <c r="M24" s="9">
        <v>62800</v>
      </c>
      <c r="N24" s="9">
        <v>55660</v>
      </c>
      <c r="O24" s="9">
        <v>59440</v>
      </c>
      <c r="P24" s="9">
        <v>63130</v>
      </c>
      <c r="Q24" s="8">
        <f t="shared" si="3"/>
        <v>271940</v>
      </c>
      <c r="R24" s="7"/>
      <c r="S24" s="8">
        <f t="shared" si="4"/>
        <v>293550</v>
      </c>
      <c r="T24" s="8">
        <f t="shared" si="10"/>
        <v>314280</v>
      </c>
      <c r="U24" s="22">
        <f t="shared" si="7"/>
        <v>107300</v>
      </c>
      <c r="W24" s="22">
        <f t="shared" si="8"/>
        <v>116680</v>
      </c>
      <c r="X24" s="22">
        <f t="shared" si="5"/>
        <v>125750</v>
      </c>
      <c r="Y24" s="7">
        <f t="shared" si="9"/>
        <v>164640</v>
      </c>
      <c r="Z24" s="22"/>
      <c r="AA24" s="22">
        <f t="shared" si="6"/>
        <v>176870</v>
      </c>
      <c r="AB24" s="22">
        <f t="shared" si="6"/>
        <v>188530</v>
      </c>
    </row>
    <row r="25" spans="1:28">
      <c r="A25">
        <v>2035</v>
      </c>
      <c r="B25" s="9">
        <v>53470</v>
      </c>
      <c r="C25" s="9">
        <v>58620</v>
      </c>
      <c r="D25" s="9">
        <v>63520</v>
      </c>
      <c r="E25" s="9">
        <v>53660</v>
      </c>
      <c r="F25" s="9">
        <v>58470</v>
      </c>
      <c r="G25" s="9">
        <v>63090</v>
      </c>
      <c r="H25" s="9">
        <v>54120</v>
      </c>
      <c r="I25" s="9">
        <v>58630</v>
      </c>
      <c r="J25" s="9">
        <v>63070</v>
      </c>
      <c r="K25" s="9">
        <v>54660</v>
      </c>
      <c r="L25" s="9">
        <v>58970</v>
      </c>
      <c r="M25" s="9">
        <v>63030</v>
      </c>
      <c r="N25" s="9">
        <v>55310</v>
      </c>
      <c r="O25" s="9">
        <v>59460</v>
      </c>
      <c r="P25" s="9">
        <v>63380</v>
      </c>
      <c r="Q25" s="8">
        <f t="shared" si="3"/>
        <v>271220</v>
      </c>
      <c r="R25" s="7"/>
      <c r="S25" s="8">
        <f t="shared" si="4"/>
        <v>294150</v>
      </c>
      <c r="T25" s="8">
        <f t="shared" si="10"/>
        <v>316090</v>
      </c>
      <c r="U25" s="22">
        <f t="shared" si="7"/>
        <v>107130</v>
      </c>
      <c r="W25" s="22">
        <f t="shared" si="8"/>
        <v>117090</v>
      </c>
      <c r="X25" s="22">
        <f t="shared" si="5"/>
        <v>126610</v>
      </c>
      <c r="Y25" s="7">
        <f t="shared" si="9"/>
        <v>164090</v>
      </c>
      <c r="Z25" s="22"/>
      <c r="AA25" s="22">
        <f t="shared" si="6"/>
        <v>177060</v>
      </c>
      <c r="AB25" s="22">
        <f t="shared" si="6"/>
        <v>189480</v>
      </c>
    </row>
    <row r="26" spans="1:28">
      <c r="A26">
        <v>2036</v>
      </c>
      <c r="B26" s="9">
        <v>53560</v>
      </c>
      <c r="C26" s="9">
        <v>58940</v>
      </c>
      <c r="D26" s="9">
        <v>64060</v>
      </c>
      <c r="E26" s="9">
        <v>53620</v>
      </c>
      <c r="F26" s="9">
        <v>58720</v>
      </c>
      <c r="G26" s="9">
        <v>63690</v>
      </c>
      <c r="H26" s="9">
        <v>53970</v>
      </c>
      <c r="I26" s="9">
        <v>58810</v>
      </c>
      <c r="J26" s="9">
        <v>63430</v>
      </c>
      <c r="K26" s="9">
        <v>54540</v>
      </c>
      <c r="L26" s="9">
        <v>59080</v>
      </c>
      <c r="M26" s="9">
        <v>63480</v>
      </c>
      <c r="N26" s="9">
        <v>55150</v>
      </c>
      <c r="O26" s="9">
        <v>59530</v>
      </c>
      <c r="P26" s="9">
        <v>63620</v>
      </c>
      <c r="Q26" s="8">
        <f t="shared" si="3"/>
        <v>270840</v>
      </c>
      <c r="R26" s="7"/>
      <c r="S26" s="8">
        <f t="shared" si="4"/>
        <v>295080</v>
      </c>
      <c r="T26" s="8">
        <f t="shared" si="10"/>
        <v>318280</v>
      </c>
      <c r="U26" s="22">
        <f t="shared" si="7"/>
        <v>107180</v>
      </c>
      <c r="W26" s="22">
        <f t="shared" si="8"/>
        <v>117660</v>
      </c>
      <c r="X26" s="22">
        <f t="shared" si="5"/>
        <v>127750</v>
      </c>
      <c r="Y26" s="7">
        <f t="shared" si="9"/>
        <v>163660</v>
      </c>
      <c r="Z26" s="22"/>
      <c r="AA26" s="22">
        <f t="shared" si="6"/>
        <v>177420</v>
      </c>
      <c r="AB26" s="22">
        <f t="shared" si="6"/>
        <v>190530</v>
      </c>
    </row>
    <row r="27" spans="1:28">
      <c r="A27">
        <v>2037</v>
      </c>
      <c r="B27" s="9">
        <v>53700</v>
      </c>
      <c r="C27" s="9">
        <v>59320</v>
      </c>
      <c r="D27" s="9">
        <v>64680</v>
      </c>
      <c r="E27" s="9">
        <v>53570</v>
      </c>
      <c r="F27" s="9">
        <v>59050</v>
      </c>
      <c r="G27" s="9">
        <v>64150</v>
      </c>
      <c r="H27" s="9">
        <v>53950</v>
      </c>
      <c r="I27" s="9">
        <v>59060</v>
      </c>
      <c r="J27" s="9">
        <v>63950</v>
      </c>
      <c r="K27" s="9">
        <v>54390</v>
      </c>
      <c r="L27" s="9">
        <v>59270</v>
      </c>
      <c r="M27" s="9">
        <v>63930</v>
      </c>
      <c r="N27" s="9">
        <v>55100</v>
      </c>
      <c r="O27" s="9">
        <v>59640</v>
      </c>
      <c r="P27" s="9">
        <v>63950</v>
      </c>
      <c r="Q27" s="8">
        <f t="shared" si="3"/>
        <v>270710</v>
      </c>
      <c r="R27" s="7"/>
      <c r="S27" s="8">
        <f t="shared" si="4"/>
        <v>296340</v>
      </c>
      <c r="T27" s="8">
        <f t="shared" si="10"/>
        <v>320660</v>
      </c>
      <c r="U27" s="22">
        <f t="shared" si="7"/>
        <v>107270</v>
      </c>
      <c r="W27" s="22">
        <f t="shared" si="8"/>
        <v>118370</v>
      </c>
      <c r="X27" s="22">
        <f t="shared" si="5"/>
        <v>128830</v>
      </c>
      <c r="Y27" s="7">
        <f t="shared" si="9"/>
        <v>163440</v>
      </c>
      <c r="Z27" s="22"/>
      <c r="AA27" s="22">
        <f t="shared" si="6"/>
        <v>177970</v>
      </c>
      <c r="AB27" s="22">
        <f t="shared" si="6"/>
        <v>191830</v>
      </c>
    </row>
    <row r="28" spans="1:28">
      <c r="A28">
        <v>2038</v>
      </c>
      <c r="B28" s="9">
        <v>53990</v>
      </c>
      <c r="C28" s="9">
        <v>59750</v>
      </c>
      <c r="D28" s="9">
        <v>65300</v>
      </c>
      <c r="E28" s="9">
        <v>53910</v>
      </c>
      <c r="F28" s="9">
        <v>59430</v>
      </c>
      <c r="G28" s="9">
        <v>64750</v>
      </c>
      <c r="H28" s="9">
        <v>53980</v>
      </c>
      <c r="I28" s="9">
        <v>59390</v>
      </c>
      <c r="J28" s="9">
        <v>64480</v>
      </c>
      <c r="K28" s="9">
        <v>54380</v>
      </c>
      <c r="L28" s="9">
        <v>59520</v>
      </c>
      <c r="M28" s="9">
        <v>64420</v>
      </c>
      <c r="N28" s="9">
        <v>54980</v>
      </c>
      <c r="O28" s="9">
        <v>59830</v>
      </c>
      <c r="P28" s="9">
        <v>64430</v>
      </c>
      <c r="Q28" s="8">
        <f t="shared" si="3"/>
        <v>271240</v>
      </c>
      <c r="R28" s="7"/>
      <c r="S28" s="8">
        <f t="shared" si="4"/>
        <v>297920</v>
      </c>
      <c r="T28" s="8">
        <f t="shared" si="10"/>
        <v>323380</v>
      </c>
      <c r="U28" s="22">
        <f t="shared" si="7"/>
        <v>107900</v>
      </c>
      <c r="W28" s="22">
        <f t="shared" si="8"/>
        <v>119180</v>
      </c>
      <c r="X28" s="22">
        <f t="shared" si="5"/>
        <v>130050</v>
      </c>
      <c r="Y28" s="7">
        <f t="shared" si="9"/>
        <v>163340</v>
      </c>
      <c r="Z28" s="22"/>
      <c r="AA28" s="22">
        <f t="shared" si="6"/>
        <v>178740</v>
      </c>
      <c r="AB28" s="22">
        <f t="shared" si="6"/>
        <v>193330</v>
      </c>
    </row>
    <row r="30" spans="1:28">
      <c r="A30" s="4" t="s">
        <v>259</v>
      </c>
    </row>
  </sheetData>
  <sheetProtection algorithmName="SHA-512" hashValue="rhHxHxEvsc/Wb8uK7z5KD8Eivh2vLIkKkPGAGWnCHqL2MhCi5mFjzwzRWxJPpbCEWe3sMa+NyMvuNnUwPiopzg==" saltValue="TszsDazdTv48AuP4x7Vfug==" spinCount="100000" sheet="1" objects="1" scenarios="1" formatCells="0" formatColumns="0" formatRows="0" sort="0" autoFilter="0" pivotTables="0"/>
  <mergeCells count="8">
    <mergeCell ref="U3:X3"/>
    <mergeCell ref="Y3:AB3"/>
    <mergeCell ref="Q3:T3"/>
    <mergeCell ref="B3:D3"/>
    <mergeCell ref="E3:G3"/>
    <mergeCell ref="H3:J3"/>
    <mergeCell ref="K3:M3"/>
    <mergeCell ref="N3:P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3E5A5-D1EF-4AD1-94CB-B2E3530FF92C}">
  <dimension ref="A1:N50"/>
  <sheetViews>
    <sheetView topLeftCell="A17" workbookViewId="0">
      <selection activeCell="H40" sqref="H40"/>
    </sheetView>
  </sheetViews>
  <sheetFormatPr defaultColWidth="8.85546875" defaultRowHeight="14.65"/>
  <cols>
    <col min="2" max="2" width="19.28515625" bestFit="1" customWidth="1"/>
    <col min="3" max="6" width="10.42578125" bestFit="1" customWidth="1"/>
    <col min="8" max="8" width="11" bestFit="1" customWidth="1"/>
  </cols>
  <sheetData>
    <row r="1" spans="1:14">
      <c r="A1" s="6" t="s">
        <v>260</v>
      </c>
    </row>
    <row r="2" spans="1:14">
      <c r="A2" s="1" t="s">
        <v>261</v>
      </c>
      <c r="B2" s="1" t="s">
        <v>232</v>
      </c>
      <c r="C2" s="1" t="s">
        <v>233</v>
      </c>
      <c r="D2" s="1" t="s">
        <v>234</v>
      </c>
      <c r="E2" s="1" t="s">
        <v>235</v>
      </c>
      <c r="F2" s="1" t="s">
        <v>236</v>
      </c>
      <c r="H2" s="139"/>
      <c r="I2" s="139"/>
      <c r="J2" s="139"/>
      <c r="K2" s="139"/>
      <c r="L2" s="139"/>
      <c r="M2" s="139"/>
      <c r="N2" s="139"/>
    </row>
    <row r="3" spans="1:14">
      <c r="A3" s="1">
        <v>2015</v>
      </c>
      <c r="B3">
        <v>58870</v>
      </c>
      <c r="C3">
        <v>59020</v>
      </c>
      <c r="D3">
        <v>61290</v>
      </c>
      <c r="E3">
        <v>62450</v>
      </c>
      <c r="F3">
        <v>63580</v>
      </c>
      <c r="H3" s="139">
        <f>SUM(B3:F3)</f>
        <v>305210</v>
      </c>
      <c r="I3" s="139"/>
      <c r="J3" s="140">
        <f>B3/$H3</f>
        <v>0.1928835883490056</v>
      </c>
      <c r="K3" s="140">
        <f t="shared" ref="K3:N12" si="0">C3/$H3</f>
        <v>0.19337505324203008</v>
      </c>
      <c r="L3" s="140">
        <f t="shared" si="0"/>
        <v>0.20081255528980047</v>
      </c>
      <c r="M3" s="140">
        <f t="shared" si="0"/>
        <v>0.20461321712918973</v>
      </c>
      <c r="N3" s="140">
        <f t="shared" si="0"/>
        <v>0.20831558598997413</v>
      </c>
    </row>
    <row r="4" spans="1:14">
      <c r="A4" s="1">
        <v>2016</v>
      </c>
      <c r="B4">
        <v>59400</v>
      </c>
      <c r="C4">
        <v>59550</v>
      </c>
      <c r="D4">
        <v>59980</v>
      </c>
      <c r="E4">
        <v>62440</v>
      </c>
      <c r="F4">
        <v>63340</v>
      </c>
      <c r="H4" s="139">
        <f t="shared" ref="H4:H12" si="1">SUM(B4:F4)</f>
        <v>304710</v>
      </c>
      <c r="I4" s="139"/>
      <c r="J4" s="140">
        <f t="shared" ref="J4:J12" si="2">B4/$H4</f>
        <v>0.19493945062518461</v>
      </c>
      <c r="K4" s="140">
        <f t="shared" si="0"/>
        <v>0.19543172196514719</v>
      </c>
      <c r="L4" s="140">
        <f t="shared" si="0"/>
        <v>0.19684289980637326</v>
      </c>
      <c r="M4" s="140">
        <f t="shared" si="0"/>
        <v>0.2049161497817597</v>
      </c>
      <c r="N4" s="140">
        <f t="shared" si="0"/>
        <v>0.20786977782153523</v>
      </c>
    </row>
    <row r="5" spans="1:14">
      <c r="A5" s="1">
        <v>2017</v>
      </c>
      <c r="B5">
        <v>60150</v>
      </c>
      <c r="C5">
        <v>59970</v>
      </c>
      <c r="D5">
        <v>60760</v>
      </c>
      <c r="E5">
        <v>61180</v>
      </c>
      <c r="F5">
        <v>63460</v>
      </c>
      <c r="H5" s="139">
        <f t="shared" si="1"/>
        <v>305520</v>
      </c>
      <c r="I5" s="139"/>
      <c r="J5" s="140">
        <f t="shared" si="2"/>
        <v>0.19687745483110761</v>
      </c>
      <c r="K5" s="140">
        <f t="shared" si="0"/>
        <v>0.19628829536527886</v>
      </c>
      <c r="L5" s="140">
        <f t="shared" si="0"/>
        <v>0.19887405079863837</v>
      </c>
      <c r="M5" s="140">
        <f t="shared" si="0"/>
        <v>0.20024875621890548</v>
      </c>
      <c r="N5" s="140">
        <f t="shared" si="0"/>
        <v>0.20771144278606965</v>
      </c>
    </row>
    <row r="6" spans="1:14">
      <c r="A6" s="1">
        <v>2018</v>
      </c>
      <c r="B6">
        <v>59530</v>
      </c>
      <c r="C6">
        <v>60520</v>
      </c>
      <c r="D6">
        <v>60890</v>
      </c>
      <c r="E6">
        <v>61880</v>
      </c>
      <c r="F6">
        <v>62210</v>
      </c>
      <c r="H6" s="139">
        <f t="shared" si="1"/>
        <v>305030</v>
      </c>
      <c r="I6" s="139"/>
      <c r="J6" s="140">
        <f t="shared" si="2"/>
        <v>0.19516113169196472</v>
      </c>
      <c r="K6" s="140">
        <f t="shared" si="0"/>
        <v>0.1984067140936957</v>
      </c>
      <c r="L6" s="140">
        <f t="shared" si="0"/>
        <v>0.19961970953676689</v>
      </c>
      <c r="M6" s="140">
        <f t="shared" si="0"/>
        <v>0.20286529193849787</v>
      </c>
      <c r="N6" s="140">
        <f t="shared" si="0"/>
        <v>0.20394715273907485</v>
      </c>
    </row>
    <row r="7" spans="1:14">
      <c r="A7" s="1">
        <v>2019</v>
      </c>
      <c r="B7">
        <v>59640</v>
      </c>
      <c r="C7">
        <v>59750</v>
      </c>
      <c r="D7">
        <v>61290</v>
      </c>
      <c r="E7">
        <v>61790</v>
      </c>
      <c r="F7">
        <v>62860</v>
      </c>
      <c r="H7" s="139">
        <f t="shared" si="1"/>
        <v>305330</v>
      </c>
      <c r="I7" s="139"/>
      <c r="J7" s="140">
        <f t="shared" si="2"/>
        <v>0.19532964333671765</v>
      </c>
      <c r="K7" s="140">
        <f t="shared" si="0"/>
        <v>0.19568990927848556</v>
      </c>
      <c r="L7" s="140">
        <f t="shared" si="0"/>
        <v>0.2007336324632365</v>
      </c>
      <c r="M7" s="140">
        <f t="shared" si="0"/>
        <v>0.20237120492581798</v>
      </c>
      <c r="N7" s="140">
        <f t="shared" si="0"/>
        <v>0.20587560999574231</v>
      </c>
    </row>
    <row r="8" spans="1:14">
      <c r="A8" s="1">
        <v>2020</v>
      </c>
      <c r="B8">
        <v>59330</v>
      </c>
      <c r="C8">
        <v>60080</v>
      </c>
      <c r="D8">
        <v>60610</v>
      </c>
      <c r="E8">
        <v>62410</v>
      </c>
      <c r="F8">
        <v>62770</v>
      </c>
      <c r="H8" s="139">
        <f t="shared" si="1"/>
        <v>305200</v>
      </c>
      <c r="I8" s="139"/>
      <c r="J8" s="140">
        <f t="shared" si="2"/>
        <v>0.19439711664482306</v>
      </c>
      <c r="K8" s="140">
        <f t="shared" si="0"/>
        <v>0.19685452162516381</v>
      </c>
      <c r="L8" s="140">
        <f t="shared" si="0"/>
        <v>0.1985910878112713</v>
      </c>
      <c r="M8" s="140">
        <f t="shared" si="0"/>
        <v>0.20448885976408912</v>
      </c>
      <c r="N8" s="140">
        <f t="shared" si="0"/>
        <v>0.20566841415465267</v>
      </c>
    </row>
    <row r="9" spans="1:14">
      <c r="A9" s="1">
        <v>2021</v>
      </c>
      <c r="B9">
        <v>60860</v>
      </c>
      <c r="C9">
        <v>59520</v>
      </c>
      <c r="D9">
        <v>60420</v>
      </c>
      <c r="E9">
        <v>60930</v>
      </c>
      <c r="F9">
        <v>62640</v>
      </c>
      <c r="H9" s="139">
        <f t="shared" si="1"/>
        <v>304370</v>
      </c>
      <c r="I9" s="139"/>
      <c r="J9" s="140">
        <f t="shared" si="2"/>
        <v>0.19995400335118441</v>
      </c>
      <c r="K9" s="140">
        <f t="shared" si="0"/>
        <v>0.19555146696454972</v>
      </c>
      <c r="L9" s="140">
        <f t="shared" si="0"/>
        <v>0.19850839438840884</v>
      </c>
      <c r="M9" s="140">
        <f t="shared" si="0"/>
        <v>0.20018398659526235</v>
      </c>
      <c r="N9" s="140">
        <f t="shared" si="0"/>
        <v>0.20580214870059468</v>
      </c>
    </row>
    <row r="10" spans="1:14">
      <c r="A10" s="1">
        <v>2022</v>
      </c>
      <c r="B10">
        <v>60340</v>
      </c>
      <c r="C10">
        <v>60720</v>
      </c>
      <c r="D10">
        <v>59670</v>
      </c>
      <c r="E10">
        <v>60840</v>
      </c>
      <c r="F10">
        <v>61160</v>
      </c>
      <c r="H10" s="139">
        <f t="shared" si="1"/>
        <v>302730</v>
      </c>
      <c r="I10" s="139"/>
      <c r="J10" s="140">
        <f t="shared" si="2"/>
        <v>0.19931952564991906</v>
      </c>
      <c r="K10" s="140">
        <f t="shared" si="0"/>
        <v>0.20057476959667031</v>
      </c>
      <c r="L10" s="140">
        <f t="shared" si="0"/>
        <v>0.197106332375384</v>
      </c>
      <c r="M10" s="140">
        <f t="shared" si="0"/>
        <v>0.20097116242196017</v>
      </c>
      <c r="N10" s="140">
        <f t="shared" si="0"/>
        <v>0.20202820995606646</v>
      </c>
    </row>
    <row r="11" spans="1:14">
      <c r="A11" s="1">
        <v>2023</v>
      </c>
      <c r="B11">
        <v>56840</v>
      </c>
      <c r="C11">
        <v>60790</v>
      </c>
      <c r="D11">
        <v>61490</v>
      </c>
      <c r="E11">
        <v>60840</v>
      </c>
      <c r="F11">
        <v>62350</v>
      </c>
      <c r="H11" s="139">
        <f t="shared" si="1"/>
        <v>302310</v>
      </c>
      <c r="I11" s="139"/>
      <c r="J11" s="140">
        <f t="shared" si="2"/>
        <v>0.18801892097515796</v>
      </c>
      <c r="K11" s="140">
        <f t="shared" si="0"/>
        <v>0.20108497899507127</v>
      </c>
      <c r="L11" s="140">
        <f t="shared" si="0"/>
        <v>0.20340048294796731</v>
      </c>
      <c r="M11" s="140">
        <f t="shared" si="0"/>
        <v>0.20125037213456387</v>
      </c>
      <c r="N11" s="140">
        <f t="shared" si="0"/>
        <v>0.20624524494723959</v>
      </c>
    </row>
    <row r="12" spans="1:14">
      <c r="A12" s="1">
        <v>2024</v>
      </c>
      <c r="B12">
        <v>57070</v>
      </c>
      <c r="C12">
        <v>57190</v>
      </c>
      <c r="D12">
        <v>61700</v>
      </c>
      <c r="E12">
        <v>62510</v>
      </c>
      <c r="F12">
        <v>62230</v>
      </c>
      <c r="H12" s="139">
        <f t="shared" si="1"/>
        <v>300700</v>
      </c>
      <c r="I12" s="139"/>
      <c r="J12" s="140">
        <f t="shared" si="2"/>
        <v>0.18979048885932823</v>
      </c>
      <c r="K12" s="140">
        <f t="shared" si="0"/>
        <v>0.19018955769870302</v>
      </c>
      <c r="L12" s="140">
        <f t="shared" si="0"/>
        <v>0.20518789491187231</v>
      </c>
      <c r="M12" s="140">
        <f t="shared" si="0"/>
        <v>0.20788160957765214</v>
      </c>
      <c r="N12" s="140">
        <f t="shared" si="0"/>
        <v>0.2069504489524443</v>
      </c>
    </row>
    <row r="13" spans="1:14">
      <c r="A13" s="6"/>
    </row>
    <row r="14" spans="1:14">
      <c r="A14" s="6" t="s">
        <v>262</v>
      </c>
      <c r="H14" s="6" t="s">
        <v>263</v>
      </c>
    </row>
    <row r="15" spans="1:14">
      <c r="A15" s="1"/>
      <c r="B15" s="1" t="s">
        <v>264</v>
      </c>
      <c r="C15" s="1" t="s">
        <v>265</v>
      </c>
      <c r="D15" s="1" t="s">
        <v>266</v>
      </c>
      <c r="E15" s="1" t="s">
        <v>267</v>
      </c>
      <c r="F15" s="1" t="s">
        <v>268</v>
      </c>
      <c r="H15" s="1" t="s">
        <v>264</v>
      </c>
      <c r="I15" s="1" t="s">
        <v>265</v>
      </c>
      <c r="J15" s="1" t="s">
        <v>266</v>
      </c>
      <c r="K15" s="1" t="s">
        <v>267</v>
      </c>
      <c r="L15" s="1" t="s">
        <v>268</v>
      </c>
    </row>
    <row r="16" spans="1:14">
      <c r="A16" s="1">
        <v>2015</v>
      </c>
      <c r="B16">
        <v>9774</v>
      </c>
      <c r="C16">
        <v>26312</v>
      </c>
      <c r="D16">
        <v>40320</v>
      </c>
      <c r="E16">
        <v>57332</v>
      </c>
      <c r="F16">
        <v>61354</v>
      </c>
      <c r="H16" s="3">
        <f>B16/SUM($B16:$F16)</f>
        <v>5.0099440264080537E-2</v>
      </c>
      <c r="I16" s="3">
        <f t="shared" ref="I16:L16" si="3">C16/SUM($B16:$F16)</f>
        <v>0.13486970249933364</v>
      </c>
      <c r="J16" s="3">
        <f t="shared" si="3"/>
        <v>0.20667172410965085</v>
      </c>
      <c r="K16" s="3">
        <f t="shared" si="3"/>
        <v>0.29387160929202633</v>
      </c>
      <c r="L16" s="3">
        <f t="shared" si="3"/>
        <v>0.31448752383490863</v>
      </c>
    </row>
    <row r="17" spans="1:12">
      <c r="A17" s="1">
        <v>2016</v>
      </c>
      <c r="B17">
        <v>10076</v>
      </c>
      <c r="C17">
        <v>28066</v>
      </c>
      <c r="D17">
        <v>41250</v>
      </c>
      <c r="E17">
        <v>58529</v>
      </c>
      <c r="F17">
        <v>61592</v>
      </c>
      <c r="H17" s="3">
        <f t="shared" ref="H17:H25" si="4">B17/SUM($B17:$F17)</f>
        <v>5.0502974743500427E-2</v>
      </c>
      <c r="I17" s="3">
        <f t="shared" ref="I17:I25" si="5">C17/SUM($B17:$F17)</f>
        <v>0.14067253762912693</v>
      </c>
      <c r="J17" s="3">
        <f t="shared" ref="J17:J25" si="6">D17/SUM($B17:$F17)</f>
        <v>0.20675344463769277</v>
      </c>
      <c r="K17" s="3">
        <f t="shared" ref="K17:K25" si="7">E17/SUM($B17:$F17)</f>
        <v>0.29335932996847325</v>
      </c>
      <c r="L17" s="3">
        <f t="shared" ref="L17:L25" si="8">F17/SUM($B17:$F17)</f>
        <v>0.30871171302120665</v>
      </c>
    </row>
    <row r="18" spans="1:12">
      <c r="A18" s="1">
        <v>2017</v>
      </c>
      <c r="B18">
        <v>10549</v>
      </c>
      <c r="C18">
        <v>28467</v>
      </c>
      <c r="D18">
        <v>42504</v>
      </c>
      <c r="E18">
        <v>57052</v>
      </c>
      <c r="F18">
        <v>61763</v>
      </c>
      <c r="H18" s="3">
        <f t="shared" si="4"/>
        <v>5.265679986023411E-2</v>
      </c>
      <c r="I18" s="3">
        <f t="shared" si="5"/>
        <v>0.14209698754586067</v>
      </c>
      <c r="J18" s="3">
        <f t="shared" si="6"/>
        <v>0.21216462425437393</v>
      </c>
      <c r="K18" s="3">
        <f t="shared" si="7"/>
        <v>0.28478298849427208</v>
      </c>
      <c r="L18" s="3">
        <f t="shared" si="8"/>
        <v>0.3082985998452592</v>
      </c>
    </row>
    <row r="19" spans="1:12">
      <c r="A19" s="1">
        <v>2018</v>
      </c>
      <c r="B19">
        <v>9538</v>
      </c>
      <c r="C19">
        <v>28725</v>
      </c>
      <c r="D19">
        <v>42326</v>
      </c>
      <c r="E19">
        <v>56725</v>
      </c>
      <c r="F19">
        <v>59675</v>
      </c>
      <c r="H19" s="3">
        <f t="shared" si="4"/>
        <v>4.8418947250861724E-2</v>
      </c>
      <c r="I19" s="3">
        <f t="shared" si="5"/>
        <v>0.14582032499276609</v>
      </c>
      <c r="J19" s="3">
        <f t="shared" si="6"/>
        <v>0.2148647894044845</v>
      </c>
      <c r="K19" s="3">
        <f t="shared" si="7"/>
        <v>0.28796024143480092</v>
      </c>
      <c r="L19" s="3">
        <f t="shared" si="8"/>
        <v>0.30293569691708672</v>
      </c>
    </row>
    <row r="20" spans="1:12">
      <c r="A20" s="1">
        <v>2019</v>
      </c>
      <c r="B20">
        <v>9319</v>
      </c>
      <c r="C20">
        <v>28217</v>
      </c>
      <c r="D20">
        <v>42626</v>
      </c>
      <c r="E20">
        <v>55588</v>
      </c>
      <c r="F20">
        <v>59229</v>
      </c>
      <c r="H20" s="3">
        <f t="shared" si="4"/>
        <v>4.7794890731822401E-2</v>
      </c>
      <c r="I20" s="3">
        <f t="shared" si="5"/>
        <v>0.14471814913400929</v>
      </c>
      <c r="J20" s="3">
        <f t="shared" si="6"/>
        <v>0.21861841531652126</v>
      </c>
      <c r="K20" s="3">
        <f t="shared" si="7"/>
        <v>0.28509736946030084</v>
      </c>
      <c r="L20" s="3">
        <f t="shared" si="8"/>
        <v>0.30377117535734616</v>
      </c>
    </row>
    <row r="21" spans="1:12">
      <c r="A21" s="1">
        <v>2020</v>
      </c>
      <c r="B21">
        <v>7939</v>
      </c>
      <c r="C21">
        <v>25840</v>
      </c>
      <c r="D21">
        <v>39965</v>
      </c>
      <c r="E21">
        <v>53957</v>
      </c>
      <c r="F21">
        <v>57578</v>
      </c>
      <c r="H21" s="3">
        <f t="shared" si="4"/>
        <v>4.2848892750932378E-2</v>
      </c>
      <c r="I21" s="3">
        <f t="shared" si="5"/>
        <v>0.13946534685528311</v>
      </c>
      <c r="J21" s="3">
        <f t="shared" si="6"/>
        <v>0.21570172550585873</v>
      </c>
      <c r="K21" s="3">
        <f t="shared" si="7"/>
        <v>0.29122026781232629</v>
      </c>
      <c r="L21" s="3">
        <f t="shared" si="8"/>
        <v>0.3107637670755995</v>
      </c>
    </row>
    <row r="22" spans="1:12">
      <c r="A22" s="1">
        <v>2021</v>
      </c>
      <c r="B22">
        <v>9808</v>
      </c>
      <c r="C22">
        <v>29274</v>
      </c>
      <c r="D22">
        <v>41556</v>
      </c>
      <c r="E22">
        <v>53139</v>
      </c>
      <c r="F22">
        <v>57680</v>
      </c>
      <c r="H22" s="3">
        <f t="shared" si="4"/>
        <v>5.1228213123573438E-2</v>
      </c>
      <c r="I22" s="3">
        <f t="shared" si="5"/>
        <v>0.15290117363167707</v>
      </c>
      <c r="J22" s="3">
        <f t="shared" si="6"/>
        <v>0.2170513483445369</v>
      </c>
      <c r="K22" s="3">
        <f t="shared" si="7"/>
        <v>0.27755057271345523</v>
      </c>
      <c r="L22" s="3">
        <f t="shared" si="8"/>
        <v>0.30126869218675734</v>
      </c>
    </row>
    <row r="23" spans="1:12">
      <c r="A23" s="1">
        <v>2022</v>
      </c>
      <c r="B23">
        <v>9788</v>
      </c>
      <c r="C23">
        <v>28460</v>
      </c>
      <c r="D23">
        <v>39242</v>
      </c>
      <c r="E23">
        <v>48843</v>
      </c>
      <c r="F23">
        <v>52080</v>
      </c>
      <c r="H23" s="3">
        <f t="shared" si="4"/>
        <v>5.4861473098933376E-2</v>
      </c>
      <c r="I23" s="3">
        <f t="shared" si="5"/>
        <v>0.159517523947246</v>
      </c>
      <c r="J23" s="3">
        <f t="shared" si="6"/>
        <v>0.21995033994159618</v>
      </c>
      <c r="K23" s="3">
        <f t="shared" si="7"/>
        <v>0.27376368313968152</v>
      </c>
      <c r="L23" s="3">
        <f t="shared" si="8"/>
        <v>0.29190697987254294</v>
      </c>
    </row>
    <row r="24" spans="1:12">
      <c r="A24" s="1">
        <v>2023</v>
      </c>
      <c r="B24">
        <v>9352</v>
      </c>
      <c r="C24">
        <v>30696</v>
      </c>
      <c r="D24">
        <v>42490</v>
      </c>
      <c r="E24">
        <v>51477</v>
      </c>
      <c r="F24">
        <v>54325</v>
      </c>
      <c r="H24" s="3">
        <f t="shared" si="4"/>
        <v>4.965487947329298E-2</v>
      </c>
      <c r="I24" s="3">
        <f t="shared" si="5"/>
        <v>0.16298184135074864</v>
      </c>
      <c r="J24" s="3">
        <f t="shared" si="6"/>
        <v>0.2256026335350961</v>
      </c>
      <c r="K24" s="3">
        <f t="shared" si="7"/>
        <v>0.27331952851226504</v>
      </c>
      <c r="L24" s="3">
        <f t="shared" si="8"/>
        <v>0.28844111712859721</v>
      </c>
    </row>
    <row r="25" spans="1:12">
      <c r="A25" s="1">
        <v>2024</v>
      </c>
      <c r="B25">
        <v>9193</v>
      </c>
      <c r="C25">
        <v>28341</v>
      </c>
      <c r="D25">
        <v>44015</v>
      </c>
      <c r="E25">
        <v>53883</v>
      </c>
      <c r="F25">
        <v>55931</v>
      </c>
      <c r="H25" s="3">
        <f t="shared" si="4"/>
        <v>4.8039589680345732E-2</v>
      </c>
      <c r="I25" s="3">
        <f t="shared" si="5"/>
        <v>0.1481007300261806</v>
      </c>
      <c r="J25" s="3">
        <f t="shared" si="6"/>
        <v>0.2300078907625821</v>
      </c>
      <c r="K25" s="3">
        <f t="shared" si="7"/>
        <v>0.28157480808724777</v>
      </c>
      <c r="L25" s="3">
        <f t="shared" si="8"/>
        <v>0.29227698144364378</v>
      </c>
    </row>
    <row r="27" spans="1:12">
      <c r="A27" s="6" t="s">
        <v>269</v>
      </c>
    </row>
    <row r="28" spans="1:12">
      <c r="A28" s="1"/>
      <c r="B28" s="1" t="s">
        <v>264</v>
      </c>
      <c r="C28" s="1" t="s">
        <v>265</v>
      </c>
      <c r="D28" s="1" t="s">
        <v>266</v>
      </c>
      <c r="E28" s="1" t="s">
        <v>267</v>
      </c>
      <c r="F28" s="1" t="s">
        <v>268</v>
      </c>
      <c r="G28" s="1" t="s">
        <v>270</v>
      </c>
    </row>
    <row r="29" spans="1:12">
      <c r="A29" s="1">
        <v>2015</v>
      </c>
      <c r="B29" s="3">
        <f t="shared" ref="B29:E29" si="9">B16/B3</f>
        <v>0.16602683879735008</v>
      </c>
      <c r="C29" s="3">
        <f t="shared" si="9"/>
        <v>0.44581497797356828</v>
      </c>
      <c r="D29" s="3">
        <f t="shared" si="9"/>
        <v>0.657856093979442</v>
      </c>
      <c r="E29" s="3">
        <f t="shared" si="9"/>
        <v>0.91804643714971979</v>
      </c>
      <c r="F29" s="3">
        <f>F16/F3</f>
        <v>0.96498899024850582</v>
      </c>
      <c r="G29" s="36">
        <f t="shared" ref="G29:G38" si="10">SUM(B16:F16)/SUM(B3:F3)</f>
        <v>0.63920579273287248</v>
      </c>
    </row>
    <row r="30" spans="1:12">
      <c r="A30" s="1">
        <v>2016</v>
      </c>
      <c r="B30" s="3">
        <f t="shared" ref="B30:F30" si="11">B17/B4</f>
        <v>0.16962962962962963</v>
      </c>
      <c r="C30" s="3">
        <f t="shared" si="11"/>
        <v>0.47130142737195635</v>
      </c>
      <c r="D30" s="3">
        <f t="shared" si="11"/>
        <v>0.68772924308102701</v>
      </c>
      <c r="E30" s="3">
        <f t="shared" si="11"/>
        <v>0.93736386931454196</v>
      </c>
      <c r="F30" s="3">
        <f t="shared" si="11"/>
        <v>0.97240290495737292</v>
      </c>
      <c r="G30" s="36">
        <f t="shared" si="10"/>
        <v>0.65476354566637129</v>
      </c>
    </row>
    <row r="31" spans="1:12">
      <c r="A31" s="1">
        <v>2017</v>
      </c>
      <c r="B31" s="3">
        <f t="shared" ref="B31:F31" si="12">B18/B5</f>
        <v>0.17537822111388196</v>
      </c>
      <c r="C31" s="3">
        <f t="shared" si="12"/>
        <v>0.4746873436718359</v>
      </c>
      <c r="D31" s="3">
        <f t="shared" si="12"/>
        <v>0.69953917050691239</v>
      </c>
      <c r="E31" s="3">
        <f t="shared" si="12"/>
        <v>0.93252696959790782</v>
      </c>
      <c r="F31" s="3">
        <f t="shared" si="12"/>
        <v>0.97325874566656156</v>
      </c>
      <c r="G31" s="36">
        <f t="shared" si="10"/>
        <v>0.65571811992668239</v>
      </c>
    </row>
    <row r="32" spans="1:12">
      <c r="A32" s="1">
        <v>2018</v>
      </c>
      <c r="B32" s="3">
        <f t="shared" ref="B32:F32" si="13">B19/B6</f>
        <v>0.16022173693935832</v>
      </c>
      <c r="C32" s="3">
        <f t="shared" si="13"/>
        <v>0.47463648380700596</v>
      </c>
      <c r="D32" s="3">
        <f t="shared" si="13"/>
        <v>0.69512235178190174</v>
      </c>
      <c r="E32" s="3">
        <f t="shared" si="13"/>
        <v>0.91669360051712989</v>
      </c>
      <c r="F32" s="3">
        <f t="shared" si="13"/>
        <v>0.95925092428869951</v>
      </c>
      <c r="G32" s="36">
        <f t="shared" si="10"/>
        <v>0.64580205225715503</v>
      </c>
    </row>
    <row r="33" spans="1:14">
      <c r="A33" s="1">
        <v>2019</v>
      </c>
      <c r="B33" s="3">
        <f t="shared" ref="B33:F33" si="14">B20/B7</f>
        <v>0.15625419181757211</v>
      </c>
      <c r="C33" s="3">
        <f t="shared" si="14"/>
        <v>0.47225104602510459</v>
      </c>
      <c r="D33" s="3">
        <f t="shared" si="14"/>
        <v>0.69548050252896065</v>
      </c>
      <c r="E33" s="3">
        <f t="shared" si="14"/>
        <v>0.89962777148405892</v>
      </c>
      <c r="F33" s="3">
        <f t="shared" si="14"/>
        <v>0.94223671651288576</v>
      </c>
      <c r="G33" s="36">
        <f t="shared" si="10"/>
        <v>0.63858448236334453</v>
      </c>
    </row>
    <row r="34" spans="1:14">
      <c r="A34" s="1">
        <v>2020</v>
      </c>
      <c r="B34" s="3">
        <f t="shared" ref="B34:F34" si="15">B21/B8</f>
        <v>0.13381088825214899</v>
      </c>
      <c r="C34" s="3">
        <f t="shared" si="15"/>
        <v>0.43009320905459386</v>
      </c>
      <c r="D34" s="3">
        <f t="shared" si="15"/>
        <v>0.65937964032337903</v>
      </c>
      <c r="E34" s="3">
        <f t="shared" si="15"/>
        <v>0.86455696202531651</v>
      </c>
      <c r="F34" s="3">
        <f t="shared" si="15"/>
        <v>0.91728532738569379</v>
      </c>
      <c r="G34" s="36">
        <f t="shared" si="10"/>
        <v>0.60707404980340762</v>
      </c>
    </row>
    <row r="35" spans="1:14">
      <c r="A35" s="1">
        <v>2021</v>
      </c>
      <c r="B35" s="3">
        <f t="shared" ref="B35:F35" si="16">B22/B9</f>
        <v>0.16115675320407494</v>
      </c>
      <c r="C35" s="3">
        <f t="shared" si="16"/>
        <v>0.49183467741935483</v>
      </c>
      <c r="D35" s="3">
        <f t="shared" si="16"/>
        <v>0.68778550148957296</v>
      </c>
      <c r="E35" s="3">
        <f t="shared" si="16"/>
        <v>0.87213195470211713</v>
      </c>
      <c r="F35" s="3">
        <f t="shared" si="16"/>
        <v>0.9208173690932312</v>
      </c>
      <c r="G35" s="36">
        <f t="shared" si="10"/>
        <v>0.62902717087755033</v>
      </c>
    </row>
    <row r="36" spans="1:14">
      <c r="A36" s="1">
        <v>2022</v>
      </c>
      <c r="B36" s="3">
        <f t="shared" ref="B36:F36" si="17">B23/B10</f>
        <v>0.16221411998674179</v>
      </c>
      <c r="C36" s="3">
        <f t="shared" si="17"/>
        <v>0.46870882740447956</v>
      </c>
      <c r="D36" s="3">
        <f t="shared" si="17"/>
        <v>0.65765041059158702</v>
      </c>
      <c r="E36" s="3">
        <f t="shared" si="17"/>
        <v>0.80281065088757397</v>
      </c>
      <c r="F36" s="3">
        <f t="shared" si="17"/>
        <v>0.85153695225637671</v>
      </c>
      <c r="G36" s="36">
        <f t="shared" si="10"/>
        <v>0.58934694282033495</v>
      </c>
    </row>
    <row r="37" spans="1:14">
      <c r="A37" s="1">
        <v>2023</v>
      </c>
      <c r="B37" s="3">
        <f t="shared" ref="B37:F37" si="18">B24/B11</f>
        <v>0.16453201970443349</v>
      </c>
      <c r="C37" s="3">
        <f t="shared" si="18"/>
        <v>0.50495147228162529</v>
      </c>
      <c r="D37" s="3">
        <f t="shared" si="18"/>
        <v>0.69100666775085384</v>
      </c>
      <c r="E37" s="3">
        <f t="shared" si="18"/>
        <v>0.84610453648915185</v>
      </c>
      <c r="F37" s="3">
        <f t="shared" si="18"/>
        <v>0.87129109863672816</v>
      </c>
      <c r="G37" s="36">
        <f t="shared" si="10"/>
        <v>0.62300287784062713</v>
      </c>
    </row>
    <row r="38" spans="1:14">
      <c r="A38" s="1">
        <v>2024</v>
      </c>
      <c r="B38" s="3">
        <f t="shared" ref="B38:F38" si="19">B25/B12</f>
        <v>0.16108288067285789</v>
      </c>
      <c r="C38" s="3">
        <f t="shared" si="19"/>
        <v>0.49555866410211574</v>
      </c>
      <c r="D38" s="3">
        <f t="shared" si="19"/>
        <v>0.71337115072933555</v>
      </c>
      <c r="E38" s="3">
        <f t="shared" si="19"/>
        <v>0.86199008158694612</v>
      </c>
      <c r="F38" s="3">
        <f t="shared" si="19"/>
        <v>0.89877872408806037</v>
      </c>
      <c r="G38" s="36">
        <f t="shared" si="10"/>
        <v>0.63639175257731961</v>
      </c>
    </row>
    <row r="40" spans="1:14">
      <c r="A40" s="1" t="s">
        <v>242</v>
      </c>
      <c r="B40" s="2">
        <f>MIN(B29:B38)</f>
        <v>0.13381088825214899</v>
      </c>
      <c r="C40" s="2">
        <f t="shared" ref="C40:F40" si="20">MIN(C29:C38)</f>
        <v>0.43009320905459386</v>
      </c>
      <c r="D40" s="2">
        <f t="shared" si="20"/>
        <v>0.65765041059158702</v>
      </c>
      <c r="E40" s="2">
        <f t="shared" si="20"/>
        <v>0.80281065088757397</v>
      </c>
      <c r="F40" s="2">
        <f t="shared" si="20"/>
        <v>0.85153695225637671</v>
      </c>
      <c r="G40" s="2">
        <f t="shared" ref="G40" si="21">MIN(G29:G38)</f>
        <v>0.58934694282033495</v>
      </c>
      <c r="H40" s="2">
        <f>MIN(H16:H24)</f>
        <v>4.2848892750932378E-2</v>
      </c>
      <c r="I40" s="2">
        <f t="shared" ref="I40:L40" si="22">MIN(I16:I24)</f>
        <v>0.13486970249933364</v>
      </c>
      <c r="J40" s="2">
        <f t="shared" si="22"/>
        <v>0.20667172410965085</v>
      </c>
      <c r="K40" s="2">
        <f t="shared" si="22"/>
        <v>0.27331952851226504</v>
      </c>
      <c r="L40" s="2">
        <f t="shared" si="22"/>
        <v>0.28844111712859721</v>
      </c>
      <c r="N40" s="2">
        <f>SUM(H40:L40)</f>
        <v>0.94615096500077911</v>
      </c>
    </row>
    <row r="41" spans="1:14">
      <c r="A41" s="1" t="s">
        <v>244</v>
      </c>
      <c r="B41" s="2">
        <f>MEDIAN(B29:B38)</f>
        <v>0.16168543659540835</v>
      </c>
      <c r="C41" s="2">
        <f t="shared" ref="C41:F41" si="23">MEDIAN(C29:C38)</f>
        <v>0.47344376491605528</v>
      </c>
      <c r="D41" s="2">
        <f t="shared" si="23"/>
        <v>0.6893960846202134</v>
      </c>
      <c r="E41" s="2">
        <f t="shared" si="23"/>
        <v>0.88587986309308797</v>
      </c>
      <c r="F41" s="2">
        <f t="shared" si="23"/>
        <v>0.93152704280305842</v>
      </c>
      <c r="G41" s="2">
        <f t="shared" ref="G41" si="24">MEDIAN(G29:G38)</f>
        <v>0.63748811747033207</v>
      </c>
      <c r="H41" s="2">
        <f>MEDIAN(H16:H25)</f>
        <v>4.9877159868686759E-2</v>
      </c>
      <c r="I41" s="2">
        <f t="shared" ref="I41:L41" si="25">MEDIAN(I16:I25)</f>
        <v>0.14526923706338768</v>
      </c>
      <c r="J41" s="2">
        <f t="shared" si="25"/>
        <v>0.21637653692519782</v>
      </c>
      <c r="K41" s="2">
        <f t="shared" si="25"/>
        <v>0.28494017897728646</v>
      </c>
      <c r="L41" s="2">
        <f t="shared" si="25"/>
        <v>0.30335343613721644</v>
      </c>
      <c r="N41" s="2">
        <f t="shared" ref="N41:N43" si="26">SUM(H41:L41)</f>
        <v>0.99981654897177508</v>
      </c>
    </row>
    <row r="42" spans="1:14">
      <c r="A42" s="1" t="s">
        <v>243</v>
      </c>
      <c r="B42" s="2">
        <f>AVERAGE(B29:B38)</f>
        <v>0.16103072801180493</v>
      </c>
      <c r="C42" s="2">
        <f t="shared" ref="C42:F42" si="27">AVERAGE(C29:C38)</f>
        <v>0.47298381291116398</v>
      </c>
      <c r="D42" s="2">
        <f t="shared" si="27"/>
        <v>0.68449207327629713</v>
      </c>
      <c r="E42" s="2">
        <f t="shared" si="27"/>
        <v>0.88518528337544633</v>
      </c>
      <c r="F42" s="2">
        <f t="shared" si="27"/>
        <v>0.92718477531341159</v>
      </c>
      <c r="G42" s="2">
        <f t="shared" ref="G42" si="28">AVERAGE(G29:G38)</f>
        <v>0.63189167868656648</v>
      </c>
      <c r="H42" s="2">
        <f>AVERAGE(H16:H25)</f>
        <v>4.9610610097757711E-2</v>
      </c>
      <c r="I42" s="2">
        <f t="shared" ref="I42:L42" si="29">AVERAGE(I16:I25)</f>
        <v>0.14711443176122319</v>
      </c>
      <c r="J42" s="2">
        <f t="shared" si="29"/>
        <v>0.21673869358123934</v>
      </c>
      <c r="K42" s="2">
        <f t="shared" si="29"/>
        <v>0.28425003989148495</v>
      </c>
      <c r="L42" s="2">
        <f t="shared" si="29"/>
        <v>0.30228622466829486</v>
      </c>
      <c r="N42" s="2">
        <f t="shared" si="26"/>
        <v>1</v>
      </c>
    </row>
    <row r="43" spans="1:14">
      <c r="A43" s="1" t="s">
        <v>245</v>
      </c>
      <c r="B43" s="2">
        <f>MAX(B29:B38)</f>
        <v>0.17537822111388196</v>
      </c>
      <c r="C43" s="2">
        <f t="shared" ref="C43:F43" si="30">MAX(C29:C38)</f>
        <v>0.50495147228162529</v>
      </c>
      <c r="D43" s="2">
        <f t="shared" si="30"/>
        <v>0.71337115072933555</v>
      </c>
      <c r="E43" s="2">
        <f t="shared" si="30"/>
        <v>0.93736386931454196</v>
      </c>
      <c r="F43" s="2">
        <f t="shared" si="30"/>
        <v>0.97325874566656156</v>
      </c>
      <c r="G43" s="2">
        <f t="shared" ref="G43" si="31">MAX(G29:G38)</f>
        <v>0.65571811992668239</v>
      </c>
      <c r="H43" s="2">
        <f>MAX(H16:H24)</f>
        <v>5.4861473098933376E-2</v>
      </c>
      <c r="I43" s="2">
        <f t="shared" ref="I43:L43" si="32">MAX(I16:I24)</f>
        <v>0.16298184135074864</v>
      </c>
      <c r="J43" s="2">
        <f t="shared" si="32"/>
        <v>0.2256026335350961</v>
      </c>
      <c r="K43" s="2">
        <f t="shared" si="32"/>
        <v>0.29387160929202633</v>
      </c>
      <c r="L43" s="2">
        <f t="shared" si="32"/>
        <v>0.31448752383490863</v>
      </c>
      <c r="N43" s="2">
        <f t="shared" si="26"/>
        <v>1.0518050811117132</v>
      </c>
    </row>
    <row r="44" spans="1:14">
      <c r="A44" s="1" t="s">
        <v>271</v>
      </c>
      <c r="B44" s="2">
        <f>B43-B40</f>
        <v>4.1567332861732975E-2</v>
      </c>
      <c r="C44" s="2">
        <f t="shared" ref="C44:F44" si="33">C43-C40</f>
        <v>7.485826322703143E-2</v>
      </c>
      <c r="D44" s="2">
        <f t="shared" si="33"/>
        <v>5.5720740137748526E-2</v>
      </c>
      <c r="E44" s="2">
        <f t="shared" si="33"/>
        <v>0.13455321842696799</v>
      </c>
      <c r="F44" s="2">
        <f t="shared" si="33"/>
        <v>0.12172179341018485</v>
      </c>
      <c r="G44" s="2">
        <f t="shared" ref="G44" si="34">G43-G40</f>
        <v>6.6371177106347434E-2</v>
      </c>
      <c r="H44" s="2">
        <f>H43-H40</f>
        <v>1.2012580348000998E-2</v>
      </c>
      <c r="I44" s="2">
        <f t="shared" ref="I44:L44" si="35">I43-I40</f>
        <v>2.8112138851415003E-2</v>
      </c>
      <c r="J44" s="2">
        <f t="shared" si="35"/>
        <v>1.8930909425445258E-2</v>
      </c>
      <c r="K44" s="2">
        <f t="shared" si="35"/>
        <v>2.0552080779761284E-2</v>
      </c>
      <c r="L44" s="2">
        <f t="shared" si="35"/>
        <v>2.604640670631142E-2</v>
      </c>
    </row>
    <row r="46" spans="1:14">
      <c r="A46" s="6" t="s">
        <v>272</v>
      </c>
    </row>
    <row r="47" spans="1:14">
      <c r="A47" s="1" t="s">
        <v>242</v>
      </c>
      <c r="B47" s="2">
        <f>MIN(B29:B33,B37:B38)</f>
        <v>0.15625419181757211</v>
      </c>
      <c r="C47" s="2">
        <f t="shared" ref="C47:G47" si="36">MIN(C29:C33,C37:C38)</f>
        <v>0.44581497797356828</v>
      </c>
      <c r="D47" s="2">
        <f t="shared" si="36"/>
        <v>0.657856093979442</v>
      </c>
      <c r="E47" s="2">
        <f t="shared" si="36"/>
        <v>0.84610453648915185</v>
      </c>
      <c r="F47" s="2">
        <f t="shared" si="36"/>
        <v>0.87129109863672816</v>
      </c>
      <c r="G47" s="2">
        <f t="shared" si="36"/>
        <v>0.62300287784062713</v>
      </c>
    </row>
    <row r="48" spans="1:14">
      <c r="A48" s="1" t="s">
        <v>273</v>
      </c>
      <c r="B48" s="2">
        <f t="shared" ref="B48:G48" si="37">AVERAGE(B29:B33,B37:B38)</f>
        <v>0.16473221695358339</v>
      </c>
      <c r="C48" s="2">
        <f t="shared" si="37"/>
        <v>0.47702877360474455</v>
      </c>
      <c r="D48" s="2">
        <f t="shared" si="37"/>
        <v>0.69144359719406179</v>
      </c>
      <c r="E48" s="2">
        <f t="shared" si="37"/>
        <v>0.90176475230563669</v>
      </c>
      <c r="F48" s="2">
        <f t="shared" si="37"/>
        <v>0.94031544348554497</v>
      </c>
      <c r="G48" s="2">
        <f t="shared" si="37"/>
        <v>0.64192408905205323</v>
      </c>
    </row>
    <row r="49" spans="1:7">
      <c r="A49" s="1" t="s">
        <v>245</v>
      </c>
      <c r="B49" s="2">
        <f>MAX(B29:B33,B37:B38)</f>
        <v>0.17537822111388196</v>
      </c>
      <c r="C49" s="2">
        <f t="shared" ref="C49:G49" si="38">MAX(C29:C33,C37:C38)</f>
        <v>0.50495147228162529</v>
      </c>
      <c r="D49" s="2">
        <f t="shared" si="38"/>
        <v>0.71337115072933555</v>
      </c>
      <c r="E49" s="2">
        <f t="shared" si="38"/>
        <v>0.93736386931454196</v>
      </c>
      <c r="F49" s="2">
        <f t="shared" si="38"/>
        <v>0.97325874566656156</v>
      </c>
      <c r="G49" s="2">
        <f t="shared" si="38"/>
        <v>0.65571811992668239</v>
      </c>
    </row>
    <row r="50" spans="1:7">
      <c r="A50" s="1" t="s">
        <v>271</v>
      </c>
      <c r="B50" s="2">
        <f>B49-B47</f>
        <v>1.9124029296309852E-2</v>
      </c>
      <c r="C50" s="2">
        <f t="shared" ref="C50:G50" si="39">C49-C47</f>
        <v>5.9136494308057008E-2</v>
      </c>
      <c r="D50" s="2">
        <f t="shared" si="39"/>
        <v>5.5515056749893543E-2</v>
      </c>
      <c r="E50" s="2">
        <f t="shared" si="39"/>
        <v>9.1259332825390116E-2</v>
      </c>
      <c r="F50" s="2">
        <f t="shared" si="39"/>
        <v>0.10196764702983341</v>
      </c>
      <c r="G50" s="2">
        <f t="shared" si="39"/>
        <v>3.2715242086055252E-2</v>
      </c>
    </row>
  </sheetData>
  <sheetProtection algorithmName="SHA-512" hashValue="7FIdY95rGty21ellyu2dUW8YmpnAXN28HkAwgJu11EcaP4Od4RLDw8GfpaHWmfFKw3+fw53X+PqjiMK/ud3Xfw==" saltValue="ieRkBEJr0/QAA+NQ22g5AQ==" spinCount="100000" sheet="1" objects="1" scenarios="1" formatCells="0" formatColumns="0" formatRows="0" insertRows="0" sort="0" autoFilter="0" pivotTables="0"/>
  <pageMargins left="0.7" right="0.7" top="0.75" bottom="0.75" header="0.3" footer="0.3"/>
  <ignoredErrors>
    <ignoredError sqref="H3:H12" formulaRange="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51D63-0548-4853-B23B-1487FBAD3844}">
  <dimension ref="A1:T28"/>
  <sheetViews>
    <sheetView workbookViewId="0">
      <selection activeCell="C2" sqref="C2"/>
    </sheetView>
  </sheetViews>
  <sheetFormatPr defaultColWidth="8.85546875" defaultRowHeight="14.65"/>
  <cols>
    <col min="2" max="2" width="7" bestFit="1" customWidth="1"/>
    <col min="3" max="16" width="10.7109375" bestFit="1" customWidth="1"/>
    <col min="17" max="20" width="11.85546875" bestFit="1" customWidth="1"/>
  </cols>
  <sheetData>
    <row r="1" spans="1:20">
      <c r="A1" s="1" t="s">
        <v>274</v>
      </c>
    </row>
    <row r="2" spans="1:20">
      <c r="A2" s="1" t="s">
        <v>275</v>
      </c>
      <c r="C2" s="2">
        <f>'T5'!B47</f>
        <v>0.15625419181757211</v>
      </c>
      <c r="F2" s="3">
        <f>'T5'!C47</f>
        <v>0.44581497797356828</v>
      </c>
      <c r="I2" s="3">
        <f>'T5'!D47</f>
        <v>0.657856093979442</v>
      </c>
      <c r="L2" s="3">
        <f>'T5'!E47</f>
        <v>0.84610453648915185</v>
      </c>
      <c r="O2" s="3">
        <f>'T5'!F47</f>
        <v>0.87129109863672816</v>
      </c>
    </row>
    <row r="3" spans="1:20">
      <c r="B3" s="175" t="s">
        <v>248</v>
      </c>
      <c r="C3" s="175"/>
      <c r="D3" s="175"/>
      <c r="E3" s="175" t="s">
        <v>249</v>
      </c>
      <c r="F3" s="175"/>
      <c r="G3" s="175"/>
      <c r="H3" s="175" t="s">
        <v>250</v>
      </c>
      <c r="I3" s="175"/>
      <c r="J3" s="175"/>
      <c r="K3" s="175" t="s">
        <v>251</v>
      </c>
      <c r="L3" s="175"/>
      <c r="M3" s="175"/>
      <c r="N3" s="175" t="s">
        <v>252</v>
      </c>
      <c r="O3" s="175"/>
      <c r="P3" s="175"/>
      <c r="Q3" s="175" t="s">
        <v>238</v>
      </c>
      <c r="R3" s="175"/>
      <c r="S3" s="175"/>
      <c r="T3" s="175"/>
    </row>
    <row r="4" spans="1:20">
      <c r="A4" t="s">
        <v>231</v>
      </c>
      <c r="B4" s="5" t="s">
        <v>255</v>
      </c>
      <c r="C4" s="5" t="s">
        <v>258</v>
      </c>
      <c r="D4" s="5" t="s">
        <v>256</v>
      </c>
      <c r="E4" s="5" t="s">
        <v>255</v>
      </c>
      <c r="F4" s="5" t="s">
        <v>258</v>
      </c>
      <c r="G4" s="5" t="s">
        <v>256</v>
      </c>
      <c r="H4" s="5" t="s">
        <v>255</v>
      </c>
      <c r="I4" s="5" t="s">
        <v>258</v>
      </c>
      <c r="J4" s="5" t="s">
        <v>256</v>
      </c>
      <c r="K4" s="5" t="s">
        <v>255</v>
      </c>
      <c r="L4" s="5" t="s">
        <v>258</v>
      </c>
      <c r="M4" s="5" t="s">
        <v>256</v>
      </c>
      <c r="N4" s="5" t="s">
        <v>255</v>
      </c>
      <c r="O4" s="5" t="s">
        <v>258</v>
      </c>
      <c r="P4" s="5" t="s">
        <v>256</v>
      </c>
      <c r="Q4" s="1" t="s">
        <v>255</v>
      </c>
      <c r="R4" s="1" t="s">
        <v>257</v>
      </c>
      <c r="S4" s="1" t="s">
        <v>258</v>
      </c>
      <c r="T4" s="1" t="s">
        <v>256</v>
      </c>
    </row>
    <row r="5" spans="1:20">
      <c r="A5">
        <v>2015</v>
      </c>
      <c r="B5" s="7" t="str">
        <f>IF(MROUND('T2'!B5*'T6'!$C$2,1)=0,"",MROUND('T2'!B5*'T6'!C$2,5))</f>
        <v/>
      </c>
      <c r="C5" s="7">
        <v>9774</v>
      </c>
      <c r="D5" s="7" t="str">
        <f>IF(MROUND('T2'!D5*'T6'!$C$2,1)&lt;1,"",MROUND('T2'!D5*'T6'!$C$2,5))</f>
        <v/>
      </c>
      <c r="E5" s="7" t="str">
        <f>IF(MROUND('T2'!E5*'T6'!F$2,1)=0,"",MROUND('T2'!E5*'T6'!F$2,5))</f>
        <v/>
      </c>
      <c r="F5" s="7">
        <v>26312</v>
      </c>
      <c r="G5" s="7" t="str">
        <f>IF(MROUND('T2'!G5*'T6'!$C$2,1)&lt;1,"",MROUND('T2'!G5*'T6'!$C$2,5))</f>
        <v/>
      </c>
      <c r="H5" s="7" t="str">
        <f>IF(MROUND('T2'!H5*'T6'!I$2,1)=0,"",MROUND('T2'!H5*'T6'!I$2,5))</f>
        <v/>
      </c>
      <c r="I5" s="7">
        <v>40320</v>
      </c>
      <c r="J5" s="7" t="str">
        <f>IF(MROUND('T2'!J5*'T6'!$C$2,1)&lt;1,"",MROUND('T2'!J5*'T6'!$C$2,5))</f>
        <v/>
      </c>
      <c r="K5" s="7"/>
      <c r="L5" s="7">
        <v>57332</v>
      </c>
      <c r="M5" s="7"/>
      <c r="N5" s="7"/>
      <c r="O5" s="7">
        <v>61354</v>
      </c>
      <c r="P5" s="7"/>
      <c r="Q5" s="8"/>
      <c r="R5" s="8">
        <f>SUM(C5,F5,I5,L5,O5)</f>
        <v>195092</v>
      </c>
      <c r="S5" s="8"/>
      <c r="T5" s="8"/>
    </row>
    <row r="6" spans="1:20">
      <c r="A6">
        <v>2016</v>
      </c>
      <c r="B6" s="7" t="str">
        <f>IF(MROUND('T2'!B6*'T6'!$C$2,1)=0,"",MROUND('T2'!B6*'T6'!C$2,5))</f>
        <v/>
      </c>
      <c r="C6" s="7">
        <v>10076</v>
      </c>
      <c r="D6" s="7" t="str">
        <f>IF(MROUND('T2'!D6*'T6'!$C$2,1)&lt;1,"",MROUND('T2'!D6*'T6'!$C$2,5))</f>
        <v/>
      </c>
      <c r="E6" s="7" t="str">
        <f>IF(MROUND('T2'!E6*'T6'!F$2,1)=0,"",MROUND('T2'!E6*'T6'!F$2,5))</f>
        <v/>
      </c>
      <c r="F6" s="7">
        <v>28066</v>
      </c>
      <c r="G6" s="7" t="str">
        <f>IF(MROUND('T2'!G6*'T6'!$C$2,1)&lt;1,"",MROUND('T2'!G6*'T6'!$C$2,5))</f>
        <v/>
      </c>
      <c r="H6" s="7" t="str">
        <f>IF(MROUND('T2'!H6*'T6'!I$2,1)=0,"",MROUND('T2'!H6*'T6'!I$2,5))</f>
        <v/>
      </c>
      <c r="I6" s="7">
        <v>41250</v>
      </c>
      <c r="J6" s="7" t="str">
        <f>IF(MROUND('T2'!J6*'T6'!$C$2,1)&lt;1,"",MROUND('T2'!J6*'T6'!$C$2,5))</f>
        <v/>
      </c>
      <c r="K6" s="7"/>
      <c r="L6" s="7">
        <v>58529</v>
      </c>
      <c r="M6" s="7"/>
      <c r="N6" s="7"/>
      <c r="O6" s="7">
        <v>61592</v>
      </c>
      <c r="P6" s="7"/>
      <c r="Q6" s="8"/>
      <c r="R6" s="8">
        <f t="shared" ref="R6:R14" si="0">SUM(C6,F6,I6,L6,O6)</f>
        <v>199513</v>
      </c>
      <c r="S6" s="8"/>
      <c r="T6" s="8"/>
    </row>
    <row r="7" spans="1:20">
      <c r="A7">
        <v>2017</v>
      </c>
      <c r="B7" s="7" t="str">
        <f>IF(MROUND('T2'!B7*'T6'!$C$2,1)=0,"",MROUND('T2'!B7*'T6'!C$2,5))</f>
        <v/>
      </c>
      <c r="C7" s="7">
        <v>10549</v>
      </c>
      <c r="D7" s="7" t="str">
        <f>IF(MROUND('T2'!D7*'T6'!$C$2,1)&lt;1,"",MROUND('T2'!D7*'T6'!$C$2,5))</f>
        <v/>
      </c>
      <c r="E7" s="7" t="str">
        <f>IF(MROUND('T2'!E7*'T6'!F$2,1)=0,"",MROUND('T2'!E7*'T6'!F$2,5))</f>
        <v/>
      </c>
      <c r="F7" s="7">
        <v>28467</v>
      </c>
      <c r="G7" s="7" t="str">
        <f>IF(MROUND('T2'!G7*'T6'!$C$2,1)&lt;1,"",MROUND('T2'!G7*'T6'!$C$2,5))</f>
        <v/>
      </c>
      <c r="H7" s="7" t="str">
        <f>IF(MROUND('T2'!H7*'T6'!I$2,1)=0,"",MROUND('T2'!H7*'T6'!I$2,5))</f>
        <v/>
      </c>
      <c r="I7" s="7">
        <v>42504</v>
      </c>
      <c r="J7" s="7" t="str">
        <f>IF(MROUND('T2'!J7*'T6'!$C$2,1)&lt;1,"",MROUND('T2'!J7*'T6'!$C$2,5))</f>
        <v/>
      </c>
      <c r="K7" s="7"/>
      <c r="L7" s="7">
        <v>57052</v>
      </c>
      <c r="M7" s="7"/>
      <c r="N7" s="7"/>
      <c r="O7" s="7">
        <v>61763</v>
      </c>
      <c r="P7" s="7"/>
      <c r="Q7" s="8"/>
      <c r="R7" s="8">
        <f t="shared" si="0"/>
        <v>200335</v>
      </c>
      <c r="S7" s="8"/>
      <c r="T7" s="8"/>
    </row>
    <row r="8" spans="1:20">
      <c r="A8">
        <v>2018</v>
      </c>
      <c r="B8" s="7" t="str">
        <f>IF(MROUND('T2'!B8*'T6'!$C$2,1)=0,"",MROUND('T2'!B8*'T6'!C$2,5))</f>
        <v/>
      </c>
      <c r="C8" s="7">
        <v>9538</v>
      </c>
      <c r="D8" s="7" t="str">
        <f>IF(MROUND('T2'!D8*'T6'!$C$2,1)&lt;1,"",MROUND('T2'!D8*'T6'!$C$2,5))</f>
        <v/>
      </c>
      <c r="E8" s="7" t="str">
        <f>IF(MROUND('T2'!E8*'T6'!F$2,1)=0,"",MROUND('T2'!E8*'T6'!F$2,5))</f>
        <v/>
      </c>
      <c r="F8" s="7">
        <v>28725</v>
      </c>
      <c r="G8" s="7" t="str">
        <f>IF(MROUND('T2'!G8*'T6'!$C$2,1)&lt;1,"",MROUND('T2'!G8*'T6'!$C$2,5))</f>
        <v/>
      </c>
      <c r="H8" s="7" t="str">
        <f>IF(MROUND('T2'!H8*'T6'!I$2,1)=0,"",MROUND('T2'!H8*'T6'!I$2,5))</f>
        <v/>
      </c>
      <c r="I8" s="7">
        <v>42326</v>
      </c>
      <c r="J8" s="7" t="str">
        <f>IF(MROUND('T2'!J8*'T6'!$C$2,1)&lt;1,"",MROUND('T2'!J8*'T6'!$C$2,5))</f>
        <v/>
      </c>
      <c r="K8" s="7"/>
      <c r="L8" s="7">
        <v>56725</v>
      </c>
      <c r="M8" s="7"/>
      <c r="N8" s="7"/>
      <c r="O8" s="7">
        <v>59675</v>
      </c>
      <c r="P8" s="7"/>
      <c r="Q8" s="8"/>
      <c r="R8" s="8">
        <f t="shared" si="0"/>
        <v>196989</v>
      </c>
      <c r="S8" s="8"/>
      <c r="T8" s="8"/>
    </row>
    <row r="9" spans="1:20">
      <c r="A9">
        <v>2019</v>
      </c>
      <c r="B9" s="7" t="str">
        <f>IF(MROUND('T2'!B9*'T6'!$C$2,1)=0,"",MROUND('T2'!B9*'T6'!C$2,5))</f>
        <v/>
      </c>
      <c r="C9" s="7">
        <v>9319</v>
      </c>
      <c r="D9" s="7" t="str">
        <f>IF(MROUND('T2'!D9*'T6'!$C$2,1)&lt;1,"",MROUND('T2'!D9*'T6'!$C$2,5))</f>
        <v/>
      </c>
      <c r="E9" s="7" t="str">
        <f>IF(MROUND('T2'!E9*'T6'!F$2,1)=0,"",MROUND('T2'!E9*'T6'!F$2,5))</f>
        <v/>
      </c>
      <c r="F9" s="7">
        <v>28217</v>
      </c>
      <c r="G9" s="7" t="str">
        <f>IF(MROUND('T2'!G9*'T6'!$C$2,1)&lt;1,"",MROUND('T2'!G9*'T6'!$C$2,5))</f>
        <v/>
      </c>
      <c r="H9" s="7" t="str">
        <f>IF(MROUND('T2'!H9*'T6'!I$2,1)=0,"",MROUND('T2'!H9*'T6'!I$2,5))</f>
        <v/>
      </c>
      <c r="I9" s="7">
        <v>42626</v>
      </c>
      <c r="J9" s="7" t="str">
        <f>IF(MROUND('T2'!J9*'T6'!$C$2,1)&lt;1,"",MROUND('T2'!J9*'T6'!$C$2,5))</f>
        <v/>
      </c>
      <c r="K9" s="7"/>
      <c r="L9" s="7">
        <v>55588</v>
      </c>
      <c r="M9" s="7"/>
      <c r="N9" s="7"/>
      <c r="O9" s="7">
        <v>59229</v>
      </c>
      <c r="P9" s="7"/>
      <c r="Q9" s="8"/>
      <c r="R9" s="8">
        <f t="shared" si="0"/>
        <v>194979</v>
      </c>
      <c r="S9" s="8"/>
      <c r="T9" s="8"/>
    </row>
    <row r="10" spans="1:20">
      <c r="A10">
        <v>2020</v>
      </c>
      <c r="B10" s="7" t="str">
        <f>IF(MROUND('T2'!B10*'T6'!$C$2,1)=0,"",MROUND('T2'!B10*'T6'!C$2,5))</f>
        <v/>
      </c>
      <c r="C10" s="7">
        <v>7939</v>
      </c>
      <c r="D10" s="7" t="str">
        <f>IF(MROUND('T2'!D10*'T6'!$C$2,1)&lt;1,"",MROUND('T2'!D10*'T6'!$C$2,5))</f>
        <v/>
      </c>
      <c r="E10" s="7" t="str">
        <f>IF(MROUND('T2'!E10*'T6'!F$2,1)=0,"",MROUND('T2'!E10*'T6'!F$2,5))</f>
        <v/>
      </c>
      <c r="F10" s="7">
        <v>25840</v>
      </c>
      <c r="G10" s="7" t="str">
        <f>IF(MROUND('T2'!G10*'T6'!$C$2,1)&lt;1,"",MROUND('T2'!G10*'T6'!$C$2,5))</f>
        <v/>
      </c>
      <c r="H10" s="7" t="str">
        <f>IF(MROUND('T2'!H10*'T6'!I$2,1)=0,"",MROUND('T2'!H10*'T6'!I$2,5))</f>
        <v/>
      </c>
      <c r="I10" s="7">
        <v>39965</v>
      </c>
      <c r="J10" s="7" t="str">
        <f>IF(MROUND('T2'!J10*'T6'!$C$2,1)&lt;1,"",MROUND('T2'!J10*'T6'!$C$2,5))</f>
        <v/>
      </c>
      <c r="K10" s="7"/>
      <c r="L10" s="7">
        <v>53957</v>
      </c>
      <c r="M10" s="7"/>
      <c r="N10" s="7"/>
      <c r="O10" s="7">
        <v>57578</v>
      </c>
      <c r="P10" s="7"/>
      <c r="Q10" s="8"/>
      <c r="R10" s="8">
        <f t="shared" si="0"/>
        <v>185279</v>
      </c>
      <c r="S10" s="8"/>
      <c r="T10" s="8"/>
    </row>
    <row r="11" spans="1:20">
      <c r="A11">
        <v>2021</v>
      </c>
      <c r="B11" s="7" t="str">
        <f>IF(MROUND('T2'!B11*'T6'!$C$2,1)=0,"",MROUND('T2'!B11*'T6'!C$2,5))</f>
        <v/>
      </c>
      <c r="C11" s="7">
        <v>9808</v>
      </c>
      <c r="D11" s="7" t="str">
        <f>IF(MROUND('T2'!D11*'T6'!$C$2,1)&lt;1,"",MROUND('T2'!D11*'T6'!$C$2,5))</f>
        <v/>
      </c>
      <c r="E11" s="7" t="str">
        <f>IF(MROUND('T2'!E11*'T6'!F$2,1)=0,"",MROUND('T2'!E11*'T6'!F$2,5))</f>
        <v/>
      </c>
      <c r="F11" s="7">
        <v>29274</v>
      </c>
      <c r="G11" s="7" t="str">
        <f>IF(MROUND('T2'!G11*'T6'!$C$2,1)&lt;1,"",MROUND('T2'!G11*'T6'!$C$2,5))</f>
        <v/>
      </c>
      <c r="H11" s="7" t="str">
        <f>IF(MROUND('T2'!H11*'T6'!I$2,1)=0,"",MROUND('T2'!H11*'T6'!I$2,5))</f>
        <v/>
      </c>
      <c r="I11" s="7">
        <v>41556</v>
      </c>
      <c r="J11" s="7" t="str">
        <f>IF(MROUND('T2'!J11*'T6'!$C$2,1)&lt;1,"",MROUND('T2'!J11*'T6'!$C$2,5))</f>
        <v/>
      </c>
      <c r="K11" s="7"/>
      <c r="L11" s="7">
        <v>53139</v>
      </c>
      <c r="M11" s="7"/>
      <c r="N11" s="7"/>
      <c r="O11" s="7">
        <v>57680</v>
      </c>
      <c r="P11" s="7"/>
      <c r="Q11" s="8"/>
      <c r="R11" s="8">
        <f t="shared" si="0"/>
        <v>191457</v>
      </c>
      <c r="S11" s="8"/>
      <c r="T11" s="8"/>
    </row>
    <row r="12" spans="1:20">
      <c r="A12">
        <v>2022</v>
      </c>
      <c r="B12" s="7" t="str">
        <f>IF(MROUND('T2'!B12*'T6'!$C$2,1)=0,"",MROUND('T2'!B12*'T6'!C$2,5))</f>
        <v/>
      </c>
      <c r="C12" s="7">
        <v>9788</v>
      </c>
      <c r="D12" s="7" t="str">
        <f>IF(MROUND('T2'!D12*'T6'!$C$2,1)&lt;1,"",MROUND('T2'!D12*'T6'!$C$2,5))</f>
        <v/>
      </c>
      <c r="E12" s="7" t="str">
        <f>IF(MROUND('T2'!E12*'T6'!F$2,1)=0,"",MROUND('T2'!E12*'T6'!F$2,5))</f>
        <v/>
      </c>
      <c r="F12" s="7">
        <v>28460</v>
      </c>
      <c r="G12" s="7" t="str">
        <f>IF(MROUND('T2'!G12*'T6'!$C$2,1)&lt;1,"",MROUND('T2'!G12*'T6'!$C$2,5))</f>
        <v/>
      </c>
      <c r="H12" s="7" t="str">
        <f>IF(MROUND('T2'!H12*'T6'!I$2,1)=0,"",MROUND('T2'!H12*'T6'!I$2,5))</f>
        <v/>
      </c>
      <c r="I12" s="7">
        <v>39242</v>
      </c>
      <c r="J12" s="7" t="str">
        <f>IF(MROUND('T2'!J12*'T6'!$C$2,1)&lt;1,"",MROUND('T2'!J12*'T6'!$C$2,5))</f>
        <v/>
      </c>
      <c r="K12" s="7"/>
      <c r="L12" s="7">
        <v>48843</v>
      </c>
      <c r="M12" s="7"/>
      <c r="N12" s="7"/>
      <c r="O12" s="7">
        <v>52080</v>
      </c>
      <c r="P12" s="7"/>
      <c r="Q12" s="8"/>
      <c r="R12" s="8">
        <f t="shared" si="0"/>
        <v>178413</v>
      </c>
      <c r="S12" s="8"/>
      <c r="T12" s="8"/>
    </row>
    <row r="13" spans="1:20">
      <c r="A13">
        <v>2023</v>
      </c>
      <c r="B13" s="7" t="str">
        <f>IF(MROUND('T2'!B13*'T6'!$C$2,1)=0,"",MROUND('T2'!B13*'T6'!C$2,5))</f>
        <v/>
      </c>
      <c r="C13" s="7">
        <v>9352</v>
      </c>
      <c r="D13" s="7" t="str">
        <f>IF(MROUND('T2'!D13*'T6'!$C$2,1)&lt;1,"",MROUND('T2'!D13*'T6'!$C$2,5))</f>
        <v/>
      </c>
      <c r="E13" s="7" t="str">
        <f>IF(MROUND('T2'!E13*'T6'!F$2,1)=0,"",MROUND('T2'!E13*'T6'!F$2,5))</f>
        <v/>
      </c>
      <c r="F13" s="7">
        <v>30696</v>
      </c>
      <c r="G13" s="7" t="str">
        <f>IF(MROUND('T2'!G13*'T6'!$C$2,1)&lt;1,"",MROUND('T2'!G13*'T6'!$C$2,5))</f>
        <v/>
      </c>
      <c r="H13" s="7" t="str">
        <f>IF(MROUND('T2'!H13*'T6'!I$2,1)=0,"",MROUND('T2'!H13*'T6'!I$2,5))</f>
        <v/>
      </c>
      <c r="I13" s="7">
        <v>42490</v>
      </c>
      <c r="J13" s="7" t="str">
        <f>IF(MROUND('T2'!J13*'T6'!$C$2,1)&lt;1,"",MROUND('T2'!J13*'T6'!$C$2,5))</f>
        <v/>
      </c>
      <c r="K13" s="7"/>
      <c r="L13" s="7">
        <v>51477</v>
      </c>
      <c r="M13" s="7"/>
      <c r="N13" s="7"/>
      <c r="O13" s="7">
        <v>54325</v>
      </c>
      <c r="P13" s="7"/>
      <c r="Q13" s="8"/>
      <c r="R13" s="8">
        <f t="shared" si="0"/>
        <v>188340</v>
      </c>
      <c r="S13" s="8"/>
      <c r="T13" s="8"/>
    </row>
    <row r="14" spans="1:20">
      <c r="A14">
        <v>2024</v>
      </c>
      <c r="B14" s="7" t="str">
        <f>IF(MROUND('T2'!B14*'T6'!$C$2,1)=0,"",MROUND('T2'!B14*'T6'!C$2,5))</f>
        <v/>
      </c>
      <c r="C14" s="7">
        <v>9193</v>
      </c>
      <c r="D14" s="7" t="str">
        <f>IF(MROUND('T2'!D14*'T6'!$C$2,1)&lt;1,"",MROUND('T2'!D14*'T6'!$C$2,5))</f>
        <v/>
      </c>
      <c r="E14" s="7" t="str">
        <f>IF(MROUND('T2'!E14*'T6'!F$2,1)=0,"",MROUND('T2'!E14*'T6'!F$2,5))</f>
        <v/>
      </c>
      <c r="F14" s="7">
        <v>28341</v>
      </c>
      <c r="G14" s="7" t="str">
        <f>IF(MROUND('T2'!G14*'T6'!$C$2,1)&lt;1,"",MROUND('T2'!G14*'T6'!$C$2,5))</f>
        <v/>
      </c>
      <c r="H14" s="7" t="str">
        <f>IF(MROUND('T2'!H14*'T6'!I$2,1)=0,"",MROUND('T2'!H14*'T6'!I$2,5))</f>
        <v/>
      </c>
      <c r="I14" s="7">
        <v>44015</v>
      </c>
      <c r="J14" s="7" t="str">
        <f>IF(MROUND('T2'!J14*'T6'!$C$2,1)&lt;1,"",MROUND('T2'!J14*'T6'!$C$2,5))</f>
        <v/>
      </c>
      <c r="K14" s="7"/>
      <c r="L14" s="7">
        <v>53883</v>
      </c>
      <c r="M14" s="7"/>
      <c r="N14" s="7"/>
      <c r="O14" s="7">
        <v>55931</v>
      </c>
      <c r="P14" s="7"/>
      <c r="Q14" s="8">
        <f>R14</f>
        <v>191363</v>
      </c>
      <c r="R14" s="8">
        <f t="shared" si="0"/>
        <v>191363</v>
      </c>
      <c r="S14" s="8">
        <f>R14</f>
        <v>191363</v>
      </c>
      <c r="T14" s="8">
        <f>R14</f>
        <v>191363</v>
      </c>
    </row>
    <row r="15" spans="1:20">
      <c r="A15">
        <v>2025</v>
      </c>
      <c r="B15" s="7">
        <f>IF(MROUND('T2'!B15*'T6'!$C$2,1)=0,"",MROUND('T2'!B15*'T6'!C$2,5))</f>
        <v>8885</v>
      </c>
      <c r="C15" s="7">
        <f>IF(MROUND('T2'!C15*'T6'!$C$2,1)&lt;1,"",MROUND('T2'!C15*'T6'!$C$2,5))</f>
        <v>9085</v>
      </c>
      <c r="D15" s="7">
        <f>IF(MROUND('T2'!D15*'T6'!$C$2,1)&lt;1,"",MROUND('T2'!D15*'T6'!$C$2,5))</f>
        <v>9270</v>
      </c>
      <c r="E15" s="7">
        <f>IF(MROUND('T2'!E15*'T6'!F$2,1)=0,"",MROUND('T2'!E15*'T6'!F$2,5))</f>
        <v>25320</v>
      </c>
      <c r="F15" s="7">
        <f>IF(MROUND('T2'!F15*'T6'!F$2,1)&lt;1,"",MROUND('T2'!F15*'T6'!F$2,5))</f>
        <v>25425</v>
      </c>
      <c r="G15" s="7">
        <f>IF(MROUND('T2'!G15*'T6'!$C$2,1)&lt;1,"",MROUND('T2'!G15*'T6'!$C$2,5))</f>
        <v>8945</v>
      </c>
      <c r="H15" s="7">
        <f>IF(MROUND('T2'!H15*'T6'!I$2,1)=0,"",MROUND('T2'!H15*'T6'!I$2,5))</f>
        <v>37590</v>
      </c>
      <c r="I15" s="7">
        <f>IF(MROUND('T2'!I15*'T6'!I$2,1)&lt;1,"",MROUND('T2'!I15*'T6'!I$2,5))</f>
        <v>37750</v>
      </c>
      <c r="J15" s="7">
        <f>IF(MROUND('T2'!J15*'T6'!$C$2,1)&lt;1,"",MROUND('T2'!J15*'T6'!$C$2,5))</f>
        <v>8995</v>
      </c>
      <c r="K15" s="7">
        <f>IF(MROUND('T2'!K15*'T6'!L$2,1)=0,"",MROUND('T2'!K15*'T6'!L$2,5))</f>
        <v>52220</v>
      </c>
      <c r="L15" s="7">
        <f>IF(MROUND('T2'!L15*'T6'!L$2,1)&lt;1,"",MROUND('T2'!L15*'T6'!L$2,5))</f>
        <v>52440</v>
      </c>
      <c r="M15" s="7">
        <f>IF(MROUND('T2'!M15*'T6'!$C$2,1)&lt;1,"",MROUND('T2'!M15*'T6'!$C$2,5))</f>
        <v>9715</v>
      </c>
      <c r="N15" s="7">
        <f>IF(MROUND('T2'!N15*'T6'!O$2,1)=0,"",MROUND('T2'!N15*'T6'!O$2,5))</f>
        <v>54550</v>
      </c>
      <c r="O15" s="7">
        <f>IF(MROUND('T2'!O15*'T6'!O$2,1)&lt;1,"",MROUND('T2'!O15*'T6'!O$2,5))</f>
        <v>54795</v>
      </c>
      <c r="P15" s="7">
        <f>IF(MROUND('T2'!P15*'T6'!$C$2,1)&lt;1,"",MROUND('T2'!P15*'T6'!$C$2,5))</f>
        <v>9850</v>
      </c>
      <c r="Q15" s="8">
        <f>SUM(B15,F15,I15,L15,O15)</f>
        <v>179295</v>
      </c>
      <c r="R15" s="7"/>
      <c r="S15" s="8">
        <f t="shared" ref="S15:S28" si="1">SUM(C15,F15,I15,L15,O15)</f>
        <v>179495</v>
      </c>
      <c r="T15" s="8">
        <f>SUM(O15,L15,I15,F15,D15)</f>
        <v>179680</v>
      </c>
    </row>
    <row r="16" spans="1:20">
      <c r="A16">
        <v>2026</v>
      </c>
      <c r="B16" s="7">
        <f>IF(MROUND('T2'!B16*'T6'!$C$2,1)=0,"",MROUND('T2'!B16*'T6'!C$2,5))</f>
        <v>8765</v>
      </c>
      <c r="C16" s="7">
        <f>IF(MROUND('T2'!C16*'T6'!$C$2,1)&lt;1,"",MROUND('T2'!C16*'T6'!$C$2,5))</f>
        <v>9085</v>
      </c>
      <c r="D16" s="7">
        <f>IF(MROUND('T2'!D16*'T6'!$C$2,1)&lt;1,"",MROUND('T2'!D16*'T6'!$C$2,5))</f>
        <v>9375</v>
      </c>
      <c r="E16" s="7">
        <f>IF(MROUND('T2'!E16*'T6'!F$2,1)=0,"",MROUND('T2'!E16*'T6'!F$2,5))</f>
        <v>25195</v>
      </c>
      <c r="F16" s="7">
        <f>IF(MROUND('T2'!F16*'T6'!F$2,1)&lt;1,"",MROUND('T2'!F16*'T6'!F$2,5))</f>
        <v>25910</v>
      </c>
      <c r="G16" s="7">
        <f>IF(MROUND('T2'!G16*'T6'!F$2,1)&lt;1,"",MROUND('T2'!G16*'T6'!F$2,5))</f>
        <v>26475</v>
      </c>
      <c r="H16" s="7">
        <f>IF(MROUND('T2'!H16*'T6'!I$2,1)=0,"",MROUND('T2'!H16*'T6'!I$2,5))</f>
        <v>37420</v>
      </c>
      <c r="I16" s="7">
        <f>IF(MROUND('T2'!I16*'T6'!I$2,1)&lt;1,"",MROUND('T2'!I16*'T6'!I$2,5))</f>
        <v>37670</v>
      </c>
      <c r="J16" s="7">
        <f>IF(MROUND('T2'!J16*'T6'!I$2,1)&lt;1,"",MROUND('T2'!J16*'T6'!I$2,5))</f>
        <v>37880</v>
      </c>
      <c r="K16" s="7">
        <f>IF(MROUND('T2'!K16*'T6'!L$2,1)=0,"",MROUND('T2'!K16*'T6'!L$2,5))</f>
        <v>48475</v>
      </c>
      <c r="L16" s="7">
        <f>IF(MROUND('T2'!L16*'T6'!L$2,1)&lt;1,"",MROUND('T2'!L16*'T6'!L$2,5))</f>
        <v>48820</v>
      </c>
      <c r="M16" s="7">
        <f>IF(MROUND('T2'!M16*'T6'!L$2,1)&lt;1,"",MROUND('T2'!M16*'T6'!L$2,5))</f>
        <v>49115</v>
      </c>
      <c r="N16" s="7">
        <f>IF(MROUND('T2'!N16*'T6'!O$2,1)=0,"",MROUND('T2'!N16*'T6'!O$2,5))</f>
        <v>53975</v>
      </c>
      <c r="O16" s="7">
        <f>IF(MROUND('T2'!O16*'T6'!O$2,1)&lt;1,"",MROUND('T2'!O16*'T6'!O$2,5))</f>
        <v>54370</v>
      </c>
      <c r="P16" s="7">
        <f>IF(MROUND('T2'!P16*'T6'!O$2,1)&lt;1,"",MROUND('T2'!P16*'T6'!O$2,5))</f>
        <v>54680</v>
      </c>
      <c r="Q16" s="8">
        <f>SUM(B16,E16,I16,L16,O16)</f>
        <v>174820</v>
      </c>
      <c r="R16" s="7"/>
      <c r="S16" s="8">
        <f t="shared" si="1"/>
        <v>175855</v>
      </c>
      <c r="T16" s="8">
        <f>SUM(O16,L16,I16,G16,D16)</f>
        <v>176710</v>
      </c>
    </row>
    <row r="17" spans="1:20">
      <c r="A17">
        <v>2027</v>
      </c>
      <c r="B17" s="7">
        <f>IF(MROUND('T2'!B17*'T6'!$C$2,1)=0,"",MROUND('T2'!B17*'T6'!C$2,5))</f>
        <v>8670</v>
      </c>
      <c r="C17" s="7">
        <f>IF(MROUND('T2'!C17*'T6'!$C$2,1)&lt;1,"",MROUND('T2'!C17*'T6'!$C$2,5))</f>
        <v>9085</v>
      </c>
      <c r="D17" s="7">
        <f>IF(MROUND('T2'!D17*'T6'!$C$2,1)&lt;1,"",MROUND('T2'!D17*'T6'!$C$2,5))</f>
        <v>9450</v>
      </c>
      <c r="E17" s="7">
        <f>IF(MROUND('T2'!E17*'T6'!F$2,1)=0,"",MROUND('T2'!E17*'T6'!F$2,5))</f>
        <v>25005</v>
      </c>
      <c r="F17" s="7">
        <f>IF(MROUND('T2'!F17*'T6'!F$2,1)&lt;1,"",MROUND('T2'!F17*'T6'!F$2,5))</f>
        <v>25930</v>
      </c>
      <c r="G17" s="7">
        <f>IF(MROUND('T2'!G17*'T6'!F$2,1)&lt;1,"",MROUND('T2'!G17*'T6'!F$2,5))</f>
        <v>26785</v>
      </c>
      <c r="H17" s="7">
        <f>IF(MROUND('T2'!H17*'T6'!I$2,1)=0,"",MROUND('T2'!H17*'T6'!I$2,5))</f>
        <v>37335</v>
      </c>
      <c r="I17" s="7">
        <f>IF(MROUND('T2'!I17*'T6'!I$2,1)&lt;1,"",MROUND('T2'!I17*'T6'!I$2,5))</f>
        <v>38405</v>
      </c>
      <c r="J17" s="7">
        <f>IF(MROUND('T2'!J17*'T6'!I$2,1)&lt;1,"",MROUND('T2'!J17*'T6'!I$2,5))</f>
        <v>39255</v>
      </c>
      <c r="K17" s="7">
        <f>IF(MROUND('T2'!K17*'T6'!L$2,1)=0,"",MROUND('T2'!K17*'T6'!L$2,5))</f>
        <v>48280</v>
      </c>
      <c r="L17" s="7">
        <f>IF(MROUND('T2'!L17*'T6'!L$2,1)&lt;1,"",MROUND('T2'!L17*'T6'!L$2,5))</f>
        <v>48755</v>
      </c>
      <c r="M17" s="7">
        <f>IF(MROUND('T2'!M17*'T6'!L$2,1)&lt;1,"",MROUND('T2'!M17*'T6'!L$2,5))</f>
        <v>49185</v>
      </c>
      <c r="N17" s="7">
        <f>IF(MROUND('T2'!N17*'T6'!O$2,1)=0,"",MROUND('T2'!N17*'T6'!O$2,5))</f>
        <v>50135</v>
      </c>
      <c r="O17" s="7">
        <f>IF(MROUND('T2'!O17*'T6'!O$2,1)&lt;1,"",MROUND('T2'!O17*'T6'!O$2,5))</f>
        <v>50675</v>
      </c>
      <c r="P17" s="7">
        <f>IF(MROUND('T2'!P17*'T6'!O$2,1)&lt;1,"",MROUND('T2'!P17*'T6'!O$2,5))</f>
        <v>51155</v>
      </c>
      <c r="Q17" s="8">
        <f>SUM(O17,L17,H17,E17,B17)</f>
        <v>170440</v>
      </c>
      <c r="R17" s="7"/>
      <c r="S17" s="8">
        <f t="shared" si="1"/>
        <v>172850</v>
      </c>
      <c r="T17" s="8">
        <f>SUM(O17,L17,J17,G17,D17)</f>
        <v>174920</v>
      </c>
    </row>
    <row r="18" spans="1:20">
      <c r="A18">
        <v>2028</v>
      </c>
      <c r="B18" s="7">
        <f>IF(MROUND('T2'!B18*'T6'!$C$2,1)=0,"",MROUND('T2'!B18*'T6'!C$2,5))</f>
        <v>8610</v>
      </c>
      <c r="C18" s="7">
        <f>IF(MROUND('T2'!C18*'T6'!$C$2,1)&lt;1,"",MROUND('T2'!C18*'T6'!$C$2,5))</f>
        <v>9080</v>
      </c>
      <c r="D18" s="7">
        <f>IF(MROUND('T2'!D18*'T6'!$C$2,1)&lt;1,"",MROUND('T2'!D18*'T6'!$C$2,5))</f>
        <v>9525</v>
      </c>
      <c r="E18" s="7">
        <f>IF(MROUND('T2'!E18*'T6'!F$2,1)=0,"",MROUND('T2'!E18*'T6'!F$2,5))</f>
        <v>24730</v>
      </c>
      <c r="F18" s="7">
        <f>IF(MROUND('T2'!F18*'T6'!F$2,1)&lt;1,"",MROUND('T2'!F18*'T6'!F$2,5))</f>
        <v>25935</v>
      </c>
      <c r="G18" s="7">
        <f>IF(MROUND('T2'!G18*'T6'!F$2,1)&lt;1,"",MROUND('T2'!G18*'T6'!F$2,5))</f>
        <v>27005</v>
      </c>
      <c r="H18" s="7">
        <f>IF(MROUND('T2'!H18*'T6'!I$2,1)=0,"",MROUND('T2'!H18*'T6'!I$2,5))</f>
        <v>37075</v>
      </c>
      <c r="I18" s="7">
        <f>IF(MROUND('T2'!I18*'T6'!I$2,1)&lt;1,"",MROUND('T2'!I18*'T6'!I$2,5))</f>
        <v>38450</v>
      </c>
      <c r="J18" s="7">
        <f>IF(MROUND('T2'!J18*'T6'!I$2,1)&lt;1,"",MROUND('T2'!J18*'T6'!I$2,5))</f>
        <v>39720</v>
      </c>
      <c r="K18" s="7">
        <f>IF(MROUND('T2'!K18*'T6'!L$2,1)=0,"",MROUND('T2'!K18*'T6'!L$2,5))</f>
        <v>48295</v>
      </c>
      <c r="L18" s="7">
        <f>IF(MROUND('T2'!L18*'T6'!L$2,1)&lt;1,"",MROUND('T2'!L18*'T6'!L$2,5))</f>
        <v>49725</v>
      </c>
      <c r="M18" s="7">
        <f>IF(MROUND('T2'!M18*'T6'!L$2,1)&lt;1,"",MROUND('T2'!M18*'T6'!L$2,5))</f>
        <v>50885</v>
      </c>
      <c r="N18" s="7">
        <f>IF(MROUND('T2'!N18*'T6'!O$2,1)=0,"",MROUND('T2'!N18*'T6'!O$2,5))</f>
        <v>49985</v>
      </c>
      <c r="O18" s="7">
        <f>IF(MROUND('T2'!O18*'T6'!O$2,1)&lt;1,"",MROUND('T2'!O18*'T6'!O$2,5))</f>
        <v>50630</v>
      </c>
      <c r="P18" s="7">
        <f>IF(MROUND('T2'!P18*'T6'!O$2,1)&lt;1,"",MROUND('T2'!P18*'T6'!O$2,5))</f>
        <v>51190</v>
      </c>
      <c r="Q18" s="8">
        <f>SUM(O18,K18,H18,E18,B18)</f>
        <v>169340</v>
      </c>
      <c r="R18" s="7"/>
      <c r="S18" s="8">
        <f t="shared" si="1"/>
        <v>173820</v>
      </c>
      <c r="T18" s="8">
        <f>SUM(O18,M18,J18,G18,D18)</f>
        <v>177765</v>
      </c>
    </row>
    <row r="19" spans="1:20">
      <c r="A19">
        <v>2029</v>
      </c>
      <c r="B19" s="7">
        <f>IF(MROUND('T2'!B19*'T6'!$C$2,1)=0,"",MROUND('T2'!B19*'T6'!C$2,5))</f>
        <v>8550</v>
      </c>
      <c r="C19" s="7">
        <f>IF(MROUND('T2'!C19*'T6'!$C$2,1)&lt;1,"",MROUND('T2'!C19*'T6'!$C$2,5))</f>
        <v>9075</v>
      </c>
      <c r="D19" s="7">
        <f>IF(MROUND('T2'!D19*'T6'!$C$2,1)&lt;1,"",MROUND('T2'!D19*'T6'!$C$2,5))</f>
        <v>9575</v>
      </c>
      <c r="E19" s="7">
        <f>IF(MROUND('T2'!E19*'T6'!F$2,1)=0,"",MROUND('T2'!E19*'T6'!F$2,5))</f>
        <v>24555</v>
      </c>
      <c r="F19" s="7">
        <f>IF(MROUND('T2'!F19*'T6'!F$2,1)&lt;1,"",MROUND('T2'!F19*'T6'!F$2,5))</f>
        <v>25930</v>
      </c>
      <c r="G19" s="7">
        <f>IF(MROUND('T2'!G19*'T6'!F$2,1)&lt;1,"",MROUND('T2'!G19*'T6'!F$2,5))</f>
        <v>27215</v>
      </c>
      <c r="H19" s="7">
        <f>IF(MROUND('T2'!H19*'T6'!I$2,1)=0,"",MROUND('T2'!H19*'T6'!I$2,5))</f>
        <v>36735</v>
      </c>
      <c r="I19" s="7">
        <f>IF(MROUND('T2'!I19*'T6'!I$2,1)&lt;1,"",MROUND('T2'!I19*'T6'!I$2,5))</f>
        <v>38470</v>
      </c>
      <c r="J19" s="7">
        <f>IF(MROUND('T2'!J19*'T6'!I$2,1)&lt;1,"",MROUND('T2'!J19*'T6'!I$2,5))</f>
        <v>40055</v>
      </c>
      <c r="K19" s="7">
        <f>IF(MROUND('T2'!K19*'T6'!L$2,1)=0,"",MROUND('T2'!K19*'T6'!L$2,5))</f>
        <v>47985</v>
      </c>
      <c r="L19" s="7">
        <f>IF(MROUND('T2'!L19*'T6'!L$2,1)&lt;1,"",MROUND('T2'!L19*'T6'!L$2,5))</f>
        <v>49800</v>
      </c>
      <c r="M19" s="7">
        <f>IF(MROUND('T2'!M19*'T6'!L$2,1)&lt;1,"",MROUND('T2'!M19*'T6'!L$2,5))</f>
        <v>51555</v>
      </c>
      <c r="N19" s="7">
        <f>IF(MROUND('T2'!N19*'T6'!O$2,1)=0,"",MROUND('T2'!N19*'T6'!O$2,5))</f>
        <v>50150</v>
      </c>
      <c r="O19" s="7">
        <f>IF(MROUND('T2'!O19*'T6'!O$2,1)&lt;1,"",MROUND('T2'!O19*'T6'!O$2,5))</f>
        <v>51650</v>
      </c>
      <c r="P19" s="7">
        <f>IF(MROUND('T2'!P19*'T6'!O$2,1)&lt;1,"",MROUND('T2'!P19*'T6'!O$2,5))</f>
        <v>52880</v>
      </c>
      <c r="Q19" s="8">
        <f>SUM(N19,K19,H19,E19,B19)</f>
        <v>167975</v>
      </c>
      <c r="R19" s="7"/>
      <c r="S19" s="8">
        <f t="shared" si="1"/>
        <v>174925</v>
      </c>
      <c r="T19" s="8">
        <f>SUM(P19,M19,J19,G19,D19)</f>
        <v>181280</v>
      </c>
    </row>
    <row r="20" spans="1:20">
      <c r="A20">
        <v>2030</v>
      </c>
      <c r="B20" s="7">
        <f>IF(MROUND('T2'!B20*'T6'!$C$2,1)=0,"",MROUND('T2'!B20*'T6'!C$2,5))</f>
        <v>8495</v>
      </c>
      <c r="C20" s="7">
        <f>IF(MROUND('T2'!C20*'T6'!$C$2,1)&lt;1,"",MROUND('T2'!C20*'T6'!$C$2,5))</f>
        <v>9070</v>
      </c>
      <c r="D20" s="7">
        <f>IF(MROUND('T2'!D20*'T6'!$C$2,1)&lt;1,"",MROUND('T2'!D20*'T6'!$C$2,5))</f>
        <v>9620</v>
      </c>
      <c r="E20" s="7">
        <f>IF(MROUND('T2'!E20*'T6'!F$2,1)=0,"",MROUND('T2'!E20*'T6'!F$2,5))</f>
        <v>24420</v>
      </c>
      <c r="F20" s="7">
        <f>IF(MROUND('T2'!F20*'T6'!F$2,1)&lt;1,"",MROUND('T2'!F20*'T6'!F$2,5))</f>
        <v>25920</v>
      </c>
      <c r="G20" s="7">
        <f>IF(MROUND('T2'!G20*'T6'!F$2,1)&lt;1,"",MROUND('T2'!G20*'T6'!F$2,5))</f>
        <v>27370</v>
      </c>
      <c r="H20" s="7">
        <f>IF(MROUND('T2'!H20*'T6'!I$2,1)=0,"",MROUND('T2'!H20*'T6'!I$2,5))</f>
        <v>36440</v>
      </c>
      <c r="I20" s="7">
        <f>IF(MROUND('T2'!I20*'T6'!I$2,1)&lt;1,"",MROUND('T2'!I20*'T6'!I$2,5))</f>
        <v>38470</v>
      </c>
      <c r="J20" s="7">
        <f>IF(MROUND('T2'!J20*'T6'!I$2,1)&lt;1,"",MROUND('T2'!J20*'T6'!I$2,5))</f>
        <v>40385</v>
      </c>
      <c r="K20" s="7">
        <f>IF(MROUND('T2'!K20*'T6'!L$2,1)=0,"",MROUND('T2'!K20*'T6'!L$2,5))</f>
        <v>47610</v>
      </c>
      <c r="L20" s="7">
        <f>IF(MROUND('T2'!L20*'T6'!L$2,1)&lt;1,"",MROUND('T2'!L20*'T6'!L$2,5))</f>
        <v>49835</v>
      </c>
      <c r="M20" s="7">
        <f>IF(MROUND('T2'!M20*'T6'!L$2,1)&lt;1,"",MROUND('T2'!M20*'T6'!L$2,5))</f>
        <v>51875</v>
      </c>
      <c r="N20" s="7">
        <f>IF(MROUND('T2'!N20*'T6'!O$2,1)=0,"",MROUND('T2'!N20*'T6'!O$2,5))</f>
        <v>49810</v>
      </c>
      <c r="O20" s="7">
        <f>IF(MROUND('T2'!O20*'T6'!O$2,1)&lt;1,"",MROUND('T2'!O20*'T6'!O$2,5))</f>
        <v>51745</v>
      </c>
      <c r="P20" s="7">
        <f>IF(MROUND('T2'!P20*'T6'!O$2,1)&lt;1,"",MROUND('T2'!P20*'T6'!O$2,5))</f>
        <v>53665</v>
      </c>
      <c r="Q20" s="8">
        <f t="shared" ref="Q20:Q28" si="2">SUM(N20,K20,H20,E20,B20)</f>
        <v>166775</v>
      </c>
      <c r="R20" s="7"/>
      <c r="S20" s="8">
        <f t="shared" si="1"/>
        <v>175040</v>
      </c>
      <c r="T20" s="8">
        <f t="shared" ref="T20:T28" si="3">SUM(P20,M20,J20,G20,D20)</f>
        <v>182915</v>
      </c>
    </row>
    <row r="21" spans="1:20">
      <c r="A21">
        <v>2031</v>
      </c>
      <c r="B21" s="7">
        <f>IF(MROUND('T2'!B21*'T6'!$C$2,1)=0,"",MROUND('T2'!B21*'T6'!C$2,5))</f>
        <v>8430</v>
      </c>
      <c r="C21" s="7">
        <f>IF(MROUND('T2'!C21*'T6'!$C$2,1)&lt;1,"",MROUND('T2'!C21*'T6'!$C$2,5))</f>
        <v>9070</v>
      </c>
      <c r="D21" s="7">
        <f>IF(MROUND('T2'!D21*'T6'!$C$2,1)&lt;1,"",MROUND('T2'!D21*'T6'!$C$2,5))</f>
        <v>9670</v>
      </c>
      <c r="E21" s="7">
        <f>IF(MROUND('T2'!E21*'T6'!F$2,1)=0,"",MROUND('T2'!E21*'T6'!F$2,5))</f>
        <v>24280</v>
      </c>
      <c r="F21" s="7">
        <f>IF(MROUND('T2'!F21*'T6'!F$2,1)&lt;1,"",MROUND('T2'!F21*'T6'!F$2,5))</f>
        <v>25915</v>
      </c>
      <c r="G21" s="7">
        <f>IF(MROUND('T2'!G21*'T6'!F$2,1)&lt;1,"",MROUND('T2'!G21*'T6'!F$2,5))</f>
        <v>27470</v>
      </c>
      <c r="H21" s="7">
        <f>IF(MROUND('T2'!H21*'T6'!I$2,1)=0,"",MROUND('T2'!H21*'T6'!I$2,5))</f>
        <v>36215</v>
      </c>
      <c r="I21" s="7">
        <f>IF(MROUND('T2'!I21*'T6'!I$2,1)&lt;1,"",MROUND('T2'!I21*'T6'!I$2,5))</f>
        <v>38460</v>
      </c>
      <c r="J21" s="7">
        <f>IF(MROUND('T2'!J21*'T6'!I$2,1)&lt;1,"",MROUND('T2'!J21*'T6'!I$2,5))</f>
        <v>40555</v>
      </c>
      <c r="K21" s="7">
        <f>IF(MROUND('T2'!K21*'T6'!L$2,1)=0,"",MROUND('T2'!K21*'T6'!L$2,5))</f>
        <v>47230</v>
      </c>
      <c r="L21" s="7">
        <f>IF(MROUND('T2'!L21*'T6'!L$2,1)&lt;1,"",MROUND('T2'!L21*'T6'!L$2,5))</f>
        <v>49845</v>
      </c>
      <c r="M21" s="7">
        <f>IF(MROUND('T2'!M21*'T6'!L$2,1)&lt;1,"",MROUND('T2'!M21*'T6'!L$2,5))</f>
        <v>52315</v>
      </c>
      <c r="N21" s="7">
        <f>IF(MROUND('T2'!N21*'T6'!O$2,1)=0,"",MROUND('T2'!N21*'T6'!O$2,5))</f>
        <v>49500</v>
      </c>
      <c r="O21" s="7">
        <f>IF(MROUND('T2'!O21*'T6'!O$2,1)&lt;1,"",MROUND('T2'!O21*'T6'!O$2,5))</f>
        <v>51790</v>
      </c>
      <c r="P21" s="7">
        <f>IF(MROUND('T2'!P21*'T6'!O$2,1)&lt;1,"",MROUND('T2'!P21*'T6'!O$2,5))</f>
        <v>53940</v>
      </c>
      <c r="Q21" s="8">
        <f t="shared" si="2"/>
        <v>165655</v>
      </c>
      <c r="R21" s="7"/>
      <c r="S21" s="8">
        <f t="shared" si="1"/>
        <v>175080</v>
      </c>
      <c r="T21" s="8">
        <f t="shared" si="3"/>
        <v>183950</v>
      </c>
    </row>
    <row r="22" spans="1:20">
      <c r="A22">
        <v>2032</v>
      </c>
      <c r="B22" s="7">
        <f>IF(MROUND('T2'!B22*'T6'!$C$2,1)=0,"",MROUND('T2'!B22*'T6'!C$2,5))</f>
        <v>8400</v>
      </c>
      <c r="C22" s="7">
        <f>IF(MROUND('T2'!C22*'T6'!$C$2,1)&lt;1,"",MROUND('T2'!C22*'T6'!$C$2,5))</f>
        <v>9080</v>
      </c>
      <c r="D22" s="7">
        <f>IF(MROUND('T2'!D22*'T6'!$C$2,1)&lt;1,"",MROUND('T2'!D22*'T6'!$C$2,5))</f>
        <v>9730</v>
      </c>
      <c r="E22" s="7">
        <f>IF(MROUND('T2'!E22*'T6'!F$2,1)=0,"",MROUND('T2'!E22*'T6'!F$2,5))</f>
        <v>24080</v>
      </c>
      <c r="F22" s="7">
        <f>IF(MROUND('T2'!F22*'T6'!F$2,1)&lt;1,"",MROUND('T2'!F22*'T6'!F$2,5))</f>
        <v>25920</v>
      </c>
      <c r="G22" s="7">
        <f>IF(MROUND('T2'!G22*'T6'!F$2,1)&lt;1,"",MROUND('T2'!G22*'T6'!F$2,5))</f>
        <v>27625</v>
      </c>
      <c r="H22" s="7">
        <f>IF(MROUND('T2'!H22*'T6'!I$2,1)=0,"",MROUND('T2'!H22*'T6'!I$2,5))</f>
        <v>36045</v>
      </c>
      <c r="I22" s="7">
        <f>IF(MROUND('T2'!I22*'T6'!I$2,1)&lt;1,"",MROUND('T2'!I22*'T6'!I$2,5))</f>
        <v>38450</v>
      </c>
      <c r="J22" s="7">
        <f>IF(MROUND('T2'!J22*'T6'!I$2,1)&lt;1,"",MROUND('T2'!J22*'T6'!I$2,5))</f>
        <v>40795</v>
      </c>
      <c r="K22" s="7">
        <f>IF(MROUND('T2'!K22*'T6'!L$2,1)=0,"",MROUND('T2'!K22*'T6'!L$2,5))</f>
        <v>46935</v>
      </c>
      <c r="L22" s="7">
        <f>IF(MROUND('T2'!L22*'T6'!L$2,1)&lt;1,"",MROUND('T2'!L22*'T6'!L$2,5))</f>
        <v>49835</v>
      </c>
      <c r="M22" s="7">
        <f>IF(MROUND('T2'!M22*'T6'!L$2,1)&lt;1,"",MROUND('T2'!M22*'T6'!L$2,5))</f>
        <v>52630</v>
      </c>
      <c r="N22" s="7">
        <f>IF(MROUND('T2'!N22*'T6'!O$2,1)=0,"",MROUND('T2'!N22*'T6'!O$2,5))</f>
        <v>49060</v>
      </c>
      <c r="O22" s="7">
        <f>IF(MROUND('T2'!O22*'T6'!O$2,1)&lt;1,"",MROUND('T2'!O22*'T6'!O$2,5))</f>
        <v>51800</v>
      </c>
      <c r="P22" s="7">
        <f>IF(MROUND('T2'!P22*'T6'!O$2,1)&lt;1,"",MROUND('T2'!P22*'T6'!O$2,5))</f>
        <v>54375</v>
      </c>
      <c r="Q22" s="8">
        <f t="shared" si="2"/>
        <v>164520</v>
      </c>
      <c r="R22" s="7"/>
      <c r="S22" s="8">
        <f t="shared" si="1"/>
        <v>175085</v>
      </c>
      <c r="T22" s="8">
        <f t="shared" si="3"/>
        <v>185155</v>
      </c>
    </row>
    <row r="23" spans="1:20">
      <c r="A23">
        <v>2033</v>
      </c>
      <c r="B23" s="7">
        <f>IF(MROUND('T2'!B23*'T6'!$C$2,1)=0,"",MROUND('T2'!B23*'T6'!C$2,5))</f>
        <v>8370</v>
      </c>
      <c r="C23" s="7">
        <f>IF(MROUND('T2'!C23*'T6'!$C$2,1)&lt;1,"",MROUND('T2'!C23*'T6'!$C$2,5))</f>
        <v>9095</v>
      </c>
      <c r="D23" s="7">
        <f>IF(MROUND('T2'!D23*'T6'!$C$2,1)&lt;1,"",MROUND('T2'!D23*'T6'!$C$2,5))</f>
        <v>9800</v>
      </c>
      <c r="E23" s="7">
        <f>IF(MROUND('T2'!E23*'T6'!F$2,1)=0,"",MROUND('T2'!E23*'T6'!F$2,5))</f>
        <v>24015</v>
      </c>
      <c r="F23" s="7">
        <f>IF(MROUND('T2'!F23*'T6'!F$2,1)&lt;1,"",MROUND('T2'!F23*'T6'!F$2,5))</f>
        <v>25940</v>
      </c>
      <c r="G23" s="7">
        <f>IF(MROUND('T2'!G23*'T6'!F$2,1)&lt;1,"",MROUND('T2'!G23*'T6'!F$2,5))</f>
        <v>27765</v>
      </c>
      <c r="H23" s="7">
        <f>IF(MROUND('T2'!H23*'T6'!I$2,1)=0,"",MROUND('T2'!H23*'T6'!I$2,5))</f>
        <v>35770</v>
      </c>
      <c r="I23" s="7">
        <f>IF(MROUND('T2'!I23*'T6'!I$2,1)&lt;1,"",MROUND('T2'!I23*'T6'!I$2,5))</f>
        <v>38465</v>
      </c>
      <c r="J23" s="7">
        <f>IF(MROUND('T2'!J23*'T6'!I$2,1)&lt;1,"",MROUND('T2'!J23*'T6'!I$2,5))</f>
        <v>40985</v>
      </c>
      <c r="K23" s="7">
        <f>IF(MROUND('T2'!K23*'T6'!L$2,1)=0,"",MROUND('T2'!K23*'T6'!L$2,5))</f>
        <v>46690</v>
      </c>
      <c r="L23" s="7">
        <f>IF(MROUND('T2'!L23*'T6'!L$2,1)&lt;1,"",MROUND('T2'!L23*'T6'!L$2,5))</f>
        <v>49825</v>
      </c>
      <c r="M23" s="7">
        <f>IF(MROUND('T2'!M23*'T6'!L$2,1)&lt;1,"",MROUND('T2'!M23*'T6'!L$2,5))</f>
        <v>52985</v>
      </c>
      <c r="N23" s="7">
        <f>IF(MROUND('T2'!N23*'T6'!O$2,1)=0,"",MROUND('T2'!N23*'T6'!O$2,5))</f>
        <v>48730</v>
      </c>
      <c r="O23" s="7">
        <f>IF(MROUND('T2'!O23*'T6'!O$2,1)&lt;1,"",MROUND('T2'!O23*'T6'!O$2,5))</f>
        <v>51790</v>
      </c>
      <c r="P23" s="7">
        <f>IF(MROUND('T2'!P23*'T6'!O$2,1)&lt;1,"",MROUND('T2'!P23*'T6'!O$2,5))</f>
        <v>54690</v>
      </c>
      <c r="Q23" s="8">
        <f t="shared" si="2"/>
        <v>163575</v>
      </c>
      <c r="R23" s="7"/>
      <c r="S23" s="8">
        <f t="shared" si="1"/>
        <v>175115</v>
      </c>
      <c r="T23" s="8">
        <f t="shared" si="3"/>
        <v>186225</v>
      </c>
    </row>
    <row r="24" spans="1:20">
      <c r="A24">
        <v>2034</v>
      </c>
      <c r="B24" s="7">
        <f>IF(MROUND('T2'!B24*'T6'!$C$2,1)=0,"",MROUND('T2'!B24*'T6'!C$2,5))</f>
        <v>8375</v>
      </c>
      <c r="C24" s="7">
        <f>IF(MROUND('T2'!C24*'T6'!$C$2,1)&lt;1,"",MROUND('T2'!C24*'T6'!$C$2,5))</f>
        <v>9120</v>
      </c>
      <c r="D24" s="7">
        <f>IF(MROUND('T2'!D24*'T6'!$C$2,1)&lt;1,"",MROUND('T2'!D24*'T6'!$C$2,5))</f>
        <v>9840</v>
      </c>
      <c r="E24" s="7">
        <f>IF(MROUND('T2'!E24*'T6'!F$2,1)=0,"",MROUND('T2'!E24*'T6'!F$2,5))</f>
        <v>23935</v>
      </c>
      <c r="F24" s="7">
        <f>IF(MROUND('T2'!F24*'T6'!F$2,1)&lt;1,"",MROUND('T2'!F24*'T6'!F$2,5))</f>
        <v>25990</v>
      </c>
      <c r="G24" s="7">
        <f>IF(MROUND('T2'!G24*'T6'!F$2,1)&lt;1,"",MROUND('T2'!G24*'T6'!F$2,5))</f>
        <v>27990</v>
      </c>
      <c r="H24" s="7">
        <f>IF(MROUND('T2'!H24*'T6'!I$2,1)=0,"",MROUND('T2'!H24*'T6'!I$2,5))</f>
        <v>35645</v>
      </c>
      <c r="I24" s="7">
        <f>IF(MROUND('T2'!I24*'T6'!I$2,1)&lt;1,"",MROUND('T2'!I24*'T6'!I$2,5))</f>
        <v>38500</v>
      </c>
      <c r="J24" s="7">
        <f>IF(MROUND('T2'!J24*'T6'!I$2,1)&lt;1,"",MROUND('T2'!J24*'T6'!I$2,5))</f>
        <v>41180</v>
      </c>
      <c r="K24" s="7">
        <f>IF(MROUND('T2'!K24*'T6'!L$2,1)=0,"",MROUND('T2'!K24*'T6'!L$2,5))</f>
        <v>46365</v>
      </c>
      <c r="L24" s="7">
        <f>IF(MROUND('T2'!L24*'T6'!L$2,1)&lt;1,"",MROUND('T2'!L24*'T6'!L$2,5))</f>
        <v>49845</v>
      </c>
      <c r="M24" s="7">
        <f>IF(MROUND('T2'!M24*'T6'!L$2,1)&lt;1,"",MROUND('T2'!M24*'T6'!L$2,5))</f>
        <v>53135</v>
      </c>
      <c r="N24" s="7">
        <f>IF(MROUND('T2'!N24*'T6'!O$2,1)=0,"",MROUND('T2'!N24*'T6'!O$2,5))</f>
        <v>48495</v>
      </c>
      <c r="O24" s="7">
        <f>IF(MROUND('T2'!O24*'T6'!O$2,1)&lt;1,"",MROUND('T2'!O24*'T6'!O$2,5))</f>
        <v>51790</v>
      </c>
      <c r="P24" s="7">
        <f>IF(MROUND('T2'!P24*'T6'!O$2,1)&lt;1,"",MROUND('T2'!P24*'T6'!O$2,5))</f>
        <v>55005</v>
      </c>
      <c r="Q24" s="8">
        <f t="shared" si="2"/>
        <v>162815</v>
      </c>
      <c r="R24" s="7"/>
      <c r="S24" s="8">
        <f t="shared" si="1"/>
        <v>175245</v>
      </c>
      <c r="T24" s="8">
        <f t="shared" si="3"/>
        <v>187150</v>
      </c>
    </row>
    <row r="25" spans="1:20">
      <c r="A25">
        <v>2035</v>
      </c>
      <c r="B25" s="7">
        <f>IF(MROUND('T2'!B25*'T6'!$C$2,1)=0,"",MROUND('T2'!B25*'T6'!C$2,5))</f>
        <v>8355</v>
      </c>
      <c r="C25" s="7">
        <f>IF(MROUND('T2'!C25*'T6'!$C$2,1)&lt;1,"",MROUND('T2'!C25*'T6'!$C$2,5))</f>
        <v>9160</v>
      </c>
      <c r="D25" s="7">
        <f>IF(MROUND('T2'!D25*'T6'!$C$2,1)&lt;1,"",MROUND('T2'!D25*'T6'!$C$2,5))</f>
        <v>9925</v>
      </c>
      <c r="E25" s="7">
        <f>IF(MROUND('T2'!E25*'T6'!F$2,1)=0,"",MROUND('T2'!E25*'T6'!F$2,5))</f>
        <v>23920</v>
      </c>
      <c r="F25" s="7">
        <f>IF(MROUND('T2'!F25*'T6'!F$2,1)&lt;1,"",MROUND('T2'!F25*'T6'!F$2,5))</f>
        <v>26065</v>
      </c>
      <c r="G25" s="7">
        <f>IF(MROUND('T2'!G25*'T6'!F$2,1)&lt;1,"",MROUND('T2'!G25*'T6'!F$2,5))</f>
        <v>28125</v>
      </c>
      <c r="H25" s="7">
        <f>IF(MROUND('T2'!H25*'T6'!I$2,1)=0,"",MROUND('T2'!H25*'T6'!I$2,5))</f>
        <v>35605</v>
      </c>
      <c r="I25" s="7">
        <f>IF(MROUND('T2'!I25*'T6'!I$2,1)&lt;1,"",MROUND('T2'!I25*'T6'!I$2,5))</f>
        <v>38570</v>
      </c>
      <c r="J25" s="7">
        <f>IF(MROUND('T2'!J25*'T6'!I$2,1)&lt;1,"",MROUND('T2'!J25*'T6'!I$2,5))</f>
        <v>41490</v>
      </c>
      <c r="K25" s="7">
        <f>IF(MROUND('T2'!K25*'T6'!L$2,1)=0,"",MROUND('T2'!K25*'T6'!L$2,5))</f>
        <v>46250</v>
      </c>
      <c r="L25" s="7">
        <f>IF(MROUND('T2'!L25*'T6'!L$2,1)&lt;1,"",MROUND('T2'!L25*'T6'!L$2,5))</f>
        <v>49895</v>
      </c>
      <c r="M25" s="7">
        <f>IF(MROUND('T2'!M25*'T6'!L$2,1)&lt;1,"",MROUND('T2'!M25*'T6'!L$2,5))</f>
        <v>53330</v>
      </c>
      <c r="N25" s="7">
        <f>IF(MROUND('T2'!N25*'T6'!O$2,1)=0,"",MROUND('T2'!N25*'T6'!O$2,5))</f>
        <v>48190</v>
      </c>
      <c r="O25" s="7">
        <f>IF(MROUND('T2'!O25*'T6'!O$2,1)&lt;1,"",MROUND('T2'!O25*'T6'!O$2,5))</f>
        <v>51805</v>
      </c>
      <c r="P25" s="7">
        <f>IF(MROUND('T2'!P25*'T6'!O$2,1)&lt;1,"",MROUND('T2'!P25*'T6'!O$2,5))</f>
        <v>55220</v>
      </c>
      <c r="Q25" s="8">
        <f t="shared" si="2"/>
        <v>162320</v>
      </c>
      <c r="R25" s="7"/>
      <c r="S25" s="8">
        <f t="shared" si="1"/>
        <v>175495</v>
      </c>
      <c r="T25" s="8">
        <f t="shared" si="3"/>
        <v>188090</v>
      </c>
    </row>
    <row r="26" spans="1:20">
      <c r="A26">
        <v>2036</v>
      </c>
      <c r="B26" s="7">
        <f>IF(MROUND('T2'!B26*'T6'!$C$2,1)=0,"",MROUND('T2'!B26*'T6'!C$2,5))</f>
        <v>8370</v>
      </c>
      <c r="C26" s="7">
        <f>IF(MROUND('T2'!C26*'T6'!$C$2,1)&lt;1,"",MROUND('T2'!C26*'T6'!$C$2,5))</f>
        <v>9210</v>
      </c>
      <c r="D26" s="7">
        <f>IF(MROUND('T2'!D26*'T6'!$C$2,1)&lt;1,"",MROUND('T2'!D26*'T6'!$C$2,5))</f>
        <v>10010</v>
      </c>
      <c r="E26" s="7">
        <f>IF(MROUND('T2'!E26*'T6'!F$2,1)=0,"",MROUND('T2'!E26*'T6'!F$2,5))</f>
        <v>23905</v>
      </c>
      <c r="F26" s="7">
        <f>IF(MROUND('T2'!F26*'T6'!F$2,1)&lt;1,"",MROUND('T2'!F26*'T6'!F$2,5))</f>
        <v>26180</v>
      </c>
      <c r="G26" s="7">
        <f>IF(MROUND('T2'!G26*'T6'!F$2,1)&lt;1,"",MROUND('T2'!G26*'T6'!F$2,5))</f>
        <v>28395</v>
      </c>
      <c r="H26" s="7">
        <f>IF(MROUND('T2'!H26*'T6'!I$2,1)=0,"",MROUND('T2'!H26*'T6'!I$2,5))</f>
        <v>35505</v>
      </c>
      <c r="I26" s="7">
        <f>IF(MROUND('T2'!I26*'T6'!I$2,1)&lt;1,"",MROUND('T2'!I26*'T6'!I$2,5))</f>
        <v>38690</v>
      </c>
      <c r="J26" s="7">
        <f>IF(MROUND('T2'!J26*'T6'!I$2,1)&lt;1,"",MROUND('T2'!J26*'T6'!I$2,5))</f>
        <v>41730</v>
      </c>
      <c r="K26" s="7">
        <f>IF(MROUND('T2'!K26*'T6'!L$2,1)=0,"",MROUND('T2'!K26*'T6'!L$2,5))</f>
        <v>46145</v>
      </c>
      <c r="L26" s="7">
        <f>IF(MROUND('T2'!L26*'T6'!L$2,1)&lt;1,"",MROUND('T2'!L26*'T6'!L$2,5))</f>
        <v>49990</v>
      </c>
      <c r="M26" s="7">
        <f>IF(MROUND('T2'!M26*'T6'!L$2,1)&lt;1,"",MROUND('T2'!M26*'T6'!L$2,5))</f>
        <v>53710</v>
      </c>
      <c r="N26" s="7">
        <f>IF(MROUND('T2'!N26*'T6'!O$2,1)=0,"",MROUND('T2'!N26*'T6'!O$2,5))</f>
        <v>48050</v>
      </c>
      <c r="O26" s="7">
        <f>IF(MROUND('T2'!O26*'T6'!O$2,1)&lt;1,"",MROUND('T2'!O26*'T6'!O$2,5))</f>
        <v>51870</v>
      </c>
      <c r="P26" s="7">
        <f>IF(MROUND('T2'!P26*'T6'!O$2,1)&lt;1,"",MROUND('T2'!P26*'T6'!O$2,5))</f>
        <v>55430</v>
      </c>
      <c r="Q26" s="8">
        <f t="shared" si="2"/>
        <v>161975</v>
      </c>
      <c r="R26" s="7"/>
      <c r="S26" s="8">
        <f t="shared" si="1"/>
        <v>175940</v>
      </c>
      <c r="T26" s="8">
        <f t="shared" si="3"/>
        <v>189275</v>
      </c>
    </row>
    <row r="27" spans="1:20">
      <c r="A27">
        <v>2037</v>
      </c>
      <c r="B27" s="7">
        <f>IF(MROUND('T2'!B27*'T6'!$C$2,1)=0,"",MROUND('T2'!B27*'T6'!C$2,5))</f>
        <v>8390</v>
      </c>
      <c r="C27" s="7">
        <f>IF(MROUND('T2'!C27*'T6'!$C$2,1)&lt;1,"",MROUND('T2'!C27*'T6'!$C$2,5))</f>
        <v>9270</v>
      </c>
      <c r="D27" s="7">
        <f>IF(MROUND('T2'!D27*'T6'!$C$2,1)&lt;1,"",MROUND('T2'!D27*'T6'!$C$2,5))</f>
        <v>10105</v>
      </c>
      <c r="E27" s="7">
        <f>IF(MROUND('T2'!E27*'T6'!F$2,1)=0,"",MROUND('T2'!E27*'T6'!F$2,5))</f>
        <v>23880</v>
      </c>
      <c r="F27" s="7">
        <f>IF(MROUND('T2'!F27*'T6'!F$2,1)&lt;1,"",MROUND('T2'!F27*'T6'!F$2,5))</f>
        <v>26325</v>
      </c>
      <c r="G27" s="7">
        <f>IF(MROUND('T2'!G27*'T6'!F$2,1)&lt;1,"",MROUND('T2'!G27*'T6'!F$2,5))</f>
        <v>28600</v>
      </c>
      <c r="H27" s="7">
        <f>IF(MROUND('T2'!H27*'T6'!I$2,1)=0,"",MROUND('T2'!H27*'T6'!I$2,5))</f>
        <v>35490</v>
      </c>
      <c r="I27" s="7">
        <f>IF(MROUND('T2'!I27*'T6'!I$2,1)&lt;1,"",MROUND('T2'!I27*'T6'!I$2,5))</f>
        <v>38855</v>
      </c>
      <c r="J27" s="7">
        <f>IF(MROUND('T2'!J27*'T6'!I$2,1)&lt;1,"",MROUND('T2'!J27*'T6'!I$2,5))</f>
        <v>42070</v>
      </c>
      <c r="K27" s="7">
        <f>IF(MROUND('T2'!K27*'T6'!L$2,1)=0,"",MROUND('T2'!K27*'T6'!L$2,5))</f>
        <v>46020</v>
      </c>
      <c r="L27" s="7">
        <f>IF(MROUND('T2'!L27*'T6'!L$2,1)&lt;1,"",MROUND('T2'!L27*'T6'!L$2,5))</f>
        <v>50150</v>
      </c>
      <c r="M27" s="7">
        <f>IF(MROUND('T2'!M27*'T6'!L$2,1)&lt;1,"",MROUND('T2'!M27*'T6'!L$2,5))</f>
        <v>54090</v>
      </c>
      <c r="N27" s="7">
        <f>IF(MROUND('T2'!N27*'T6'!O$2,1)=0,"",MROUND('T2'!N27*'T6'!O$2,5))</f>
        <v>48010</v>
      </c>
      <c r="O27" s="7">
        <f>IF(MROUND('T2'!O27*'T6'!O$2,1)&lt;1,"",MROUND('T2'!O27*'T6'!O$2,5))</f>
        <v>51965</v>
      </c>
      <c r="P27" s="7">
        <f>IF(MROUND('T2'!P27*'T6'!O$2,1)&lt;1,"",MROUND('T2'!P27*'T6'!O$2,5))</f>
        <v>55720</v>
      </c>
      <c r="Q27" s="8">
        <f t="shared" si="2"/>
        <v>161790</v>
      </c>
      <c r="R27" s="7"/>
      <c r="S27" s="8">
        <f t="shared" si="1"/>
        <v>176565</v>
      </c>
      <c r="T27" s="8">
        <f t="shared" si="3"/>
        <v>190585</v>
      </c>
    </row>
    <row r="28" spans="1:20">
      <c r="A28">
        <v>2038</v>
      </c>
      <c r="B28" s="7">
        <f>IF(MROUND('T2'!B28*'T6'!$C$2,1)=0,"",MROUND('T2'!B28*'T6'!C$2,5))</f>
        <v>8435</v>
      </c>
      <c r="C28" s="7">
        <f>IF(MROUND('T2'!C28*'T6'!$C$2,1)&lt;1,"",MROUND('T2'!C28*'T6'!$C$2,5))</f>
        <v>9335</v>
      </c>
      <c r="D28" s="7">
        <f>IF(MROUND('T2'!D28*'T6'!$C$2,1)&lt;1,"",MROUND('T2'!D28*'T6'!$C$2,5))</f>
        <v>10205</v>
      </c>
      <c r="E28" s="7">
        <f>IF(MROUND('T2'!E28*'T6'!F$2,1)=0,"",MROUND('T2'!E28*'T6'!F$2,5))</f>
        <v>24035</v>
      </c>
      <c r="F28" s="7">
        <f>IF(MROUND('T2'!F28*'T6'!F$2,1)&lt;1,"",MROUND('T2'!F28*'T6'!F$2,5))</f>
        <v>26495</v>
      </c>
      <c r="G28" s="7">
        <f>IF(MROUND('T2'!G28*'T6'!F$2,1)&lt;1,"",MROUND('T2'!G28*'T6'!F$2,5))</f>
        <v>28865</v>
      </c>
      <c r="H28" s="7">
        <f>IF(MROUND('T2'!H28*'T6'!I$2,1)=0,"",MROUND('T2'!H28*'T6'!I$2,5))</f>
        <v>35510</v>
      </c>
      <c r="I28" s="7">
        <f>IF(MROUND('T2'!I28*'T6'!I$2,1)&lt;1,"",MROUND('T2'!I28*'T6'!I$2,5))</f>
        <v>39070</v>
      </c>
      <c r="J28" s="7">
        <f>IF(MROUND('T2'!J28*'T6'!I$2,1)&lt;1,"",MROUND('T2'!J28*'T6'!I$2,5))</f>
        <v>42420</v>
      </c>
      <c r="K28" s="7">
        <f>IF(MROUND('T2'!K28*'T6'!L$2,1)=0,"",MROUND('T2'!K28*'T6'!L$2,5))</f>
        <v>46010</v>
      </c>
      <c r="L28" s="7">
        <f>IF(MROUND('T2'!L28*'T6'!L$2,1)&lt;1,"",MROUND('T2'!L28*'T6'!L$2,5))</f>
        <v>50360</v>
      </c>
      <c r="M28" s="7">
        <f>IF(MROUND('T2'!M28*'T6'!L$2,1)&lt;1,"",MROUND('T2'!M28*'T6'!L$2,5))</f>
        <v>54505</v>
      </c>
      <c r="N28" s="7">
        <f>IF(MROUND('T2'!N28*'T6'!O$2,1)=0,"",MROUND('T2'!N28*'T6'!O$2,5))</f>
        <v>47905</v>
      </c>
      <c r="O28" s="7">
        <f>IF(MROUND('T2'!O28*'T6'!O$2,1)&lt;1,"",MROUND('T2'!O28*'T6'!O$2,5))</f>
        <v>52130</v>
      </c>
      <c r="P28" s="7">
        <f>IF(MROUND('T2'!P28*'T6'!O$2,1)&lt;1,"",MROUND('T2'!P28*'T6'!O$2,5))</f>
        <v>56135</v>
      </c>
      <c r="Q28" s="8">
        <f t="shared" si="2"/>
        <v>161895</v>
      </c>
      <c r="R28" s="7"/>
      <c r="S28" s="8">
        <f t="shared" si="1"/>
        <v>177390</v>
      </c>
      <c r="T28" s="8">
        <f t="shared" si="3"/>
        <v>192130</v>
      </c>
    </row>
  </sheetData>
  <sheetProtection algorithmName="SHA-512" hashValue="zeHFx3JCbPTe6V1DCYmmiS6UZ2oodk9CeOw/F7raUvZsb4XV9d0cPWLRSJeIaHckm3GOi/M+wKvzgHMQuXWYsg==" saltValue="ZfseJPrvreD9XVz3mUtzVg==" spinCount="100000" sheet="1" objects="1" scenarios="1" formatCells="0" formatColumns="0" formatRows="0" insertRows="0" sort="0" autoFilter="0" pivotTables="0"/>
  <mergeCells count="6">
    <mergeCell ref="Q3:T3"/>
    <mergeCell ref="B3:D3"/>
    <mergeCell ref="E3:G3"/>
    <mergeCell ref="H3:J3"/>
    <mergeCell ref="K3:M3"/>
    <mergeCell ref="N3:P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60E77-D01B-4CA8-AEC9-8EA065AE16B0}">
  <dimension ref="A1:T28"/>
  <sheetViews>
    <sheetView workbookViewId="0">
      <selection activeCell="N3" sqref="N3:P3"/>
    </sheetView>
  </sheetViews>
  <sheetFormatPr defaultColWidth="8.85546875" defaultRowHeight="14.65"/>
  <cols>
    <col min="2" max="2" width="9.7109375" bestFit="1" customWidth="1"/>
    <col min="3" max="16" width="10.7109375" bestFit="1" customWidth="1"/>
    <col min="17" max="20" width="11.85546875" bestFit="1" customWidth="1"/>
  </cols>
  <sheetData>
    <row r="1" spans="1:20">
      <c r="A1" s="1" t="s">
        <v>276</v>
      </c>
    </row>
    <row r="2" spans="1:20">
      <c r="A2" s="1" t="s">
        <v>275</v>
      </c>
      <c r="C2" s="2">
        <f>'T5'!B48</f>
        <v>0.16473221695358339</v>
      </c>
      <c r="F2" s="3">
        <f>'T5'!C48</f>
        <v>0.47702877360474455</v>
      </c>
      <c r="I2" s="3">
        <f>'T5'!D48</f>
        <v>0.69144359719406179</v>
      </c>
      <c r="L2" s="3">
        <f>'T5'!E48</f>
        <v>0.90176475230563669</v>
      </c>
      <c r="O2" s="3">
        <f>'T5'!F48</f>
        <v>0.94031544348554497</v>
      </c>
    </row>
    <row r="3" spans="1:20">
      <c r="B3" s="175" t="s">
        <v>248</v>
      </c>
      <c r="C3" s="175"/>
      <c r="D3" s="175"/>
      <c r="E3" s="175" t="s">
        <v>249</v>
      </c>
      <c r="F3" s="175"/>
      <c r="G3" s="175"/>
      <c r="H3" s="175" t="s">
        <v>250</v>
      </c>
      <c r="I3" s="175"/>
      <c r="J3" s="175"/>
      <c r="K3" s="175" t="s">
        <v>251</v>
      </c>
      <c r="L3" s="175"/>
      <c r="M3" s="175"/>
      <c r="N3" s="175" t="s">
        <v>252</v>
      </c>
      <c r="O3" s="175"/>
      <c r="P3" s="175"/>
      <c r="Q3" s="175" t="s">
        <v>238</v>
      </c>
      <c r="R3" s="175"/>
      <c r="S3" s="175"/>
      <c r="T3" s="175"/>
    </row>
    <row r="4" spans="1:20">
      <c r="A4" t="s">
        <v>231</v>
      </c>
      <c r="B4" s="5" t="s">
        <v>255</v>
      </c>
      <c r="C4" s="5" t="s">
        <v>258</v>
      </c>
      <c r="D4" s="5" t="s">
        <v>256</v>
      </c>
      <c r="E4" s="5" t="s">
        <v>255</v>
      </c>
      <c r="F4" s="5" t="s">
        <v>258</v>
      </c>
      <c r="G4" s="5" t="s">
        <v>256</v>
      </c>
      <c r="H4" s="5" t="s">
        <v>255</v>
      </c>
      <c r="I4" s="5" t="s">
        <v>258</v>
      </c>
      <c r="J4" s="5" t="s">
        <v>256</v>
      </c>
      <c r="K4" s="5" t="s">
        <v>255</v>
      </c>
      <c r="L4" s="5" t="s">
        <v>258</v>
      </c>
      <c r="M4" s="5" t="s">
        <v>256</v>
      </c>
      <c r="N4" s="5" t="s">
        <v>255</v>
      </c>
      <c r="O4" s="5" t="s">
        <v>258</v>
      </c>
      <c r="P4" s="5" t="s">
        <v>256</v>
      </c>
      <c r="Q4" s="1" t="s">
        <v>255</v>
      </c>
      <c r="R4" s="1" t="s">
        <v>257</v>
      </c>
      <c r="S4" s="1" t="s">
        <v>258</v>
      </c>
      <c r="T4" s="1" t="s">
        <v>256</v>
      </c>
    </row>
    <row r="5" spans="1:20">
      <c r="A5">
        <v>2015</v>
      </c>
      <c r="B5" s="7" t="str">
        <f>IF(MROUND('T2'!B5*'T7'!$C$2,1)=0,"",MROUND('T2'!B5*'T7'!C$2,5))</f>
        <v/>
      </c>
      <c r="C5" s="7">
        <v>9774</v>
      </c>
      <c r="D5" s="7" t="str">
        <f>IF(MROUND('T2'!D5*'T7'!$C$2,1)&lt;1,"",MROUND('T2'!D5*'T7'!$C$2,5))</f>
        <v/>
      </c>
      <c r="E5" s="7" t="str">
        <f>IF(MROUND('T2'!E5*'T7'!F$2,1)=0,"",MROUND('T2'!E5*'T7'!F$2,5))</f>
        <v/>
      </c>
      <c r="F5" s="7">
        <v>26312</v>
      </c>
      <c r="G5" s="7" t="str">
        <f>IF(MROUND('T2'!G5*'T7'!F$2,1)&lt;1,"",MROUND('T2'!G5*'T7'!F$2,5))</f>
        <v/>
      </c>
      <c r="H5" s="7" t="str">
        <f>IF(MROUND('T2'!H5*'T7'!I$2,1)=0,"",MROUND('T2'!H5*'T7'!I$2,5))</f>
        <v/>
      </c>
      <c r="I5" s="7">
        <v>40320</v>
      </c>
      <c r="J5" s="7" t="str">
        <f>IF(MROUND('T2'!J5*'T7'!I$2,1)&lt;1,"",MROUND('T2'!J5*'T7'!I$2,5))</f>
        <v/>
      </c>
      <c r="K5" s="7" t="str">
        <f>IF(MROUND('T2'!K5*'T7'!L$2,1)=0,"",MROUND('T2'!K5*'T7'!L$2,5))</f>
        <v/>
      </c>
      <c r="L5" s="7">
        <v>57332</v>
      </c>
      <c r="M5" s="7" t="str">
        <f>IF(MROUND('T2'!M5*'T6'!L$2,1)&lt;1,"",MROUND('T2'!M5*'T6'!L$2,5))</f>
        <v/>
      </c>
      <c r="N5" s="7"/>
      <c r="O5" s="7">
        <v>61354</v>
      </c>
      <c r="P5" s="7"/>
      <c r="Q5" s="8"/>
      <c r="R5" s="8">
        <f>SUM(C5,F5,I5,L5,O5)</f>
        <v>195092</v>
      </c>
      <c r="S5" s="8"/>
      <c r="T5" s="8"/>
    </row>
    <row r="6" spans="1:20">
      <c r="A6">
        <v>2016</v>
      </c>
      <c r="B6" s="7" t="str">
        <f>IF(MROUND('T2'!B6*'T7'!$C$2,1)=0,"",MROUND('T2'!B6*'T7'!C$2,5))</f>
        <v/>
      </c>
      <c r="C6" s="7">
        <v>10076</v>
      </c>
      <c r="D6" s="7" t="str">
        <f>IF(MROUND('T2'!D6*'T7'!$C$2,1)&lt;1,"",MROUND('T2'!D6*'T7'!$C$2,5))</f>
        <v/>
      </c>
      <c r="E6" s="7" t="str">
        <f>IF(MROUND('T2'!E6*'T7'!F$2,1)=0,"",MROUND('T2'!E6*'T7'!F$2,5))</f>
        <v/>
      </c>
      <c r="F6" s="7">
        <v>28066</v>
      </c>
      <c r="G6" s="7" t="str">
        <f>IF(MROUND('T2'!G6*'T7'!F$2,1)&lt;1,"",MROUND('T2'!G6*'T7'!F$2,5))</f>
        <v/>
      </c>
      <c r="H6" s="7" t="str">
        <f>IF(MROUND('T2'!H6*'T7'!I$2,1)=0,"",MROUND('T2'!H6*'T7'!I$2,5))</f>
        <v/>
      </c>
      <c r="I6" s="7">
        <v>41250</v>
      </c>
      <c r="J6" s="7" t="str">
        <f>IF(MROUND('T2'!J6*'T7'!I$2,1)&lt;1,"",MROUND('T2'!J6*'T7'!I$2,5))</f>
        <v/>
      </c>
      <c r="K6" s="7" t="str">
        <f>IF(MROUND('T2'!K6*'T7'!L$2,1)=0,"",MROUND('T2'!K6*'T7'!L$2,5))</f>
        <v/>
      </c>
      <c r="L6" s="7">
        <v>58529</v>
      </c>
      <c r="M6" s="7" t="str">
        <f>IF(MROUND('T2'!M6*'T6'!L$2,1)&lt;1,"",MROUND('T2'!M6*'T6'!L$2,5))</f>
        <v/>
      </c>
      <c r="N6" s="7"/>
      <c r="O6" s="7">
        <v>61592</v>
      </c>
      <c r="P6" s="7"/>
      <c r="Q6" s="8"/>
      <c r="R6" s="8">
        <f t="shared" ref="R6:R14" si="0">SUM(C6,F6,I6,L6,O6)</f>
        <v>199513</v>
      </c>
      <c r="S6" s="8"/>
      <c r="T6" s="8"/>
    </row>
    <row r="7" spans="1:20">
      <c r="A7">
        <v>2017</v>
      </c>
      <c r="B7" s="7" t="str">
        <f>IF(MROUND('T2'!B7*'T7'!$C$2,1)=0,"",MROUND('T2'!B7*'T7'!C$2,5))</f>
        <v/>
      </c>
      <c r="C7" s="7">
        <v>10549</v>
      </c>
      <c r="D7" s="7" t="str">
        <f>IF(MROUND('T2'!D7*'T7'!$C$2,1)&lt;1,"",MROUND('T2'!D7*'T7'!$C$2,5))</f>
        <v/>
      </c>
      <c r="E7" s="7" t="str">
        <f>IF(MROUND('T2'!E7*'T7'!F$2,1)=0,"",MROUND('T2'!E7*'T7'!F$2,5))</f>
        <v/>
      </c>
      <c r="F7" s="7">
        <v>28467</v>
      </c>
      <c r="G7" s="7" t="str">
        <f>IF(MROUND('T2'!G7*'T7'!F$2,1)&lt;1,"",MROUND('T2'!G7*'T7'!F$2,5))</f>
        <v/>
      </c>
      <c r="H7" s="7" t="str">
        <f>IF(MROUND('T2'!H7*'T7'!I$2,1)=0,"",MROUND('T2'!H7*'T7'!I$2,5))</f>
        <v/>
      </c>
      <c r="I7" s="7">
        <v>42504</v>
      </c>
      <c r="J7" s="7" t="str">
        <f>IF(MROUND('T2'!J7*'T7'!I$2,1)&lt;1,"",MROUND('T2'!J7*'T7'!I$2,5))</f>
        <v/>
      </c>
      <c r="K7" s="7" t="str">
        <f>IF(MROUND('T2'!K7*'T7'!L$2,1)=0,"",MROUND('T2'!K7*'T7'!L$2,5))</f>
        <v/>
      </c>
      <c r="L7" s="7">
        <v>57052</v>
      </c>
      <c r="M7" s="7" t="str">
        <f>IF(MROUND('T2'!M7*'T6'!L$2,1)&lt;1,"",MROUND('T2'!M7*'T6'!L$2,5))</f>
        <v/>
      </c>
      <c r="N7" s="7"/>
      <c r="O7" s="7">
        <v>61763</v>
      </c>
      <c r="P7" s="7"/>
      <c r="Q7" s="8"/>
      <c r="R7" s="8">
        <f t="shared" si="0"/>
        <v>200335</v>
      </c>
      <c r="S7" s="8"/>
      <c r="T7" s="8"/>
    </row>
    <row r="8" spans="1:20">
      <c r="A8">
        <v>2018</v>
      </c>
      <c r="B8" s="7" t="str">
        <f>IF(MROUND('T2'!B8*'T7'!$C$2,1)=0,"",MROUND('T2'!B8*'T7'!C$2,5))</f>
        <v/>
      </c>
      <c r="C8" s="7">
        <v>9538</v>
      </c>
      <c r="D8" s="7" t="str">
        <f>IF(MROUND('T2'!D8*'T7'!$C$2,1)&lt;1,"",MROUND('T2'!D8*'T7'!$C$2,5))</f>
        <v/>
      </c>
      <c r="E8" s="7" t="str">
        <f>IF(MROUND('T2'!E8*'T7'!F$2,1)=0,"",MROUND('T2'!E8*'T7'!F$2,5))</f>
        <v/>
      </c>
      <c r="F8" s="7">
        <v>28725</v>
      </c>
      <c r="G8" s="7" t="str">
        <f>IF(MROUND('T2'!G8*'T7'!F$2,1)&lt;1,"",MROUND('T2'!G8*'T7'!F$2,5))</f>
        <v/>
      </c>
      <c r="H8" s="7" t="str">
        <f>IF(MROUND('T2'!H8*'T7'!I$2,1)=0,"",MROUND('T2'!H8*'T7'!I$2,5))</f>
        <v/>
      </c>
      <c r="I8" s="7">
        <v>42326</v>
      </c>
      <c r="J8" s="7" t="str">
        <f>IF(MROUND('T2'!J8*'T7'!I$2,1)&lt;1,"",MROUND('T2'!J8*'T7'!I$2,5))</f>
        <v/>
      </c>
      <c r="K8" s="7" t="str">
        <f>IF(MROUND('T2'!K8*'T7'!L$2,1)=0,"",MROUND('T2'!K8*'T7'!L$2,5))</f>
        <v/>
      </c>
      <c r="L8" s="7">
        <v>56725</v>
      </c>
      <c r="M8" s="7" t="str">
        <f>IF(MROUND('T2'!M8*'T6'!L$2,1)&lt;1,"",MROUND('T2'!M8*'T6'!L$2,5))</f>
        <v/>
      </c>
      <c r="N8" s="7"/>
      <c r="O8" s="7">
        <v>59675</v>
      </c>
      <c r="P8" s="7"/>
      <c r="Q8" s="8"/>
      <c r="R8" s="8">
        <f t="shared" si="0"/>
        <v>196989</v>
      </c>
      <c r="S8" s="8"/>
      <c r="T8" s="8"/>
    </row>
    <row r="9" spans="1:20">
      <c r="A9">
        <v>2019</v>
      </c>
      <c r="B9" s="7" t="str">
        <f>IF(MROUND('T2'!B9*'T7'!$C$2,1)=0,"",MROUND('T2'!B9*'T7'!C$2,5))</f>
        <v/>
      </c>
      <c r="C9" s="7">
        <v>9319</v>
      </c>
      <c r="D9" s="7" t="str">
        <f>IF(MROUND('T2'!D9*'T7'!$C$2,1)&lt;1,"",MROUND('T2'!D9*'T7'!$C$2,5))</f>
        <v/>
      </c>
      <c r="E9" s="7" t="str">
        <f>IF(MROUND('T2'!E9*'T7'!F$2,1)=0,"",MROUND('T2'!E9*'T7'!F$2,5))</f>
        <v/>
      </c>
      <c r="F9" s="7">
        <v>28217</v>
      </c>
      <c r="G9" s="7" t="str">
        <f>IF(MROUND('T2'!G9*'T7'!F$2,1)&lt;1,"",MROUND('T2'!G9*'T7'!F$2,5))</f>
        <v/>
      </c>
      <c r="H9" s="7" t="str">
        <f>IF(MROUND('T2'!H9*'T7'!I$2,1)=0,"",MROUND('T2'!H9*'T7'!I$2,5))</f>
        <v/>
      </c>
      <c r="I9" s="7">
        <v>42626</v>
      </c>
      <c r="J9" s="7" t="str">
        <f>IF(MROUND('T2'!J9*'T7'!I$2,1)&lt;1,"",MROUND('T2'!J9*'T7'!I$2,5))</f>
        <v/>
      </c>
      <c r="K9" s="7" t="str">
        <f>IF(MROUND('T2'!K9*'T7'!L$2,1)=0,"",MROUND('T2'!K9*'T7'!L$2,5))</f>
        <v/>
      </c>
      <c r="L9" s="7">
        <v>55588</v>
      </c>
      <c r="M9" s="7" t="str">
        <f>IF(MROUND('T2'!M9*'T6'!L$2,1)&lt;1,"",MROUND('T2'!M9*'T6'!L$2,5))</f>
        <v/>
      </c>
      <c r="N9" s="7"/>
      <c r="O9" s="7">
        <v>59229</v>
      </c>
      <c r="P9" s="7"/>
      <c r="Q9" s="8"/>
      <c r="R9" s="8">
        <f t="shared" si="0"/>
        <v>194979</v>
      </c>
      <c r="S9" s="8"/>
      <c r="T9" s="8"/>
    </row>
    <row r="10" spans="1:20">
      <c r="A10">
        <v>2020</v>
      </c>
      <c r="B10" s="7" t="str">
        <f>IF(MROUND('T2'!B10*'T7'!$C$2,1)=0,"",MROUND('T2'!B10*'T7'!C$2,5))</f>
        <v/>
      </c>
      <c r="C10" s="7">
        <v>7939</v>
      </c>
      <c r="D10" s="7" t="str">
        <f>IF(MROUND('T2'!D10*'T7'!$C$2,1)&lt;1,"",MROUND('T2'!D10*'T7'!$C$2,5))</f>
        <v/>
      </c>
      <c r="E10" s="7" t="str">
        <f>IF(MROUND('T2'!E10*'T7'!F$2,1)=0,"",MROUND('T2'!E10*'T7'!F$2,5))</f>
        <v/>
      </c>
      <c r="F10" s="7">
        <v>25840</v>
      </c>
      <c r="G10" s="7" t="str">
        <f>IF(MROUND('T2'!G10*'T7'!F$2,1)&lt;1,"",MROUND('T2'!G10*'T7'!F$2,5))</f>
        <v/>
      </c>
      <c r="H10" s="7" t="str">
        <f>IF(MROUND('T2'!H10*'T7'!I$2,1)=0,"",MROUND('T2'!H10*'T7'!I$2,5))</f>
        <v/>
      </c>
      <c r="I10" s="7">
        <v>39965</v>
      </c>
      <c r="J10" s="7" t="str">
        <f>IF(MROUND('T2'!J10*'T7'!I$2,1)&lt;1,"",MROUND('T2'!J10*'T7'!I$2,5))</f>
        <v/>
      </c>
      <c r="K10" s="7" t="str">
        <f>IF(MROUND('T2'!K10*'T7'!L$2,1)=0,"",MROUND('T2'!K10*'T7'!L$2,5))</f>
        <v/>
      </c>
      <c r="L10" s="7">
        <v>53957</v>
      </c>
      <c r="M10" s="7" t="str">
        <f>IF(MROUND('T2'!M10*'T6'!L$2,1)&lt;1,"",MROUND('T2'!M10*'T6'!L$2,5))</f>
        <v/>
      </c>
      <c r="N10" s="7"/>
      <c r="O10" s="7">
        <v>57578</v>
      </c>
      <c r="P10" s="7"/>
      <c r="Q10" s="8"/>
      <c r="R10" s="8">
        <f t="shared" si="0"/>
        <v>185279</v>
      </c>
      <c r="S10" s="8"/>
      <c r="T10" s="8"/>
    </row>
    <row r="11" spans="1:20">
      <c r="A11">
        <v>2021</v>
      </c>
      <c r="B11" s="7" t="str">
        <f>IF(MROUND('T2'!B11*'T7'!$C$2,1)=0,"",MROUND('T2'!B11*'T7'!C$2,5))</f>
        <v/>
      </c>
      <c r="C11" s="7">
        <v>9808</v>
      </c>
      <c r="D11" s="7" t="str">
        <f>IF(MROUND('T2'!D11*'T7'!$C$2,1)&lt;1,"",MROUND('T2'!D11*'T7'!$C$2,5))</f>
        <v/>
      </c>
      <c r="E11" s="7" t="str">
        <f>IF(MROUND('T2'!E11*'T7'!F$2,1)=0,"",MROUND('T2'!E11*'T7'!F$2,5))</f>
        <v/>
      </c>
      <c r="F11" s="7">
        <v>29274</v>
      </c>
      <c r="G11" s="7" t="str">
        <f>IF(MROUND('T2'!G11*'T7'!F$2,1)&lt;1,"",MROUND('T2'!G11*'T7'!F$2,5))</f>
        <v/>
      </c>
      <c r="H11" s="7" t="str">
        <f>IF(MROUND('T2'!H11*'T7'!I$2,1)=0,"",MROUND('T2'!H11*'T7'!I$2,5))</f>
        <v/>
      </c>
      <c r="I11" s="7">
        <v>41556</v>
      </c>
      <c r="J11" s="7" t="str">
        <f>IF(MROUND('T2'!J11*'T7'!I$2,1)&lt;1,"",MROUND('T2'!J11*'T7'!I$2,5))</f>
        <v/>
      </c>
      <c r="K11" s="7" t="str">
        <f>IF(MROUND('T2'!K11*'T7'!L$2,1)=0,"",MROUND('T2'!K11*'T7'!L$2,5))</f>
        <v/>
      </c>
      <c r="L11" s="7">
        <v>53139</v>
      </c>
      <c r="M11" s="7" t="str">
        <f>IF(MROUND('T2'!M11*'T6'!L$2,1)&lt;1,"",MROUND('T2'!M11*'T6'!L$2,5))</f>
        <v/>
      </c>
      <c r="N11" s="7"/>
      <c r="O11" s="7">
        <v>57680</v>
      </c>
      <c r="P11" s="7"/>
      <c r="Q11" s="8"/>
      <c r="R11" s="8">
        <f t="shared" si="0"/>
        <v>191457</v>
      </c>
      <c r="S11" s="8"/>
      <c r="T11" s="8"/>
    </row>
    <row r="12" spans="1:20">
      <c r="A12">
        <v>2022</v>
      </c>
      <c r="B12" s="7" t="str">
        <f>IF(MROUND('T2'!B12*'T7'!$C$2,1)=0,"",MROUND('T2'!B12*'T7'!C$2,5))</f>
        <v/>
      </c>
      <c r="C12" s="7">
        <v>9788</v>
      </c>
      <c r="D12" s="7" t="str">
        <f>IF(MROUND('T2'!D12*'T7'!$C$2,1)&lt;1,"",MROUND('T2'!D12*'T7'!$C$2,5))</f>
        <v/>
      </c>
      <c r="E12" s="7" t="str">
        <f>IF(MROUND('T2'!E12*'T7'!F$2,1)=0,"",MROUND('T2'!E12*'T7'!F$2,5))</f>
        <v/>
      </c>
      <c r="F12" s="7">
        <v>28460</v>
      </c>
      <c r="G12" s="7" t="str">
        <f>IF(MROUND('T2'!G12*'T7'!F$2,1)&lt;1,"",MROUND('T2'!G12*'T7'!F$2,5))</f>
        <v/>
      </c>
      <c r="H12" s="7" t="str">
        <f>IF(MROUND('T2'!H12*'T7'!I$2,1)=0,"",MROUND('T2'!H12*'T7'!I$2,5))</f>
        <v/>
      </c>
      <c r="I12" s="7">
        <v>39242</v>
      </c>
      <c r="J12" s="7" t="str">
        <f>IF(MROUND('T2'!J12*'T7'!I$2,1)&lt;1,"",MROUND('T2'!J12*'T7'!I$2,5))</f>
        <v/>
      </c>
      <c r="K12" s="7" t="str">
        <f>IF(MROUND('T2'!K12*'T7'!L$2,1)=0,"",MROUND('T2'!K12*'T7'!L$2,5))</f>
        <v/>
      </c>
      <c r="L12" s="7">
        <v>48843</v>
      </c>
      <c r="M12" s="7" t="str">
        <f>IF(MROUND('T2'!M12*'T6'!L$2,1)&lt;1,"",MROUND('T2'!M12*'T6'!L$2,5))</f>
        <v/>
      </c>
      <c r="N12" s="7"/>
      <c r="O12" s="7">
        <v>52080</v>
      </c>
      <c r="P12" s="7"/>
      <c r="Q12" s="8"/>
      <c r="R12" s="8">
        <f t="shared" si="0"/>
        <v>178413</v>
      </c>
      <c r="S12" s="8"/>
      <c r="T12" s="8"/>
    </row>
    <row r="13" spans="1:20">
      <c r="A13">
        <v>2023</v>
      </c>
      <c r="B13" s="7" t="str">
        <f>IF(MROUND('T2'!B13*'T7'!$C$2,1)=0,"",MROUND('T2'!B13*'T7'!C$2,5))</f>
        <v/>
      </c>
      <c r="C13" s="7">
        <v>9352</v>
      </c>
      <c r="D13" s="7" t="str">
        <f>IF(MROUND('T2'!D13*'T7'!$C$2,1)&lt;1,"",MROUND('T2'!D13*'T7'!$C$2,5))</f>
        <v/>
      </c>
      <c r="E13" s="7" t="str">
        <f>IF(MROUND('T2'!E13*'T7'!F$2,1)=0,"",MROUND('T2'!E13*'T7'!F$2,5))</f>
        <v/>
      </c>
      <c r="F13" s="7">
        <v>30696</v>
      </c>
      <c r="G13" s="7" t="str">
        <f>IF(MROUND('T2'!G13*'T7'!F$2,1)&lt;1,"",MROUND('T2'!G13*'T7'!F$2,5))</f>
        <v/>
      </c>
      <c r="H13" s="7" t="str">
        <f>IF(MROUND('T2'!H13*'T7'!I$2,1)=0,"",MROUND('T2'!H13*'T7'!I$2,5))</f>
        <v/>
      </c>
      <c r="I13" s="7">
        <v>42490</v>
      </c>
      <c r="J13" s="7" t="str">
        <f>IF(MROUND('T2'!J13*'T7'!I$2,1)&lt;1,"",MROUND('T2'!J13*'T7'!I$2,5))</f>
        <v/>
      </c>
      <c r="K13" s="7" t="str">
        <f>IF(MROUND('T2'!K13*'T7'!L$2,1)=0,"",MROUND('T2'!K13*'T7'!L$2,5))</f>
        <v/>
      </c>
      <c r="L13" s="7">
        <v>51477</v>
      </c>
      <c r="M13" s="7" t="str">
        <f>IF(MROUND('T2'!M13*'T6'!L$2,1)&lt;1,"",MROUND('T2'!M13*'T6'!L$2,5))</f>
        <v/>
      </c>
      <c r="N13" s="7"/>
      <c r="O13" s="7">
        <v>54325</v>
      </c>
      <c r="P13" s="7"/>
      <c r="Q13" s="8"/>
      <c r="R13" s="8">
        <f t="shared" si="0"/>
        <v>188340</v>
      </c>
      <c r="S13" s="8"/>
      <c r="T13" s="8"/>
    </row>
    <row r="14" spans="1:20">
      <c r="A14">
        <v>2024</v>
      </c>
      <c r="B14" s="7" t="str">
        <f>IF(MROUND('T2'!B14*'T7'!$C$2,1)=0,"",MROUND('T2'!B14*'T7'!C$2,5))</f>
        <v/>
      </c>
      <c r="C14" s="7">
        <v>9193</v>
      </c>
      <c r="D14" s="7" t="str">
        <f>IF(MROUND('T2'!D14*'T7'!$C$2,1)&lt;1,"",MROUND('T2'!D14*'T7'!$C$2,5))</f>
        <v/>
      </c>
      <c r="E14" s="7" t="str">
        <f>IF(MROUND('T2'!E14*'T7'!F$2,1)=0,"",MROUND('T2'!E14*'T7'!F$2,5))</f>
        <v/>
      </c>
      <c r="F14" s="7">
        <v>28341</v>
      </c>
      <c r="G14" s="7" t="str">
        <f>IF(MROUND('T2'!G14*'T7'!F$2,1)&lt;1,"",MROUND('T2'!G14*'T7'!F$2,5))</f>
        <v/>
      </c>
      <c r="H14" s="7" t="str">
        <f>IF(MROUND('T2'!H14*'T7'!I$2,1)=0,"",MROUND('T2'!H14*'T7'!I$2,5))</f>
        <v/>
      </c>
      <c r="I14" s="7">
        <v>44015</v>
      </c>
      <c r="J14" s="7" t="str">
        <f>IF(MROUND('T2'!J14*'T7'!I$2,1)&lt;1,"",MROUND('T2'!J14*'T7'!I$2,5))</f>
        <v/>
      </c>
      <c r="K14" s="7" t="str">
        <f>IF(MROUND('T2'!K14*'T7'!L$2,1)=0,"",MROUND('T2'!K14*'T7'!L$2,5))</f>
        <v/>
      </c>
      <c r="L14" s="7">
        <v>53883</v>
      </c>
      <c r="M14" s="7" t="str">
        <f>IF(MROUND('T2'!M14*'T6'!L$2,1)&lt;1,"",MROUND('T2'!M14*'T6'!L$2,5))</f>
        <v/>
      </c>
      <c r="N14" s="7"/>
      <c r="O14" s="7">
        <v>55931</v>
      </c>
      <c r="P14" s="7"/>
      <c r="Q14" s="8">
        <f>R14</f>
        <v>191363</v>
      </c>
      <c r="R14" s="8">
        <f t="shared" si="0"/>
        <v>191363</v>
      </c>
      <c r="S14" s="8">
        <f>R14</f>
        <v>191363</v>
      </c>
      <c r="T14" s="8">
        <f>R14</f>
        <v>191363</v>
      </c>
    </row>
    <row r="15" spans="1:20">
      <c r="A15">
        <v>2025</v>
      </c>
      <c r="B15" s="7">
        <f>IF(MROUND('T2'!B15*'T7'!$C$2,1)=0,"",MROUND('T2'!B15*'T7'!C$2,5))</f>
        <v>9365</v>
      </c>
      <c r="C15" s="7">
        <f>IF(MROUND('T2'!C15*'T7'!$C$2,1)&lt;1,"",MROUND('T2'!C15*'T7'!$C$2,5))</f>
        <v>9575</v>
      </c>
      <c r="D15" s="7">
        <f>IF(MROUND('T2'!D15*'T7'!$C$2,1)&lt;1,"",MROUND('T2'!D15*'T7'!$C$2,5))</f>
        <v>9770</v>
      </c>
      <c r="E15" s="7">
        <f>IF(MROUND('T2'!E15*'T7'!F$2,1)=0,"",MROUND('T2'!E15*'T7'!F$2,5))</f>
        <v>27090</v>
      </c>
      <c r="F15" s="7">
        <f>IF(MROUND('T2'!F15*'T7'!F$2,1)&lt;1,"",MROUND('T2'!F15*'T7'!F$2,5))</f>
        <v>27205</v>
      </c>
      <c r="G15" s="7">
        <f>IF(MROUND('T2'!G15*'T7'!F$2,1)&lt;1,"",MROUND('T2'!G15*'T7'!F$2,5))</f>
        <v>27305</v>
      </c>
      <c r="H15" s="7">
        <f>IF(MROUND('T2'!H15*'T7'!I$2,1)=0,"",MROUND('T2'!H15*'T7'!I$2,5))</f>
        <v>39510</v>
      </c>
      <c r="I15" s="7">
        <f>IF(MROUND('T2'!I15*'T7'!I$2,1)&lt;1,"",MROUND('T2'!I15*'T7'!I$2,5))</f>
        <v>39675</v>
      </c>
      <c r="J15" s="7">
        <f>IF(MROUND('T2'!J15*'T7'!I$2,1)&lt;1,"",MROUND('T2'!J15*'T7'!I$2,5))</f>
        <v>39805</v>
      </c>
      <c r="K15" s="7">
        <f>IF(MROUND('T2'!K15*'T7'!L$2,1)=0,"",MROUND('T2'!K15*'T7'!L$2,5))</f>
        <v>55655</v>
      </c>
      <c r="L15" s="7">
        <f>IF(MROUND('T2'!L15*'T7'!L$2,1)&lt;1,"",MROUND('T2'!L15*'T7'!L$2,5))</f>
        <v>55890</v>
      </c>
      <c r="M15" s="7">
        <f>IF(MROUND('T2'!M15*'T6'!L$2,1)&lt;1,"",MROUND('T2'!M15*'T6'!L$2,5))</f>
        <v>52600</v>
      </c>
      <c r="N15" s="7">
        <f>IF(MROUND('T2'!N15*'T7'!O$2,1)=0,"",MROUND('T2'!N15*'T7'!O$2,5))</f>
        <v>58875</v>
      </c>
      <c r="O15" s="7">
        <f>IF(MROUND('T2'!O15*'T7'!O$2,1)&lt;1,"",MROUND('T2'!O15*'T7'!O$2,5))</f>
        <v>59135</v>
      </c>
      <c r="P15" s="7">
        <f>IF(MROUND('T2'!P15*'T7'!O$2,1)&lt;1,"",MROUND('T2'!P15*'T7'!O$2,5))</f>
        <v>59285</v>
      </c>
      <c r="Q15" s="8">
        <f>SUM(B15,F15,I15,L15,O15)</f>
        <v>191270</v>
      </c>
      <c r="R15" s="7"/>
      <c r="S15" s="8">
        <f t="shared" ref="S15:S28" si="1">SUM(C15,F15,I15,L15,O15)</f>
        <v>191480</v>
      </c>
      <c r="T15" s="8">
        <f>SUM(O15,L15,I15,F15,D15)</f>
        <v>191675</v>
      </c>
    </row>
    <row r="16" spans="1:20">
      <c r="A16">
        <v>2026</v>
      </c>
      <c r="B16" s="7">
        <f>IF(MROUND('T2'!B16*'T7'!$C$2,1)=0,"",MROUND('T2'!B16*'T7'!C$2,5))</f>
        <v>9240</v>
      </c>
      <c r="C16" s="7">
        <f>IF(MROUND('T2'!C16*'T7'!$C$2,1)&lt;1,"",MROUND('T2'!C16*'T7'!$C$2,5))</f>
        <v>9580</v>
      </c>
      <c r="D16" s="7">
        <f>IF(MROUND('T2'!D16*'T7'!$C$2,1)&lt;1,"",MROUND('T2'!D16*'T7'!$C$2,5))</f>
        <v>9880</v>
      </c>
      <c r="E16" s="7">
        <f>IF(MROUND('T2'!E16*'T7'!F$2,1)=0,"",MROUND('T2'!E16*'T7'!F$2,5))</f>
        <v>26955</v>
      </c>
      <c r="F16" s="7">
        <f>IF(MROUND('T2'!F16*'T7'!F$2,1)&lt;1,"",MROUND('T2'!F16*'T7'!F$2,5))</f>
        <v>27725</v>
      </c>
      <c r="G16" s="7">
        <f>IF(MROUND('T2'!G16*'T7'!F$2,1)&lt;1,"",MROUND('T2'!G16*'T7'!F$2,5))</f>
        <v>28330</v>
      </c>
      <c r="H16" s="7">
        <f>IF(MROUND('T2'!H16*'T7'!I$2,1)=0,"",MROUND('T2'!H16*'T7'!I$2,5))</f>
        <v>39330</v>
      </c>
      <c r="I16" s="7">
        <f>IF(MROUND('T2'!I16*'T7'!I$2,1)&lt;1,"",MROUND('T2'!I16*'T7'!I$2,5))</f>
        <v>39590</v>
      </c>
      <c r="J16" s="7">
        <f>IF(MROUND('T2'!J16*'T7'!I$2,1)&lt;1,"",MROUND('T2'!J16*'T7'!I$2,5))</f>
        <v>39815</v>
      </c>
      <c r="K16" s="7">
        <f>IF(MROUND('T2'!K16*'T7'!L$2,1)=0,"",MROUND('T2'!K16*'T7'!L$2,5))</f>
        <v>51660</v>
      </c>
      <c r="L16" s="7">
        <f>IF(MROUND('T2'!L16*'T7'!L$2,1)&lt;1,"",MROUND('T2'!L16*'T7'!L$2,5))</f>
        <v>52030</v>
      </c>
      <c r="M16" s="7">
        <f>IF(MROUND('T2'!M16*'T6'!L$2,1)&lt;1,"",MROUND('T2'!M16*'T6'!L$2,5))</f>
        <v>49115</v>
      </c>
      <c r="N16" s="7">
        <f>IF(MROUND('T2'!N16*'T7'!O$2,1)=0,"",MROUND('T2'!N16*'T7'!O$2,5))</f>
        <v>58255</v>
      </c>
      <c r="O16" s="7">
        <f>IF(MROUND('T2'!O16*'T7'!O$2,1)&lt;1,"",MROUND('T2'!O16*'T7'!O$2,5))</f>
        <v>58675</v>
      </c>
      <c r="P16" s="7">
        <f>IF(MROUND('T2'!P16*'T7'!O$2,1)&lt;1,"",MROUND('T2'!P16*'T7'!O$2,5))</f>
        <v>59015</v>
      </c>
      <c r="Q16" s="8">
        <f>SUM(B16,E16,I16,L16,O16)</f>
        <v>186490</v>
      </c>
      <c r="R16" s="7"/>
      <c r="S16" s="8">
        <f t="shared" si="1"/>
        <v>187600</v>
      </c>
      <c r="T16" s="8">
        <f>SUM(O16,L16,I16,G16,D16)</f>
        <v>188505</v>
      </c>
    </row>
    <row r="17" spans="1:20">
      <c r="A17">
        <v>2027</v>
      </c>
      <c r="B17" s="7">
        <f>IF(MROUND('T2'!B17*'T7'!$C$2,1)=0,"",MROUND('T2'!B17*'T7'!C$2,5))</f>
        <v>9145</v>
      </c>
      <c r="C17" s="7">
        <f>IF(MROUND('T2'!C17*'T7'!$C$2,1)&lt;1,"",MROUND('T2'!C17*'T7'!$C$2,5))</f>
        <v>9575</v>
      </c>
      <c r="D17" s="7">
        <f>IF(MROUND('T2'!D17*'T7'!$C$2,1)&lt;1,"",MROUND('T2'!D17*'T7'!$C$2,5))</f>
        <v>9965</v>
      </c>
      <c r="E17" s="7">
        <f>IF(MROUND('T2'!E17*'T7'!F$2,1)=0,"",MROUND('T2'!E17*'T7'!F$2,5))</f>
        <v>26755</v>
      </c>
      <c r="F17" s="7">
        <f>IF(MROUND('T2'!F17*'T7'!F$2,1)&lt;1,"",MROUND('T2'!F17*'T7'!F$2,5))</f>
        <v>27745</v>
      </c>
      <c r="G17" s="7">
        <f>IF(MROUND('T2'!G17*'T7'!F$2,1)&lt;1,"",MROUND('T2'!G17*'T7'!F$2,5))</f>
        <v>28660</v>
      </c>
      <c r="H17" s="7">
        <f>IF(MROUND('T2'!H17*'T7'!I$2,1)=0,"",MROUND('T2'!H17*'T7'!I$2,5))</f>
        <v>39240</v>
      </c>
      <c r="I17" s="7">
        <f>IF(MROUND('T2'!I17*'T7'!I$2,1)&lt;1,"",MROUND('T2'!I17*'T7'!I$2,5))</f>
        <v>40365</v>
      </c>
      <c r="J17" s="7">
        <f>IF(MROUND('T2'!J17*'T7'!I$2,1)&lt;1,"",MROUND('T2'!J17*'T7'!I$2,5))</f>
        <v>41260</v>
      </c>
      <c r="K17" s="7">
        <f>IF(MROUND('T2'!K17*'T7'!L$2,1)=0,"",MROUND('T2'!K17*'T7'!L$2,5))</f>
        <v>51455</v>
      </c>
      <c r="L17" s="7">
        <f>IF(MROUND('T2'!L17*'T7'!L$2,1)&lt;1,"",MROUND('T2'!L17*'T7'!L$2,5))</f>
        <v>51960</v>
      </c>
      <c r="M17" s="7">
        <f>IF(MROUND('T2'!M17*'T6'!L$2,1)&lt;1,"",MROUND('T2'!M17*'T6'!L$2,5))</f>
        <v>49185</v>
      </c>
      <c r="N17" s="7">
        <f>IF(MROUND('T2'!N17*'T7'!O$2,1)=0,"",MROUND('T2'!N17*'T7'!O$2,5))</f>
        <v>54105</v>
      </c>
      <c r="O17" s="7">
        <f>IF(MROUND('T2'!O17*'T7'!O$2,1)&lt;1,"",MROUND('T2'!O17*'T7'!O$2,5))</f>
        <v>54690</v>
      </c>
      <c r="P17" s="7">
        <f>IF(MROUND('T2'!P17*'T7'!O$2,1)&lt;1,"",MROUND('T2'!P17*'T7'!O$2,5))</f>
        <v>55205</v>
      </c>
      <c r="Q17" s="8">
        <f>SUM(O17,L17,H17,E17,B17)</f>
        <v>181790</v>
      </c>
      <c r="R17" s="7"/>
      <c r="S17" s="8">
        <f t="shared" si="1"/>
        <v>184335</v>
      </c>
      <c r="T17" s="8">
        <f>SUM(O17,L17,J17,G17,D17)</f>
        <v>186535</v>
      </c>
    </row>
    <row r="18" spans="1:20">
      <c r="A18">
        <v>2028</v>
      </c>
      <c r="B18" s="7">
        <f>IF(MROUND('T2'!B18*'T7'!$C$2,1)=0,"",MROUND('T2'!B18*'T7'!C$2,5))</f>
        <v>9075</v>
      </c>
      <c r="C18" s="7">
        <f>IF(MROUND('T2'!C18*'T7'!$C$2,1)&lt;1,"",MROUND('T2'!C18*'T7'!$C$2,5))</f>
        <v>9570</v>
      </c>
      <c r="D18" s="7">
        <f>IF(MROUND('T2'!D18*'T7'!$C$2,1)&lt;1,"",MROUND('T2'!D18*'T7'!$C$2,5))</f>
        <v>10040</v>
      </c>
      <c r="E18" s="7">
        <f>IF(MROUND('T2'!E18*'T7'!F$2,1)=0,"",MROUND('T2'!E18*'T7'!F$2,5))</f>
        <v>26460</v>
      </c>
      <c r="F18" s="7">
        <f>IF(MROUND('T2'!F18*'T7'!F$2,1)&lt;1,"",MROUND('T2'!F18*'T7'!F$2,5))</f>
        <v>27750</v>
      </c>
      <c r="G18" s="7">
        <f>IF(MROUND('T2'!G18*'T7'!F$2,1)&lt;1,"",MROUND('T2'!G18*'T7'!F$2,5))</f>
        <v>28900</v>
      </c>
      <c r="H18" s="7">
        <f>IF(MROUND('T2'!H18*'T7'!I$2,1)=0,"",MROUND('T2'!H18*'T7'!I$2,5))</f>
        <v>38970</v>
      </c>
      <c r="I18" s="7">
        <f>IF(MROUND('T2'!I18*'T7'!I$2,1)&lt;1,"",MROUND('T2'!I18*'T7'!I$2,5))</f>
        <v>40415</v>
      </c>
      <c r="J18" s="7">
        <f>IF(MROUND('T2'!J18*'T7'!I$2,1)&lt;1,"",MROUND('T2'!J18*'T7'!I$2,5))</f>
        <v>41750</v>
      </c>
      <c r="K18" s="7">
        <f>IF(MROUND('T2'!K18*'T7'!L$2,1)=0,"",MROUND('T2'!K18*'T7'!L$2,5))</f>
        <v>51475</v>
      </c>
      <c r="L18" s="7">
        <f>IF(MROUND('T2'!L18*'T7'!L$2,1)&lt;1,"",MROUND('T2'!L18*'T7'!L$2,5))</f>
        <v>52995</v>
      </c>
      <c r="M18" s="7">
        <f>IF(MROUND('T2'!M18*'T6'!L$2,1)&lt;1,"",MROUND('T2'!M18*'T6'!L$2,5))</f>
        <v>50885</v>
      </c>
      <c r="N18" s="7">
        <f>IF(MROUND('T2'!N18*'T7'!O$2,1)=0,"",MROUND('T2'!N18*'T7'!O$2,5))</f>
        <v>53945</v>
      </c>
      <c r="O18" s="7">
        <f>IF(MROUND('T2'!O18*'T7'!O$2,1)&lt;1,"",MROUND('T2'!O18*'T7'!O$2,5))</f>
        <v>54640</v>
      </c>
      <c r="P18" s="7">
        <f>IF(MROUND('T2'!P18*'T7'!O$2,1)&lt;1,"",MROUND('T2'!P18*'T7'!O$2,5))</f>
        <v>55245</v>
      </c>
      <c r="Q18" s="8">
        <f>SUM(O18,K18,H18,E18,B18)</f>
        <v>180620</v>
      </c>
      <c r="R18" s="7"/>
      <c r="S18" s="8">
        <f t="shared" si="1"/>
        <v>185370</v>
      </c>
      <c r="T18" s="8">
        <f>SUM(O18,M18,J18,G18,D18)</f>
        <v>186215</v>
      </c>
    </row>
    <row r="19" spans="1:20">
      <c r="A19">
        <v>2029</v>
      </c>
      <c r="B19" s="7">
        <f>IF(MROUND('T2'!B19*'T7'!$C$2,1)=0,"",MROUND('T2'!B19*'T7'!C$2,5))</f>
        <v>9010</v>
      </c>
      <c r="C19" s="7">
        <f>IF(MROUND('T2'!C19*'T7'!$C$2,1)&lt;1,"",MROUND('T2'!C19*'T7'!$C$2,5))</f>
        <v>9565</v>
      </c>
      <c r="D19" s="7">
        <f>IF(MROUND('T2'!D19*'T7'!$C$2,1)&lt;1,"",MROUND('T2'!D19*'T7'!$C$2,5))</f>
        <v>10095</v>
      </c>
      <c r="E19" s="7">
        <f>IF(MROUND('T2'!E19*'T7'!F$2,1)=0,"",MROUND('T2'!E19*'T7'!F$2,5))</f>
        <v>26275</v>
      </c>
      <c r="F19" s="7">
        <f>IF(MROUND('T2'!F19*'T7'!F$2,1)&lt;1,"",MROUND('T2'!F19*'T7'!F$2,5))</f>
        <v>27745</v>
      </c>
      <c r="G19" s="7">
        <f>IF(MROUND('T2'!G19*'T7'!F$2,1)&lt;1,"",MROUND('T2'!G19*'T7'!F$2,5))</f>
        <v>29120</v>
      </c>
      <c r="H19" s="7">
        <f>IF(MROUND('T2'!H19*'T7'!I$2,1)=0,"",MROUND('T2'!H19*'T7'!I$2,5))</f>
        <v>38610</v>
      </c>
      <c r="I19" s="7">
        <f>IF(MROUND('T2'!I19*'T7'!I$2,1)&lt;1,"",MROUND('T2'!I19*'T7'!I$2,5))</f>
        <v>40435</v>
      </c>
      <c r="J19" s="7">
        <f>IF(MROUND('T2'!J19*'T7'!I$2,1)&lt;1,"",MROUND('T2'!J19*'T7'!I$2,5))</f>
        <v>42100</v>
      </c>
      <c r="K19" s="7">
        <f>IF(MROUND('T2'!K19*'T7'!L$2,1)=0,"",MROUND('T2'!K19*'T7'!L$2,5))</f>
        <v>51140</v>
      </c>
      <c r="L19" s="7">
        <f>IF(MROUND('T2'!L19*'T7'!L$2,1)&lt;1,"",MROUND('T2'!L19*'T7'!L$2,5))</f>
        <v>53080</v>
      </c>
      <c r="M19" s="7">
        <f>IF(MROUND('T2'!M19*'T6'!L$2,1)&lt;1,"",MROUND('T2'!M19*'T6'!L$2,5))</f>
        <v>51555</v>
      </c>
      <c r="N19" s="7">
        <f>IF(MROUND('T2'!N19*'T7'!O$2,1)=0,"",MROUND('T2'!N19*'T7'!O$2,5))</f>
        <v>54125</v>
      </c>
      <c r="O19" s="7">
        <f>IF(MROUND('T2'!O19*'T7'!O$2,1)&lt;1,"",MROUND('T2'!O19*'T7'!O$2,5))</f>
        <v>55740</v>
      </c>
      <c r="P19" s="7">
        <f>IF(MROUND('T2'!P19*'T7'!O$2,1)&lt;1,"",MROUND('T2'!P19*'T7'!O$2,5))</f>
        <v>57070</v>
      </c>
      <c r="Q19" s="8">
        <f>SUM(N19,K19,H19,E19,B19)</f>
        <v>179160</v>
      </c>
      <c r="R19" s="7"/>
      <c r="S19" s="8">
        <f t="shared" si="1"/>
        <v>186565</v>
      </c>
      <c r="T19" s="8">
        <f>SUM(P19,M19,J19,G19,D19)</f>
        <v>189940</v>
      </c>
    </row>
    <row r="20" spans="1:20">
      <c r="A20">
        <v>2030</v>
      </c>
      <c r="B20" s="7">
        <f>IF(MROUND('T2'!B20*'T7'!$C$2,1)=0,"",MROUND('T2'!B20*'T7'!C$2,5))</f>
        <v>8960</v>
      </c>
      <c r="C20" s="7">
        <f>IF(MROUND('T2'!C20*'T7'!$C$2,1)&lt;1,"",MROUND('T2'!C20*'T7'!$C$2,5))</f>
        <v>9565</v>
      </c>
      <c r="D20" s="7">
        <f>IF(MROUND('T2'!D20*'T7'!$C$2,1)&lt;1,"",MROUND('T2'!D20*'T7'!$C$2,5))</f>
        <v>10145</v>
      </c>
      <c r="E20" s="7">
        <f>IF(MROUND('T2'!E20*'T7'!F$2,1)=0,"",MROUND('T2'!E20*'T7'!F$2,5))</f>
        <v>26130</v>
      </c>
      <c r="F20" s="7">
        <f>IF(MROUND('T2'!F20*'T7'!F$2,1)&lt;1,"",MROUND('T2'!F20*'T7'!F$2,5))</f>
        <v>27735</v>
      </c>
      <c r="G20" s="7">
        <f>IF(MROUND('T2'!G20*'T7'!F$2,1)&lt;1,"",MROUND('T2'!G20*'T7'!F$2,5))</f>
        <v>29285</v>
      </c>
      <c r="H20" s="7">
        <f>IF(MROUND('T2'!H20*'T7'!I$2,1)=0,"",MROUND('T2'!H20*'T7'!I$2,5))</f>
        <v>38300</v>
      </c>
      <c r="I20" s="7">
        <f>IF(MROUND('T2'!I20*'T7'!I$2,1)&lt;1,"",MROUND('T2'!I20*'T7'!I$2,5))</f>
        <v>40435</v>
      </c>
      <c r="J20" s="7">
        <f>IF(MROUND('T2'!J20*'T7'!I$2,1)&lt;1,"",MROUND('T2'!J20*'T7'!I$2,5))</f>
        <v>42450</v>
      </c>
      <c r="K20" s="7">
        <f>IF(MROUND('T2'!K20*'T7'!L$2,1)=0,"",MROUND('T2'!K20*'T7'!L$2,5))</f>
        <v>50740</v>
      </c>
      <c r="L20" s="7">
        <f>IF(MROUND('T2'!L20*'T7'!L$2,1)&lt;1,"",MROUND('T2'!L20*'T7'!L$2,5))</f>
        <v>53115</v>
      </c>
      <c r="M20" s="7">
        <f>IF(MROUND('T2'!M20*'T6'!L$2,1)&lt;1,"",MROUND('T2'!M20*'T6'!L$2,5))</f>
        <v>51875</v>
      </c>
      <c r="N20" s="7">
        <f>IF(MROUND('T2'!N20*'T7'!O$2,1)=0,"",MROUND('T2'!N20*'T7'!O$2,5))</f>
        <v>53760</v>
      </c>
      <c r="O20" s="7">
        <f>IF(MROUND('T2'!O20*'T7'!O$2,1)&lt;1,"",MROUND('T2'!O20*'T7'!O$2,5))</f>
        <v>55845</v>
      </c>
      <c r="P20" s="7">
        <f>IF(MROUND('T2'!P20*'T7'!O$2,1)&lt;1,"",MROUND('T2'!P20*'T7'!O$2,5))</f>
        <v>57915</v>
      </c>
      <c r="Q20" s="8">
        <f t="shared" ref="Q20:Q28" si="2">SUM(N20,K20,H20,E20,B20)</f>
        <v>177890</v>
      </c>
      <c r="R20" s="7"/>
      <c r="S20" s="8">
        <f t="shared" si="1"/>
        <v>186695</v>
      </c>
      <c r="T20" s="8">
        <f t="shared" ref="T20:T28" si="3">SUM(P20,M20,J20,G20,D20)</f>
        <v>191670</v>
      </c>
    </row>
    <row r="21" spans="1:20">
      <c r="A21">
        <v>2031</v>
      </c>
      <c r="B21" s="7">
        <f>IF(MROUND('T2'!B21*'T7'!$C$2,1)=0,"",MROUND('T2'!B21*'T7'!C$2,5))</f>
        <v>8885</v>
      </c>
      <c r="C21" s="7">
        <f>IF(MROUND('T2'!C21*'T7'!$C$2,1)&lt;1,"",MROUND('T2'!C21*'T7'!$C$2,5))</f>
        <v>9565</v>
      </c>
      <c r="D21" s="7">
        <f>IF(MROUND('T2'!D21*'T7'!$C$2,1)&lt;1,"",MROUND('T2'!D21*'T7'!$C$2,5))</f>
        <v>10195</v>
      </c>
      <c r="E21" s="7">
        <f>IF(MROUND('T2'!E21*'T7'!F$2,1)=0,"",MROUND('T2'!E21*'T7'!F$2,5))</f>
        <v>25980</v>
      </c>
      <c r="F21" s="7">
        <f>IF(MROUND('T2'!F21*'T7'!F$2,1)&lt;1,"",MROUND('T2'!F21*'T7'!F$2,5))</f>
        <v>27730</v>
      </c>
      <c r="G21" s="7">
        <f>IF(MROUND('T2'!G21*'T7'!F$2,1)&lt;1,"",MROUND('T2'!G21*'T7'!F$2,5))</f>
        <v>29395</v>
      </c>
      <c r="H21" s="7">
        <f>IF(MROUND('T2'!H21*'T7'!I$2,1)=0,"",MROUND('T2'!H21*'T7'!I$2,5))</f>
        <v>38065</v>
      </c>
      <c r="I21" s="7">
        <f>IF(MROUND('T2'!I21*'T7'!I$2,1)&lt;1,"",MROUND('T2'!I21*'T7'!I$2,5))</f>
        <v>40420</v>
      </c>
      <c r="J21" s="7">
        <f>IF(MROUND('T2'!J21*'T7'!I$2,1)&lt;1,"",MROUND('T2'!J21*'T7'!I$2,5))</f>
        <v>42625</v>
      </c>
      <c r="K21" s="7">
        <f>IF(MROUND('T2'!K21*'T7'!L$2,1)=0,"",MROUND('T2'!K21*'T7'!L$2,5))</f>
        <v>50335</v>
      </c>
      <c r="L21" s="7">
        <f>IF(MROUND('T2'!L21*'T7'!L$2,1)&lt;1,"",MROUND('T2'!L21*'T7'!L$2,5))</f>
        <v>53125</v>
      </c>
      <c r="M21" s="7">
        <f>IF(MROUND('T2'!M21*'T6'!L$2,1)&lt;1,"",MROUND('T2'!M21*'T6'!L$2,5))</f>
        <v>52315</v>
      </c>
      <c r="N21" s="7">
        <f>IF(MROUND('T2'!N21*'T7'!O$2,1)=0,"",MROUND('T2'!N21*'T7'!O$2,5))</f>
        <v>53420</v>
      </c>
      <c r="O21" s="7">
        <f>IF(MROUND('T2'!O21*'T7'!O$2,1)&lt;1,"",MROUND('T2'!O21*'T7'!O$2,5))</f>
        <v>55890</v>
      </c>
      <c r="P21" s="7">
        <f>IF(MROUND('T2'!P21*'T7'!O$2,1)&lt;1,"",MROUND('T2'!P21*'T7'!O$2,5))</f>
        <v>58215</v>
      </c>
      <c r="Q21" s="8">
        <f t="shared" si="2"/>
        <v>176685</v>
      </c>
      <c r="R21" s="7"/>
      <c r="S21" s="8">
        <f t="shared" si="1"/>
        <v>186730</v>
      </c>
      <c r="T21" s="8">
        <f t="shared" si="3"/>
        <v>192745</v>
      </c>
    </row>
    <row r="22" spans="1:20">
      <c r="A22">
        <v>2032</v>
      </c>
      <c r="B22" s="7">
        <f>IF(MROUND('T2'!B22*'T7'!$C$2,1)=0,"",MROUND('T2'!B22*'T7'!C$2,5))</f>
        <v>8855</v>
      </c>
      <c r="C22" s="7">
        <f>IF(MROUND('T2'!C22*'T7'!$C$2,1)&lt;1,"",MROUND('T2'!C22*'T7'!$C$2,5))</f>
        <v>9570</v>
      </c>
      <c r="D22" s="7">
        <f>IF(MROUND('T2'!D22*'T7'!$C$2,1)&lt;1,"",MROUND('T2'!D22*'T7'!$C$2,5))</f>
        <v>10260</v>
      </c>
      <c r="E22" s="7">
        <f>IF(MROUND('T2'!E22*'T7'!F$2,1)=0,"",MROUND('T2'!E22*'T7'!F$2,5))</f>
        <v>25765</v>
      </c>
      <c r="F22" s="7">
        <f>IF(MROUND('T2'!F22*'T7'!F$2,1)&lt;1,"",MROUND('T2'!F22*'T7'!F$2,5))</f>
        <v>27735</v>
      </c>
      <c r="G22" s="7">
        <f>IF(MROUND('T2'!G22*'T7'!F$2,1)&lt;1,"",MROUND('T2'!G22*'T7'!F$2,5))</f>
        <v>29560</v>
      </c>
      <c r="H22" s="7">
        <f>IF(MROUND('T2'!H22*'T7'!I$2,1)=0,"",MROUND('T2'!H22*'T7'!I$2,5))</f>
        <v>37885</v>
      </c>
      <c r="I22" s="7">
        <f>IF(MROUND('T2'!I22*'T7'!I$2,1)&lt;1,"",MROUND('T2'!I22*'T7'!I$2,5))</f>
        <v>40415</v>
      </c>
      <c r="J22" s="7">
        <f>IF(MROUND('T2'!J22*'T7'!I$2,1)&lt;1,"",MROUND('T2'!J22*'T7'!I$2,5))</f>
        <v>42875</v>
      </c>
      <c r="K22" s="7">
        <f>IF(MROUND('T2'!K22*'T7'!L$2,1)=0,"",MROUND('T2'!K22*'T7'!L$2,5))</f>
        <v>50020</v>
      </c>
      <c r="L22" s="7">
        <f>IF(MROUND('T2'!L22*'T7'!L$2,1)&lt;1,"",MROUND('T2'!L22*'T7'!L$2,5))</f>
        <v>53115</v>
      </c>
      <c r="M22" s="7">
        <f>IF(MROUND('T2'!M22*'T6'!L$2,1)&lt;1,"",MROUND('T2'!M22*'T6'!L$2,5))</f>
        <v>52630</v>
      </c>
      <c r="N22" s="7">
        <f>IF(MROUND('T2'!N22*'T7'!O$2,1)=0,"",MROUND('T2'!N22*'T7'!O$2,5))</f>
        <v>52950</v>
      </c>
      <c r="O22" s="7">
        <f>IF(MROUND('T2'!O22*'T7'!O$2,1)&lt;1,"",MROUND('T2'!O22*'T7'!O$2,5))</f>
        <v>55900</v>
      </c>
      <c r="P22" s="7">
        <f>IF(MROUND('T2'!P22*'T7'!O$2,1)&lt;1,"",MROUND('T2'!P22*'T7'!O$2,5))</f>
        <v>58685</v>
      </c>
      <c r="Q22" s="8">
        <f t="shared" si="2"/>
        <v>175475</v>
      </c>
      <c r="R22" s="7"/>
      <c r="S22" s="8">
        <f t="shared" si="1"/>
        <v>186735</v>
      </c>
      <c r="T22" s="8">
        <f t="shared" si="3"/>
        <v>194010</v>
      </c>
    </row>
    <row r="23" spans="1:20">
      <c r="A23">
        <v>2033</v>
      </c>
      <c r="B23" s="7">
        <f>IF(MROUND('T2'!B23*'T7'!$C$2,1)=0,"",MROUND('T2'!B23*'T7'!C$2,5))</f>
        <v>8825</v>
      </c>
      <c r="C23" s="7">
        <f>IF(MROUND('T2'!C23*'T7'!$C$2,1)&lt;1,"",MROUND('T2'!C23*'T7'!$C$2,5))</f>
        <v>9590</v>
      </c>
      <c r="D23" s="7">
        <f>IF(MROUND('T2'!D23*'T7'!$C$2,1)&lt;1,"",MROUND('T2'!D23*'T7'!$C$2,5))</f>
        <v>10330</v>
      </c>
      <c r="E23" s="7">
        <f>IF(MROUND('T2'!E23*'T7'!F$2,1)=0,"",MROUND('T2'!E23*'T7'!F$2,5))</f>
        <v>25700</v>
      </c>
      <c r="F23" s="7">
        <f>IF(MROUND('T2'!F23*'T7'!F$2,1)&lt;1,"",MROUND('T2'!F23*'T7'!F$2,5))</f>
        <v>27760</v>
      </c>
      <c r="G23" s="7">
        <f>IF(MROUND('T2'!G23*'T7'!F$2,1)&lt;1,"",MROUND('T2'!G23*'T7'!F$2,5))</f>
        <v>29710</v>
      </c>
      <c r="H23" s="7">
        <f>IF(MROUND('T2'!H23*'T7'!I$2,1)=0,"",MROUND('T2'!H23*'T7'!I$2,5))</f>
        <v>37595</v>
      </c>
      <c r="I23" s="7">
        <f>IF(MROUND('T2'!I23*'T7'!I$2,1)&lt;1,"",MROUND('T2'!I23*'T7'!I$2,5))</f>
        <v>40430</v>
      </c>
      <c r="J23" s="7">
        <f>IF(MROUND('T2'!J23*'T7'!I$2,1)&lt;1,"",MROUND('T2'!J23*'T7'!I$2,5))</f>
        <v>43075</v>
      </c>
      <c r="K23" s="7">
        <f>IF(MROUND('T2'!K23*'T7'!L$2,1)=0,"",MROUND('T2'!K23*'T7'!L$2,5))</f>
        <v>49760</v>
      </c>
      <c r="L23" s="7">
        <f>IF(MROUND('T2'!L23*'T7'!L$2,1)&lt;1,"",MROUND('T2'!L23*'T7'!L$2,5))</f>
        <v>53105</v>
      </c>
      <c r="M23" s="7">
        <f>IF(MROUND('T2'!M23*'T6'!L$2,1)&lt;1,"",MROUND('T2'!M23*'T6'!L$2,5))</f>
        <v>52985</v>
      </c>
      <c r="N23" s="7">
        <f>IF(MROUND('T2'!N23*'T7'!O$2,1)=0,"",MROUND('T2'!N23*'T7'!O$2,5))</f>
        <v>52590</v>
      </c>
      <c r="O23" s="7">
        <f>IF(MROUND('T2'!O23*'T7'!O$2,1)&lt;1,"",MROUND('T2'!O23*'T7'!O$2,5))</f>
        <v>55890</v>
      </c>
      <c r="P23" s="7">
        <f>IF(MROUND('T2'!P23*'T7'!O$2,1)&lt;1,"",MROUND('T2'!P23*'T7'!O$2,5))</f>
        <v>59025</v>
      </c>
      <c r="Q23" s="8">
        <f t="shared" si="2"/>
        <v>174470</v>
      </c>
      <c r="R23" s="7"/>
      <c r="S23" s="8">
        <f t="shared" si="1"/>
        <v>186775</v>
      </c>
      <c r="T23" s="8">
        <f t="shared" si="3"/>
        <v>195125</v>
      </c>
    </row>
    <row r="24" spans="1:20">
      <c r="A24">
        <v>2034</v>
      </c>
      <c r="B24" s="7">
        <f>IF(MROUND('T2'!B24*'T7'!$C$2,1)=0,"",MROUND('T2'!B24*'T7'!C$2,5))</f>
        <v>8830</v>
      </c>
      <c r="C24" s="7">
        <f>IF(MROUND('T2'!C24*'T7'!$C$2,1)&lt;1,"",MROUND('T2'!C24*'T7'!$C$2,5))</f>
        <v>9615</v>
      </c>
      <c r="D24" s="7">
        <f>IF(MROUND('T2'!D24*'T7'!$C$2,1)&lt;1,"",MROUND('T2'!D24*'T7'!$C$2,5))</f>
        <v>10375</v>
      </c>
      <c r="E24" s="7">
        <f>IF(MROUND('T2'!E24*'T7'!F$2,1)=0,"",MROUND('T2'!E24*'T7'!F$2,5))</f>
        <v>25610</v>
      </c>
      <c r="F24" s="7">
        <f>IF(MROUND('T2'!F24*'T7'!F$2,1)&lt;1,"",MROUND('T2'!F24*'T7'!F$2,5))</f>
        <v>27810</v>
      </c>
      <c r="G24" s="7">
        <f>IF(MROUND('T2'!G24*'T7'!F$2,1)&lt;1,"",MROUND('T2'!G24*'T7'!F$2,5))</f>
        <v>29950</v>
      </c>
      <c r="H24" s="7">
        <f>IF(MROUND('T2'!H24*'T7'!I$2,1)=0,"",MROUND('T2'!H24*'T7'!I$2,5))</f>
        <v>37460</v>
      </c>
      <c r="I24" s="7">
        <f>IF(MROUND('T2'!I24*'T7'!I$2,1)&lt;1,"",MROUND('T2'!I24*'T7'!I$2,5))</f>
        <v>40465</v>
      </c>
      <c r="J24" s="7">
        <f>IF(MROUND('T2'!J24*'T7'!I$2,1)&lt;1,"",MROUND('T2'!J24*'T7'!I$2,5))</f>
        <v>43285</v>
      </c>
      <c r="K24" s="7">
        <f>IF(MROUND('T2'!K24*'T7'!L$2,1)=0,"",MROUND('T2'!K24*'T7'!L$2,5))</f>
        <v>49415</v>
      </c>
      <c r="L24" s="7">
        <f>IF(MROUND('T2'!L24*'T7'!L$2,1)&lt;1,"",MROUND('T2'!L24*'T7'!L$2,5))</f>
        <v>53125</v>
      </c>
      <c r="M24" s="7">
        <f>IF(MROUND('T2'!M24*'T6'!L$2,1)&lt;1,"",MROUND('T2'!M24*'T6'!L$2,5))</f>
        <v>53135</v>
      </c>
      <c r="N24" s="7">
        <f>IF(MROUND('T2'!N24*'T7'!O$2,1)=0,"",MROUND('T2'!N24*'T7'!O$2,5))</f>
        <v>52340</v>
      </c>
      <c r="O24" s="7">
        <f>IF(MROUND('T2'!O24*'T7'!O$2,1)&lt;1,"",MROUND('T2'!O24*'T7'!O$2,5))</f>
        <v>55890</v>
      </c>
      <c r="P24" s="7">
        <f>IF(MROUND('T2'!P24*'T7'!O$2,1)&lt;1,"",MROUND('T2'!P24*'T7'!O$2,5))</f>
        <v>59360</v>
      </c>
      <c r="Q24" s="8">
        <f t="shared" si="2"/>
        <v>173655</v>
      </c>
      <c r="R24" s="7"/>
      <c r="S24" s="8">
        <f t="shared" si="1"/>
        <v>186905</v>
      </c>
      <c r="T24" s="8">
        <f t="shared" si="3"/>
        <v>196105</v>
      </c>
    </row>
    <row r="25" spans="1:20">
      <c r="A25">
        <v>2035</v>
      </c>
      <c r="B25" s="7">
        <f>IF(MROUND('T2'!B25*'T7'!$C$2,1)=0,"",MROUND('T2'!B25*'T7'!C$2,5))</f>
        <v>8810</v>
      </c>
      <c r="C25" s="7">
        <f>IF(MROUND('T2'!C25*'T7'!$C$2,1)&lt;1,"",MROUND('T2'!C25*'T7'!$C$2,5))</f>
        <v>9655</v>
      </c>
      <c r="D25" s="7">
        <f>IF(MROUND('T2'!D25*'T7'!$C$2,1)&lt;1,"",MROUND('T2'!D25*'T7'!$C$2,5))</f>
        <v>10465</v>
      </c>
      <c r="E25" s="7">
        <f>IF(MROUND('T2'!E25*'T7'!F$2,1)=0,"",MROUND('T2'!E25*'T7'!F$2,5))</f>
        <v>25595</v>
      </c>
      <c r="F25" s="7">
        <f>IF(MROUND('T2'!F25*'T7'!F$2,1)&lt;1,"",MROUND('T2'!F25*'T7'!F$2,5))</f>
        <v>27890</v>
      </c>
      <c r="G25" s="7">
        <f>IF(MROUND('T2'!G25*'T7'!F$2,1)&lt;1,"",MROUND('T2'!G25*'T7'!F$2,5))</f>
        <v>30095</v>
      </c>
      <c r="H25" s="7">
        <f>IF(MROUND('T2'!H25*'T7'!I$2,1)=0,"",MROUND('T2'!H25*'T7'!I$2,5))</f>
        <v>37420</v>
      </c>
      <c r="I25" s="7">
        <f>IF(MROUND('T2'!I25*'T7'!I$2,1)&lt;1,"",MROUND('T2'!I25*'T7'!I$2,5))</f>
        <v>40540</v>
      </c>
      <c r="J25" s="7">
        <f>IF(MROUND('T2'!J25*'T7'!I$2,1)&lt;1,"",MROUND('T2'!J25*'T7'!I$2,5))</f>
        <v>43610</v>
      </c>
      <c r="K25" s="7">
        <f>IF(MROUND('T2'!K25*'T7'!L$2,1)=0,"",MROUND('T2'!K25*'T7'!L$2,5))</f>
        <v>49290</v>
      </c>
      <c r="L25" s="7">
        <f>IF(MROUND('T2'!L25*'T7'!L$2,1)&lt;1,"",MROUND('T2'!L25*'T7'!L$2,5))</f>
        <v>53175</v>
      </c>
      <c r="M25" s="7">
        <f>IF(MROUND('T2'!M25*'T6'!L$2,1)&lt;1,"",MROUND('T2'!M25*'T6'!L$2,5))</f>
        <v>53330</v>
      </c>
      <c r="N25" s="7">
        <f>IF(MROUND('T2'!N25*'T7'!O$2,1)=0,"",MROUND('T2'!N25*'T7'!O$2,5))</f>
        <v>52010</v>
      </c>
      <c r="O25" s="7">
        <f>IF(MROUND('T2'!O25*'T7'!O$2,1)&lt;1,"",MROUND('T2'!O25*'T7'!O$2,5))</f>
        <v>55910</v>
      </c>
      <c r="P25" s="7">
        <f>IF(MROUND('T2'!P25*'T7'!O$2,1)&lt;1,"",MROUND('T2'!P25*'T7'!O$2,5))</f>
        <v>59595</v>
      </c>
      <c r="Q25" s="8">
        <f t="shared" si="2"/>
        <v>173125</v>
      </c>
      <c r="R25" s="7"/>
      <c r="S25" s="8">
        <f t="shared" si="1"/>
        <v>187170</v>
      </c>
      <c r="T25" s="8">
        <f t="shared" si="3"/>
        <v>197095</v>
      </c>
    </row>
    <row r="26" spans="1:20">
      <c r="A26">
        <v>2036</v>
      </c>
      <c r="B26" s="7">
        <f>IF(MROUND('T2'!B26*'T7'!$C$2,1)=0,"",MROUND('T2'!B26*'T7'!C$2,5))</f>
        <v>8825</v>
      </c>
      <c r="C26" s="7">
        <f>IF(MROUND('T2'!C26*'T7'!$C$2,1)&lt;1,"",MROUND('T2'!C26*'T7'!$C$2,5))</f>
        <v>9710</v>
      </c>
      <c r="D26" s="7">
        <f>IF(MROUND('T2'!D26*'T7'!$C$2,1)&lt;1,"",MROUND('T2'!D26*'T7'!$C$2,5))</f>
        <v>10555</v>
      </c>
      <c r="E26" s="7">
        <f>IF(MROUND('T2'!E26*'T7'!F$2,1)=0,"",MROUND('T2'!E26*'T7'!F$2,5))</f>
        <v>25580</v>
      </c>
      <c r="F26" s="7">
        <f>IF(MROUND('T2'!F26*'T7'!F$2,1)&lt;1,"",MROUND('T2'!F26*'T7'!F$2,5))</f>
        <v>28010</v>
      </c>
      <c r="G26" s="7">
        <f>IF(MROUND('T2'!G26*'T7'!F$2,1)&lt;1,"",MROUND('T2'!G26*'T7'!F$2,5))</f>
        <v>30380</v>
      </c>
      <c r="H26" s="7">
        <f>IF(MROUND('T2'!H26*'T7'!I$2,1)=0,"",MROUND('T2'!H26*'T7'!I$2,5))</f>
        <v>37315</v>
      </c>
      <c r="I26" s="7">
        <f>IF(MROUND('T2'!I26*'T7'!I$2,1)&lt;1,"",MROUND('T2'!I26*'T7'!I$2,5))</f>
        <v>40665</v>
      </c>
      <c r="J26" s="7">
        <f>IF(MROUND('T2'!J26*'T7'!I$2,1)&lt;1,"",MROUND('T2'!J26*'T7'!I$2,5))</f>
        <v>43860</v>
      </c>
      <c r="K26" s="7">
        <f>IF(MROUND('T2'!K26*'T7'!L$2,1)=0,"",MROUND('T2'!K26*'T7'!L$2,5))</f>
        <v>49180</v>
      </c>
      <c r="L26" s="7">
        <f>IF(MROUND('T2'!L26*'T7'!L$2,1)&lt;1,"",MROUND('T2'!L26*'T7'!L$2,5))</f>
        <v>53275</v>
      </c>
      <c r="M26" s="7">
        <f>IF(MROUND('T2'!M26*'T6'!L$2,1)&lt;1,"",MROUND('T2'!M26*'T6'!L$2,5))</f>
        <v>53710</v>
      </c>
      <c r="N26" s="7">
        <f>IF(MROUND('T2'!N26*'T7'!O$2,1)=0,"",MROUND('T2'!N26*'T7'!O$2,5))</f>
        <v>51860</v>
      </c>
      <c r="O26" s="7">
        <f>IF(MROUND('T2'!O26*'T7'!O$2,1)&lt;1,"",MROUND('T2'!O26*'T7'!O$2,5))</f>
        <v>55975</v>
      </c>
      <c r="P26" s="7">
        <f>IF(MROUND('T2'!P26*'T7'!O$2,1)&lt;1,"",MROUND('T2'!P26*'T7'!O$2,5))</f>
        <v>59825</v>
      </c>
      <c r="Q26" s="8">
        <f t="shared" si="2"/>
        <v>172760</v>
      </c>
      <c r="R26" s="7"/>
      <c r="S26" s="8">
        <f t="shared" si="1"/>
        <v>187635</v>
      </c>
      <c r="T26" s="8">
        <f t="shared" si="3"/>
        <v>198330</v>
      </c>
    </row>
    <row r="27" spans="1:20">
      <c r="A27">
        <v>2037</v>
      </c>
      <c r="B27" s="7">
        <f>IF(MROUND('T2'!B27*'T7'!$C$2,1)=0,"",MROUND('T2'!B27*'T7'!C$2,5))</f>
        <v>8845</v>
      </c>
      <c r="C27" s="7">
        <f>IF(MROUND('T2'!C27*'T7'!$C$2,1)&lt;1,"",MROUND('T2'!C27*'T7'!$C$2,5))</f>
        <v>9770</v>
      </c>
      <c r="D27" s="7">
        <f>IF(MROUND('T2'!D27*'T7'!$C$2,1)&lt;1,"",MROUND('T2'!D27*'T7'!$C$2,5))</f>
        <v>10655</v>
      </c>
      <c r="E27" s="7">
        <f>IF(MROUND('T2'!E27*'T7'!F$2,1)=0,"",MROUND('T2'!E27*'T7'!F$2,5))</f>
        <v>25555</v>
      </c>
      <c r="F27" s="7">
        <f>IF(MROUND('T2'!F27*'T7'!F$2,1)&lt;1,"",MROUND('T2'!F27*'T7'!F$2,5))</f>
        <v>28170</v>
      </c>
      <c r="G27" s="7">
        <f>IF(MROUND('T2'!G27*'T7'!F$2,1)&lt;1,"",MROUND('T2'!G27*'T7'!F$2,5))</f>
        <v>30600</v>
      </c>
      <c r="H27" s="7">
        <f>IF(MROUND('T2'!H27*'T7'!I$2,1)=0,"",MROUND('T2'!H27*'T7'!I$2,5))</f>
        <v>37305</v>
      </c>
      <c r="I27" s="7">
        <f>IF(MROUND('T2'!I27*'T7'!I$2,1)&lt;1,"",MROUND('T2'!I27*'T7'!I$2,5))</f>
        <v>40835</v>
      </c>
      <c r="J27" s="7">
        <f>IF(MROUND('T2'!J27*'T7'!I$2,1)&lt;1,"",MROUND('T2'!J27*'T7'!I$2,5))</f>
        <v>44220</v>
      </c>
      <c r="K27" s="7">
        <f>IF(MROUND('T2'!K27*'T7'!L$2,1)=0,"",MROUND('T2'!K27*'T7'!L$2,5))</f>
        <v>49045</v>
      </c>
      <c r="L27" s="7">
        <f>IF(MROUND('T2'!L27*'T7'!L$2,1)&lt;1,"",MROUND('T2'!L27*'T7'!L$2,5))</f>
        <v>53450</v>
      </c>
      <c r="M27" s="7">
        <f>IF(MROUND('T2'!M27*'T6'!L$2,1)&lt;1,"",MROUND('T2'!M27*'T6'!L$2,5))</f>
        <v>54090</v>
      </c>
      <c r="N27" s="7">
        <f>IF(MROUND('T2'!N27*'T7'!O$2,1)=0,"",MROUND('T2'!N27*'T7'!O$2,5))</f>
        <v>51810</v>
      </c>
      <c r="O27" s="7">
        <f>IF(MROUND('T2'!O27*'T7'!O$2,1)&lt;1,"",MROUND('T2'!O27*'T7'!O$2,5))</f>
        <v>56080</v>
      </c>
      <c r="P27" s="7">
        <f>IF(MROUND('T2'!P27*'T7'!O$2,1)&lt;1,"",MROUND('T2'!P27*'T7'!O$2,5))</f>
        <v>60135</v>
      </c>
      <c r="Q27" s="8">
        <f t="shared" si="2"/>
        <v>172560</v>
      </c>
      <c r="R27" s="7"/>
      <c r="S27" s="8">
        <f t="shared" si="1"/>
        <v>188305</v>
      </c>
      <c r="T27" s="8">
        <f t="shared" si="3"/>
        <v>199700</v>
      </c>
    </row>
    <row r="28" spans="1:20">
      <c r="A28">
        <v>2038</v>
      </c>
      <c r="B28" s="7">
        <f>IF(MROUND('T2'!B28*'T7'!$C$2,1)=0,"",MROUND('T2'!B28*'T7'!C$2,5))</f>
        <v>8895</v>
      </c>
      <c r="C28" s="7">
        <f>IF(MROUND('T2'!C28*'T7'!$C$2,1)&lt;1,"",MROUND('T2'!C28*'T7'!$C$2,5))</f>
        <v>9845</v>
      </c>
      <c r="D28" s="7">
        <f>IF(MROUND('T2'!D28*'T7'!$C$2,1)&lt;1,"",MROUND('T2'!D28*'T7'!$C$2,5))</f>
        <v>10755</v>
      </c>
      <c r="E28" s="7">
        <f>IF(MROUND('T2'!E28*'T7'!F$2,1)=0,"",MROUND('T2'!E28*'T7'!F$2,5))</f>
        <v>25715</v>
      </c>
      <c r="F28" s="7">
        <f>IF(MROUND('T2'!F28*'T7'!F$2,1)&lt;1,"",MROUND('T2'!F28*'T7'!F$2,5))</f>
        <v>28350</v>
      </c>
      <c r="G28" s="7">
        <f>IF(MROUND('T2'!G28*'T7'!F$2,1)&lt;1,"",MROUND('T2'!G28*'T7'!F$2,5))</f>
        <v>30890</v>
      </c>
      <c r="H28" s="7">
        <f>IF(MROUND('T2'!H28*'T7'!I$2,1)=0,"",MROUND('T2'!H28*'T7'!I$2,5))</f>
        <v>37325</v>
      </c>
      <c r="I28" s="7">
        <f>IF(MROUND('T2'!I28*'T7'!I$2,1)&lt;1,"",MROUND('T2'!I28*'T7'!I$2,5))</f>
        <v>41065</v>
      </c>
      <c r="J28" s="7">
        <f>IF(MROUND('T2'!J28*'T7'!I$2,1)&lt;1,"",MROUND('T2'!J28*'T7'!I$2,5))</f>
        <v>44585</v>
      </c>
      <c r="K28" s="7">
        <f>IF(MROUND('T2'!K28*'T7'!L$2,1)=0,"",MROUND('T2'!K28*'T7'!L$2,5))</f>
        <v>49040</v>
      </c>
      <c r="L28" s="7">
        <f>IF(MROUND('T2'!L28*'T7'!L$2,1)&lt;1,"",MROUND('T2'!L28*'T7'!L$2,5))</f>
        <v>53675</v>
      </c>
      <c r="M28" s="7">
        <f>IF(MROUND('T2'!M28*'T6'!L$2,1)&lt;1,"",MROUND('T2'!M28*'T6'!L$2,5))</f>
        <v>54505</v>
      </c>
      <c r="N28" s="7">
        <f>IF(MROUND('T2'!N28*'T7'!O$2,1)=0,"",MROUND('T2'!N28*'T7'!O$2,5))</f>
        <v>51700</v>
      </c>
      <c r="O28" s="7">
        <f>IF(MROUND('T2'!O28*'T7'!O$2,1)&lt;1,"",MROUND('T2'!O28*'T7'!O$2,5))</f>
        <v>56260</v>
      </c>
      <c r="P28" s="7">
        <f>IF(MROUND('T2'!P28*'T7'!O$2,1)&lt;1,"",MROUND('T2'!P28*'T7'!O$2,5))</f>
        <v>60585</v>
      </c>
      <c r="Q28" s="8">
        <f t="shared" si="2"/>
        <v>172675</v>
      </c>
      <c r="R28" s="7"/>
      <c r="S28" s="8">
        <f t="shared" si="1"/>
        <v>189195</v>
      </c>
      <c r="T28" s="8">
        <f t="shared" si="3"/>
        <v>201320</v>
      </c>
    </row>
  </sheetData>
  <sheetProtection algorithmName="SHA-512" hashValue="vnLE2+1JFjBgnJ/fM2Uc28cvzfdrhbARRFmOooEHI7aJQdgBo4ieptMQ/6cUjSDHKwNUPq4GSYqAxqawRrsh+Q==" saltValue="QBnYBcVcgMjy4Jh/oszmEQ==" spinCount="100000" sheet="1" objects="1" scenarios="1" formatCells="0" formatColumns="0" formatRows="0" insertRows="0" sort="0" autoFilter="0" pivotTables="0"/>
  <mergeCells count="6">
    <mergeCell ref="Q3:T3"/>
    <mergeCell ref="B3:D3"/>
    <mergeCell ref="E3:G3"/>
    <mergeCell ref="H3:J3"/>
    <mergeCell ref="K3:M3"/>
    <mergeCell ref="N3:P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FB351-8382-451D-A8DF-95895ABA0C59}">
  <dimension ref="A1:T28"/>
  <sheetViews>
    <sheetView workbookViewId="0">
      <selection activeCell="B3" sqref="B3:D3"/>
    </sheetView>
  </sheetViews>
  <sheetFormatPr defaultColWidth="8.85546875" defaultRowHeight="14.65"/>
  <cols>
    <col min="2" max="2" width="7.7109375" customWidth="1"/>
    <col min="3" max="14" width="8" bestFit="1" customWidth="1"/>
    <col min="15" max="15" width="8.42578125" bestFit="1" customWidth="1"/>
    <col min="16" max="16" width="8" bestFit="1" customWidth="1"/>
    <col min="17" max="20" width="9" bestFit="1" customWidth="1"/>
  </cols>
  <sheetData>
    <row r="1" spans="1:20">
      <c r="A1" s="1" t="s">
        <v>277</v>
      </c>
    </row>
    <row r="2" spans="1:20">
      <c r="A2" s="1" t="s">
        <v>275</v>
      </c>
      <c r="C2" s="2">
        <f>'T5'!B49</f>
        <v>0.17537822111388196</v>
      </c>
      <c r="F2" s="3">
        <f>'T5'!C49</f>
        <v>0.50495147228162529</v>
      </c>
      <c r="I2" s="3">
        <f>'T5'!D49</f>
        <v>0.71337115072933555</v>
      </c>
      <c r="L2" s="3">
        <f>'T5'!E49</f>
        <v>0.93736386931454196</v>
      </c>
      <c r="O2" s="3">
        <f>'T5'!F49</f>
        <v>0.97325874566656156</v>
      </c>
    </row>
    <row r="3" spans="1:20">
      <c r="B3" s="175" t="s">
        <v>248</v>
      </c>
      <c r="C3" s="175"/>
      <c r="D3" s="175"/>
      <c r="E3" s="175" t="s">
        <v>249</v>
      </c>
      <c r="F3" s="175"/>
      <c r="G3" s="175"/>
      <c r="H3" s="175" t="s">
        <v>250</v>
      </c>
      <c r="I3" s="175"/>
      <c r="J3" s="175"/>
      <c r="K3" s="175" t="s">
        <v>251</v>
      </c>
      <c r="L3" s="175"/>
      <c r="M3" s="175"/>
      <c r="N3" s="175" t="s">
        <v>252</v>
      </c>
      <c r="O3" s="175"/>
      <c r="P3" s="175"/>
      <c r="Q3" s="175" t="s">
        <v>238</v>
      </c>
      <c r="R3" s="175"/>
      <c r="S3" s="175"/>
      <c r="T3" s="175"/>
    </row>
    <row r="4" spans="1:20">
      <c r="A4" t="s">
        <v>231</v>
      </c>
      <c r="B4" s="5" t="s">
        <v>255</v>
      </c>
      <c r="C4" s="5" t="s">
        <v>258</v>
      </c>
      <c r="D4" s="5" t="s">
        <v>256</v>
      </c>
      <c r="E4" s="5" t="s">
        <v>255</v>
      </c>
      <c r="F4" s="5" t="s">
        <v>258</v>
      </c>
      <c r="G4" s="5" t="s">
        <v>256</v>
      </c>
      <c r="H4" s="5" t="s">
        <v>255</v>
      </c>
      <c r="I4" s="5" t="s">
        <v>258</v>
      </c>
      <c r="J4" s="5" t="s">
        <v>256</v>
      </c>
      <c r="K4" s="5" t="s">
        <v>255</v>
      </c>
      <c r="L4" s="5" t="s">
        <v>258</v>
      </c>
      <c r="M4" s="5" t="s">
        <v>256</v>
      </c>
      <c r="N4" s="5" t="s">
        <v>255</v>
      </c>
      <c r="O4" s="5" t="s">
        <v>258</v>
      </c>
      <c r="P4" s="5" t="s">
        <v>256</v>
      </c>
      <c r="Q4" s="1" t="s">
        <v>255</v>
      </c>
      <c r="R4" s="1" t="s">
        <v>257</v>
      </c>
      <c r="S4" s="1" t="s">
        <v>258</v>
      </c>
      <c r="T4" s="1" t="s">
        <v>256</v>
      </c>
    </row>
    <row r="5" spans="1:20">
      <c r="A5">
        <v>2015</v>
      </c>
      <c r="B5" s="7" t="str">
        <f>IF(MROUND('T2'!B5*'T8'!C$2,1)=0,"",MROUND('T2'!B5*'T8'!C$2,5))</f>
        <v/>
      </c>
      <c r="C5" s="7">
        <v>9774</v>
      </c>
      <c r="D5" s="7" t="str">
        <f>IF(MROUND('T2'!D5*'T7'!$C$2,1)&lt;1,"",MROUND('T2'!D5*'T7'!$C$2,5))</f>
        <v/>
      </c>
      <c r="E5" s="7" t="str">
        <f>IF(MROUND('T2'!E5*'T8'!F$2,1)=0,"",MROUND('T2'!E5*'T8'!F$2,5))</f>
        <v/>
      </c>
      <c r="F5" s="7">
        <v>26312</v>
      </c>
      <c r="G5" s="7" t="str">
        <f>IF(MROUND('T2'!G5*'T8'!F$2,1)&lt;1,"",MROUND('T2'!G5*'T8'!F$2,5))</f>
        <v/>
      </c>
      <c r="H5" s="7" t="str">
        <f>IF(MROUND('T2'!H5*'T8'!I$2,1)=0,"",MROUND('T2'!H5*'T8'!I$2,5))</f>
        <v/>
      </c>
      <c r="I5" s="7">
        <v>40320</v>
      </c>
      <c r="J5" s="7" t="str">
        <f>IF(MROUND('T2'!J5*'T8'!I$2,1)&lt;1,"",MROUND('T2'!J5*'T8'!I$2,5))</f>
        <v/>
      </c>
      <c r="K5" s="7" t="str">
        <f>IF(MROUND('T2'!K5*'T8'!L$2,1)=0,"",MROUND('T2'!K5*'T8'!L$2,5))</f>
        <v/>
      </c>
      <c r="L5" s="7">
        <v>57332</v>
      </c>
      <c r="M5" s="7" t="str">
        <f>IF(MROUND('T2'!M5*'T8'!L$2,1)&lt;1,"",MROUND('T2'!M5*'T8'!L$2,5))</f>
        <v/>
      </c>
      <c r="N5" s="7"/>
      <c r="O5" s="7">
        <v>61354</v>
      </c>
      <c r="P5" s="7"/>
      <c r="Q5" s="8"/>
      <c r="R5" s="8">
        <f>SUM(C5,F5,I5,L5,O5)</f>
        <v>195092</v>
      </c>
      <c r="S5" s="8"/>
      <c r="T5" s="8"/>
    </row>
    <row r="6" spans="1:20">
      <c r="A6">
        <v>2016</v>
      </c>
      <c r="B6" s="7" t="str">
        <f>IF(MROUND('T2'!B6*'T8'!C$2,1)=0,"",MROUND('T2'!B6*'T8'!C$2,5))</f>
        <v/>
      </c>
      <c r="C6" s="7">
        <v>10076</v>
      </c>
      <c r="D6" s="7" t="str">
        <f>IF(MROUND('T2'!D6*'T7'!$C$2,1)&lt;1,"",MROUND('T2'!D6*'T7'!$C$2,5))</f>
        <v/>
      </c>
      <c r="E6" s="7" t="str">
        <f>IF(MROUND('T2'!E6*'T8'!F$2,1)=0,"",MROUND('T2'!E6*'T8'!F$2,5))</f>
        <v/>
      </c>
      <c r="F6" s="7">
        <v>28066</v>
      </c>
      <c r="G6" s="7" t="str">
        <f>IF(MROUND('T2'!G6*'T8'!F$2,1)&lt;1,"",MROUND('T2'!G6*'T8'!F$2,5))</f>
        <v/>
      </c>
      <c r="H6" s="7" t="str">
        <f>IF(MROUND('T2'!H6*'T8'!I$2,1)=0,"",MROUND('T2'!H6*'T8'!I$2,5))</f>
        <v/>
      </c>
      <c r="I6" s="7">
        <v>41250</v>
      </c>
      <c r="J6" s="7" t="str">
        <f>IF(MROUND('T2'!J6*'T8'!I$2,1)&lt;1,"",MROUND('T2'!J6*'T8'!I$2,5))</f>
        <v/>
      </c>
      <c r="K6" s="7" t="str">
        <f>IF(MROUND('T2'!K6*'T8'!L$2,1)=0,"",MROUND('T2'!K6*'T8'!L$2,5))</f>
        <v/>
      </c>
      <c r="L6" s="7">
        <v>58529</v>
      </c>
      <c r="M6" s="7" t="str">
        <f>IF(MROUND('T2'!M6*'T8'!L$2,1)&lt;1,"",MROUND('T2'!M6*'T8'!L$2,5))</f>
        <v/>
      </c>
      <c r="N6" s="7"/>
      <c r="O6" s="7">
        <v>61592</v>
      </c>
      <c r="P6" s="7"/>
      <c r="Q6" s="8"/>
      <c r="R6" s="8">
        <f t="shared" ref="R6:R14" si="0">SUM(C6,F6,I6,L6,O6)</f>
        <v>199513</v>
      </c>
      <c r="S6" s="8"/>
      <c r="T6" s="8"/>
    </row>
    <row r="7" spans="1:20">
      <c r="A7">
        <v>2017</v>
      </c>
      <c r="B7" s="7" t="str">
        <f>IF(MROUND('T2'!B7*'T8'!C$2,1)=0,"",MROUND('T2'!B7*'T8'!C$2,5))</f>
        <v/>
      </c>
      <c r="C7" s="7">
        <v>10549</v>
      </c>
      <c r="D7" s="7" t="str">
        <f>IF(MROUND('T2'!D7*'T7'!$C$2,1)&lt;1,"",MROUND('T2'!D7*'T7'!$C$2,5))</f>
        <v/>
      </c>
      <c r="E7" s="7" t="str">
        <f>IF(MROUND('T2'!E7*'T8'!F$2,1)=0,"",MROUND('T2'!E7*'T8'!F$2,5))</f>
        <v/>
      </c>
      <c r="F7" s="7">
        <v>28467</v>
      </c>
      <c r="G7" s="7" t="str">
        <f>IF(MROUND('T2'!G7*'T8'!F$2,1)&lt;1,"",MROUND('T2'!G7*'T8'!F$2,5))</f>
        <v/>
      </c>
      <c r="H7" s="7" t="str">
        <f>IF(MROUND('T2'!H7*'T8'!I$2,1)=0,"",MROUND('T2'!H7*'T8'!I$2,5))</f>
        <v/>
      </c>
      <c r="I7" s="7">
        <v>42504</v>
      </c>
      <c r="J7" s="7" t="str">
        <f>IF(MROUND('T2'!J7*'T8'!I$2,1)&lt;1,"",MROUND('T2'!J7*'T8'!I$2,5))</f>
        <v/>
      </c>
      <c r="K7" s="7" t="str">
        <f>IF(MROUND('T2'!K7*'T8'!L$2,1)=0,"",MROUND('T2'!K7*'T8'!L$2,5))</f>
        <v/>
      </c>
      <c r="L7" s="7">
        <v>57052</v>
      </c>
      <c r="M7" s="7" t="str">
        <f>IF(MROUND('T2'!M7*'T8'!L$2,1)&lt;1,"",MROUND('T2'!M7*'T8'!L$2,5))</f>
        <v/>
      </c>
      <c r="N7" s="7"/>
      <c r="O7" s="7">
        <v>61763</v>
      </c>
      <c r="P7" s="7"/>
      <c r="Q7" s="8"/>
      <c r="R7" s="8">
        <f t="shared" si="0"/>
        <v>200335</v>
      </c>
      <c r="S7" s="8"/>
      <c r="T7" s="8"/>
    </row>
    <row r="8" spans="1:20">
      <c r="A8">
        <v>2018</v>
      </c>
      <c r="B8" s="7" t="str">
        <f>IF(MROUND('T2'!B8*'T8'!C$2,1)=0,"",MROUND('T2'!B8*'T8'!C$2,5))</f>
        <v/>
      </c>
      <c r="C8" s="7">
        <v>9538</v>
      </c>
      <c r="D8" s="7" t="str">
        <f>IF(MROUND('T2'!D8*'T7'!$C$2,1)&lt;1,"",MROUND('T2'!D8*'T7'!$C$2,5))</f>
        <v/>
      </c>
      <c r="E8" s="7" t="str">
        <f>IF(MROUND('T2'!E8*'T8'!F$2,1)=0,"",MROUND('T2'!E8*'T8'!F$2,5))</f>
        <v/>
      </c>
      <c r="F8" s="7">
        <v>28725</v>
      </c>
      <c r="G8" s="7" t="str">
        <f>IF(MROUND('T2'!G8*'T8'!F$2,1)&lt;1,"",MROUND('T2'!G8*'T8'!F$2,5))</f>
        <v/>
      </c>
      <c r="H8" s="7" t="str">
        <f>IF(MROUND('T2'!H8*'T8'!I$2,1)=0,"",MROUND('T2'!H8*'T8'!I$2,5))</f>
        <v/>
      </c>
      <c r="I8" s="7">
        <v>42326</v>
      </c>
      <c r="J8" s="7" t="str">
        <f>IF(MROUND('T2'!J8*'T8'!I$2,1)&lt;1,"",MROUND('T2'!J8*'T8'!I$2,5))</f>
        <v/>
      </c>
      <c r="K8" s="7" t="str">
        <f>IF(MROUND('T2'!K8*'T8'!L$2,1)=0,"",MROUND('T2'!K8*'T8'!L$2,5))</f>
        <v/>
      </c>
      <c r="L8" s="7">
        <v>56725</v>
      </c>
      <c r="M8" s="7" t="str">
        <f>IF(MROUND('T2'!M8*'T8'!L$2,1)&lt;1,"",MROUND('T2'!M8*'T8'!L$2,5))</f>
        <v/>
      </c>
      <c r="N8" s="7"/>
      <c r="O8" s="7">
        <v>59675</v>
      </c>
      <c r="P8" s="7"/>
      <c r="Q8" s="8"/>
      <c r="R8" s="8">
        <f t="shared" si="0"/>
        <v>196989</v>
      </c>
      <c r="S8" s="8"/>
      <c r="T8" s="8"/>
    </row>
    <row r="9" spans="1:20">
      <c r="A9">
        <v>2019</v>
      </c>
      <c r="B9" s="7" t="str">
        <f>IF(MROUND('T2'!B9*'T8'!C$2,1)=0,"",MROUND('T2'!B9*'T8'!C$2,5))</f>
        <v/>
      </c>
      <c r="C9" s="7">
        <v>9319</v>
      </c>
      <c r="D9" s="7" t="str">
        <f>IF(MROUND('T2'!D9*'T7'!$C$2,1)&lt;1,"",MROUND('T2'!D9*'T7'!$C$2,5))</f>
        <v/>
      </c>
      <c r="E9" s="7" t="str">
        <f>IF(MROUND('T2'!E9*'T8'!F$2,1)=0,"",MROUND('T2'!E9*'T8'!F$2,5))</f>
        <v/>
      </c>
      <c r="F9" s="7">
        <v>28217</v>
      </c>
      <c r="G9" s="7" t="str">
        <f>IF(MROUND('T2'!G9*'T8'!F$2,1)&lt;1,"",MROUND('T2'!G9*'T8'!F$2,5))</f>
        <v/>
      </c>
      <c r="H9" s="7" t="str">
        <f>IF(MROUND('T2'!H9*'T8'!I$2,1)=0,"",MROUND('T2'!H9*'T8'!I$2,5))</f>
        <v/>
      </c>
      <c r="I9" s="7">
        <v>42626</v>
      </c>
      <c r="J9" s="7" t="str">
        <f>IF(MROUND('T2'!J9*'T8'!I$2,1)&lt;1,"",MROUND('T2'!J9*'T8'!I$2,5))</f>
        <v/>
      </c>
      <c r="K9" s="7" t="str">
        <f>IF(MROUND('T2'!K9*'T8'!L$2,1)=0,"",MROUND('T2'!K9*'T8'!L$2,5))</f>
        <v/>
      </c>
      <c r="L9" s="7">
        <v>55588</v>
      </c>
      <c r="M9" s="7" t="str">
        <f>IF(MROUND('T2'!M9*'T8'!L$2,1)&lt;1,"",MROUND('T2'!M9*'T8'!L$2,5))</f>
        <v/>
      </c>
      <c r="N9" s="7"/>
      <c r="O9" s="7">
        <v>59229</v>
      </c>
      <c r="P9" s="7"/>
      <c r="Q9" s="8"/>
      <c r="R9" s="8">
        <f t="shared" si="0"/>
        <v>194979</v>
      </c>
      <c r="S9" s="8"/>
      <c r="T9" s="8"/>
    </row>
    <row r="10" spans="1:20">
      <c r="A10">
        <v>2020</v>
      </c>
      <c r="B10" s="7" t="str">
        <f>IF(MROUND('T2'!B10*'T8'!C$2,1)=0,"",MROUND('T2'!B10*'T8'!C$2,5))</f>
        <v/>
      </c>
      <c r="C10" s="7">
        <v>7939</v>
      </c>
      <c r="D10" s="7" t="str">
        <f>IF(MROUND('T2'!D10*'T7'!$C$2,1)&lt;1,"",MROUND('T2'!D10*'T7'!$C$2,5))</f>
        <v/>
      </c>
      <c r="E10" s="7" t="str">
        <f>IF(MROUND('T2'!E10*'T8'!F$2,1)=0,"",MROUND('T2'!E10*'T8'!F$2,5))</f>
        <v/>
      </c>
      <c r="F10" s="7">
        <v>25840</v>
      </c>
      <c r="G10" s="7" t="str">
        <f>IF(MROUND('T2'!G10*'T8'!F$2,1)&lt;1,"",MROUND('T2'!G10*'T8'!F$2,5))</f>
        <v/>
      </c>
      <c r="H10" s="7" t="str">
        <f>IF(MROUND('T2'!H10*'T8'!I$2,1)=0,"",MROUND('T2'!H10*'T8'!I$2,5))</f>
        <v/>
      </c>
      <c r="I10" s="7">
        <v>39965</v>
      </c>
      <c r="J10" s="7" t="str">
        <f>IF(MROUND('T2'!J10*'T8'!I$2,1)&lt;1,"",MROUND('T2'!J10*'T8'!I$2,5))</f>
        <v/>
      </c>
      <c r="K10" s="7" t="str">
        <f>IF(MROUND('T2'!K10*'T8'!L$2,1)=0,"",MROUND('T2'!K10*'T8'!L$2,5))</f>
        <v/>
      </c>
      <c r="L10" s="7">
        <v>53957</v>
      </c>
      <c r="M10" s="7" t="str">
        <f>IF(MROUND('T2'!M10*'T8'!L$2,1)&lt;1,"",MROUND('T2'!M10*'T8'!L$2,5))</f>
        <v/>
      </c>
      <c r="N10" s="7"/>
      <c r="O10" s="7">
        <v>57578</v>
      </c>
      <c r="P10" s="7"/>
      <c r="Q10" s="8"/>
      <c r="R10" s="8">
        <f t="shared" si="0"/>
        <v>185279</v>
      </c>
      <c r="S10" s="8"/>
      <c r="T10" s="8"/>
    </row>
    <row r="11" spans="1:20">
      <c r="A11">
        <v>2021</v>
      </c>
      <c r="B11" s="7" t="str">
        <f>IF(MROUND('T2'!B11*'T8'!C$2,1)=0,"",MROUND('T2'!B11*'T8'!C$2,5))</f>
        <v/>
      </c>
      <c r="C11" s="7">
        <v>9808</v>
      </c>
      <c r="D11" s="7" t="str">
        <f>IF(MROUND('T2'!D11*'T7'!$C$2,1)&lt;1,"",MROUND('T2'!D11*'T7'!$C$2,5))</f>
        <v/>
      </c>
      <c r="E11" s="7" t="str">
        <f>IF(MROUND('T2'!E11*'T8'!F$2,1)=0,"",MROUND('T2'!E11*'T8'!F$2,5))</f>
        <v/>
      </c>
      <c r="F11" s="7">
        <v>29274</v>
      </c>
      <c r="G11" s="7" t="str">
        <f>IF(MROUND('T2'!G11*'T8'!F$2,1)&lt;1,"",MROUND('T2'!G11*'T8'!F$2,5))</f>
        <v/>
      </c>
      <c r="H11" s="7" t="str">
        <f>IF(MROUND('T2'!H11*'T8'!I$2,1)=0,"",MROUND('T2'!H11*'T8'!I$2,5))</f>
        <v/>
      </c>
      <c r="I11" s="7">
        <v>41556</v>
      </c>
      <c r="J11" s="7" t="str">
        <f>IF(MROUND('T2'!J11*'T8'!I$2,1)&lt;1,"",MROUND('T2'!J11*'T8'!I$2,5))</f>
        <v/>
      </c>
      <c r="K11" s="7" t="str">
        <f>IF(MROUND('T2'!K11*'T8'!L$2,1)=0,"",MROUND('T2'!K11*'T8'!L$2,5))</f>
        <v/>
      </c>
      <c r="L11" s="7">
        <v>53139</v>
      </c>
      <c r="M11" s="7" t="str">
        <f>IF(MROUND('T2'!M11*'T8'!L$2,1)&lt;1,"",MROUND('T2'!M11*'T8'!L$2,5))</f>
        <v/>
      </c>
      <c r="N11" s="7"/>
      <c r="O11" s="7">
        <v>57680</v>
      </c>
      <c r="P11" s="7"/>
      <c r="Q11" s="8"/>
      <c r="R11" s="8">
        <f t="shared" si="0"/>
        <v>191457</v>
      </c>
      <c r="S11" s="8"/>
      <c r="T11" s="8"/>
    </row>
    <row r="12" spans="1:20">
      <c r="A12">
        <v>2022</v>
      </c>
      <c r="B12" s="7" t="str">
        <f>IF(MROUND('T2'!B12*'T8'!C$2,1)=0,"",MROUND('T2'!B12*'T8'!C$2,5))</f>
        <v/>
      </c>
      <c r="C12" s="7">
        <v>9788</v>
      </c>
      <c r="D12" s="7" t="str">
        <f>IF(MROUND('T2'!D12*'T7'!$C$2,1)&lt;1,"",MROUND('T2'!D12*'T7'!$C$2,5))</f>
        <v/>
      </c>
      <c r="E12" s="7" t="str">
        <f>IF(MROUND('T2'!E12*'T8'!F$2,1)=0,"",MROUND('T2'!E12*'T8'!F$2,5))</f>
        <v/>
      </c>
      <c r="F12" s="7">
        <v>28460</v>
      </c>
      <c r="G12" s="7" t="str">
        <f>IF(MROUND('T2'!G12*'T8'!F$2,1)&lt;1,"",MROUND('T2'!G12*'T8'!F$2,5))</f>
        <v/>
      </c>
      <c r="H12" s="7" t="str">
        <f>IF(MROUND('T2'!H12*'T8'!I$2,1)=0,"",MROUND('T2'!H12*'T8'!I$2,5))</f>
        <v/>
      </c>
      <c r="I12" s="7">
        <v>39242</v>
      </c>
      <c r="J12" s="7" t="str">
        <f>IF(MROUND('T2'!J12*'T8'!I$2,1)&lt;1,"",MROUND('T2'!J12*'T8'!I$2,5))</f>
        <v/>
      </c>
      <c r="K12" s="7" t="str">
        <f>IF(MROUND('T2'!K12*'T8'!L$2,1)=0,"",MROUND('T2'!K12*'T8'!L$2,5))</f>
        <v/>
      </c>
      <c r="L12" s="7">
        <v>48843</v>
      </c>
      <c r="M12" s="7" t="str">
        <f>IF(MROUND('T2'!M12*'T8'!L$2,1)&lt;1,"",MROUND('T2'!M12*'T8'!L$2,5))</f>
        <v/>
      </c>
      <c r="N12" s="7"/>
      <c r="O12" s="7">
        <v>52080</v>
      </c>
      <c r="P12" s="7"/>
      <c r="Q12" s="8"/>
      <c r="R12" s="8">
        <f t="shared" si="0"/>
        <v>178413</v>
      </c>
      <c r="S12" s="8"/>
      <c r="T12" s="8"/>
    </row>
    <row r="13" spans="1:20">
      <c r="A13">
        <v>2023</v>
      </c>
      <c r="B13" s="7" t="str">
        <f>IF(MROUND('T2'!B13*'T8'!C$2,1)=0,"",MROUND('T2'!B13*'T8'!C$2,5))</f>
        <v/>
      </c>
      <c r="C13" s="7">
        <v>9352</v>
      </c>
      <c r="D13" s="7" t="str">
        <f>IF(MROUND('T2'!D13*'T7'!$C$2,1)&lt;1,"",MROUND('T2'!D13*'T7'!$C$2,5))</f>
        <v/>
      </c>
      <c r="E13" s="7" t="str">
        <f>IF(MROUND('T2'!E13*'T8'!F$2,1)=0,"",MROUND('T2'!E13*'T8'!F$2,5))</f>
        <v/>
      </c>
      <c r="F13" s="7">
        <v>30696</v>
      </c>
      <c r="G13" s="7" t="str">
        <f>IF(MROUND('T2'!G13*'T8'!F$2,1)&lt;1,"",MROUND('T2'!G13*'T8'!F$2,5))</f>
        <v/>
      </c>
      <c r="H13" s="7" t="str">
        <f>IF(MROUND('T2'!H13*'T8'!I$2,1)=0,"",MROUND('T2'!H13*'T8'!I$2,5))</f>
        <v/>
      </c>
      <c r="I13" s="7">
        <v>42490</v>
      </c>
      <c r="J13" s="7" t="str">
        <f>IF(MROUND('T2'!J13*'T8'!I$2,1)&lt;1,"",MROUND('T2'!J13*'T8'!I$2,5))</f>
        <v/>
      </c>
      <c r="K13" s="7" t="str">
        <f>IF(MROUND('T2'!K13*'T8'!L$2,1)=0,"",MROUND('T2'!K13*'T8'!L$2,5))</f>
        <v/>
      </c>
      <c r="L13" s="7">
        <v>51477</v>
      </c>
      <c r="M13" s="7" t="str">
        <f>IF(MROUND('T2'!M13*'T8'!L$2,1)&lt;1,"",MROUND('T2'!M13*'T8'!L$2,5))</f>
        <v/>
      </c>
      <c r="N13" s="7"/>
      <c r="O13" s="7">
        <v>54325</v>
      </c>
      <c r="P13" s="7"/>
      <c r="Q13" s="8"/>
      <c r="R13" s="8">
        <f t="shared" si="0"/>
        <v>188340</v>
      </c>
      <c r="S13" s="8"/>
      <c r="T13" s="8"/>
    </row>
    <row r="14" spans="1:20">
      <c r="A14">
        <v>2024</v>
      </c>
      <c r="B14" s="7" t="str">
        <f>IF(MROUND('T2'!B14*'T8'!C$2,1)=0,"",MROUND('T2'!B14*'T8'!C$2,5))</f>
        <v/>
      </c>
      <c r="C14" s="7">
        <v>9193</v>
      </c>
      <c r="D14" s="7" t="str">
        <f>IF(MROUND('T2'!D14*'T7'!$C$2,1)&lt;1,"",MROUND('T2'!D14*'T7'!$C$2,5))</f>
        <v/>
      </c>
      <c r="E14" s="7" t="str">
        <f>IF(MROUND('T2'!E14*'T8'!F$2,1)=0,"",MROUND('T2'!E14*'T8'!F$2,5))</f>
        <v/>
      </c>
      <c r="F14" s="7">
        <v>28341</v>
      </c>
      <c r="G14" s="7" t="str">
        <f>IF(MROUND('T2'!G14*'T8'!F$2,1)&lt;1,"",MROUND('T2'!G14*'T8'!F$2,5))</f>
        <v/>
      </c>
      <c r="H14" s="7" t="str">
        <f>IF(MROUND('T2'!H14*'T8'!I$2,1)=0,"",MROUND('T2'!H14*'T8'!I$2,5))</f>
        <v/>
      </c>
      <c r="I14" s="7">
        <v>44015</v>
      </c>
      <c r="J14" s="7" t="str">
        <f>IF(MROUND('T2'!J14*'T8'!I$2,1)&lt;1,"",MROUND('T2'!J14*'T8'!I$2,5))</f>
        <v/>
      </c>
      <c r="K14" s="7" t="str">
        <f>IF(MROUND('T2'!K14*'T8'!L$2,1)=0,"",MROUND('T2'!K14*'T8'!L$2,5))</f>
        <v/>
      </c>
      <c r="L14" s="7">
        <v>53883</v>
      </c>
      <c r="M14" s="7" t="str">
        <f>IF(MROUND('T2'!M14*'T8'!L$2,1)&lt;1,"",MROUND('T2'!M14*'T8'!L$2,5))</f>
        <v/>
      </c>
      <c r="N14" s="7"/>
      <c r="O14" s="7">
        <v>55931</v>
      </c>
      <c r="P14" s="7"/>
      <c r="Q14" s="8">
        <f>R14</f>
        <v>191363</v>
      </c>
      <c r="R14" s="8">
        <f t="shared" si="0"/>
        <v>191363</v>
      </c>
      <c r="S14" s="8">
        <f>R14</f>
        <v>191363</v>
      </c>
      <c r="T14" s="8">
        <f>R14</f>
        <v>191363</v>
      </c>
    </row>
    <row r="15" spans="1:20">
      <c r="A15">
        <v>2025</v>
      </c>
      <c r="B15" s="7">
        <f>IF(MROUND('T2'!B15*'T8'!C$2,1)=0,"",MROUND('T2'!B15*'T8'!C$2,5))</f>
        <v>9970</v>
      </c>
      <c r="C15" s="7">
        <f>IF(MROUND('T2'!C15*'T8'!C$2,1)&lt;1,"",MROUND('T2'!C15*'T8'!C$2,5))</f>
        <v>10195</v>
      </c>
      <c r="D15" s="7">
        <f>IF(MROUND('T2'!D15*'T8'!C$2,1)&lt;1,"",MROUND('T2'!D15*'T8'!C$2,5))</f>
        <v>10405</v>
      </c>
      <c r="E15" s="7">
        <f>IF(MROUND('T2'!E15*'T8'!F$2,1)=0,"",MROUND('T2'!E15*'T8'!F$2,5))</f>
        <v>28675</v>
      </c>
      <c r="F15" s="7">
        <f>IF(MROUND('T2'!F15*'T8'!F$2,1)&lt;1,"",MROUND('T2'!F15*'T8'!F$2,5))</f>
        <v>28795</v>
      </c>
      <c r="G15" s="7">
        <f>IF(MROUND('T2'!G15*'T8'!F$2,1)&lt;1,"",MROUND('T2'!G15*'T8'!F$2,5))</f>
        <v>28905</v>
      </c>
      <c r="H15" s="7">
        <f>IF(MROUND('T2'!H15*'T8'!I$2,1)=0,"",MROUND('T2'!H15*'T8'!I$2,5))</f>
        <v>40760</v>
      </c>
      <c r="I15" s="7">
        <f>IF(MROUND('T2'!I15*'T8'!I$2,1)&lt;1,"",MROUND('T2'!I15*'T8'!I$2,5))</f>
        <v>40935</v>
      </c>
      <c r="J15" s="7">
        <f>IF(MROUND('T2'!J15*'T8'!I$2,1)&lt;1,"",MROUND('T2'!J15*'T8'!I$2,5))</f>
        <v>41070</v>
      </c>
      <c r="K15" s="7">
        <f>IF(MROUND('T2'!K15*'T8'!L$2,1)=0,"",MROUND('T2'!K15*'T8'!L$2,5))</f>
        <v>57855</v>
      </c>
      <c r="L15" s="7">
        <f>IF(MROUND('T2'!L15*'T7'!L$2,1)&lt;1,"",MROUND('T2'!L15*'T7'!L$2,5))</f>
        <v>55890</v>
      </c>
      <c r="M15" s="7">
        <f>IF(MROUND('T2'!M15*'T8'!L$2,1)&lt;1,"",MROUND('T2'!M15*'T8'!L$2,5))</f>
        <v>58275</v>
      </c>
      <c r="N15" s="7">
        <f>IF(MROUND('T2'!N15*'T8'!O$2,1)=0,"",MROUND('T2'!N15*'T8'!O$2,5))</f>
        <v>60935</v>
      </c>
      <c r="O15" s="7">
        <f>IF(MROUND('T2'!O15*'T8'!O$2,1)&lt;1,"",MROUND('T2'!O15*'T8'!O$2,5))</f>
        <v>61210</v>
      </c>
      <c r="P15" s="7">
        <f>IF(MROUND('T2'!P15*'T8'!O$2,1)&lt;1,"",MROUND('T2'!P15*'T8'!O$2,5))</f>
        <v>61365</v>
      </c>
      <c r="Q15" s="8">
        <f>SUM(B15,F15,I15,L15,O15)</f>
        <v>196800</v>
      </c>
      <c r="R15" s="7"/>
      <c r="S15" s="8">
        <f t="shared" ref="S15:S28" si="1">SUM(C15,F15,I15,L15,O15)</f>
        <v>197025</v>
      </c>
      <c r="T15" s="8">
        <f>SUM(O15,L15,I15,F15,D15)</f>
        <v>197235</v>
      </c>
    </row>
    <row r="16" spans="1:20">
      <c r="A16">
        <v>2026</v>
      </c>
      <c r="B16" s="7">
        <f>IF(MROUND('T2'!B16*'T8'!C$2,1)=0,"",MROUND('T2'!B16*'T8'!C$2,5))</f>
        <v>9840</v>
      </c>
      <c r="C16" s="7">
        <f>IF(MROUND('T2'!C16*'T8'!C$2,1)&lt;1,"",MROUND('T2'!C16*'T8'!C$2,5))</f>
        <v>10195</v>
      </c>
      <c r="D16" s="7">
        <f>IF(MROUND('T2'!D16*'T8'!C$2,1)&lt;1,"",MROUND('T2'!D16*'T8'!C$2,5))</f>
        <v>10520</v>
      </c>
      <c r="E16" s="7">
        <f>IF(MROUND('T2'!E16*'T8'!F$2,1)=0,"",MROUND('T2'!E16*'T8'!F$2,5))</f>
        <v>28535</v>
      </c>
      <c r="F16" s="7">
        <f>IF(MROUND('T2'!F16*'T8'!F$2,1)&lt;1,"",MROUND('T2'!F16*'T8'!F$2,5))</f>
        <v>29350</v>
      </c>
      <c r="G16" s="7">
        <f>IF(MROUND('T2'!G16*'T8'!F$2,1)&lt;1,"",MROUND('T2'!G16*'T8'!F$2,5))</f>
        <v>29990</v>
      </c>
      <c r="H16" s="7">
        <f>IF(MROUND('T2'!H16*'T8'!I$2,1)=0,"",MROUND('T2'!H16*'T8'!I$2,5))</f>
        <v>40575</v>
      </c>
      <c r="I16" s="7">
        <f>IF(MROUND('T2'!I16*'T8'!I$2,1)&lt;1,"",MROUND('T2'!I16*'T8'!I$2,5))</f>
        <v>40850</v>
      </c>
      <c r="J16" s="7">
        <f>IF(MROUND('T2'!J16*'T8'!I$2,1)&lt;1,"",MROUND('T2'!J16*'T8'!I$2,5))</f>
        <v>41075</v>
      </c>
      <c r="K16" s="7">
        <f>IF(MROUND('T2'!K16*'T8'!L$2,1)=0,"",MROUND('T2'!K16*'T8'!L$2,5))</f>
        <v>53700</v>
      </c>
      <c r="L16" s="7">
        <f>IF(MROUND('T2'!L16*'T7'!L$2,1)&lt;1,"",MROUND('T2'!L16*'T7'!L$2,5))</f>
        <v>52030</v>
      </c>
      <c r="M16" s="7">
        <f>IF(MROUND('T2'!M16*'T8'!L$2,1)&lt;1,"",MROUND('T2'!M16*'T8'!L$2,5))</f>
        <v>54415</v>
      </c>
      <c r="N16" s="7">
        <f>IF(MROUND('T2'!N16*'T8'!O$2,1)=0,"",MROUND('T2'!N16*'T8'!O$2,5))</f>
        <v>60295</v>
      </c>
      <c r="O16" s="7">
        <f>IF(MROUND('T2'!O16*'T8'!O$2,1)&lt;1,"",MROUND('T2'!O16*'T8'!O$2,5))</f>
        <v>60730</v>
      </c>
      <c r="P16" s="7">
        <f>IF(MROUND('T2'!P16*'T8'!O$2,1)&lt;1,"",MROUND('T2'!P16*'T8'!O$2,5))</f>
        <v>61080</v>
      </c>
      <c r="Q16" s="8">
        <f>SUM(B16,E16,I16,L16,O16)</f>
        <v>191985</v>
      </c>
      <c r="R16" s="7"/>
      <c r="S16" s="8">
        <f t="shared" si="1"/>
        <v>193155</v>
      </c>
      <c r="T16" s="8">
        <f>SUM(O16,L16,I16,G16,D16)</f>
        <v>194120</v>
      </c>
    </row>
    <row r="17" spans="1:20">
      <c r="A17">
        <v>2027</v>
      </c>
      <c r="B17" s="7">
        <f>IF(MROUND('T2'!B17*'T8'!C$2,1)=0,"",MROUND('T2'!B17*'T8'!C$2,5))</f>
        <v>9735</v>
      </c>
      <c r="C17" s="7">
        <f>IF(MROUND('T2'!C17*'T8'!C$2,1)&lt;1,"",MROUND('T2'!C17*'T8'!C$2,5))</f>
        <v>10195</v>
      </c>
      <c r="D17" s="7">
        <f>IF(MROUND('T2'!D17*'T8'!C$2,1)&lt;1,"",MROUND('T2'!D17*'T8'!C$2,5))</f>
        <v>10605</v>
      </c>
      <c r="E17" s="7">
        <f>IF(MROUND('T2'!E17*'T8'!F$2,1)=0,"",MROUND('T2'!E17*'T8'!F$2,5))</f>
        <v>28325</v>
      </c>
      <c r="F17" s="7">
        <f>IF(MROUND('T2'!F17*'T8'!F$2,1)&lt;1,"",MROUND('T2'!F17*'T8'!F$2,5))</f>
        <v>29370</v>
      </c>
      <c r="G17" s="7">
        <f>IF(MROUND('T2'!G17*'T8'!F$2,1)&lt;1,"",MROUND('T2'!G17*'T8'!F$2,5))</f>
        <v>30335</v>
      </c>
      <c r="H17" s="7">
        <f>IF(MROUND('T2'!H17*'T8'!I$2,1)=0,"",MROUND('T2'!H17*'T8'!I$2,5))</f>
        <v>40485</v>
      </c>
      <c r="I17" s="7">
        <f>IF(MROUND('T2'!I17*'T8'!I$2,1)&lt;1,"",MROUND('T2'!I17*'T8'!I$2,5))</f>
        <v>41645</v>
      </c>
      <c r="J17" s="7">
        <f>IF(MROUND('T2'!J17*'T8'!I$2,1)&lt;1,"",MROUND('T2'!J17*'T8'!I$2,5))</f>
        <v>42565</v>
      </c>
      <c r="K17" s="7">
        <f>IF(MROUND('T2'!K17*'T8'!L$2,1)=0,"",MROUND('T2'!K17*'T8'!L$2,5))</f>
        <v>53485</v>
      </c>
      <c r="L17" s="7">
        <f>IF(MROUND('T2'!L17*'T7'!L$2,1)&lt;1,"",MROUND('T2'!L17*'T7'!L$2,5))</f>
        <v>51960</v>
      </c>
      <c r="M17" s="7">
        <f>IF(MROUND('T2'!M17*'T8'!L$2,1)&lt;1,"",MROUND('T2'!M17*'T8'!L$2,5))</f>
        <v>54490</v>
      </c>
      <c r="N17" s="7">
        <f>IF(MROUND('T2'!N17*'T8'!O$2,1)=0,"",MROUND('T2'!N17*'T8'!O$2,5))</f>
        <v>56000</v>
      </c>
      <c r="O17" s="7">
        <f>IF(MROUND('T2'!O17*'T8'!O$2,1)&lt;1,"",MROUND('T2'!O17*'T8'!O$2,5))</f>
        <v>56605</v>
      </c>
      <c r="P17" s="7">
        <f>IF(MROUND('T2'!P17*'T8'!O$2,1)&lt;1,"",MROUND('T2'!P17*'T8'!O$2,5))</f>
        <v>57140</v>
      </c>
      <c r="Q17" s="8">
        <f>SUM(O17,L17,H17,E17,B17)</f>
        <v>187110</v>
      </c>
      <c r="R17" s="7"/>
      <c r="S17" s="8">
        <f t="shared" si="1"/>
        <v>189775</v>
      </c>
      <c r="T17" s="8">
        <f>SUM(O17,L17,J17,G17,D17)</f>
        <v>192070</v>
      </c>
    </row>
    <row r="18" spans="1:20">
      <c r="A18">
        <v>2028</v>
      </c>
      <c r="B18" s="7">
        <f>IF(MROUND('T2'!B18*'T8'!C$2,1)=0,"",MROUND('T2'!B18*'T8'!C$2,5))</f>
        <v>9660</v>
      </c>
      <c r="C18" s="7">
        <f>IF(MROUND('T2'!C18*'T8'!C$2,1)&lt;1,"",MROUND('T2'!C18*'T8'!C$2,5))</f>
        <v>10190</v>
      </c>
      <c r="D18" s="7">
        <f>IF(MROUND('T2'!D18*'T8'!C$2,1)&lt;1,"",MROUND('T2'!D18*'T8'!C$2,5))</f>
        <v>10690</v>
      </c>
      <c r="E18" s="7">
        <f>IF(MROUND('T2'!E18*'T8'!F$2,1)=0,"",MROUND('T2'!E18*'T8'!F$2,5))</f>
        <v>28010</v>
      </c>
      <c r="F18" s="7">
        <f>IF(MROUND('T2'!F18*'T8'!F$2,1)&lt;1,"",MROUND('T2'!F18*'T8'!F$2,5))</f>
        <v>29375</v>
      </c>
      <c r="G18" s="7">
        <f>IF(MROUND('T2'!G18*'T8'!F$2,1)&lt;1,"",MROUND('T2'!G18*'T8'!F$2,5))</f>
        <v>30590</v>
      </c>
      <c r="H18" s="7">
        <f>IF(MROUND('T2'!H18*'T8'!I$2,1)=0,"",MROUND('T2'!H18*'T8'!I$2,5))</f>
        <v>40205</v>
      </c>
      <c r="I18" s="7">
        <f>IF(MROUND('T2'!I18*'T8'!I$2,1)&lt;1,"",MROUND('T2'!I18*'T8'!I$2,5))</f>
        <v>41695</v>
      </c>
      <c r="J18" s="7">
        <f>IF(MROUND('T2'!J18*'T8'!I$2,1)&lt;1,"",MROUND('T2'!J18*'T8'!I$2,5))</f>
        <v>43075</v>
      </c>
      <c r="K18" s="7">
        <f>IF(MROUND('T2'!K18*'T8'!L$2,1)=0,"",MROUND('T2'!K18*'T8'!L$2,5))</f>
        <v>53505</v>
      </c>
      <c r="L18" s="7">
        <f>IF(MROUND('T2'!L18*'T7'!L$2,1)&lt;1,"",MROUND('T2'!L18*'T7'!L$2,5))</f>
        <v>52995</v>
      </c>
      <c r="M18" s="7">
        <f>IF(MROUND('T2'!M18*'T8'!L$2,1)&lt;1,"",MROUND('T2'!M18*'T8'!L$2,5))</f>
        <v>56375</v>
      </c>
      <c r="N18" s="7">
        <f>IF(MROUND('T2'!N18*'T8'!O$2,1)=0,"",MROUND('T2'!N18*'T8'!O$2,5))</f>
        <v>55835</v>
      </c>
      <c r="O18" s="7">
        <f>IF(MROUND('T2'!O18*'T8'!O$2,1)&lt;1,"",MROUND('T2'!O18*'T8'!O$2,5))</f>
        <v>56555</v>
      </c>
      <c r="P18" s="7">
        <f>IF(MROUND('T2'!P18*'T8'!O$2,1)&lt;1,"",MROUND('T2'!P18*'T8'!O$2,5))</f>
        <v>57180</v>
      </c>
      <c r="Q18" s="8">
        <f>SUM(O18,K18,H18,E18,B18)</f>
        <v>187935</v>
      </c>
      <c r="R18" s="7"/>
      <c r="S18" s="8">
        <f t="shared" si="1"/>
        <v>190810</v>
      </c>
      <c r="T18" s="8">
        <f>SUM(O18,M18,J18,G18,D18)</f>
        <v>197285</v>
      </c>
    </row>
    <row r="19" spans="1:20">
      <c r="A19">
        <v>2029</v>
      </c>
      <c r="B19" s="7">
        <f>IF(MROUND('T2'!B19*'T8'!C$2,1)=0,"",MROUND('T2'!B19*'T8'!C$2,5))</f>
        <v>9595</v>
      </c>
      <c r="C19" s="7">
        <f>IF(MROUND('T2'!C19*'T8'!C$2,1)&lt;1,"",MROUND('T2'!C19*'T8'!C$2,5))</f>
        <v>10185</v>
      </c>
      <c r="D19" s="7">
        <f>IF(MROUND('T2'!D19*'T8'!C$2,1)&lt;1,"",MROUND('T2'!D19*'T8'!C$2,5))</f>
        <v>10745</v>
      </c>
      <c r="E19" s="7">
        <f>IF(MROUND('T2'!E19*'T8'!F$2,1)=0,"",MROUND('T2'!E19*'T8'!F$2,5))</f>
        <v>27815</v>
      </c>
      <c r="F19" s="7">
        <f>IF(MROUND('T2'!F19*'T8'!F$2,1)&lt;1,"",MROUND('T2'!F19*'T8'!F$2,5))</f>
        <v>29370</v>
      </c>
      <c r="G19" s="7">
        <f>IF(MROUND('T2'!G19*'T8'!F$2,1)&lt;1,"",MROUND('T2'!G19*'T8'!F$2,5))</f>
        <v>30820</v>
      </c>
      <c r="H19" s="7">
        <f>IF(MROUND('T2'!H19*'T8'!I$2,1)=0,"",MROUND('T2'!H19*'T8'!I$2,5))</f>
        <v>39835</v>
      </c>
      <c r="I19" s="7">
        <f>IF(MROUND('T2'!I19*'T8'!I$2,1)&lt;1,"",MROUND('T2'!I19*'T8'!I$2,5))</f>
        <v>41720</v>
      </c>
      <c r="J19" s="7">
        <f>IF(MROUND('T2'!J19*'T8'!I$2,1)&lt;1,"",MROUND('T2'!J19*'T8'!I$2,5))</f>
        <v>43435</v>
      </c>
      <c r="K19" s="7">
        <f>IF(MROUND('T2'!K19*'T8'!L$2,1)=0,"",MROUND('T2'!K19*'T8'!L$2,5))</f>
        <v>53160</v>
      </c>
      <c r="L19" s="7">
        <f>IF(MROUND('T2'!L19*'T7'!L$2,1)&lt;1,"",MROUND('T2'!L19*'T7'!L$2,5))</f>
        <v>53080</v>
      </c>
      <c r="M19" s="7">
        <f>IF(MROUND('T2'!M19*'T8'!L$2,1)&lt;1,"",MROUND('T2'!M19*'T8'!L$2,5))</f>
        <v>57115</v>
      </c>
      <c r="N19" s="7">
        <f>IF(MROUND('T2'!N19*'T8'!O$2,1)=0,"",MROUND('T2'!N19*'T8'!O$2,5))</f>
        <v>56020</v>
      </c>
      <c r="O19" s="7">
        <f>IF(MROUND('T2'!O19*'T8'!O$2,1)&lt;1,"",MROUND('T2'!O19*'T8'!O$2,5))</f>
        <v>57695</v>
      </c>
      <c r="P19" s="7">
        <f>IF(MROUND('T2'!P19*'T8'!O$2,1)&lt;1,"",MROUND('T2'!P19*'T8'!O$2,5))</f>
        <v>59065</v>
      </c>
      <c r="Q19" s="8">
        <f>SUM(N19,K19,H19,E19,B19)</f>
        <v>186425</v>
      </c>
      <c r="R19" s="7"/>
      <c r="S19" s="8">
        <f t="shared" si="1"/>
        <v>192050</v>
      </c>
      <c r="T19" s="8">
        <f>SUM(P19,M19,J19,G19,D19)</f>
        <v>201180</v>
      </c>
    </row>
    <row r="20" spans="1:20">
      <c r="A20">
        <v>2030</v>
      </c>
      <c r="B20" s="7">
        <f>IF(MROUND('T2'!B20*'T8'!C$2,1)=0,"",MROUND('T2'!B20*'T8'!C$2,5))</f>
        <v>9535</v>
      </c>
      <c r="C20" s="7">
        <f>IF(MROUND('T2'!C20*'T8'!C$2,1)&lt;1,"",MROUND('T2'!C20*'T8'!C$2,5))</f>
        <v>10180</v>
      </c>
      <c r="D20" s="7">
        <f>IF(MROUND('T2'!D20*'T8'!C$2,1)&lt;1,"",MROUND('T2'!D20*'T8'!C$2,5))</f>
        <v>10800</v>
      </c>
      <c r="E20" s="7">
        <f>IF(MROUND('T2'!E20*'T8'!F$2,1)=0,"",MROUND('T2'!E20*'T8'!F$2,5))</f>
        <v>27660</v>
      </c>
      <c r="F20" s="7">
        <f>IF(MROUND('T2'!F20*'T8'!F$2,1)&lt;1,"",MROUND('T2'!F20*'T8'!F$2,5))</f>
        <v>29360</v>
      </c>
      <c r="G20" s="7">
        <f>IF(MROUND('T2'!G20*'T8'!F$2,1)&lt;1,"",MROUND('T2'!G20*'T8'!F$2,5))</f>
        <v>31000</v>
      </c>
      <c r="H20" s="7">
        <f>IF(MROUND('T2'!H20*'T8'!I$2,1)=0,"",MROUND('T2'!H20*'T8'!I$2,5))</f>
        <v>39515</v>
      </c>
      <c r="I20" s="7">
        <f>IF(MROUND('T2'!I20*'T8'!I$2,1)&lt;1,"",MROUND('T2'!I20*'T8'!I$2,5))</f>
        <v>41720</v>
      </c>
      <c r="J20" s="7">
        <f>IF(MROUND('T2'!J20*'T8'!I$2,1)&lt;1,"",MROUND('T2'!J20*'T8'!I$2,5))</f>
        <v>43795</v>
      </c>
      <c r="K20" s="7">
        <f>IF(MROUND('T2'!K20*'T8'!L$2,1)=0,"",MROUND('T2'!K20*'T8'!L$2,5))</f>
        <v>52745</v>
      </c>
      <c r="L20" s="7">
        <f>IF(MROUND('T2'!L20*'T7'!L$2,1)&lt;1,"",MROUND('T2'!L20*'T7'!L$2,5))</f>
        <v>53115</v>
      </c>
      <c r="M20" s="7">
        <f>IF(MROUND('T2'!M20*'T8'!L$2,1)&lt;1,"",MROUND('T2'!M20*'T8'!L$2,5))</f>
        <v>57470</v>
      </c>
      <c r="N20" s="7">
        <f>IF(MROUND('T2'!N20*'T8'!O$2,1)=0,"",MROUND('T2'!N20*'T8'!O$2,5))</f>
        <v>55640</v>
      </c>
      <c r="O20" s="7">
        <f>IF(MROUND('T2'!O20*'T8'!O$2,1)&lt;1,"",MROUND('T2'!O20*'T8'!O$2,5))</f>
        <v>57800</v>
      </c>
      <c r="P20" s="7">
        <f>IF(MROUND('T2'!P20*'T8'!O$2,1)&lt;1,"",MROUND('T2'!P20*'T8'!O$2,5))</f>
        <v>59945</v>
      </c>
      <c r="Q20" s="8">
        <f t="shared" ref="Q20:Q28" si="2">SUM(N20,K20,H20,E20,B20)</f>
        <v>185095</v>
      </c>
      <c r="R20" s="7"/>
      <c r="S20" s="8">
        <f t="shared" si="1"/>
        <v>192175</v>
      </c>
      <c r="T20" s="8">
        <f t="shared" ref="T20:T28" si="3">SUM(P20,M20,J20,G20,D20)</f>
        <v>203010</v>
      </c>
    </row>
    <row r="21" spans="1:20">
      <c r="A21">
        <v>2031</v>
      </c>
      <c r="B21" s="7">
        <f>IF(MROUND('T2'!B21*'T8'!C$2,1)=0,"",MROUND('T2'!B21*'T8'!C$2,5))</f>
        <v>9460</v>
      </c>
      <c r="C21" s="7">
        <f>IF(MROUND('T2'!C21*'T8'!C$2,1)&lt;1,"",MROUND('T2'!C21*'T8'!C$2,5))</f>
        <v>10180</v>
      </c>
      <c r="D21" s="7">
        <f>IF(MROUND('T2'!D21*'T8'!C$2,1)&lt;1,"",MROUND('T2'!D21*'T8'!C$2,5))</f>
        <v>10850</v>
      </c>
      <c r="E21" s="7">
        <f>IF(MROUND('T2'!E21*'T8'!F$2,1)=0,"",MROUND('T2'!E21*'T8'!F$2,5))</f>
        <v>27500</v>
      </c>
      <c r="F21" s="7">
        <f>IF(MROUND('T2'!F21*'T8'!F$2,1)&lt;1,"",MROUND('T2'!F21*'T8'!F$2,5))</f>
        <v>29355</v>
      </c>
      <c r="G21" s="7">
        <f>IF(MROUND('T2'!G21*'T8'!F$2,1)&lt;1,"",MROUND('T2'!G21*'T8'!F$2,5))</f>
        <v>31115</v>
      </c>
      <c r="H21" s="7">
        <f>IF(MROUND('T2'!H21*'T8'!I$2,1)=0,"",MROUND('T2'!H21*'T8'!I$2,5))</f>
        <v>39270</v>
      </c>
      <c r="I21" s="7">
        <f>IF(MROUND('T2'!I21*'T8'!I$2,1)&lt;1,"",MROUND('T2'!I21*'T8'!I$2,5))</f>
        <v>41705</v>
      </c>
      <c r="J21" s="7">
        <f>IF(MROUND('T2'!J21*'T8'!I$2,1)&lt;1,"",MROUND('T2'!J21*'T8'!I$2,5))</f>
        <v>43980</v>
      </c>
      <c r="K21" s="7">
        <f>IF(MROUND('T2'!K21*'T8'!L$2,1)=0,"",MROUND('T2'!K21*'T8'!L$2,5))</f>
        <v>52325</v>
      </c>
      <c r="L21" s="7">
        <f>IF(MROUND('T2'!L21*'T7'!L$2,1)&lt;1,"",MROUND('T2'!L21*'T7'!L$2,5))</f>
        <v>53125</v>
      </c>
      <c r="M21" s="7">
        <f>IF(MROUND('T2'!M21*'T8'!L$2,1)&lt;1,"",MROUND('T2'!M21*'T8'!L$2,5))</f>
        <v>57955</v>
      </c>
      <c r="N21" s="7">
        <f>IF(MROUND('T2'!N21*'T8'!O$2,1)=0,"",MROUND('T2'!N21*'T8'!O$2,5))</f>
        <v>55290</v>
      </c>
      <c r="O21" s="7">
        <f>IF(MROUND('T2'!O21*'T8'!O$2,1)&lt;1,"",MROUND('T2'!O21*'T8'!O$2,5))</f>
        <v>57850</v>
      </c>
      <c r="P21" s="7">
        <f>IF(MROUND('T2'!P21*'T8'!O$2,1)&lt;1,"",MROUND('T2'!P21*'T8'!O$2,5))</f>
        <v>60255</v>
      </c>
      <c r="Q21" s="8">
        <f t="shared" si="2"/>
        <v>183845</v>
      </c>
      <c r="R21" s="7"/>
      <c r="S21" s="8">
        <f t="shared" si="1"/>
        <v>192215</v>
      </c>
      <c r="T21" s="8">
        <f t="shared" si="3"/>
        <v>204155</v>
      </c>
    </row>
    <row r="22" spans="1:20">
      <c r="A22">
        <v>2032</v>
      </c>
      <c r="B22" s="7">
        <f>IF(MROUND('T2'!B22*'T8'!C$2,1)=0,"",MROUND('T2'!B22*'T8'!C$2,5))</f>
        <v>9430</v>
      </c>
      <c r="C22" s="7">
        <f>IF(MROUND('T2'!C22*'T8'!C$2,1)&lt;1,"",MROUND('T2'!C22*'T8'!C$2,5))</f>
        <v>10190</v>
      </c>
      <c r="D22" s="7">
        <f>IF(MROUND('T2'!D22*'T8'!C$2,1)&lt;1,"",MROUND('T2'!D22*'T8'!C$2,5))</f>
        <v>10925</v>
      </c>
      <c r="E22" s="7">
        <f>IF(MROUND('T2'!E22*'T8'!F$2,1)=0,"",MROUND('T2'!E22*'T8'!F$2,5))</f>
        <v>27270</v>
      </c>
      <c r="F22" s="7">
        <f>IF(MROUND('T2'!F22*'T8'!F$2,1)&lt;1,"",MROUND('T2'!F22*'T8'!F$2,5))</f>
        <v>29360</v>
      </c>
      <c r="G22" s="7">
        <f>IF(MROUND('T2'!G22*'T8'!F$2,1)&lt;1,"",MROUND('T2'!G22*'T8'!F$2,5))</f>
        <v>31290</v>
      </c>
      <c r="H22" s="7">
        <f>IF(MROUND('T2'!H22*'T8'!I$2,1)=0,"",MROUND('T2'!H22*'T8'!I$2,5))</f>
        <v>39085</v>
      </c>
      <c r="I22" s="7">
        <f>IF(MROUND('T2'!I22*'T8'!I$2,1)&lt;1,"",MROUND('T2'!I22*'T8'!I$2,5))</f>
        <v>41695</v>
      </c>
      <c r="J22" s="7">
        <f>IF(MROUND('T2'!J22*'T8'!I$2,1)&lt;1,"",MROUND('T2'!J22*'T8'!I$2,5))</f>
        <v>44235</v>
      </c>
      <c r="K22" s="7">
        <f>IF(MROUND('T2'!K22*'T8'!L$2,1)=0,"",MROUND('T2'!K22*'T8'!L$2,5))</f>
        <v>51995</v>
      </c>
      <c r="L22" s="7">
        <f>IF(MROUND('T2'!L22*'T7'!L$2,1)&lt;1,"",MROUND('T2'!L22*'T7'!L$2,5))</f>
        <v>53115</v>
      </c>
      <c r="M22" s="7">
        <f>IF(MROUND('T2'!M22*'T8'!L$2,1)&lt;1,"",MROUND('T2'!M22*'T8'!L$2,5))</f>
        <v>58305</v>
      </c>
      <c r="N22" s="7">
        <f>IF(MROUND('T2'!N22*'T8'!O$2,1)=0,"",MROUND('T2'!N22*'T8'!O$2,5))</f>
        <v>54805</v>
      </c>
      <c r="O22" s="7">
        <f>IF(MROUND('T2'!O22*'T8'!O$2,1)&lt;1,"",MROUND('T2'!O22*'T8'!O$2,5))</f>
        <v>57860</v>
      </c>
      <c r="P22" s="7">
        <f>IF(MROUND('T2'!P22*'T8'!O$2,1)&lt;1,"",MROUND('T2'!P22*'T8'!O$2,5))</f>
        <v>60740</v>
      </c>
      <c r="Q22" s="8">
        <f t="shared" si="2"/>
        <v>182585</v>
      </c>
      <c r="R22" s="7"/>
      <c r="S22" s="8">
        <f t="shared" si="1"/>
        <v>192220</v>
      </c>
      <c r="T22" s="8">
        <f t="shared" si="3"/>
        <v>205495</v>
      </c>
    </row>
    <row r="23" spans="1:20">
      <c r="A23">
        <v>2033</v>
      </c>
      <c r="B23" s="7">
        <f>IF(MROUND('T2'!B23*'T8'!C$2,1)=0,"",MROUND('T2'!B23*'T8'!C$2,5))</f>
        <v>9395</v>
      </c>
      <c r="C23" s="7">
        <f>IF(MROUND('T2'!C23*'T8'!C$2,1)&lt;1,"",MROUND('T2'!C23*'T8'!C$2,5))</f>
        <v>10210</v>
      </c>
      <c r="D23" s="7">
        <f>IF(MROUND('T2'!D23*'T8'!C$2,1)&lt;1,"",MROUND('T2'!D23*'T8'!C$2,5))</f>
        <v>11000</v>
      </c>
      <c r="E23" s="7">
        <f>IF(MROUND('T2'!E23*'T8'!F$2,1)=0,"",MROUND('T2'!E23*'T8'!F$2,5))</f>
        <v>27200</v>
      </c>
      <c r="F23" s="7">
        <f>IF(MROUND('T2'!F23*'T8'!F$2,1)&lt;1,"",MROUND('T2'!F23*'T8'!F$2,5))</f>
        <v>29385</v>
      </c>
      <c r="G23" s="7">
        <f>IF(MROUND('T2'!G23*'T8'!F$2,1)&lt;1,"",MROUND('T2'!G23*'T8'!F$2,5))</f>
        <v>31450</v>
      </c>
      <c r="H23" s="7">
        <f>IF(MROUND('T2'!H23*'T8'!I$2,1)=0,"",MROUND('T2'!H23*'T8'!I$2,5))</f>
        <v>38785</v>
      </c>
      <c r="I23" s="7">
        <f>IF(MROUND('T2'!I23*'T8'!I$2,1)&lt;1,"",MROUND('T2'!I23*'T8'!I$2,5))</f>
        <v>41710</v>
      </c>
      <c r="J23" s="7">
        <f>IF(MROUND('T2'!J23*'T8'!I$2,1)&lt;1,"",MROUND('T2'!J23*'T8'!I$2,5))</f>
        <v>44445</v>
      </c>
      <c r="K23" s="7">
        <f>IF(MROUND('T2'!K23*'T8'!L$2,1)=0,"",MROUND('T2'!K23*'T8'!L$2,5))</f>
        <v>51725</v>
      </c>
      <c r="L23" s="7">
        <f>IF(MROUND('T2'!L23*'T7'!L$2,1)&lt;1,"",MROUND('T2'!L23*'T7'!L$2,5))</f>
        <v>53105</v>
      </c>
      <c r="M23" s="7">
        <f>IF(MROUND('T2'!M23*'T8'!L$2,1)&lt;1,"",MROUND('T2'!M23*'T8'!L$2,5))</f>
        <v>58700</v>
      </c>
      <c r="N23" s="7">
        <f>IF(MROUND('T2'!N23*'T8'!O$2,1)=0,"",MROUND('T2'!N23*'T8'!O$2,5))</f>
        <v>54435</v>
      </c>
      <c r="O23" s="7">
        <f>IF(MROUND('T2'!O23*'T8'!O$2,1)&lt;1,"",MROUND('T2'!O23*'T8'!O$2,5))</f>
        <v>57850</v>
      </c>
      <c r="P23" s="7">
        <f>IF(MROUND('T2'!P23*'T8'!O$2,1)&lt;1,"",MROUND('T2'!P23*'T8'!O$2,5))</f>
        <v>61090</v>
      </c>
      <c r="Q23" s="8">
        <f t="shared" si="2"/>
        <v>181540</v>
      </c>
      <c r="R23" s="7"/>
      <c r="S23" s="8">
        <f t="shared" si="1"/>
        <v>192260</v>
      </c>
      <c r="T23" s="8">
        <f t="shared" si="3"/>
        <v>206685</v>
      </c>
    </row>
    <row r="24" spans="1:20">
      <c r="A24">
        <v>2034</v>
      </c>
      <c r="B24" s="7">
        <f>IF(MROUND('T2'!B24*'T8'!C$2,1)=0,"",MROUND('T2'!B24*'T8'!C$2,5))</f>
        <v>9400</v>
      </c>
      <c r="C24" s="7">
        <f>IF(MROUND('T2'!C24*'T8'!C$2,1)&lt;1,"",MROUND('T2'!C24*'T8'!C$2,5))</f>
        <v>10240</v>
      </c>
      <c r="D24" s="7">
        <f>IF(MROUND('T2'!D24*'T8'!C$2,1)&lt;1,"",MROUND('T2'!D24*'T8'!C$2,5))</f>
        <v>11045</v>
      </c>
      <c r="E24" s="7">
        <f>IF(MROUND('T2'!E24*'T8'!F$2,1)=0,"",MROUND('T2'!E24*'T8'!F$2,5))</f>
        <v>27110</v>
      </c>
      <c r="F24" s="7">
        <f>IF(MROUND('T2'!F24*'T8'!F$2,1)&lt;1,"",MROUND('T2'!F24*'T8'!F$2,5))</f>
        <v>29440</v>
      </c>
      <c r="G24" s="7">
        <f>IF(MROUND('T2'!G24*'T8'!F$2,1)&lt;1,"",MROUND('T2'!G24*'T8'!F$2,5))</f>
        <v>31700</v>
      </c>
      <c r="H24" s="7">
        <f>IF(MROUND('T2'!H24*'T8'!I$2,1)=0,"",MROUND('T2'!H24*'T8'!I$2,5))</f>
        <v>38650</v>
      </c>
      <c r="I24" s="7">
        <f>IF(MROUND('T2'!I24*'T8'!I$2,1)&lt;1,"",MROUND('T2'!I24*'T8'!I$2,5))</f>
        <v>41745</v>
      </c>
      <c r="J24" s="7">
        <f>IF(MROUND('T2'!J24*'T8'!I$2,1)&lt;1,"",MROUND('T2'!J24*'T8'!I$2,5))</f>
        <v>44655</v>
      </c>
      <c r="K24" s="7">
        <f>IF(MROUND('T2'!K24*'T8'!L$2,1)=0,"",MROUND('T2'!K24*'T8'!L$2,5))</f>
        <v>51370</v>
      </c>
      <c r="L24" s="7">
        <f>IF(MROUND('T2'!L24*'T7'!L$2,1)&lt;1,"",MROUND('T2'!L24*'T7'!L$2,5))</f>
        <v>53125</v>
      </c>
      <c r="M24" s="7">
        <f>IF(MROUND('T2'!M24*'T8'!L$2,1)&lt;1,"",MROUND('T2'!M24*'T8'!L$2,5))</f>
        <v>58865</v>
      </c>
      <c r="N24" s="7">
        <f>IF(MROUND('T2'!N24*'T8'!O$2,1)=0,"",MROUND('T2'!N24*'T8'!O$2,5))</f>
        <v>54170</v>
      </c>
      <c r="O24" s="7">
        <f>IF(MROUND('T2'!O24*'T8'!O$2,1)&lt;1,"",MROUND('T2'!O24*'T8'!O$2,5))</f>
        <v>57850</v>
      </c>
      <c r="P24" s="7">
        <f>IF(MROUND('T2'!P24*'T8'!O$2,1)&lt;1,"",MROUND('T2'!P24*'T8'!O$2,5))</f>
        <v>61440</v>
      </c>
      <c r="Q24" s="8">
        <f t="shared" si="2"/>
        <v>180700</v>
      </c>
      <c r="R24" s="7"/>
      <c r="S24" s="8">
        <f t="shared" si="1"/>
        <v>192400</v>
      </c>
      <c r="T24" s="8">
        <f t="shared" si="3"/>
        <v>207705</v>
      </c>
    </row>
    <row r="25" spans="1:20">
      <c r="A25">
        <v>2035</v>
      </c>
      <c r="B25" s="7">
        <f>IF(MROUND('T2'!B25*'T8'!C$2,1)=0,"",MROUND('T2'!B25*'T8'!C$2,5))</f>
        <v>9375</v>
      </c>
      <c r="C25" s="7">
        <f>IF(MROUND('T2'!C25*'T8'!C$2,1)&lt;1,"",MROUND('T2'!C25*'T8'!C$2,5))</f>
        <v>10280</v>
      </c>
      <c r="D25" s="7">
        <f>IF(MROUND('T2'!D25*'T8'!C$2,1)&lt;1,"",MROUND('T2'!D25*'T8'!C$2,5))</f>
        <v>11140</v>
      </c>
      <c r="E25" s="7">
        <f>IF(MROUND('T2'!E25*'T8'!F$2,1)=0,"",MROUND('T2'!E25*'T8'!F$2,5))</f>
        <v>27095</v>
      </c>
      <c r="F25" s="7">
        <f>IF(MROUND('T2'!F25*'T8'!F$2,1)&lt;1,"",MROUND('T2'!F25*'T8'!F$2,5))</f>
        <v>29525</v>
      </c>
      <c r="G25" s="7">
        <f>IF(MROUND('T2'!G25*'T8'!F$2,1)&lt;1,"",MROUND('T2'!G25*'T8'!F$2,5))</f>
        <v>31855</v>
      </c>
      <c r="H25" s="7">
        <f>IF(MROUND('T2'!H25*'T8'!I$2,1)=0,"",MROUND('T2'!H25*'T8'!I$2,5))</f>
        <v>38610</v>
      </c>
      <c r="I25" s="7">
        <f>IF(MROUND('T2'!I25*'T8'!I$2,1)&lt;1,"",MROUND('T2'!I25*'T8'!I$2,5))</f>
        <v>41825</v>
      </c>
      <c r="J25" s="7">
        <f>IF(MROUND('T2'!J25*'T8'!I$2,1)&lt;1,"",MROUND('T2'!J25*'T8'!I$2,5))</f>
        <v>44990</v>
      </c>
      <c r="K25" s="7">
        <f>IF(MROUND('T2'!K25*'T8'!L$2,1)=0,"",MROUND('T2'!K25*'T8'!L$2,5))</f>
        <v>51235</v>
      </c>
      <c r="L25" s="7">
        <f>IF(MROUND('T2'!L25*'T7'!L$2,1)&lt;1,"",MROUND('T2'!L25*'T7'!L$2,5))</f>
        <v>53175</v>
      </c>
      <c r="M25" s="7">
        <f>IF(MROUND('T2'!M25*'T8'!L$2,1)&lt;1,"",MROUND('T2'!M25*'T8'!L$2,5))</f>
        <v>59080</v>
      </c>
      <c r="N25" s="7">
        <f>IF(MROUND('T2'!N25*'T8'!O$2,1)=0,"",MROUND('T2'!N25*'T8'!O$2,5))</f>
        <v>53830</v>
      </c>
      <c r="O25" s="7">
        <f>IF(MROUND('T2'!O25*'T8'!O$2,1)&lt;1,"",MROUND('T2'!O25*'T8'!O$2,5))</f>
        <v>57870</v>
      </c>
      <c r="P25" s="7">
        <f>IF(MROUND('T2'!P25*'T8'!O$2,1)&lt;1,"",MROUND('T2'!P25*'T8'!O$2,5))</f>
        <v>61685</v>
      </c>
      <c r="Q25" s="8">
        <f t="shared" si="2"/>
        <v>180145</v>
      </c>
      <c r="R25" s="7"/>
      <c r="S25" s="8">
        <f t="shared" si="1"/>
        <v>192675</v>
      </c>
      <c r="T25" s="8">
        <f t="shared" si="3"/>
        <v>208750</v>
      </c>
    </row>
    <row r="26" spans="1:20">
      <c r="A26">
        <v>2036</v>
      </c>
      <c r="B26" s="7">
        <f>IF(MROUND('T2'!B26*'T8'!C$2,1)=0,"",MROUND('T2'!B26*'T8'!C$2,5))</f>
        <v>9395</v>
      </c>
      <c r="C26" s="7">
        <f>IF(MROUND('T2'!C26*'T8'!C$2,1)&lt;1,"",MROUND('T2'!C26*'T8'!C$2,5))</f>
        <v>10335</v>
      </c>
      <c r="D26" s="7">
        <f>IF(MROUND('T2'!D26*'T8'!C$2,1)&lt;1,"",MROUND('T2'!D26*'T8'!C$2,5))</f>
        <v>11235</v>
      </c>
      <c r="E26" s="7">
        <f>IF(MROUND('T2'!E26*'T8'!F$2,1)=0,"",MROUND('T2'!E26*'T8'!F$2,5))</f>
        <v>27075</v>
      </c>
      <c r="F26" s="7">
        <f>IF(MROUND('T2'!F26*'T8'!F$2,1)&lt;1,"",MROUND('T2'!F26*'T8'!F$2,5))</f>
        <v>29650</v>
      </c>
      <c r="G26" s="7">
        <f>IF(MROUND('T2'!G26*'T8'!F$2,1)&lt;1,"",MROUND('T2'!G26*'T8'!F$2,5))</f>
        <v>32160</v>
      </c>
      <c r="H26" s="7">
        <f>IF(MROUND('T2'!H26*'T8'!I$2,1)=0,"",MROUND('T2'!H26*'T8'!I$2,5))</f>
        <v>38500</v>
      </c>
      <c r="I26" s="7">
        <f>IF(MROUND('T2'!I26*'T8'!I$2,1)&lt;1,"",MROUND('T2'!I26*'T8'!I$2,5))</f>
        <v>41955</v>
      </c>
      <c r="J26" s="7">
        <f>IF(MROUND('T2'!J26*'T8'!I$2,1)&lt;1,"",MROUND('T2'!J26*'T8'!I$2,5))</f>
        <v>45250</v>
      </c>
      <c r="K26" s="7">
        <f>IF(MROUND('T2'!K26*'T8'!L$2,1)=0,"",MROUND('T2'!K26*'T8'!L$2,5))</f>
        <v>51125</v>
      </c>
      <c r="L26" s="7">
        <f>IF(MROUND('T2'!L26*'T7'!L$2,1)&lt;1,"",MROUND('T2'!L26*'T7'!L$2,5))</f>
        <v>53275</v>
      </c>
      <c r="M26" s="7">
        <f>IF(MROUND('T2'!M26*'T8'!L$2,1)&lt;1,"",MROUND('T2'!M26*'T8'!L$2,5))</f>
        <v>59505</v>
      </c>
      <c r="N26" s="7">
        <f>IF(MROUND('T2'!N26*'T8'!O$2,1)=0,"",MROUND('T2'!N26*'T8'!O$2,5))</f>
        <v>53675</v>
      </c>
      <c r="O26" s="7">
        <f>IF(MROUND('T2'!O26*'T8'!O$2,1)&lt;1,"",MROUND('T2'!O26*'T8'!O$2,5))</f>
        <v>57940</v>
      </c>
      <c r="P26" s="7">
        <f>IF(MROUND('T2'!P26*'T8'!O$2,1)&lt;1,"",MROUND('T2'!P26*'T8'!O$2,5))</f>
        <v>61920</v>
      </c>
      <c r="Q26" s="8">
        <f t="shared" si="2"/>
        <v>179770</v>
      </c>
      <c r="R26" s="7"/>
      <c r="S26" s="8">
        <f t="shared" si="1"/>
        <v>193155</v>
      </c>
      <c r="T26" s="8">
        <f t="shared" si="3"/>
        <v>210070</v>
      </c>
    </row>
    <row r="27" spans="1:20">
      <c r="A27">
        <v>2037</v>
      </c>
      <c r="B27" s="7">
        <f>IF(MROUND('T2'!B27*'T8'!C$2,1)=0,"",MROUND('T2'!B27*'T8'!C$2,5))</f>
        <v>9420</v>
      </c>
      <c r="C27" s="7">
        <f>IF(MROUND('T2'!C27*'T8'!C$2,1)&lt;1,"",MROUND('T2'!C27*'T8'!C$2,5))</f>
        <v>10405</v>
      </c>
      <c r="D27" s="7">
        <f>IF(MROUND('T2'!D27*'T8'!C$2,1)&lt;1,"",MROUND('T2'!D27*'T8'!C$2,5))</f>
        <v>11345</v>
      </c>
      <c r="E27" s="7">
        <f>IF(MROUND('T2'!E27*'T8'!F$2,1)=0,"",MROUND('T2'!E27*'T8'!F$2,5))</f>
        <v>27050</v>
      </c>
      <c r="F27" s="7">
        <f>IF(MROUND('T2'!F27*'T8'!F$2,1)&lt;1,"",MROUND('T2'!F27*'T8'!F$2,5))</f>
        <v>29815</v>
      </c>
      <c r="G27" s="7">
        <f>IF(MROUND('T2'!G27*'T8'!F$2,1)&lt;1,"",MROUND('T2'!G27*'T8'!F$2,5))</f>
        <v>32395</v>
      </c>
      <c r="H27" s="7">
        <f>IF(MROUND('T2'!H27*'T8'!I$2,1)=0,"",MROUND('T2'!H27*'T8'!I$2,5))</f>
        <v>38485</v>
      </c>
      <c r="I27" s="7">
        <f>IF(MROUND('T2'!I27*'T8'!I$2,1)&lt;1,"",MROUND('T2'!I27*'T8'!I$2,5))</f>
        <v>42130</v>
      </c>
      <c r="J27" s="7">
        <f>IF(MROUND('T2'!J27*'T8'!I$2,1)&lt;1,"",MROUND('T2'!J27*'T8'!I$2,5))</f>
        <v>45620</v>
      </c>
      <c r="K27" s="7">
        <f>IF(MROUND('T2'!K27*'T8'!L$2,1)=0,"",MROUND('T2'!K27*'T8'!L$2,5))</f>
        <v>50985</v>
      </c>
      <c r="L27" s="7">
        <f>IF(MROUND('T2'!L27*'T7'!L$2,1)&lt;1,"",MROUND('T2'!L27*'T7'!L$2,5))</f>
        <v>53450</v>
      </c>
      <c r="M27" s="7">
        <f>IF(MROUND('T2'!M27*'T8'!L$2,1)&lt;1,"",MROUND('T2'!M27*'T8'!L$2,5))</f>
        <v>59925</v>
      </c>
      <c r="N27" s="7">
        <f>IF(MROUND('T2'!N27*'T8'!O$2,1)=0,"",MROUND('T2'!N27*'T8'!O$2,5))</f>
        <v>53625</v>
      </c>
      <c r="O27" s="7">
        <f>IF(MROUND('T2'!O27*'T8'!O$2,1)&lt;1,"",MROUND('T2'!O27*'T8'!O$2,5))</f>
        <v>58045</v>
      </c>
      <c r="P27" s="7">
        <f>IF(MROUND('T2'!P27*'T8'!O$2,1)&lt;1,"",MROUND('T2'!P27*'T8'!O$2,5))</f>
        <v>62240</v>
      </c>
      <c r="Q27" s="8">
        <f t="shared" si="2"/>
        <v>179565</v>
      </c>
      <c r="R27" s="7"/>
      <c r="S27" s="8">
        <f t="shared" si="1"/>
        <v>193845</v>
      </c>
      <c r="T27" s="8">
        <f t="shared" si="3"/>
        <v>211525</v>
      </c>
    </row>
    <row r="28" spans="1:20">
      <c r="A28">
        <v>2038</v>
      </c>
      <c r="B28" s="7">
        <f>IF(MROUND('T2'!B28*'T8'!C$2,1)=0,"",MROUND('T2'!B28*'T8'!C$2,5))</f>
        <v>9470</v>
      </c>
      <c r="C28" s="7">
        <f>IF(MROUND('T2'!C28*'T8'!C$2,1)&lt;1,"",MROUND('T2'!C28*'T8'!C$2,5))</f>
        <v>10480</v>
      </c>
      <c r="D28" s="7">
        <f>IF(MROUND('T2'!D28*'T8'!C$2,1)&lt;1,"",MROUND('T2'!D28*'T8'!C$2,5))</f>
        <v>11450</v>
      </c>
      <c r="E28" s="7">
        <f>IF(MROUND('T2'!E28*'T8'!F$2,1)=0,"",MROUND('T2'!E28*'T8'!F$2,5))</f>
        <v>27220</v>
      </c>
      <c r="F28" s="7">
        <f>IF(MROUND('T2'!F28*'T8'!F$2,1)&lt;1,"",MROUND('T2'!F28*'T8'!F$2,5))</f>
        <v>30010</v>
      </c>
      <c r="G28" s="7">
        <f>IF(MROUND('T2'!G28*'T8'!F$2,1)&lt;1,"",MROUND('T2'!G28*'T8'!F$2,5))</f>
        <v>32695</v>
      </c>
      <c r="H28" s="7">
        <f>IF(MROUND('T2'!H28*'T8'!I$2,1)=0,"",MROUND('T2'!H28*'T8'!I$2,5))</f>
        <v>38510</v>
      </c>
      <c r="I28" s="7">
        <f>IF(MROUND('T2'!I28*'T8'!I$2,1)&lt;1,"",MROUND('T2'!I28*'T8'!I$2,5))</f>
        <v>42365</v>
      </c>
      <c r="J28" s="7">
        <f>IF(MROUND('T2'!J28*'T8'!I$2,1)&lt;1,"",MROUND('T2'!J28*'T8'!I$2,5))</f>
        <v>46000</v>
      </c>
      <c r="K28" s="7">
        <f>IF(MROUND('T2'!K28*'T8'!L$2,1)=0,"",MROUND('T2'!K28*'T8'!L$2,5))</f>
        <v>50975</v>
      </c>
      <c r="L28" s="7">
        <f>IF(MROUND('T2'!L28*'T7'!L$2,1)&lt;1,"",MROUND('T2'!L28*'T7'!L$2,5))</f>
        <v>53675</v>
      </c>
      <c r="M28" s="7">
        <f>IF(MROUND('T2'!M28*'T8'!L$2,1)&lt;1,"",MROUND('T2'!M28*'T8'!L$2,5))</f>
        <v>60385</v>
      </c>
      <c r="N28" s="7">
        <f>IF(MROUND('T2'!N28*'T8'!O$2,1)=0,"",MROUND('T2'!N28*'T8'!O$2,5))</f>
        <v>53510</v>
      </c>
      <c r="O28" s="7">
        <f>IF(MROUND('T2'!O28*'T8'!O$2,1)&lt;1,"",MROUND('T2'!O28*'T8'!O$2,5))</f>
        <v>58230</v>
      </c>
      <c r="P28" s="7">
        <f>IF(MROUND('T2'!P28*'T8'!O$2,1)&lt;1,"",MROUND('T2'!P28*'T8'!O$2,5))</f>
        <v>62705</v>
      </c>
      <c r="Q28" s="8">
        <f t="shared" si="2"/>
        <v>179685</v>
      </c>
      <c r="R28" s="7"/>
      <c r="S28" s="8">
        <f t="shared" si="1"/>
        <v>194760</v>
      </c>
      <c r="T28" s="8">
        <f t="shared" si="3"/>
        <v>213235</v>
      </c>
    </row>
  </sheetData>
  <sheetProtection algorithmName="SHA-512" hashValue="1kOHrxPOwZi3Q/zh5kg6X7k/qcye+m0ZveYsqB6LNZ3u3cbQ32WrqxPsTQ3ef64BzB9fsS1Oe7pO+7H6sumw3A==" saltValue="ltLDxsjlGVHFZz/9+9gk6w==" spinCount="100000" sheet="1" objects="1" scenarios="1" formatCells="0" formatColumns="0" formatRows="0" insertRows="0" sort="0" autoFilter="0" pivotTables="0"/>
  <mergeCells count="6">
    <mergeCell ref="Q3:T3"/>
    <mergeCell ref="B3:D3"/>
    <mergeCell ref="E3:G3"/>
    <mergeCell ref="H3:J3"/>
    <mergeCell ref="K3:M3"/>
    <mergeCell ref="N3:P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91EDF-F653-4A3E-91D1-BAD24CB555F6}">
  <dimension ref="A1:AB37"/>
  <sheetViews>
    <sheetView workbookViewId="0">
      <selection activeCell="K2" sqref="K2"/>
    </sheetView>
  </sheetViews>
  <sheetFormatPr defaultColWidth="8.85546875" defaultRowHeight="14.65"/>
  <cols>
    <col min="20" max="20" width="10.42578125" bestFit="1" customWidth="1"/>
    <col min="21" max="25" width="9" customWidth="1"/>
  </cols>
  <sheetData>
    <row r="1" spans="1:28">
      <c r="A1" s="1" t="s">
        <v>278</v>
      </c>
    </row>
    <row r="2" spans="1:28">
      <c r="A2" s="1" t="s">
        <v>275</v>
      </c>
      <c r="B2" s="2">
        <f>'T5'!B47</f>
        <v>0.15625419181757211</v>
      </c>
      <c r="C2" s="2">
        <f>'T5'!B48</f>
        <v>0.16473221695358339</v>
      </c>
      <c r="D2" s="2">
        <f>'T5'!B49</f>
        <v>0.17537822111388196</v>
      </c>
      <c r="E2" s="2">
        <f>'T5'!C47</f>
        <v>0.44581497797356828</v>
      </c>
      <c r="F2" s="2">
        <f>'T5'!C48</f>
        <v>0.47702877360474455</v>
      </c>
      <c r="G2" s="2">
        <f>'T5'!C49</f>
        <v>0.50495147228162529</v>
      </c>
      <c r="H2" s="2">
        <f>'T5'!D47</f>
        <v>0.657856093979442</v>
      </c>
      <c r="I2" s="2">
        <f>'T5'!D48</f>
        <v>0.69144359719406179</v>
      </c>
      <c r="J2" s="2">
        <f>'T5'!D49</f>
        <v>0.71337115072933555</v>
      </c>
      <c r="K2" s="2">
        <f>'T5'!E47</f>
        <v>0.84610453648915185</v>
      </c>
      <c r="L2" s="2">
        <f>'T5'!E48</f>
        <v>0.90176475230563669</v>
      </c>
      <c r="M2" s="2">
        <f>'T5'!E49</f>
        <v>0.93736386931454196</v>
      </c>
      <c r="N2" s="2">
        <f>'T5'!F47</f>
        <v>0.87129109863672816</v>
      </c>
      <c r="O2" s="2">
        <f>'T5'!F48</f>
        <v>0.94031544348554497</v>
      </c>
      <c r="P2" s="2">
        <f>'T5'!F43</f>
        <v>0.97325874566656156</v>
      </c>
    </row>
    <row r="3" spans="1:28">
      <c r="B3" s="175" t="s">
        <v>248</v>
      </c>
      <c r="C3" s="175"/>
      <c r="D3" s="175"/>
      <c r="E3" s="175" t="s">
        <v>249</v>
      </c>
      <c r="F3" s="175"/>
      <c r="G3" s="175"/>
      <c r="H3" s="175" t="s">
        <v>250</v>
      </c>
      <c r="I3" s="175"/>
      <c r="J3" s="175"/>
      <c r="K3" s="175" t="s">
        <v>251</v>
      </c>
      <c r="L3" s="175"/>
      <c r="M3" s="175"/>
      <c r="N3" s="175" t="s">
        <v>252</v>
      </c>
      <c r="O3" s="175"/>
      <c r="P3" s="175"/>
      <c r="Q3" s="175" t="s">
        <v>238</v>
      </c>
      <c r="R3" s="175"/>
      <c r="S3" s="175"/>
      <c r="T3" s="175"/>
      <c r="U3" s="175" t="s">
        <v>253</v>
      </c>
      <c r="V3" s="175"/>
      <c r="W3" s="175"/>
      <c r="X3" s="175"/>
      <c r="Y3" s="175" t="s">
        <v>254</v>
      </c>
      <c r="Z3" s="175"/>
      <c r="AA3" s="175"/>
      <c r="AB3" s="175"/>
    </row>
    <row r="4" spans="1:28">
      <c r="A4" t="s">
        <v>231</v>
      </c>
      <c r="B4" s="5" t="s">
        <v>255</v>
      </c>
      <c r="C4" s="5" t="s">
        <v>258</v>
      </c>
      <c r="D4" s="5" t="s">
        <v>256</v>
      </c>
      <c r="E4" s="5" t="s">
        <v>255</v>
      </c>
      <c r="F4" s="5" t="s">
        <v>258</v>
      </c>
      <c r="G4" s="5" t="s">
        <v>256</v>
      </c>
      <c r="H4" s="5" t="s">
        <v>255</v>
      </c>
      <c r="I4" s="5" t="s">
        <v>258</v>
      </c>
      <c r="J4" s="5" t="s">
        <v>256</v>
      </c>
      <c r="K4" s="5" t="s">
        <v>255</v>
      </c>
      <c r="L4" s="5" t="s">
        <v>258</v>
      </c>
      <c r="M4" s="5" t="s">
        <v>256</v>
      </c>
      <c r="N4" s="5" t="s">
        <v>255</v>
      </c>
      <c r="O4" s="5" t="s">
        <v>258</v>
      </c>
      <c r="P4" s="5" t="s">
        <v>256</v>
      </c>
      <c r="Q4" s="1" t="s">
        <v>255</v>
      </c>
      <c r="R4" s="1" t="s">
        <v>257</v>
      </c>
      <c r="S4" s="1" t="s">
        <v>258</v>
      </c>
      <c r="T4" s="1" t="s">
        <v>256</v>
      </c>
      <c r="U4" s="1" t="s">
        <v>255</v>
      </c>
      <c r="V4" s="1" t="s">
        <v>257</v>
      </c>
      <c r="W4" s="1" t="s">
        <v>258</v>
      </c>
      <c r="X4" s="1" t="s">
        <v>256</v>
      </c>
      <c r="Y4" s="1" t="s">
        <v>255</v>
      </c>
      <c r="Z4" s="1" t="s">
        <v>257</v>
      </c>
      <c r="AA4" s="1" t="s">
        <v>258</v>
      </c>
      <c r="AB4" s="1" t="s">
        <v>256</v>
      </c>
    </row>
    <row r="5" spans="1:28">
      <c r="A5">
        <v>2015</v>
      </c>
      <c r="B5" s="7" t="str">
        <f>IF(MROUND('T2'!B5*B$2,1)=0,"",MROUND('T2'!B5*'T15'!B$2,5))</f>
        <v/>
      </c>
      <c r="C5" s="7">
        <v>9774</v>
      </c>
      <c r="D5" s="7" t="str">
        <f>IF(MROUND('T2'!D5*'T15'!D$2,1)&lt;1,"",MROUND('T2'!D5*'T15'!D$2,5))</f>
        <v/>
      </c>
      <c r="E5" s="7" t="str">
        <f>IF(MROUND('T2'!E5*'T15'!E$2,1)=0,"",MROUND('T2'!E5*'T15'!E$2,5))</f>
        <v/>
      </c>
      <c r="F5" s="7">
        <v>26312</v>
      </c>
      <c r="G5" s="7" t="str">
        <f>IF(MROUND('T2'!G5*'T15'!G$2,1)&lt;1,"",MROUND('T2'!G5*'T15'!G$2,5))</f>
        <v/>
      </c>
      <c r="H5" s="7" t="str">
        <f>IF(MROUND('T2'!H5*'T15'!H$2,1)=0,"",MROUND('T2'!H5*'T15'!H$2,5))</f>
        <v/>
      </c>
      <c r="I5" s="7">
        <v>40320</v>
      </c>
      <c r="J5" s="7" t="str">
        <f>IF(MROUND('T2'!J5*'T15'!J$2,1)&lt;1,"",MROUND('T2'!J5*'T15'!J$2,5))</f>
        <v/>
      </c>
      <c r="K5" s="7" t="str">
        <f>IF(MROUND('T2'!K5*'T15'!K$2,1)=0,"",MROUND('T2'!K5*'T15'!K$2,5))</f>
        <v/>
      </c>
      <c r="L5" s="7">
        <v>57332</v>
      </c>
      <c r="M5" s="7" t="str">
        <f>IF(MROUND('T2'!M5*'T15'!M$2,1)&lt;1,"",MROUND('T2'!M5*'T15'!M$2,5))</f>
        <v/>
      </c>
      <c r="N5" s="7" t="str">
        <f>IF(MROUND('T2'!N5*'T15'!N$2,1)=0,"",MROUND('T2'!N5*'T15'!N$2,5))</f>
        <v/>
      </c>
      <c r="O5" s="7">
        <v>61354</v>
      </c>
      <c r="P5" s="7" t="str">
        <f>IF(MROUND('T2'!P5*'T15'!P$2,1)&lt;1,"",MROUND('T2'!P5*'T15'!P$2,5))</f>
        <v/>
      </c>
      <c r="Q5" s="8"/>
      <c r="R5" s="8">
        <f>SUM(C5,F5,I5,L5,O5)</f>
        <v>195092</v>
      </c>
      <c r="S5" s="8"/>
      <c r="T5" s="8"/>
      <c r="U5" s="7"/>
      <c r="V5" s="7">
        <f>SUM(C5,F5)</f>
        <v>36086</v>
      </c>
      <c r="W5" s="7"/>
      <c r="X5" s="7"/>
      <c r="Z5" s="22">
        <f>SUM(I5,L5,O5)</f>
        <v>159006</v>
      </c>
    </row>
    <row r="6" spans="1:28">
      <c r="A6">
        <v>2016</v>
      </c>
      <c r="B6" s="7" t="str">
        <f>IF(MROUND('T2'!B6*B$2,1)=0,"",MROUND('T2'!B6*'T15'!B$2,5))</f>
        <v/>
      </c>
      <c r="C6" s="7">
        <v>10076</v>
      </c>
      <c r="D6" s="7" t="str">
        <f>IF(MROUND('T2'!D6*'T15'!D$2,1)&lt;1,"",MROUND('T2'!D6*'T15'!D$2,5))</f>
        <v/>
      </c>
      <c r="E6" s="7" t="str">
        <f>IF(MROUND('T2'!E6*'T15'!E$2,1)=0,"",MROUND('T2'!E6*'T15'!E$2,5))</f>
        <v/>
      </c>
      <c r="F6" s="7">
        <v>28066</v>
      </c>
      <c r="G6" s="7" t="str">
        <f>IF(MROUND('T2'!G6*'T15'!G$2,1)&lt;1,"",MROUND('T2'!G6*'T15'!G$2,5))</f>
        <v/>
      </c>
      <c r="H6" s="7" t="str">
        <f>IF(MROUND('T2'!H6*'T15'!H$2,1)=0,"",MROUND('T2'!H6*'T15'!H$2,5))</f>
        <v/>
      </c>
      <c r="I6" s="7">
        <v>41250</v>
      </c>
      <c r="J6" s="7" t="str">
        <f>IF(MROUND('T2'!J6*'T15'!J$2,1)&lt;1,"",MROUND('T2'!J6*'T15'!J$2,5))</f>
        <v/>
      </c>
      <c r="K6" s="7" t="str">
        <f>IF(MROUND('T2'!K6*'T15'!K$2,1)=0,"",MROUND('T2'!K6*'T15'!K$2,5))</f>
        <v/>
      </c>
      <c r="L6" s="7">
        <v>58529</v>
      </c>
      <c r="M6" s="7" t="str">
        <f>IF(MROUND('T2'!M6*'T15'!M$2,1)&lt;1,"",MROUND('T2'!M6*'T15'!M$2,5))</f>
        <v/>
      </c>
      <c r="N6" s="7" t="str">
        <f>IF(MROUND('T2'!N6*'T15'!N$2,1)=0,"",MROUND('T2'!N6*'T15'!N$2,5))</f>
        <v/>
      </c>
      <c r="O6" s="7">
        <v>61592</v>
      </c>
      <c r="P6" s="7" t="str">
        <f>IF(MROUND('T2'!P6*'T15'!P$2,1)&lt;1,"",MROUND('T2'!P6*'T15'!P$2,5))</f>
        <v/>
      </c>
      <c r="Q6" s="8"/>
      <c r="R6" s="8">
        <f t="shared" ref="R6:R14" si="0">SUM(C6,F6,I6,L6,O6)</f>
        <v>199513</v>
      </c>
      <c r="S6" s="8"/>
      <c r="T6" s="8"/>
      <c r="U6" s="7"/>
      <c r="V6" s="7">
        <f t="shared" ref="V6:V14" si="1">SUM(C6,F6)</f>
        <v>38142</v>
      </c>
      <c r="W6" s="7"/>
      <c r="X6" s="7"/>
      <c r="Z6" s="22">
        <f t="shared" ref="Z6:Z14" si="2">SUM(I6,L6,O6)</f>
        <v>161371</v>
      </c>
    </row>
    <row r="7" spans="1:28">
      <c r="A7">
        <v>2017</v>
      </c>
      <c r="B7" s="7" t="str">
        <f>IF(MROUND('T2'!B7*B$2,1)=0,"",MROUND('T2'!B7*'T15'!B$2,5))</f>
        <v/>
      </c>
      <c r="C7" s="7">
        <v>10549</v>
      </c>
      <c r="D7" s="7" t="str">
        <f>IF(MROUND('T2'!D7*'T15'!D$2,1)&lt;1,"",MROUND('T2'!D7*'T15'!D$2,5))</f>
        <v/>
      </c>
      <c r="E7" s="7" t="str">
        <f>IF(MROUND('T2'!E7*'T15'!E$2,1)=0,"",MROUND('T2'!E7*'T15'!E$2,5))</f>
        <v/>
      </c>
      <c r="F7" s="7">
        <v>28467</v>
      </c>
      <c r="G7" s="7" t="str">
        <f>IF(MROUND('T2'!G7*'T15'!G$2,1)&lt;1,"",MROUND('T2'!G7*'T15'!G$2,5))</f>
        <v/>
      </c>
      <c r="H7" s="7" t="str">
        <f>IF(MROUND('T2'!H7*'T15'!H$2,1)=0,"",MROUND('T2'!H7*'T15'!H$2,5))</f>
        <v/>
      </c>
      <c r="I7" s="7">
        <v>42504</v>
      </c>
      <c r="J7" s="7" t="str">
        <f>IF(MROUND('T2'!J7*'T15'!J$2,1)&lt;1,"",MROUND('T2'!J7*'T15'!J$2,5))</f>
        <v/>
      </c>
      <c r="K7" s="7" t="str">
        <f>IF(MROUND('T2'!K7*'T15'!K$2,1)=0,"",MROUND('T2'!K7*'T15'!K$2,5))</f>
        <v/>
      </c>
      <c r="L7" s="7">
        <v>57052</v>
      </c>
      <c r="M7" s="7" t="str">
        <f>IF(MROUND('T2'!M7*'T15'!M$2,1)&lt;1,"",MROUND('T2'!M7*'T15'!M$2,5))</f>
        <v/>
      </c>
      <c r="N7" s="7" t="str">
        <f>IF(MROUND('T2'!N7*'T15'!N$2,1)=0,"",MROUND('T2'!N7*'T15'!N$2,5))</f>
        <v/>
      </c>
      <c r="O7" s="7">
        <v>61763</v>
      </c>
      <c r="P7" s="7" t="str">
        <f>IF(MROUND('T2'!P7*'T15'!P$2,1)&lt;1,"",MROUND('T2'!P7*'T15'!P$2,5))</f>
        <v/>
      </c>
      <c r="Q7" s="8"/>
      <c r="R7" s="8">
        <f t="shared" si="0"/>
        <v>200335</v>
      </c>
      <c r="S7" s="8"/>
      <c r="T7" s="8"/>
      <c r="U7" s="7"/>
      <c r="V7" s="7">
        <f t="shared" si="1"/>
        <v>39016</v>
      </c>
      <c r="W7" s="7"/>
      <c r="X7" s="7"/>
      <c r="Z7" s="22">
        <f t="shared" si="2"/>
        <v>161319</v>
      </c>
    </row>
    <row r="8" spans="1:28">
      <c r="A8">
        <v>2018</v>
      </c>
      <c r="B8" s="7" t="str">
        <f>IF(MROUND('T2'!B8*B$2,1)=0,"",MROUND('T2'!B8*'T15'!B$2,5))</f>
        <v/>
      </c>
      <c r="C8" s="7">
        <v>9538</v>
      </c>
      <c r="D8" s="7" t="str">
        <f>IF(MROUND('T2'!D8*'T15'!D$2,1)&lt;1,"",MROUND('T2'!D8*'T15'!D$2,5))</f>
        <v/>
      </c>
      <c r="E8" s="7" t="str">
        <f>IF(MROUND('T2'!E8*'T15'!E$2,1)=0,"",MROUND('T2'!E8*'T15'!E$2,5))</f>
        <v/>
      </c>
      <c r="F8" s="7">
        <v>28725</v>
      </c>
      <c r="G8" s="7" t="str">
        <f>IF(MROUND('T2'!G8*'T15'!G$2,1)&lt;1,"",MROUND('T2'!G8*'T15'!G$2,5))</f>
        <v/>
      </c>
      <c r="H8" s="7" t="str">
        <f>IF(MROUND('T2'!H8*'T15'!H$2,1)=0,"",MROUND('T2'!H8*'T15'!H$2,5))</f>
        <v/>
      </c>
      <c r="I8" s="7">
        <v>42326</v>
      </c>
      <c r="J8" s="7" t="str">
        <f>IF(MROUND('T2'!J8*'T15'!J$2,1)&lt;1,"",MROUND('T2'!J8*'T15'!J$2,5))</f>
        <v/>
      </c>
      <c r="K8" s="7" t="str">
        <f>IF(MROUND('T2'!K8*'T15'!K$2,1)=0,"",MROUND('T2'!K8*'T15'!K$2,5))</f>
        <v/>
      </c>
      <c r="L8" s="7">
        <v>56725</v>
      </c>
      <c r="M8" s="7" t="str">
        <f>IF(MROUND('T2'!M8*'T15'!M$2,1)&lt;1,"",MROUND('T2'!M8*'T15'!M$2,5))</f>
        <v/>
      </c>
      <c r="N8" s="7" t="str">
        <f>IF(MROUND('T2'!N8*'T15'!N$2,1)=0,"",MROUND('T2'!N8*'T15'!N$2,5))</f>
        <v/>
      </c>
      <c r="O8" s="7">
        <v>59675</v>
      </c>
      <c r="P8" s="7" t="str">
        <f>IF(MROUND('T2'!P8*'T15'!P$2,1)&lt;1,"",MROUND('T2'!P8*'T15'!P$2,5))</f>
        <v/>
      </c>
      <c r="Q8" s="8"/>
      <c r="R8" s="8">
        <f t="shared" si="0"/>
        <v>196989</v>
      </c>
      <c r="S8" s="8"/>
      <c r="T8" s="8"/>
      <c r="U8" s="7"/>
      <c r="V8" s="7">
        <f t="shared" si="1"/>
        <v>38263</v>
      </c>
      <c r="W8" s="7"/>
      <c r="X8" s="7"/>
      <c r="Z8" s="22">
        <f t="shared" si="2"/>
        <v>158726</v>
      </c>
    </row>
    <row r="9" spans="1:28">
      <c r="A9">
        <v>2019</v>
      </c>
      <c r="B9" s="7" t="str">
        <f>IF(MROUND('T2'!B9*B$2,1)=0,"",MROUND('T2'!B9*'T15'!B$2,5))</f>
        <v/>
      </c>
      <c r="C9" s="7">
        <v>9319</v>
      </c>
      <c r="D9" s="7" t="str">
        <f>IF(MROUND('T2'!D9*'T15'!D$2,1)&lt;1,"",MROUND('T2'!D9*'T15'!D$2,5))</f>
        <v/>
      </c>
      <c r="E9" s="7" t="str">
        <f>IF(MROUND('T2'!E9*'T15'!E$2,1)=0,"",MROUND('T2'!E9*'T15'!E$2,5))</f>
        <v/>
      </c>
      <c r="F9" s="7">
        <v>28217</v>
      </c>
      <c r="G9" s="7" t="str">
        <f>IF(MROUND('T2'!G9*'T15'!G$2,1)&lt;1,"",MROUND('T2'!G9*'T15'!G$2,5))</f>
        <v/>
      </c>
      <c r="H9" s="7" t="str">
        <f>IF(MROUND('T2'!H9*'T15'!H$2,1)=0,"",MROUND('T2'!H9*'T15'!H$2,5))</f>
        <v/>
      </c>
      <c r="I9" s="7">
        <v>42626</v>
      </c>
      <c r="J9" s="7" t="str">
        <f>IF(MROUND('T2'!J9*'T15'!J$2,1)&lt;1,"",MROUND('T2'!J9*'T15'!J$2,5))</f>
        <v/>
      </c>
      <c r="K9" s="7" t="str">
        <f>IF(MROUND('T2'!K9*'T15'!K$2,1)=0,"",MROUND('T2'!K9*'T15'!K$2,5))</f>
        <v/>
      </c>
      <c r="L9" s="7">
        <v>55588</v>
      </c>
      <c r="M9" s="7" t="str">
        <f>IF(MROUND('T2'!M9*'T15'!M$2,1)&lt;1,"",MROUND('T2'!M9*'T15'!M$2,5))</f>
        <v/>
      </c>
      <c r="N9" s="7" t="str">
        <f>IF(MROUND('T2'!N9*'T15'!N$2,1)=0,"",MROUND('T2'!N9*'T15'!N$2,5))</f>
        <v/>
      </c>
      <c r="O9" s="7">
        <v>59229</v>
      </c>
      <c r="P9" s="7" t="str">
        <f>IF(MROUND('T2'!P9*'T15'!P$2,1)&lt;1,"",MROUND('T2'!P9*'T15'!P$2,5))</f>
        <v/>
      </c>
      <c r="Q9" s="8"/>
      <c r="R9" s="8">
        <f t="shared" si="0"/>
        <v>194979</v>
      </c>
      <c r="S9" s="8"/>
      <c r="T9" s="8"/>
      <c r="U9" s="7"/>
      <c r="V9" s="7">
        <f t="shared" si="1"/>
        <v>37536</v>
      </c>
      <c r="W9" s="7"/>
      <c r="X9" s="7"/>
      <c r="Z9" s="22">
        <f t="shared" si="2"/>
        <v>157443</v>
      </c>
    </row>
    <row r="10" spans="1:28">
      <c r="A10">
        <v>2020</v>
      </c>
      <c r="B10" s="7" t="str">
        <f>IF(MROUND('T2'!B10*B$2,1)=0,"",MROUND('T2'!B10*'T15'!B$2,5))</f>
        <v/>
      </c>
      <c r="C10" s="7">
        <v>7939</v>
      </c>
      <c r="D10" s="7" t="str">
        <f>IF(MROUND('T2'!D10*'T15'!D$2,1)&lt;1,"",MROUND('T2'!D10*'T15'!D$2,5))</f>
        <v/>
      </c>
      <c r="E10" s="7" t="str">
        <f>IF(MROUND('T2'!E10*'T15'!E$2,1)=0,"",MROUND('T2'!E10*'T15'!E$2,5))</f>
        <v/>
      </c>
      <c r="F10" s="7">
        <v>25840</v>
      </c>
      <c r="G10" s="7" t="str">
        <f>IF(MROUND('T2'!G10*'T15'!G$2,1)&lt;1,"",MROUND('T2'!G10*'T15'!G$2,5))</f>
        <v/>
      </c>
      <c r="H10" s="7" t="str">
        <f>IF(MROUND('T2'!H10*'T15'!H$2,1)=0,"",MROUND('T2'!H10*'T15'!H$2,5))</f>
        <v/>
      </c>
      <c r="I10" s="7">
        <v>39965</v>
      </c>
      <c r="J10" s="7" t="str">
        <f>IF(MROUND('T2'!J10*'T15'!J$2,1)&lt;1,"",MROUND('T2'!J10*'T15'!J$2,5))</f>
        <v/>
      </c>
      <c r="K10" s="7" t="str">
        <f>IF(MROUND('T2'!K10*'T15'!K$2,1)=0,"",MROUND('T2'!K10*'T15'!K$2,5))</f>
        <v/>
      </c>
      <c r="L10" s="7">
        <v>53957</v>
      </c>
      <c r="M10" s="7" t="str">
        <f>IF(MROUND('T2'!M10*'T15'!M$2,1)&lt;1,"",MROUND('T2'!M10*'T15'!M$2,5))</f>
        <v/>
      </c>
      <c r="N10" s="7" t="str">
        <f>IF(MROUND('T2'!N10*'T15'!N$2,1)=0,"",MROUND('T2'!N10*'T15'!N$2,5))</f>
        <v/>
      </c>
      <c r="O10" s="7">
        <v>57578</v>
      </c>
      <c r="P10" s="7" t="str">
        <f>IF(MROUND('T2'!P10*'T15'!P$2,1)&lt;1,"",MROUND('T2'!P10*'T15'!P$2,5))</f>
        <v/>
      </c>
      <c r="Q10" s="8"/>
      <c r="R10" s="8">
        <f t="shared" si="0"/>
        <v>185279</v>
      </c>
      <c r="S10" s="8"/>
      <c r="T10" s="8"/>
      <c r="U10" s="7"/>
      <c r="V10" s="7">
        <f t="shared" si="1"/>
        <v>33779</v>
      </c>
      <c r="W10" s="7"/>
      <c r="X10" s="7"/>
      <c r="Z10" s="22">
        <f t="shared" si="2"/>
        <v>151500</v>
      </c>
    </row>
    <row r="11" spans="1:28">
      <c r="A11">
        <v>2021</v>
      </c>
      <c r="B11" s="7" t="str">
        <f>IF(MROUND('T2'!B11*B$2,1)=0,"",MROUND('T2'!B11*'T15'!B$2,5))</f>
        <v/>
      </c>
      <c r="C11" s="7">
        <v>9808</v>
      </c>
      <c r="D11" s="7" t="str">
        <f>IF(MROUND('T2'!D11*'T15'!D$2,1)&lt;1,"",MROUND('T2'!D11*'T15'!D$2,5))</f>
        <v/>
      </c>
      <c r="E11" s="7" t="str">
        <f>IF(MROUND('T2'!E11*'T15'!E$2,1)=0,"",MROUND('T2'!E11*'T15'!E$2,5))</f>
        <v/>
      </c>
      <c r="F11" s="7">
        <v>29274</v>
      </c>
      <c r="G11" s="7" t="str">
        <f>IF(MROUND('T2'!G11*'T15'!G$2,1)&lt;1,"",MROUND('T2'!G11*'T15'!G$2,5))</f>
        <v/>
      </c>
      <c r="H11" s="7" t="str">
        <f>IF(MROUND('T2'!H11*'T15'!H$2,1)=0,"",MROUND('T2'!H11*'T15'!H$2,5))</f>
        <v/>
      </c>
      <c r="I11" s="7">
        <v>41556</v>
      </c>
      <c r="J11" s="7" t="str">
        <f>IF(MROUND('T2'!J11*'T15'!J$2,1)&lt;1,"",MROUND('T2'!J11*'T15'!J$2,5))</f>
        <v/>
      </c>
      <c r="K11" s="7" t="str">
        <f>IF(MROUND('T2'!K11*'T15'!K$2,1)=0,"",MROUND('T2'!K11*'T15'!K$2,5))</f>
        <v/>
      </c>
      <c r="L11" s="7">
        <v>53139</v>
      </c>
      <c r="M11" s="7" t="str">
        <f>IF(MROUND('T2'!M11*'T15'!M$2,1)&lt;1,"",MROUND('T2'!M11*'T15'!M$2,5))</f>
        <v/>
      </c>
      <c r="N11" s="7" t="str">
        <f>IF(MROUND('T2'!N11*'T15'!N$2,1)=0,"",MROUND('T2'!N11*'T15'!N$2,5))</f>
        <v/>
      </c>
      <c r="O11" s="7">
        <v>57680</v>
      </c>
      <c r="P11" s="7" t="str">
        <f>IF(MROUND('T2'!P11*'T15'!P$2,1)&lt;1,"",MROUND('T2'!P11*'T15'!P$2,5))</f>
        <v/>
      </c>
      <c r="Q11" s="8"/>
      <c r="R11" s="8">
        <f t="shared" si="0"/>
        <v>191457</v>
      </c>
      <c r="S11" s="8"/>
      <c r="T11" s="8"/>
      <c r="U11" s="7"/>
      <c r="V11" s="7">
        <f t="shared" si="1"/>
        <v>39082</v>
      </c>
      <c r="W11" s="7"/>
      <c r="X11" s="7"/>
      <c r="Z11" s="22">
        <f t="shared" si="2"/>
        <v>152375</v>
      </c>
    </row>
    <row r="12" spans="1:28">
      <c r="A12">
        <v>2022</v>
      </c>
      <c r="B12" s="7" t="str">
        <f>IF(MROUND('T2'!B12*B$2,1)=0,"",MROUND('T2'!B12*'T15'!B$2,5))</f>
        <v/>
      </c>
      <c r="C12" s="7">
        <v>9788</v>
      </c>
      <c r="D12" s="7" t="str">
        <f>IF(MROUND('T2'!D12*'T15'!D$2,1)&lt;1,"",MROUND('T2'!D12*'T15'!D$2,5))</f>
        <v/>
      </c>
      <c r="E12" s="7" t="str">
        <f>IF(MROUND('T2'!E12*'T15'!E$2,1)=0,"",MROUND('T2'!E12*'T15'!E$2,5))</f>
        <v/>
      </c>
      <c r="F12" s="7">
        <v>28460</v>
      </c>
      <c r="G12" s="7" t="str">
        <f>IF(MROUND('T2'!G12*'T15'!G$2,1)&lt;1,"",MROUND('T2'!G12*'T15'!G$2,5))</f>
        <v/>
      </c>
      <c r="H12" s="7" t="str">
        <f>IF(MROUND('T2'!H12*'T15'!H$2,1)=0,"",MROUND('T2'!H12*'T15'!H$2,5))</f>
        <v/>
      </c>
      <c r="I12" s="7">
        <v>39242</v>
      </c>
      <c r="J12" s="7" t="str">
        <f>IF(MROUND('T2'!J12*'T15'!J$2,1)&lt;1,"",MROUND('T2'!J12*'T15'!J$2,5))</f>
        <v/>
      </c>
      <c r="K12" s="7" t="str">
        <f>IF(MROUND('T2'!K12*'T15'!K$2,1)=0,"",MROUND('T2'!K12*'T15'!K$2,5))</f>
        <v/>
      </c>
      <c r="L12" s="7">
        <v>48843</v>
      </c>
      <c r="M12" s="7" t="str">
        <f>IF(MROUND('T2'!M12*'T15'!M$2,1)&lt;1,"",MROUND('T2'!M12*'T15'!M$2,5))</f>
        <v/>
      </c>
      <c r="N12" s="7" t="str">
        <f>IF(MROUND('T2'!N12*'T15'!N$2,1)=0,"",MROUND('T2'!N12*'T15'!N$2,5))</f>
        <v/>
      </c>
      <c r="O12" s="7">
        <v>52080</v>
      </c>
      <c r="P12" s="7" t="str">
        <f>IF(MROUND('T2'!P12*'T15'!P$2,1)&lt;1,"",MROUND('T2'!P12*'T15'!P$2,5))</f>
        <v/>
      </c>
      <c r="Q12" s="8"/>
      <c r="R12" s="8">
        <f t="shared" si="0"/>
        <v>178413</v>
      </c>
      <c r="S12" s="8"/>
      <c r="T12" s="8"/>
      <c r="U12" s="7"/>
      <c r="V12" s="7">
        <f t="shared" si="1"/>
        <v>38248</v>
      </c>
      <c r="W12" s="7"/>
      <c r="X12" s="7"/>
      <c r="Z12" s="22">
        <f t="shared" si="2"/>
        <v>140165</v>
      </c>
    </row>
    <row r="13" spans="1:28">
      <c r="A13">
        <v>2023</v>
      </c>
      <c r="B13" s="7"/>
      <c r="C13" s="7">
        <v>9352</v>
      </c>
      <c r="D13" s="7" t="str">
        <f>IF(MROUND('T2'!D13*'T15'!D$2,1)&lt;1,"",MROUND('T2'!D13*'T15'!D$2,5))</f>
        <v/>
      </c>
      <c r="E13" s="7" t="str">
        <f>IF(MROUND('T2'!E13*'T15'!E$2,1)=0,"",MROUND('T2'!E13*'T15'!E$2,5))</f>
        <v/>
      </c>
      <c r="F13" s="7">
        <v>30696</v>
      </c>
      <c r="G13" s="7" t="str">
        <f>IF(MROUND('T2'!G13*'T15'!G$2,1)&lt;1,"",MROUND('T2'!G13*'T15'!G$2,5))</f>
        <v/>
      </c>
      <c r="H13" s="7" t="str">
        <f>IF(MROUND('T2'!H13*'T15'!H$2,1)=0,"",MROUND('T2'!H13*'T15'!H$2,5))</f>
        <v/>
      </c>
      <c r="I13" s="7">
        <v>42490</v>
      </c>
      <c r="J13" s="7" t="str">
        <f>IF(MROUND('T2'!J13*'T15'!J$2,1)&lt;1,"",MROUND('T2'!J13*'T15'!J$2,5))</f>
        <v/>
      </c>
      <c r="K13" s="7" t="str">
        <f>IF(MROUND('T2'!K13*'T15'!K$2,1)=0,"",MROUND('T2'!K13*'T15'!K$2,5))</f>
        <v/>
      </c>
      <c r="L13" s="7">
        <v>51477</v>
      </c>
      <c r="M13" s="7" t="str">
        <f>IF(MROUND('T2'!M13*'T15'!M$2,1)&lt;1,"",MROUND('T2'!M13*'T15'!M$2,5))</f>
        <v/>
      </c>
      <c r="N13" s="7" t="str">
        <f>IF(MROUND('T2'!N13*'T15'!N$2,1)=0,"",MROUND('T2'!N13*'T15'!N$2,5))</f>
        <v/>
      </c>
      <c r="O13" s="7">
        <v>54325</v>
      </c>
      <c r="P13" s="7" t="str">
        <f>IF(MROUND('T2'!P13*'T15'!P$2,1)&lt;1,"",MROUND('T2'!P13*'T15'!P$2,5))</f>
        <v/>
      </c>
      <c r="Q13" s="8"/>
      <c r="R13" s="8">
        <f t="shared" si="0"/>
        <v>188340</v>
      </c>
      <c r="S13" s="8"/>
      <c r="T13" s="8"/>
      <c r="U13" s="7"/>
      <c r="V13" s="7">
        <f t="shared" si="1"/>
        <v>40048</v>
      </c>
      <c r="W13" s="7"/>
      <c r="X13" s="7"/>
      <c r="Z13" s="22">
        <f t="shared" si="2"/>
        <v>148292</v>
      </c>
    </row>
    <row r="14" spans="1:28">
      <c r="A14">
        <v>2024</v>
      </c>
      <c r="B14" s="7" t="str">
        <f>IF(MROUND('T2'!B14*B$2,1)=0,"",MROUND('T2'!B14*'T15'!B$2,5))</f>
        <v/>
      </c>
      <c r="C14" s="7">
        <v>9193</v>
      </c>
      <c r="D14" s="7" t="str">
        <f>IF(MROUND('T2'!D14*'T15'!D$2,1)&lt;1,"",MROUND('T2'!D14*'T15'!D$2,5))</f>
        <v/>
      </c>
      <c r="E14" s="7" t="str">
        <f>IF(MROUND('T2'!E14*'T15'!E$2,1)=0,"",MROUND('T2'!E14*'T15'!E$2,5))</f>
        <v/>
      </c>
      <c r="F14" s="7">
        <v>28341</v>
      </c>
      <c r="G14" s="7" t="str">
        <f>IF(MROUND('T2'!G14*'T15'!G$2,1)&lt;1,"",MROUND('T2'!G14*'T15'!G$2,5))</f>
        <v/>
      </c>
      <c r="H14" s="7" t="str">
        <f>IF(MROUND('T2'!H14*'T15'!H$2,1)=0,"",MROUND('T2'!H14*'T15'!H$2,5))</f>
        <v/>
      </c>
      <c r="I14" s="7">
        <v>44015</v>
      </c>
      <c r="J14" s="7" t="str">
        <f>IF(MROUND('T2'!J14*'T15'!J$2,1)&lt;1,"",MROUND('T2'!J14*'T15'!J$2,5))</f>
        <v/>
      </c>
      <c r="K14" s="7" t="str">
        <f>IF(MROUND('T2'!K14*'T15'!K$2,1)=0,"",MROUND('T2'!K14*'T15'!K$2,5))</f>
        <v/>
      </c>
      <c r="L14" s="7">
        <v>53883</v>
      </c>
      <c r="M14" s="7" t="str">
        <f>IF(MROUND('T2'!M14*'T15'!M$2,1)&lt;1,"",MROUND('T2'!M14*'T15'!M$2,5))</f>
        <v/>
      </c>
      <c r="N14" s="7" t="str">
        <f>IF(MROUND('T2'!N14*'T15'!N$2,1)=0,"",MROUND('T2'!N14*'T15'!N$2,5))</f>
        <v/>
      </c>
      <c r="O14" s="7">
        <v>55931</v>
      </c>
      <c r="P14" s="7" t="str">
        <f>IF(MROUND('T2'!P14*'T15'!P$2,1)&lt;1,"",MROUND('T2'!P14*'T15'!P$2,5))</f>
        <v/>
      </c>
      <c r="Q14" s="8">
        <f>R14</f>
        <v>191363</v>
      </c>
      <c r="R14" s="8">
        <f t="shared" si="0"/>
        <v>191363</v>
      </c>
      <c r="S14" s="8">
        <f>R14</f>
        <v>191363</v>
      </c>
      <c r="T14" s="8">
        <f>R14</f>
        <v>191363</v>
      </c>
      <c r="U14" s="7">
        <v>37534</v>
      </c>
      <c r="V14" s="7">
        <f t="shared" si="1"/>
        <v>37534</v>
      </c>
      <c r="W14" s="7">
        <v>37534</v>
      </c>
      <c r="X14" s="7">
        <v>37534</v>
      </c>
      <c r="Y14" s="7">
        <v>153829</v>
      </c>
      <c r="Z14" s="22">
        <f t="shared" si="2"/>
        <v>153829</v>
      </c>
      <c r="AA14" s="22">
        <v>153829</v>
      </c>
      <c r="AB14" s="22">
        <v>153829</v>
      </c>
    </row>
    <row r="15" spans="1:28">
      <c r="A15">
        <v>2025</v>
      </c>
      <c r="B15" s="7">
        <f>IF(MROUND('T2'!B15*B$2,1)=0,"",MROUND('T2'!B15*'T15'!B$2,5))</f>
        <v>8885</v>
      </c>
      <c r="C15" s="7">
        <f>IF(MROUND('T2'!C15*'T15'!C$2,1)&lt;1,"",MROUND('T2'!C15*'T15'!C$2,5))</f>
        <v>9575</v>
      </c>
      <c r="D15" s="7">
        <f>IF(MROUND('T2'!D15*'T15'!D$2,1)&lt;1,"",MROUND('T2'!D15*'T15'!D$2,5))</f>
        <v>10405</v>
      </c>
      <c r="E15" s="7">
        <f>IF(MROUND('T2'!E15*'T15'!E$2,1)=0,"",MROUND('T2'!E15*'T15'!E$2,5))</f>
        <v>25320</v>
      </c>
      <c r="F15" s="7">
        <f>IF(MROUND('T2'!F15*'T15'!F$2,1)&lt;1,"",MROUND('T2'!F15*'T15'!F$2,5))</f>
        <v>27205</v>
      </c>
      <c r="G15" s="7">
        <f>IF(MROUND('T2'!G15*'T15'!G$2,1)&lt;1,"",MROUND('T2'!G15*'T15'!G$2,5))</f>
        <v>28905</v>
      </c>
      <c r="H15" s="7">
        <f>IF(MROUND('T2'!H15*'T15'!H$2,1)=0,"",MROUND('T2'!H15*'T15'!H$2,5))</f>
        <v>37590</v>
      </c>
      <c r="I15" s="7">
        <f>IF(MROUND('T2'!I15*'T15'!I$2,1)&lt;1,"",MROUND('T2'!I15*'T15'!I$2,5))</f>
        <v>39675</v>
      </c>
      <c r="J15" s="7">
        <f>IF(MROUND('T2'!J15*'T15'!J$2,1)&lt;1,"",MROUND('T2'!J15*'T15'!J$2,5))</f>
        <v>41070</v>
      </c>
      <c r="K15" s="7">
        <f>IF(MROUND('T2'!K15*'T15'!K$2,1)=0,"",MROUND('T2'!K15*'T15'!K$2,5))</f>
        <v>52220</v>
      </c>
      <c r="L15" s="7">
        <f>IF(MROUND('T2'!L15*'T15'!L$2,1)&lt;1,"",MROUND('T2'!L15*'T15'!L$2,5))</f>
        <v>55890</v>
      </c>
      <c r="M15" s="7">
        <f>IF(MROUND('T2'!M15*'T15'!M$2,1)&lt;1,"",MROUND('T2'!M15*'T15'!M$2,5))</f>
        <v>58275</v>
      </c>
      <c r="N15" s="7">
        <f>IF(MROUND('T2'!N15*'T15'!N$2,1)=0,"",MROUND('T2'!N15*'T15'!N$2,5))</f>
        <v>54550</v>
      </c>
      <c r="O15" s="7">
        <f>IF(MROUND('T2'!O15*'T15'!O$2,1)&lt;1,"",MROUND('T2'!O15*'T15'!O$2,5))</f>
        <v>59135</v>
      </c>
      <c r="P15" s="7">
        <f>IF(MROUND('T2'!P15*'T15'!P$2,1)&lt;1,"",MROUND('T2'!P15*'T15'!P$2,5))</f>
        <v>61365</v>
      </c>
      <c r="Q15" s="8">
        <f>SUM(B15,E15,H15,K15,N15)</f>
        <v>178565</v>
      </c>
      <c r="R15" s="8">
        <v>192895</v>
      </c>
      <c r="S15" s="8">
        <f>SUM(C15,F15,I15,L15,O15)</f>
        <v>191480</v>
      </c>
      <c r="T15" s="8">
        <f>SUM(D15,G15,J15,M15,P15)</f>
        <v>200020</v>
      </c>
      <c r="U15" s="22">
        <f>SUM(B15,E15)</f>
        <v>34205</v>
      </c>
      <c r="W15" s="22">
        <f>SUM(C15,F15)</f>
        <v>36780</v>
      </c>
      <c r="X15" s="22">
        <f>SUM(D15,G15)</f>
        <v>39310</v>
      </c>
      <c r="Y15" s="7">
        <f>SUM(H15,K15,N15)</f>
        <v>144360</v>
      </c>
      <c r="Z15" s="22"/>
      <c r="AA15" s="22">
        <f>SUM(I15,L15,O15)</f>
        <v>154700</v>
      </c>
      <c r="AB15" s="22">
        <f>SUM(J15,M15,P15)</f>
        <v>160710</v>
      </c>
    </row>
    <row r="16" spans="1:28">
      <c r="A16">
        <v>2026</v>
      </c>
      <c r="B16" s="7">
        <f>IF(MROUND('T2'!B16*B$2,1)=0,"",MROUND('T2'!B16*'T15'!B$2,5))</f>
        <v>8765</v>
      </c>
      <c r="C16" s="7">
        <f>IF(MROUND('T2'!C16*'T15'!C$2,1)&lt;1,"",MROUND('T2'!C16*'T15'!C$2,5))</f>
        <v>9580</v>
      </c>
      <c r="D16" s="7">
        <f>IF(MROUND('T2'!D16*'T15'!D$2,1)&lt;1,"",MROUND('T2'!D16*'T15'!D$2,5))</f>
        <v>10520</v>
      </c>
      <c r="E16" s="7">
        <f>IF(MROUND('T2'!E16*'T15'!E$2,1)=0,"",MROUND('T2'!E16*'T15'!E$2,5))</f>
        <v>25195</v>
      </c>
      <c r="F16" s="7">
        <f>IF(MROUND('T2'!F16*'T15'!F$2,1)&lt;1,"",MROUND('T2'!F16*'T15'!F$2,5))</f>
        <v>27725</v>
      </c>
      <c r="G16" s="7">
        <f>IF(MROUND('T2'!G16*'T15'!G$2,1)&lt;1,"",MROUND('T2'!G16*'T15'!G$2,5))</f>
        <v>29990</v>
      </c>
      <c r="H16" s="7">
        <f>IF(MROUND('T2'!H16*'T15'!H$2,1)=0,"",MROUND('T2'!H16*'T15'!H$2,5))</f>
        <v>37420</v>
      </c>
      <c r="I16" s="7">
        <f>IF(MROUND('T2'!I16*'T15'!I$2,1)&lt;1,"",MROUND('T2'!I16*'T15'!I$2,5))</f>
        <v>39590</v>
      </c>
      <c r="J16" s="7">
        <f>IF(MROUND('T2'!J16*'T15'!J$2,1)&lt;1,"",MROUND('T2'!J16*'T15'!J$2,5))</f>
        <v>41075</v>
      </c>
      <c r="K16" s="7">
        <f>IF(MROUND('T2'!K16*'T15'!K$2,1)=0,"",MROUND('T2'!K16*'T15'!K$2,5))</f>
        <v>48475</v>
      </c>
      <c r="L16" s="7">
        <f>IF(MROUND('T2'!L16*'T15'!L$2,1)&lt;1,"",MROUND('T2'!L16*'T15'!L$2,5))</f>
        <v>52030</v>
      </c>
      <c r="M16" s="7">
        <f>IF(MROUND('T2'!M16*'T15'!M$2,1)&lt;1,"",MROUND('T2'!M16*'T15'!M$2,5))</f>
        <v>54415</v>
      </c>
      <c r="N16" s="7">
        <f>IF(MROUND('T2'!N16*'T15'!N$2,1)=0,"",MROUND('T2'!N16*'T15'!N$2,5))</f>
        <v>53975</v>
      </c>
      <c r="O16" s="7">
        <f>IF(MROUND('T2'!O16*'T15'!O$2,1)&lt;1,"",MROUND('T2'!O16*'T15'!O$2,5))</f>
        <v>58675</v>
      </c>
      <c r="P16" s="7">
        <f>IF(MROUND('T2'!P16*'T15'!P$2,1)&lt;1,"",MROUND('T2'!P16*'T15'!P$2,5))</f>
        <v>61080</v>
      </c>
      <c r="Q16" s="8">
        <f t="shared" ref="Q16:Q28" si="3">SUM(B16,E16,H16,K16,N16)</f>
        <v>173830</v>
      </c>
      <c r="R16" s="7"/>
      <c r="S16" s="8">
        <f t="shared" ref="S16:S28" si="4">SUM(C16,F16,I16,L16,O16)</f>
        <v>187600</v>
      </c>
      <c r="T16" s="8">
        <f t="shared" ref="T16:T28" si="5">SUM(D16,G16,J16,M16,P16)</f>
        <v>197080</v>
      </c>
      <c r="U16" s="22">
        <f>SUM(B16,E16)</f>
        <v>33960</v>
      </c>
      <c r="W16" s="22">
        <f>SUM(C16,F16)</f>
        <v>37305</v>
      </c>
      <c r="X16" s="22">
        <f t="shared" ref="X16:X28" si="6">SUM(D16,G16)</f>
        <v>40510</v>
      </c>
      <c r="Y16" s="7">
        <f t="shared" ref="Y16:Y28" si="7">SUM(H16,K16,N16)</f>
        <v>139870</v>
      </c>
      <c r="Z16" s="22"/>
      <c r="AA16" s="22">
        <f t="shared" ref="AA16:AA28" si="8">SUM(I16,L16,O16)</f>
        <v>150295</v>
      </c>
      <c r="AB16" s="22">
        <f t="shared" ref="AB16:AB28" si="9">SUM(J16,M16,P16)</f>
        <v>156570</v>
      </c>
    </row>
    <row r="17" spans="1:28">
      <c r="A17">
        <v>2027</v>
      </c>
      <c r="B17" s="7">
        <f>IF(MROUND('T2'!B17*B$2,1)=0,"",MROUND('T2'!B17*'T15'!B$2,5))</f>
        <v>8670</v>
      </c>
      <c r="C17" s="7">
        <f>IF(MROUND('T2'!C17*'T15'!C$2,1)&lt;1,"",MROUND('T2'!C17*'T15'!C$2,5))</f>
        <v>9575</v>
      </c>
      <c r="D17" s="7">
        <f>IF(MROUND('T2'!D17*'T15'!D$2,1)&lt;1,"",MROUND('T2'!D17*'T15'!D$2,5))</f>
        <v>10605</v>
      </c>
      <c r="E17" s="7">
        <f>IF(MROUND('T2'!E17*'T15'!E$2,1)=0,"",MROUND('T2'!E17*'T15'!E$2,5))</f>
        <v>25005</v>
      </c>
      <c r="F17" s="7">
        <f>IF(MROUND('T2'!F17*'T15'!F$2,1)&lt;1,"",MROUND('T2'!F17*'T15'!F$2,5))</f>
        <v>27745</v>
      </c>
      <c r="G17" s="7">
        <f>IF(MROUND('T2'!G17*'T15'!G$2,1)&lt;1,"",MROUND('T2'!G17*'T15'!G$2,5))</f>
        <v>30335</v>
      </c>
      <c r="H17" s="7">
        <f>IF(MROUND('T2'!H17*'T15'!H$2,1)=0,"",MROUND('T2'!H17*'T15'!H$2,5))</f>
        <v>37335</v>
      </c>
      <c r="I17" s="7">
        <f>IF(MROUND('T2'!I17*'T15'!I$2,1)&lt;1,"",MROUND('T2'!I17*'T15'!I$2,5))</f>
        <v>40365</v>
      </c>
      <c r="J17" s="7">
        <f>IF(MROUND('T2'!J17*'T15'!J$2,1)&lt;1,"",MROUND('T2'!J17*'T15'!J$2,5))</f>
        <v>42565</v>
      </c>
      <c r="K17" s="7">
        <f>IF(MROUND('T2'!K17*'T15'!K$2,1)=0,"",MROUND('T2'!K17*'T15'!K$2,5))</f>
        <v>48280</v>
      </c>
      <c r="L17" s="7">
        <f>IF(MROUND('T2'!L17*'T15'!L$2,1)&lt;1,"",MROUND('T2'!L17*'T15'!L$2,5))</f>
        <v>51960</v>
      </c>
      <c r="M17" s="7">
        <f>IF(MROUND('T2'!M17*'T15'!M$2,1)&lt;1,"",MROUND('T2'!M17*'T15'!M$2,5))</f>
        <v>54490</v>
      </c>
      <c r="N17" s="7">
        <f>IF(MROUND('T2'!N17*'T15'!N$2,1)=0,"",MROUND('T2'!N17*'T15'!N$2,5))</f>
        <v>50135</v>
      </c>
      <c r="O17" s="7">
        <f>IF(MROUND('T2'!O17*'T15'!O$2,1)&lt;1,"",MROUND('T2'!O17*'T15'!O$2,5))</f>
        <v>54690</v>
      </c>
      <c r="P17" s="7">
        <f>IF(MROUND('T2'!P17*'T15'!P$2,1)&lt;1,"",MROUND('T2'!P17*'T15'!P$2,5))</f>
        <v>57140</v>
      </c>
      <c r="Q17" s="8">
        <f t="shared" si="3"/>
        <v>169425</v>
      </c>
      <c r="R17" s="7"/>
      <c r="S17" s="8">
        <f t="shared" si="4"/>
        <v>184335</v>
      </c>
      <c r="T17" s="8">
        <f t="shared" si="5"/>
        <v>195135</v>
      </c>
      <c r="U17" s="22">
        <f t="shared" ref="U17:U28" si="10">SUM(B17,E17)</f>
        <v>33675</v>
      </c>
      <c r="W17" s="22">
        <f t="shared" ref="W17:W28" si="11">SUM(C17,F17)</f>
        <v>37320</v>
      </c>
      <c r="X17" s="22">
        <f t="shared" si="6"/>
        <v>40940</v>
      </c>
      <c r="Y17" s="7">
        <f t="shared" si="7"/>
        <v>135750</v>
      </c>
      <c r="Z17" s="22"/>
      <c r="AA17" s="22">
        <f t="shared" si="8"/>
        <v>147015</v>
      </c>
      <c r="AB17" s="22">
        <f t="shared" si="9"/>
        <v>154195</v>
      </c>
    </row>
    <row r="18" spans="1:28">
      <c r="A18">
        <v>2028</v>
      </c>
      <c r="B18" s="7">
        <f>IF(MROUND('T2'!B18*B$2,1)=0,"",MROUND('T2'!B18*'T15'!B$2,5))</f>
        <v>8610</v>
      </c>
      <c r="C18" s="7">
        <f>IF(MROUND('T2'!C18*'T15'!C$2,1)&lt;1,"",MROUND('T2'!C18*'T15'!C$2,5))</f>
        <v>9570</v>
      </c>
      <c r="D18" s="7">
        <f>IF(MROUND('T2'!D18*'T15'!D$2,1)&lt;1,"",MROUND('T2'!D18*'T15'!D$2,5))</f>
        <v>10690</v>
      </c>
      <c r="E18" s="7">
        <f>IF(MROUND('T2'!E18*'T15'!E$2,1)=0,"",MROUND('T2'!E18*'T15'!E$2,5))</f>
        <v>24730</v>
      </c>
      <c r="F18" s="7">
        <f>IF(MROUND('T2'!F18*'T15'!F$2,1)&lt;1,"",MROUND('T2'!F18*'T15'!F$2,5))</f>
        <v>27750</v>
      </c>
      <c r="G18" s="7">
        <f>IF(MROUND('T2'!G18*'T15'!G$2,1)&lt;1,"",MROUND('T2'!G18*'T15'!G$2,5))</f>
        <v>30590</v>
      </c>
      <c r="H18" s="7">
        <f>IF(MROUND('T2'!H18*'T15'!H$2,1)=0,"",MROUND('T2'!H18*'T15'!H$2,5))</f>
        <v>37075</v>
      </c>
      <c r="I18" s="7">
        <f>IF(MROUND('T2'!I18*'T15'!I$2,1)&lt;1,"",MROUND('T2'!I18*'T15'!I$2,5))</f>
        <v>40415</v>
      </c>
      <c r="J18" s="7">
        <f>IF(MROUND('T2'!J18*'T15'!J$2,1)&lt;1,"",MROUND('T2'!J18*'T15'!J$2,5))</f>
        <v>43075</v>
      </c>
      <c r="K18" s="7">
        <f>IF(MROUND('T2'!K18*'T15'!K$2,1)=0,"",MROUND('T2'!K18*'T15'!K$2,5))</f>
        <v>48295</v>
      </c>
      <c r="L18" s="7">
        <f>IF(MROUND('T2'!L18*'T15'!L$2,1)&lt;1,"",MROUND('T2'!L18*'T15'!L$2,5))</f>
        <v>52995</v>
      </c>
      <c r="M18" s="7">
        <f>IF(MROUND('T2'!M18*'T15'!M$2,1)&lt;1,"",MROUND('T2'!M18*'T15'!M$2,5))</f>
        <v>56375</v>
      </c>
      <c r="N18" s="7">
        <f>IF(MROUND('T2'!N18*'T15'!N$2,1)=0,"",MROUND('T2'!N18*'T15'!N$2,5))</f>
        <v>49985</v>
      </c>
      <c r="O18" s="7">
        <f>IF(MROUND('T2'!O18*'T15'!O$2,1)&lt;1,"",MROUND('T2'!O18*'T15'!O$2,5))</f>
        <v>54640</v>
      </c>
      <c r="P18" s="7">
        <f>IF(MROUND('T2'!P18*'T15'!P$2,1)&lt;1,"",MROUND('T2'!P18*'T15'!P$2,5))</f>
        <v>57180</v>
      </c>
      <c r="Q18" s="8">
        <f t="shared" si="3"/>
        <v>168695</v>
      </c>
      <c r="R18" s="7"/>
      <c r="S18" s="8">
        <f t="shared" si="4"/>
        <v>185370</v>
      </c>
      <c r="T18" s="8">
        <f t="shared" si="5"/>
        <v>197910</v>
      </c>
      <c r="U18" s="22">
        <f t="shared" si="10"/>
        <v>33340</v>
      </c>
      <c r="W18" s="22">
        <f t="shared" si="11"/>
        <v>37320</v>
      </c>
      <c r="X18" s="22">
        <f t="shared" si="6"/>
        <v>41280</v>
      </c>
      <c r="Y18" s="7">
        <f t="shared" si="7"/>
        <v>135355</v>
      </c>
      <c r="Z18" s="22"/>
      <c r="AA18" s="22">
        <f t="shared" si="8"/>
        <v>148050</v>
      </c>
      <c r="AB18" s="22">
        <f t="shared" si="9"/>
        <v>156630</v>
      </c>
    </row>
    <row r="19" spans="1:28">
      <c r="A19">
        <v>2029</v>
      </c>
      <c r="B19" s="7">
        <f>IF(MROUND('T2'!B19*B$2,1)=0,"",MROUND('T2'!B19*'T15'!B$2,5))</f>
        <v>8550</v>
      </c>
      <c r="C19" s="7">
        <f>IF(MROUND('T2'!C19*'T15'!C$2,1)&lt;1,"",MROUND('T2'!C19*'T15'!C$2,5))</f>
        <v>9565</v>
      </c>
      <c r="D19" s="7">
        <f>IF(MROUND('T2'!D19*'T15'!D$2,1)&lt;1,"",MROUND('T2'!D19*'T15'!D$2,5))</f>
        <v>10745</v>
      </c>
      <c r="E19" s="7">
        <f>IF(MROUND('T2'!E19*'T15'!E$2,1)=0,"",MROUND('T2'!E19*'T15'!E$2,5))</f>
        <v>24555</v>
      </c>
      <c r="F19" s="7">
        <f>IF(MROUND('T2'!F19*'T15'!F$2,1)&lt;1,"",MROUND('T2'!F19*'T15'!F$2,5))</f>
        <v>27745</v>
      </c>
      <c r="G19" s="7">
        <f>IF(MROUND('T2'!G19*'T15'!G$2,1)&lt;1,"",MROUND('T2'!G19*'T15'!G$2,5))</f>
        <v>30820</v>
      </c>
      <c r="H19" s="7">
        <f>IF(MROUND('T2'!H19*'T15'!H$2,1)=0,"",MROUND('T2'!H19*'T15'!H$2,5))</f>
        <v>36735</v>
      </c>
      <c r="I19" s="7">
        <f>IF(MROUND('T2'!I19*'T15'!I$2,1)&lt;1,"",MROUND('T2'!I19*'T15'!I$2,5))</f>
        <v>40435</v>
      </c>
      <c r="J19" s="7">
        <f>IF(MROUND('T2'!J19*'T15'!J$2,1)&lt;1,"",MROUND('T2'!J19*'T15'!J$2,5))</f>
        <v>43435</v>
      </c>
      <c r="K19" s="7">
        <f>IF(MROUND('T2'!K19*'T15'!K$2,1)=0,"",MROUND('T2'!K19*'T15'!K$2,5))</f>
        <v>47985</v>
      </c>
      <c r="L19" s="7">
        <f>IF(MROUND('T2'!L19*'T15'!L$2,1)&lt;1,"",MROUND('T2'!L19*'T15'!L$2,5))</f>
        <v>53080</v>
      </c>
      <c r="M19" s="7">
        <f>IF(MROUND('T2'!M19*'T15'!M$2,1)&lt;1,"",MROUND('T2'!M19*'T15'!M$2,5))</f>
        <v>57115</v>
      </c>
      <c r="N19" s="7">
        <f>IF(MROUND('T2'!N19*'T15'!N$2,1)=0,"",MROUND('T2'!N19*'T15'!N$2,5))</f>
        <v>50150</v>
      </c>
      <c r="O19" s="7">
        <f>IF(MROUND('T2'!O19*'T15'!O$2,1)&lt;1,"",MROUND('T2'!O19*'T15'!O$2,5))</f>
        <v>55740</v>
      </c>
      <c r="P19" s="7">
        <f>IF(MROUND('T2'!P19*'T15'!P$2,1)&lt;1,"",MROUND('T2'!P19*'T15'!P$2,5))</f>
        <v>59065</v>
      </c>
      <c r="Q19" s="8">
        <f t="shared" si="3"/>
        <v>167975</v>
      </c>
      <c r="R19" s="7"/>
      <c r="S19" s="8">
        <f t="shared" si="4"/>
        <v>186565</v>
      </c>
      <c r="T19" s="8">
        <f t="shared" si="5"/>
        <v>201180</v>
      </c>
      <c r="U19" s="22">
        <f t="shared" si="10"/>
        <v>33105</v>
      </c>
      <c r="W19" s="22">
        <f t="shared" si="11"/>
        <v>37310</v>
      </c>
      <c r="X19" s="22">
        <f t="shared" si="6"/>
        <v>41565</v>
      </c>
      <c r="Y19" s="7">
        <f t="shared" si="7"/>
        <v>134870</v>
      </c>
      <c r="Z19" s="22"/>
      <c r="AA19" s="22">
        <f t="shared" si="8"/>
        <v>149255</v>
      </c>
      <c r="AB19" s="22">
        <f t="shared" si="9"/>
        <v>159615</v>
      </c>
    </row>
    <row r="20" spans="1:28">
      <c r="A20">
        <v>2030</v>
      </c>
      <c r="B20" s="7">
        <f>IF(MROUND('T2'!B20*B$2,1)=0,"",MROUND('T2'!B20*'T15'!B$2,5))</f>
        <v>8495</v>
      </c>
      <c r="C20" s="7">
        <f>IF(MROUND('T2'!C20*'T15'!C$2,1)&lt;1,"",MROUND('T2'!C20*'T15'!C$2,5))</f>
        <v>9565</v>
      </c>
      <c r="D20" s="7">
        <f>IF(MROUND('T2'!D20*'T15'!D$2,1)&lt;1,"",MROUND('T2'!D20*'T15'!D$2,5))</f>
        <v>10800</v>
      </c>
      <c r="E20" s="7">
        <f>IF(MROUND('T2'!E20*'T15'!E$2,1)=0,"",MROUND('T2'!E20*'T15'!E$2,5))</f>
        <v>24420</v>
      </c>
      <c r="F20" s="7">
        <f>IF(MROUND('T2'!F20*'T15'!F$2,1)&lt;1,"",MROUND('T2'!F20*'T15'!F$2,5))</f>
        <v>27735</v>
      </c>
      <c r="G20" s="7">
        <f>IF(MROUND('T2'!G20*'T15'!G$2,1)&lt;1,"",MROUND('T2'!G20*'T15'!G$2,5))</f>
        <v>31000</v>
      </c>
      <c r="H20" s="7">
        <f>IF(MROUND('T2'!H20*'T15'!H$2,1)=0,"",MROUND('T2'!H20*'T15'!H$2,5))</f>
        <v>36440</v>
      </c>
      <c r="I20" s="7">
        <f>IF(MROUND('T2'!I20*'T15'!I$2,1)&lt;1,"",MROUND('T2'!I20*'T15'!I$2,5))</f>
        <v>40435</v>
      </c>
      <c r="J20" s="7">
        <f>IF(MROUND('T2'!J20*'T15'!J$2,1)&lt;1,"",MROUND('T2'!J20*'T15'!J$2,5))</f>
        <v>43795</v>
      </c>
      <c r="K20" s="7">
        <f>IF(MROUND('T2'!K20*'T15'!K$2,1)=0,"",MROUND('T2'!K20*'T15'!K$2,5))</f>
        <v>47610</v>
      </c>
      <c r="L20" s="7">
        <f>IF(MROUND('T2'!L20*'T15'!L$2,1)&lt;1,"",MROUND('T2'!L20*'T15'!L$2,5))</f>
        <v>53115</v>
      </c>
      <c r="M20" s="7">
        <f>IF(MROUND('T2'!M20*'T15'!M$2,1)&lt;1,"",MROUND('T2'!M20*'T15'!M$2,5))</f>
        <v>57470</v>
      </c>
      <c r="N20" s="7">
        <f>IF(MROUND('T2'!N20*'T15'!N$2,1)=0,"",MROUND('T2'!N20*'T15'!N$2,5))</f>
        <v>49810</v>
      </c>
      <c r="O20" s="7">
        <f>IF(MROUND('T2'!O20*'T15'!O$2,1)&lt;1,"",MROUND('T2'!O20*'T15'!O$2,5))</f>
        <v>55845</v>
      </c>
      <c r="P20" s="7">
        <f>IF(MROUND('T2'!P20*'T15'!P$2,1)&lt;1,"",MROUND('T2'!P20*'T15'!P$2,5))</f>
        <v>59945</v>
      </c>
      <c r="Q20" s="8">
        <f t="shared" si="3"/>
        <v>166775</v>
      </c>
      <c r="R20" s="7"/>
      <c r="S20" s="8">
        <f t="shared" si="4"/>
        <v>186695</v>
      </c>
      <c r="T20" s="8">
        <f t="shared" si="5"/>
        <v>203010</v>
      </c>
      <c r="U20" s="22">
        <f t="shared" si="10"/>
        <v>32915</v>
      </c>
      <c r="W20" s="22">
        <f t="shared" si="11"/>
        <v>37300</v>
      </c>
      <c r="X20" s="22">
        <f t="shared" si="6"/>
        <v>41800</v>
      </c>
      <c r="Y20" s="7">
        <f t="shared" si="7"/>
        <v>133860</v>
      </c>
      <c r="Z20" s="22"/>
      <c r="AA20" s="22">
        <f t="shared" si="8"/>
        <v>149395</v>
      </c>
      <c r="AB20" s="22">
        <f t="shared" si="9"/>
        <v>161210</v>
      </c>
    </row>
    <row r="21" spans="1:28">
      <c r="A21">
        <v>2031</v>
      </c>
      <c r="B21" s="7">
        <f>IF(MROUND('T2'!B21*B$2,1)=0,"",MROUND('T2'!B21*'T15'!B$2,5))</f>
        <v>8430</v>
      </c>
      <c r="C21" s="7">
        <f>IF(MROUND('T2'!C21*'T15'!C$2,1)&lt;1,"",MROUND('T2'!C21*'T15'!C$2,5))</f>
        <v>9565</v>
      </c>
      <c r="D21" s="7">
        <f>IF(MROUND('T2'!D21*'T15'!D$2,1)&lt;1,"",MROUND('T2'!D21*'T15'!D$2,5))</f>
        <v>10850</v>
      </c>
      <c r="E21" s="7">
        <f>IF(MROUND('T2'!E21*'T15'!E$2,1)=0,"",MROUND('T2'!E21*'T15'!E$2,5))</f>
        <v>24280</v>
      </c>
      <c r="F21" s="7">
        <f>IF(MROUND('T2'!F21*'T15'!F$2,1)&lt;1,"",MROUND('T2'!F21*'T15'!F$2,5))</f>
        <v>27730</v>
      </c>
      <c r="G21" s="7">
        <f>IF(MROUND('T2'!G21*'T15'!G$2,1)&lt;1,"",MROUND('T2'!G21*'T15'!G$2,5))</f>
        <v>31115</v>
      </c>
      <c r="H21" s="7">
        <f>IF(MROUND('T2'!H21*'T15'!H$2,1)=0,"",MROUND('T2'!H21*'T15'!H$2,5))</f>
        <v>36215</v>
      </c>
      <c r="I21" s="7">
        <f>IF(MROUND('T2'!I21*'T15'!I$2,1)&lt;1,"",MROUND('T2'!I21*'T15'!I$2,5))</f>
        <v>40420</v>
      </c>
      <c r="J21" s="7">
        <f>IF(MROUND('T2'!J21*'T15'!J$2,1)&lt;1,"",MROUND('T2'!J21*'T15'!J$2,5))</f>
        <v>43980</v>
      </c>
      <c r="K21" s="7">
        <f>IF(MROUND('T2'!K21*'T15'!K$2,1)=0,"",MROUND('T2'!K21*'T15'!K$2,5))</f>
        <v>47230</v>
      </c>
      <c r="L21" s="7">
        <f>IF(MROUND('T2'!L21*'T15'!L$2,1)&lt;1,"",MROUND('T2'!L21*'T15'!L$2,5))</f>
        <v>53125</v>
      </c>
      <c r="M21" s="7">
        <f>IF(MROUND('T2'!M21*'T15'!M$2,1)&lt;1,"",MROUND('T2'!M21*'T15'!M$2,5))</f>
        <v>57955</v>
      </c>
      <c r="N21" s="7">
        <f>IF(MROUND('T2'!N21*'T15'!N$2,1)=0,"",MROUND('T2'!N21*'T15'!N$2,5))</f>
        <v>49500</v>
      </c>
      <c r="O21" s="7">
        <f>IF(MROUND('T2'!O21*'T15'!O$2,1)&lt;1,"",MROUND('T2'!O21*'T15'!O$2,5))</f>
        <v>55890</v>
      </c>
      <c r="P21" s="7">
        <f>IF(MROUND('T2'!P21*'T15'!P$2,1)&lt;1,"",MROUND('T2'!P21*'T15'!P$2,5))</f>
        <v>60255</v>
      </c>
      <c r="Q21" s="8">
        <f t="shared" si="3"/>
        <v>165655</v>
      </c>
      <c r="R21" s="7"/>
      <c r="S21" s="8">
        <f t="shared" si="4"/>
        <v>186730</v>
      </c>
      <c r="T21" s="8">
        <f t="shared" si="5"/>
        <v>204155</v>
      </c>
      <c r="U21" s="22">
        <f t="shared" si="10"/>
        <v>32710</v>
      </c>
      <c r="W21" s="22">
        <f t="shared" si="11"/>
        <v>37295</v>
      </c>
      <c r="X21" s="22">
        <f t="shared" si="6"/>
        <v>41965</v>
      </c>
      <c r="Y21" s="7">
        <f t="shared" si="7"/>
        <v>132945</v>
      </c>
      <c r="Z21" s="22"/>
      <c r="AA21" s="22">
        <f t="shared" si="8"/>
        <v>149435</v>
      </c>
      <c r="AB21" s="22">
        <f t="shared" si="9"/>
        <v>162190</v>
      </c>
    </row>
    <row r="22" spans="1:28">
      <c r="A22">
        <v>2032</v>
      </c>
      <c r="B22" s="7">
        <f>IF(MROUND('T2'!B22*B$2,1)=0,"",MROUND('T2'!B22*'T15'!B$2,5))</f>
        <v>8400</v>
      </c>
      <c r="C22" s="7">
        <f>IF(MROUND('T2'!C22*'T15'!C$2,1)&lt;1,"",MROUND('T2'!C22*'T15'!C$2,5))</f>
        <v>9570</v>
      </c>
      <c r="D22" s="7">
        <f>IF(MROUND('T2'!D22*'T15'!D$2,1)&lt;1,"",MROUND('T2'!D22*'T15'!D$2,5))</f>
        <v>10925</v>
      </c>
      <c r="E22" s="7">
        <f>IF(MROUND('T2'!E22*'T15'!E$2,1)=0,"",MROUND('T2'!E22*'T15'!E$2,5))</f>
        <v>24080</v>
      </c>
      <c r="F22" s="7">
        <f>IF(MROUND('T2'!F22*'T15'!F$2,1)&lt;1,"",MROUND('T2'!F22*'T15'!F$2,5))</f>
        <v>27735</v>
      </c>
      <c r="G22" s="7">
        <f>IF(MROUND('T2'!G22*'T15'!G$2,1)&lt;1,"",MROUND('T2'!G22*'T15'!G$2,5))</f>
        <v>31290</v>
      </c>
      <c r="H22" s="7">
        <f>IF(MROUND('T2'!H22*'T15'!H$2,1)=0,"",MROUND('T2'!H22*'T15'!H$2,5))</f>
        <v>36045</v>
      </c>
      <c r="I22" s="7">
        <f>IF(MROUND('T2'!I22*'T15'!I$2,1)&lt;1,"",MROUND('T2'!I22*'T15'!I$2,5))</f>
        <v>40415</v>
      </c>
      <c r="J22" s="7">
        <f>IF(MROUND('T2'!J22*'T15'!J$2,1)&lt;1,"",MROUND('T2'!J22*'T15'!J$2,5))</f>
        <v>44235</v>
      </c>
      <c r="K22" s="7">
        <f>IF(MROUND('T2'!K22*'T15'!K$2,1)=0,"",MROUND('T2'!K22*'T15'!K$2,5))</f>
        <v>46935</v>
      </c>
      <c r="L22" s="7">
        <f>IF(MROUND('T2'!L22*'T15'!L$2,1)&lt;1,"",MROUND('T2'!L22*'T15'!L$2,5))</f>
        <v>53115</v>
      </c>
      <c r="M22" s="7">
        <f>IF(MROUND('T2'!M22*'T15'!M$2,1)&lt;1,"",MROUND('T2'!M22*'T15'!M$2,5))</f>
        <v>58305</v>
      </c>
      <c r="N22" s="7">
        <f>IF(MROUND('T2'!N22*'T15'!N$2,1)=0,"",MROUND('T2'!N22*'T15'!N$2,5))</f>
        <v>49060</v>
      </c>
      <c r="O22" s="7">
        <f>IF(MROUND('T2'!O22*'T15'!O$2,1)&lt;1,"",MROUND('T2'!O22*'T15'!O$2,5))</f>
        <v>55900</v>
      </c>
      <c r="P22" s="7">
        <f>IF(MROUND('T2'!P22*'T15'!P$2,1)&lt;1,"",MROUND('T2'!P22*'T15'!P$2,5))</f>
        <v>60740</v>
      </c>
      <c r="Q22" s="8">
        <f t="shared" si="3"/>
        <v>164520</v>
      </c>
      <c r="R22" s="7"/>
      <c r="S22" s="8">
        <f t="shared" si="4"/>
        <v>186735</v>
      </c>
      <c r="T22" s="8">
        <f t="shared" si="5"/>
        <v>205495</v>
      </c>
      <c r="U22" s="22">
        <f t="shared" si="10"/>
        <v>32480</v>
      </c>
      <c r="W22" s="22">
        <f t="shared" si="11"/>
        <v>37305</v>
      </c>
      <c r="X22" s="22">
        <f t="shared" si="6"/>
        <v>42215</v>
      </c>
      <c r="Y22" s="7">
        <f t="shared" si="7"/>
        <v>132040</v>
      </c>
      <c r="Z22" s="22"/>
      <c r="AA22" s="22">
        <f t="shared" si="8"/>
        <v>149430</v>
      </c>
      <c r="AB22" s="22">
        <f t="shared" si="9"/>
        <v>163280</v>
      </c>
    </row>
    <row r="23" spans="1:28">
      <c r="A23">
        <v>2033</v>
      </c>
      <c r="B23" s="7">
        <f>IF(MROUND('T2'!B23*B$2,1)=0,"",MROUND('T2'!B23*'T15'!B$2,5))</f>
        <v>8370</v>
      </c>
      <c r="C23" s="7">
        <f>IF(MROUND('T2'!C23*'T15'!C$2,1)&lt;1,"",MROUND('T2'!C23*'T15'!C$2,5))</f>
        <v>9590</v>
      </c>
      <c r="D23" s="7">
        <f>IF(MROUND('T2'!D23*'T15'!D$2,1)&lt;1,"",MROUND('T2'!D23*'T15'!D$2,5))</f>
        <v>11000</v>
      </c>
      <c r="E23" s="7">
        <f>IF(MROUND('T2'!E23*'T15'!E$2,1)=0,"",MROUND('T2'!E23*'T15'!E$2,5))</f>
        <v>24015</v>
      </c>
      <c r="F23" s="7">
        <f>IF(MROUND('T2'!F23*'T15'!F$2,1)&lt;1,"",MROUND('T2'!F23*'T15'!F$2,5))</f>
        <v>27760</v>
      </c>
      <c r="G23" s="7">
        <f>IF(MROUND('T2'!G23*'T15'!G$2,1)&lt;1,"",MROUND('T2'!G23*'T15'!G$2,5))</f>
        <v>31450</v>
      </c>
      <c r="H23" s="7">
        <f>IF(MROUND('T2'!H23*'T15'!H$2,1)=0,"",MROUND('T2'!H23*'T15'!H$2,5))</f>
        <v>35770</v>
      </c>
      <c r="I23" s="7">
        <f>IF(MROUND('T2'!I23*'T15'!I$2,1)&lt;1,"",MROUND('T2'!I23*'T15'!I$2,5))</f>
        <v>40430</v>
      </c>
      <c r="J23" s="7">
        <f>IF(MROUND('T2'!J23*'T15'!J$2,1)&lt;1,"",MROUND('T2'!J23*'T15'!J$2,5))</f>
        <v>44445</v>
      </c>
      <c r="K23" s="7">
        <f>IF(MROUND('T2'!K23*'T15'!K$2,1)=0,"",MROUND('T2'!K23*'T15'!K$2,5))</f>
        <v>46690</v>
      </c>
      <c r="L23" s="7">
        <f>IF(MROUND('T2'!L23*'T15'!L$2,1)&lt;1,"",MROUND('T2'!L23*'T15'!L$2,5))</f>
        <v>53105</v>
      </c>
      <c r="M23" s="7">
        <f>IF(MROUND('T2'!M23*'T15'!M$2,1)&lt;1,"",MROUND('T2'!M23*'T15'!M$2,5))</f>
        <v>58700</v>
      </c>
      <c r="N23" s="7">
        <f>IF(MROUND('T2'!N23*'T15'!N$2,1)=0,"",MROUND('T2'!N23*'T15'!N$2,5))</f>
        <v>48730</v>
      </c>
      <c r="O23" s="7">
        <f>IF(MROUND('T2'!O23*'T15'!O$2,1)&lt;1,"",MROUND('T2'!O23*'T15'!O$2,5))</f>
        <v>55890</v>
      </c>
      <c r="P23" s="7">
        <f>IF(MROUND('T2'!P23*'T15'!P$2,1)&lt;1,"",MROUND('T2'!P23*'T15'!P$2,5))</f>
        <v>61090</v>
      </c>
      <c r="Q23" s="8">
        <f t="shared" si="3"/>
        <v>163575</v>
      </c>
      <c r="R23" s="7"/>
      <c r="S23" s="8">
        <f t="shared" si="4"/>
        <v>186775</v>
      </c>
      <c r="T23" s="8">
        <f t="shared" si="5"/>
        <v>206685</v>
      </c>
      <c r="U23" s="22">
        <f t="shared" si="10"/>
        <v>32385</v>
      </c>
      <c r="W23" s="22">
        <f t="shared" si="11"/>
        <v>37350</v>
      </c>
      <c r="X23" s="22">
        <f t="shared" si="6"/>
        <v>42450</v>
      </c>
      <c r="Y23" s="7">
        <f t="shared" si="7"/>
        <v>131190</v>
      </c>
      <c r="Z23" s="22"/>
      <c r="AA23" s="22">
        <f t="shared" si="8"/>
        <v>149425</v>
      </c>
      <c r="AB23" s="22">
        <f t="shared" si="9"/>
        <v>164235</v>
      </c>
    </row>
    <row r="24" spans="1:28">
      <c r="A24">
        <v>2034</v>
      </c>
      <c r="B24" s="7">
        <f>IF(MROUND('T2'!B24*B$2,1)=0,"",MROUND('T2'!B24*'T15'!B$2,5))</f>
        <v>8375</v>
      </c>
      <c r="C24" s="7">
        <f>IF(MROUND('T2'!C24*'T15'!C$2,1)&lt;1,"",MROUND('T2'!C24*'T15'!C$2,5))</f>
        <v>9615</v>
      </c>
      <c r="D24" s="7">
        <f>IF(MROUND('T2'!D24*'T15'!D$2,1)&lt;1,"",MROUND('T2'!D24*'T15'!D$2,5))</f>
        <v>11045</v>
      </c>
      <c r="E24" s="7">
        <f>IF(MROUND('T2'!E24*'T15'!E$2,1)=0,"",MROUND('T2'!E24*'T15'!E$2,5))</f>
        <v>23935</v>
      </c>
      <c r="F24" s="7">
        <f>IF(MROUND('T2'!F24*'T15'!F$2,1)&lt;1,"",MROUND('T2'!F24*'T15'!F$2,5))</f>
        <v>27810</v>
      </c>
      <c r="G24" s="7">
        <f>IF(MROUND('T2'!G24*'T15'!G$2,1)&lt;1,"",MROUND('T2'!G24*'T15'!G$2,5))</f>
        <v>31700</v>
      </c>
      <c r="H24" s="7">
        <f>IF(MROUND('T2'!H24*'T15'!H$2,1)=0,"",MROUND('T2'!H24*'T15'!H$2,5))</f>
        <v>35645</v>
      </c>
      <c r="I24" s="7">
        <f>IF(MROUND('T2'!I24*'T15'!I$2,1)&lt;1,"",MROUND('T2'!I24*'T15'!I$2,5))</f>
        <v>40465</v>
      </c>
      <c r="J24" s="7">
        <f>IF(MROUND('T2'!J24*'T15'!J$2,1)&lt;1,"",MROUND('T2'!J24*'T15'!J$2,5))</f>
        <v>44655</v>
      </c>
      <c r="K24" s="7">
        <f>IF(MROUND('T2'!K24*'T15'!K$2,1)=0,"",MROUND('T2'!K24*'T15'!K$2,5))</f>
        <v>46365</v>
      </c>
      <c r="L24" s="7">
        <f>IF(MROUND('T2'!L24*'T15'!L$2,1)&lt;1,"",MROUND('T2'!L24*'T15'!L$2,5))</f>
        <v>53125</v>
      </c>
      <c r="M24" s="7">
        <f>IF(MROUND('T2'!M24*'T15'!M$2,1)&lt;1,"",MROUND('T2'!M24*'T15'!M$2,5))</f>
        <v>58865</v>
      </c>
      <c r="N24" s="7">
        <f>IF(MROUND('T2'!N24*'T15'!N$2,1)=0,"",MROUND('T2'!N24*'T15'!N$2,5))</f>
        <v>48495</v>
      </c>
      <c r="O24" s="7">
        <f>IF(MROUND('T2'!O24*'T15'!O$2,1)&lt;1,"",MROUND('T2'!O24*'T15'!O$2,5))</f>
        <v>55890</v>
      </c>
      <c r="P24" s="7">
        <f>IF(MROUND('T2'!P24*'T15'!P$2,1)&lt;1,"",MROUND('T2'!P24*'T15'!P$2,5))</f>
        <v>61440</v>
      </c>
      <c r="Q24" s="8">
        <f t="shared" si="3"/>
        <v>162815</v>
      </c>
      <c r="R24" s="7"/>
      <c r="S24" s="8">
        <f t="shared" si="4"/>
        <v>186905</v>
      </c>
      <c r="T24" s="8">
        <f t="shared" si="5"/>
        <v>207705</v>
      </c>
      <c r="U24" s="22">
        <f t="shared" si="10"/>
        <v>32310</v>
      </c>
      <c r="W24" s="22">
        <f t="shared" si="11"/>
        <v>37425</v>
      </c>
      <c r="X24" s="22">
        <f t="shared" si="6"/>
        <v>42745</v>
      </c>
      <c r="Y24" s="7">
        <f t="shared" si="7"/>
        <v>130505</v>
      </c>
      <c r="Z24" s="22"/>
      <c r="AA24" s="22">
        <f t="shared" si="8"/>
        <v>149480</v>
      </c>
      <c r="AB24" s="22">
        <f t="shared" si="9"/>
        <v>164960</v>
      </c>
    </row>
    <row r="25" spans="1:28">
      <c r="A25">
        <v>2035</v>
      </c>
      <c r="B25" s="7">
        <f>IF(MROUND('T2'!B25*B$2,1)=0,"",MROUND('T2'!B25*'T15'!B$2,5))</f>
        <v>8355</v>
      </c>
      <c r="C25" s="7">
        <f>IF(MROUND('T2'!C25*'T15'!C$2,1)&lt;1,"",MROUND('T2'!C25*'T15'!C$2,5))</f>
        <v>9655</v>
      </c>
      <c r="D25" s="7">
        <f>IF(MROUND('T2'!D25*'T15'!D$2,1)&lt;1,"",MROUND('T2'!D25*'T15'!D$2,5))</f>
        <v>11140</v>
      </c>
      <c r="E25" s="7">
        <f>IF(MROUND('T2'!E25*'T15'!E$2,1)=0,"",MROUND('T2'!E25*'T15'!E$2,5))</f>
        <v>23920</v>
      </c>
      <c r="F25" s="7">
        <f>IF(MROUND('T2'!F25*'T15'!F$2,1)&lt;1,"",MROUND('T2'!F25*'T15'!F$2,5))</f>
        <v>27890</v>
      </c>
      <c r="G25" s="7">
        <f>IF(MROUND('T2'!G25*'T15'!G$2,1)&lt;1,"",MROUND('T2'!G25*'T15'!G$2,5))</f>
        <v>31855</v>
      </c>
      <c r="H25" s="7">
        <f>IF(MROUND('T2'!H25*'T15'!H$2,1)=0,"",MROUND('T2'!H25*'T15'!H$2,5))</f>
        <v>35605</v>
      </c>
      <c r="I25" s="7">
        <f>IF(MROUND('T2'!I25*'T15'!I$2,1)&lt;1,"",MROUND('T2'!I25*'T15'!I$2,5))</f>
        <v>40540</v>
      </c>
      <c r="J25" s="7">
        <f>IF(MROUND('T2'!J25*'T15'!J$2,1)&lt;1,"",MROUND('T2'!J25*'T15'!J$2,5))</f>
        <v>44990</v>
      </c>
      <c r="K25" s="7">
        <f>IF(MROUND('T2'!K25*'T15'!K$2,1)=0,"",MROUND('T2'!K25*'T15'!K$2,5))</f>
        <v>46250</v>
      </c>
      <c r="L25" s="7">
        <f>IF(MROUND('T2'!L25*'T15'!L$2,1)&lt;1,"",MROUND('T2'!L25*'T15'!L$2,5))</f>
        <v>53175</v>
      </c>
      <c r="M25" s="7">
        <f>IF(MROUND('T2'!M25*'T15'!M$2,1)&lt;1,"",MROUND('T2'!M25*'T15'!M$2,5))</f>
        <v>59080</v>
      </c>
      <c r="N25" s="7">
        <f>IF(MROUND('T2'!N25*'T15'!N$2,1)=0,"",MROUND('T2'!N25*'T15'!N$2,5))</f>
        <v>48190</v>
      </c>
      <c r="O25" s="7">
        <f>IF(MROUND('T2'!O25*'T15'!O$2,1)&lt;1,"",MROUND('T2'!O25*'T15'!O$2,5))</f>
        <v>55910</v>
      </c>
      <c r="P25" s="7">
        <f>IF(MROUND('T2'!P25*'T15'!P$2,1)&lt;1,"",MROUND('T2'!P25*'T15'!P$2,5))</f>
        <v>61685</v>
      </c>
      <c r="Q25" s="8">
        <f t="shared" si="3"/>
        <v>162320</v>
      </c>
      <c r="R25" s="7"/>
      <c r="S25" s="8">
        <f t="shared" si="4"/>
        <v>187170</v>
      </c>
      <c r="T25" s="8">
        <f t="shared" si="5"/>
        <v>208750</v>
      </c>
      <c r="U25" s="22">
        <f t="shared" si="10"/>
        <v>32275</v>
      </c>
      <c r="W25" s="22">
        <f t="shared" si="11"/>
        <v>37545</v>
      </c>
      <c r="X25" s="22">
        <f t="shared" si="6"/>
        <v>42995</v>
      </c>
      <c r="Y25" s="7">
        <f t="shared" si="7"/>
        <v>130045</v>
      </c>
      <c r="Z25" s="22"/>
      <c r="AA25" s="22">
        <f t="shared" si="8"/>
        <v>149625</v>
      </c>
      <c r="AB25" s="22">
        <f t="shared" si="9"/>
        <v>165755</v>
      </c>
    </row>
    <row r="26" spans="1:28">
      <c r="A26">
        <v>2036</v>
      </c>
      <c r="B26" s="7">
        <f>IF(MROUND('T2'!B26*B$2,1)=0,"",MROUND('T2'!B26*'T15'!B$2,5))</f>
        <v>8370</v>
      </c>
      <c r="C26" s="7">
        <f>IF(MROUND('T2'!C26*'T15'!C$2,1)&lt;1,"",MROUND('T2'!C26*'T15'!C$2,5))</f>
        <v>9710</v>
      </c>
      <c r="D26" s="7">
        <f>IF(MROUND('T2'!D26*'T15'!D$2,1)&lt;1,"",MROUND('T2'!D26*'T15'!D$2,5))</f>
        <v>11235</v>
      </c>
      <c r="E26" s="7">
        <f>IF(MROUND('T2'!E26*'T15'!E$2,1)=0,"",MROUND('T2'!E26*'T15'!E$2,5))</f>
        <v>23905</v>
      </c>
      <c r="F26" s="7">
        <f>IF(MROUND('T2'!F26*'T15'!F$2,1)&lt;1,"",MROUND('T2'!F26*'T15'!F$2,5))</f>
        <v>28010</v>
      </c>
      <c r="G26" s="7">
        <f>IF(MROUND('T2'!G26*'T15'!G$2,1)&lt;1,"",MROUND('T2'!G26*'T15'!G$2,5))</f>
        <v>32160</v>
      </c>
      <c r="H26" s="7">
        <f>IF(MROUND('T2'!H26*'T15'!H$2,1)=0,"",MROUND('T2'!H26*'T15'!H$2,5))</f>
        <v>35505</v>
      </c>
      <c r="I26" s="7">
        <f>IF(MROUND('T2'!I26*'T15'!I$2,1)&lt;1,"",MROUND('T2'!I26*'T15'!I$2,5))</f>
        <v>40665</v>
      </c>
      <c r="J26" s="7">
        <f>IF(MROUND('T2'!J26*'T15'!J$2,1)&lt;1,"",MROUND('T2'!J26*'T15'!J$2,5))</f>
        <v>45250</v>
      </c>
      <c r="K26" s="7">
        <f>IF(MROUND('T2'!K26*'T15'!K$2,1)=0,"",MROUND('T2'!K26*'T15'!K$2,5))</f>
        <v>46145</v>
      </c>
      <c r="L26" s="7">
        <f>IF(MROUND('T2'!L26*'T15'!L$2,1)&lt;1,"",MROUND('T2'!L26*'T15'!L$2,5))</f>
        <v>53275</v>
      </c>
      <c r="M26" s="7">
        <f>IF(MROUND('T2'!M26*'T15'!M$2,1)&lt;1,"",MROUND('T2'!M26*'T15'!M$2,5))</f>
        <v>59505</v>
      </c>
      <c r="N26" s="7">
        <f>IF(MROUND('T2'!N26*'T15'!N$2,1)=0,"",MROUND('T2'!N26*'T15'!N$2,5))</f>
        <v>48050</v>
      </c>
      <c r="O26" s="7">
        <f>IF(MROUND('T2'!O26*'T15'!O$2,1)&lt;1,"",MROUND('T2'!O26*'T15'!O$2,5))</f>
        <v>55975</v>
      </c>
      <c r="P26" s="7">
        <f>IF(MROUND('T2'!P26*'T15'!P$2,1)&lt;1,"",MROUND('T2'!P26*'T15'!P$2,5))</f>
        <v>61920</v>
      </c>
      <c r="Q26" s="8">
        <f t="shared" si="3"/>
        <v>161975</v>
      </c>
      <c r="R26" s="7"/>
      <c r="S26" s="8">
        <f t="shared" si="4"/>
        <v>187635</v>
      </c>
      <c r="T26" s="8">
        <f t="shared" si="5"/>
        <v>210070</v>
      </c>
      <c r="U26" s="22">
        <f t="shared" si="10"/>
        <v>32275</v>
      </c>
      <c r="W26" s="22">
        <f t="shared" si="11"/>
        <v>37720</v>
      </c>
      <c r="X26" s="22">
        <f t="shared" si="6"/>
        <v>43395</v>
      </c>
      <c r="Y26" s="7">
        <f t="shared" si="7"/>
        <v>129700</v>
      </c>
      <c r="Z26" s="22"/>
      <c r="AA26" s="22">
        <f t="shared" si="8"/>
        <v>149915</v>
      </c>
      <c r="AB26" s="22">
        <f t="shared" si="9"/>
        <v>166675</v>
      </c>
    </row>
    <row r="27" spans="1:28">
      <c r="A27">
        <v>2037</v>
      </c>
      <c r="B27" s="7">
        <f>IF(MROUND('T2'!B27*B$2,1)=0,"",MROUND('T2'!B27*'T15'!B$2,5))</f>
        <v>8390</v>
      </c>
      <c r="C27" s="7">
        <f>IF(MROUND('T2'!C27*'T15'!C$2,1)&lt;1,"",MROUND('T2'!C27*'T15'!C$2,5))</f>
        <v>9770</v>
      </c>
      <c r="D27" s="7">
        <f>IF(MROUND('T2'!D27*'T15'!D$2,1)&lt;1,"",MROUND('T2'!D27*'T15'!D$2,5))</f>
        <v>11345</v>
      </c>
      <c r="E27" s="7">
        <f>IF(MROUND('T2'!E27*'T15'!E$2,1)=0,"",MROUND('T2'!E27*'T15'!E$2,5))</f>
        <v>23880</v>
      </c>
      <c r="F27" s="7">
        <f>IF(MROUND('T2'!F27*'T15'!F$2,1)&lt;1,"",MROUND('T2'!F27*'T15'!F$2,5))</f>
        <v>28170</v>
      </c>
      <c r="G27" s="7">
        <f>IF(MROUND('T2'!G27*'T15'!G$2,1)&lt;1,"",MROUND('T2'!G27*'T15'!G$2,5))</f>
        <v>32395</v>
      </c>
      <c r="H27" s="7">
        <f>IF(MROUND('T2'!H27*'T15'!H$2,1)=0,"",MROUND('T2'!H27*'T15'!H$2,5))</f>
        <v>35490</v>
      </c>
      <c r="I27" s="7">
        <f>IF(MROUND('T2'!I27*'T15'!I$2,1)&lt;1,"",MROUND('T2'!I27*'T15'!I$2,5))</f>
        <v>40835</v>
      </c>
      <c r="J27" s="7">
        <f>IF(MROUND('T2'!J27*'T15'!J$2,1)&lt;1,"",MROUND('T2'!J27*'T15'!J$2,5))</f>
        <v>45620</v>
      </c>
      <c r="K27" s="7">
        <f>IF(MROUND('T2'!K27*'T15'!K$2,1)=0,"",MROUND('T2'!K27*'T15'!K$2,5))</f>
        <v>46020</v>
      </c>
      <c r="L27" s="7">
        <f>IF(MROUND('T2'!L27*'T15'!L$2,1)&lt;1,"",MROUND('T2'!L27*'T15'!L$2,5))</f>
        <v>53450</v>
      </c>
      <c r="M27" s="7">
        <f>IF(MROUND('T2'!M27*'T15'!M$2,1)&lt;1,"",MROUND('T2'!M27*'T15'!M$2,5))</f>
        <v>59925</v>
      </c>
      <c r="N27" s="7">
        <f>IF(MROUND('T2'!N27*'T15'!N$2,1)=0,"",MROUND('T2'!N27*'T15'!N$2,5))</f>
        <v>48010</v>
      </c>
      <c r="O27" s="7">
        <f>IF(MROUND('T2'!O27*'T15'!O$2,1)&lt;1,"",MROUND('T2'!O27*'T15'!O$2,5))</f>
        <v>56080</v>
      </c>
      <c r="P27" s="7">
        <f>IF(MROUND('T2'!P27*'T15'!P$2,1)&lt;1,"",MROUND('T2'!P27*'T15'!P$2,5))</f>
        <v>62240</v>
      </c>
      <c r="Q27" s="8">
        <f t="shared" si="3"/>
        <v>161790</v>
      </c>
      <c r="R27" s="7"/>
      <c r="S27" s="8">
        <f t="shared" si="4"/>
        <v>188305</v>
      </c>
      <c r="T27" s="8">
        <f t="shared" si="5"/>
        <v>211525</v>
      </c>
      <c r="U27" s="22">
        <f t="shared" si="10"/>
        <v>32270</v>
      </c>
      <c r="W27" s="22">
        <f t="shared" si="11"/>
        <v>37940</v>
      </c>
      <c r="X27" s="22">
        <f t="shared" si="6"/>
        <v>43740</v>
      </c>
      <c r="Y27" s="7">
        <f t="shared" si="7"/>
        <v>129520</v>
      </c>
      <c r="Z27" s="22"/>
      <c r="AA27" s="22">
        <f t="shared" si="8"/>
        <v>150365</v>
      </c>
      <c r="AB27" s="22">
        <f t="shared" si="9"/>
        <v>167785</v>
      </c>
    </row>
    <row r="28" spans="1:28">
      <c r="A28">
        <v>2038</v>
      </c>
      <c r="B28" s="7">
        <f>IF(MROUND('T2'!B28*B$2,1)=0,"",MROUND('T2'!B28*'T15'!B$2,5))</f>
        <v>8435</v>
      </c>
      <c r="C28" s="7">
        <f>IF(MROUND('T2'!C28*'T15'!C$2,1)&lt;1,"",MROUND('T2'!C28*'T15'!C$2,5))</f>
        <v>9845</v>
      </c>
      <c r="D28" s="7">
        <f>IF(MROUND('T2'!D28*'T15'!D$2,1)&lt;1,"",MROUND('T2'!D28*'T15'!D$2,5))</f>
        <v>11450</v>
      </c>
      <c r="E28" s="7">
        <f>IF(MROUND('T2'!E28*'T15'!E$2,1)=0,"",MROUND('T2'!E28*'T15'!E$2,5))</f>
        <v>24035</v>
      </c>
      <c r="F28" s="7">
        <f>IF(MROUND('T2'!F28*'T15'!F$2,1)&lt;1,"",MROUND('T2'!F28*'T15'!F$2,5))</f>
        <v>28350</v>
      </c>
      <c r="G28" s="7">
        <f>IF(MROUND('T2'!G28*'T15'!G$2,1)&lt;1,"",MROUND('T2'!G28*'T15'!G$2,5))</f>
        <v>32695</v>
      </c>
      <c r="H28" s="7">
        <f>IF(MROUND('T2'!H28*'T15'!H$2,1)=0,"",MROUND('T2'!H28*'T15'!H$2,5))</f>
        <v>35510</v>
      </c>
      <c r="I28" s="7">
        <f>IF(MROUND('T2'!I28*'T15'!I$2,1)&lt;1,"",MROUND('T2'!I28*'T15'!I$2,5))</f>
        <v>41065</v>
      </c>
      <c r="J28" s="7">
        <f>IF(MROUND('T2'!J28*'T15'!J$2,1)&lt;1,"",MROUND('T2'!J28*'T15'!J$2,5))</f>
        <v>46000</v>
      </c>
      <c r="K28" s="7">
        <f>IF(MROUND('T2'!K28*'T15'!K$2,1)=0,"",MROUND('T2'!K28*'T15'!K$2,5))</f>
        <v>46010</v>
      </c>
      <c r="L28" s="7">
        <f>IF(MROUND('T2'!L28*'T15'!L$2,1)&lt;1,"",MROUND('T2'!L28*'T15'!L$2,5))</f>
        <v>53675</v>
      </c>
      <c r="M28" s="7">
        <f>IF(MROUND('T2'!M28*'T15'!M$2,1)&lt;1,"",MROUND('T2'!M28*'T15'!M$2,5))</f>
        <v>60385</v>
      </c>
      <c r="N28" s="7">
        <f>IF(MROUND('T2'!N28*'T15'!N$2,1)=0,"",MROUND('T2'!N28*'T15'!N$2,5))</f>
        <v>47905</v>
      </c>
      <c r="O28" s="7">
        <f>IF(MROUND('T2'!O28*'T15'!O$2,1)&lt;1,"",MROUND('T2'!O28*'T15'!O$2,5))</f>
        <v>56260</v>
      </c>
      <c r="P28" s="7">
        <f>IF(MROUND('T2'!P28*'T15'!P$2,1)&lt;1,"",MROUND('T2'!P28*'T15'!P$2,5))</f>
        <v>62705</v>
      </c>
      <c r="Q28" s="8">
        <f t="shared" si="3"/>
        <v>161895</v>
      </c>
      <c r="R28" s="7"/>
      <c r="S28" s="8">
        <f t="shared" si="4"/>
        <v>189195</v>
      </c>
      <c r="T28" s="8">
        <f t="shared" si="5"/>
        <v>213235</v>
      </c>
      <c r="U28" s="22">
        <f t="shared" si="10"/>
        <v>32470</v>
      </c>
      <c r="W28" s="22">
        <f t="shared" si="11"/>
        <v>38195</v>
      </c>
      <c r="X28" s="22">
        <f t="shared" si="6"/>
        <v>44145</v>
      </c>
      <c r="Y28" s="7">
        <f t="shared" si="7"/>
        <v>129425</v>
      </c>
      <c r="Z28" s="22"/>
      <c r="AA28" s="22">
        <f t="shared" si="8"/>
        <v>151000</v>
      </c>
      <c r="AB28" s="22">
        <f t="shared" si="9"/>
        <v>169090</v>
      </c>
    </row>
    <row r="30" spans="1:28">
      <c r="T30" s="131"/>
    </row>
    <row r="31" spans="1:28">
      <c r="T31" s="132"/>
    </row>
    <row r="32" spans="1:28">
      <c r="U32" s="22"/>
      <c r="V32" s="22"/>
    </row>
    <row r="33" spans="17:21">
      <c r="U33" s="22"/>
    </row>
    <row r="34" spans="17:21">
      <c r="Q34" s="37"/>
      <c r="R34" s="3"/>
    </row>
    <row r="35" spans="17:21">
      <c r="Q35" s="37"/>
      <c r="R35" s="36"/>
      <c r="S35" s="36"/>
    </row>
    <row r="37" spans="17:21">
      <c r="Q37" s="37"/>
      <c r="R37" s="22"/>
    </row>
  </sheetData>
  <sheetProtection algorithmName="SHA-512" hashValue="nuP9A2eX1o3Shjj2DosgqHh5X1NfEWacVDzvdBMGgZ3tN4PnJMEBHEdM8Nvs9gfaDovr9n0v1/0qrjDRn8uo4A==" saltValue="pLK32nNxqOeISo0lQ1WWtA==" spinCount="100000" sheet="1" objects="1" scenarios="1" formatCells="0" formatColumns="0" formatRows="0" insertRows="0" sort="0" autoFilter="0" pivotTables="0"/>
  <mergeCells count="8">
    <mergeCell ref="U3:X3"/>
    <mergeCell ref="Y3:AB3"/>
    <mergeCell ref="B3:D3"/>
    <mergeCell ref="E3:G3"/>
    <mergeCell ref="H3:J3"/>
    <mergeCell ref="K3:M3"/>
    <mergeCell ref="N3:P3"/>
    <mergeCell ref="Q3:T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015C7-72A0-4AFA-929A-867585B11DA2}">
  <dimension ref="A1:G13"/>
  <sheetViews>
    <sheetView workbookViewId="0">
      <selection activeCell="E3" sqref="E3:E13"/>
    </sheetView>
  </sheetViews>
  <sheetFormatPr defaultColWidth="8.85546875" defaultRowHeight="14.65"/>
  <cols>
    <col min="1" max="1" width="24" bestFit="1" customWidth="1"/>
    <col min="2" max="2" width="15.28515625" bestFit="1" customWidth="1"/>
    <col min="3" max="3" width="27" customWidth="1"/>
    <col min="4" max="4" width="20" bestFit="1" customWidth="1"/>
    <col min="5" max="5" width="16.140625" bestFit="1" customWidth="1"/>
    <col min="6" max="6" width="24" bestFit="1" customWidth="1"/>
    <col min="7" max="7" width="23.7109375" customWidth="1"/>
  </cols>
  <sheetData>
    <row r="1" spans="1:7">
      <c r="A1" s="6" t="s">
        <v>279</v>
      </c>
    </row>
    <row r="2" spans="1:7">
      <c r="A2" s="1" t="s">
        <v>280</v>
      </c>
      <c r="B2" s="1" t="s">
        <v>281</v>
      </c>
      <c r="C2" s="1" t="s">
        <v>282</v>
      </c>
      <c r="D2" s="1" t="s">
        <v>283</v>
      </c>
      <c r="E2" s="1" t="s">
        <v>284</v>
      </c>
      <c r="F2" s="1" t="s">
        <v>285</v>
      </c>
      <c r="G2" s="1" t="s">
        <v>286</v>
      </c>
    </row>
    <row r="3" spans="1:7">
      <c r="A3" t="s">
        <v>287</v>
      </c>
      <c r="B3" t="s">
        <v>288</v>
      </c>
      <c r="C3" s="12" t="s">
        <v>289</v>
      </c>
      <c r="D3" s="14">
        <v>0.2</v>
      </c>
      <c r="E3" s="57">
        <f t="shared" ref="E3" si="0">1/4.38</f>
        <v>0.22831050228310504</v>
      </c>
      <c r="F3" s="13">
        <v>1</v>
      </c>
      <c r="G3">
        <v>1</v>
      </c>
    </row>
    <row r="4" spans="1:7">
      <c r="A4" t="s">
        <v>290</v>
      </c>
      <c r="B4" t="s">
        <v>291</v>
      </c>
      <c r="C4" s="12" t="s">
        <v>292</v>
      </c>
      <c r="D4" s="14">
        <f>1/10</f>
        <v>0.1</v>
      </c>
      <c r="E4" s="57">
        <f>1/6.21</f>
        <v>0.1610305958132045</v>
      </c>
      <c r="F4" s="13">
        <v>1</v>
      </c>
      <c r="G4">
        <v>1</v>
      </c>
    </row>
    <row r="5" spans="1:7">
      <c r="A5" t="s">
        <v>293</v>
      </c>
      <c r="B5" t="s">
        <v>288</v>
      </c>
      <c r="C5" s="12" t="s">
        <v>289</v>
      </c>
      <c r="D5" s="14">
        <v>0.2</v>
      </c>
      <c r="E5" s="57">
        <f>1/3.84</f>
        <v>0.26041666666666669</v>
      </c>
      <c r="F5" s="13">
        <v>0.5</v>
      </c>
      <c r="G5">
        <v>1</v>
      </c>
    </row>
    <row r="6" spans="1:7">
      <c r="A6" t="s">
        <v>293</v>
      </c>
      <c r="B6" t="s">
        <v>291</v>
      </c>
      <c r="C6" s="12" t="s">
        <v>292</v>
      </c>
      <c r="D6" s="14">
        <v>0.1</v>
      </c>
      <c r="E6" s="57">
        <f>1/5.77</f>
        <v>0.1733102253032929</v>
      </c>
      <c r="F6" s="13">
        <v>0.5</v>
      </c>
      <c r="G6">
        <v>1</v>
      </c>
    </row>
    <row r="7" spans="1:7">
      <c r="A7" t="s">
        <v>294</v>
      </c>
      <c r="B7" t="s">
        <v>295</v>
      </c>
      <c r="C7" s="12" t="s">
        <v>296</v>
      </c>
      <c r="D7" s="14">
        <v>0.25</v>
      </c>
      <c r="E7" s="57"/>
      <c r="F7" s="13">
        <v>1</v>
      </c>
      <c r="G7">
        <v>1</v>
      </c>
    </row>
    <row r="8" spans="1:7">
      <c r="A8" t="s">
        <v>297</v>
      </c>
      <c r="B8" t="s">
        <v>291</v>
      </c>
      <c r="C8" s="12" t="s">
        <v>292</v>
      </c>
      <c r="D8" s="14">
        <f>1/10</f>
        <v>0.1</v>
      </c>
      <c r="E8" s="57"/>
      <c r="F8" s="13">
        <v>0.5</v>
      </c>
      <c r="G8">
        <v>1</v>
      </c>
    </row>
    <row r="9" spans="1:7">
      <c r="A9" t="s">
        <v>297</v>
      </c>
      <c r="B9" t="s">
        <v>288</v>
      </c>
      <c r="C9" s="12" t="s">
        <v>289</v>
      </c>
      <c r="D9" s="14">
        <f>1/5</f>
        <v>0.2</v>
      </c>
      <c r="E9" s="57"/>
      <c r="F9" s="13">
        <v>0.5</v>
      </c>
      <c r="G9">
        <v>1</v>
      </c>
    </row>
    <row r="10" spans="1:7">
      <c r="A10" t="s">
        <v>298</v>
      </c>
      <c r="B10" t="s">
        <v>295</v>
      </c>
      <c r="C10" s="12" t="s">
        <v>289</v>
      </c>
      <c r="D10" s="14">
        <f>1/5</f>
        <v>0.2</v>
      </c>
      <c r="E10" s="57"/>
      <c r="F10" s="13">
        <v>0</v>
      </c>
      <c r="G10">
        <v>0</v>
      </c>
    </row>
    <row r="11" spans="1:7">
      <c r="A11" t="s">
        <v>299</v>
      </c>
      <c r="B11" t="s">
        <v>288</v>
      </c>
      <c r="C11" s="12" t="s">
        <v>296</v>
      </c>
      <c r="D11" s="14">
        <v>0.25</v>
      </c>
      <c r="E11" s="57"/>
      <c r="F11" s="13">
        <v>0.5</v>
      </c>
      <c r="G11">
        <v>0</v>
      </c>
    </row>
    <row r="12" spans="1:7">
      <c r="A12" t="s">
        <v>299</v>
      </c>
      <c r="B12" t="s">
        <v>291</v>
      </c>
      <c r="C12" s="12" t="s">
        <v>300</v>
      </c>
      <c r="D12" s="14">
        <f>1/6</f>
        <v>0.16666666666666666</v>
      </c>
      <c r="E12" s="57"/>
      <c r="F12" s="13">
        <v>0.5</v>
      </c>
      <c r="G12">
        <v>0</v>
      </c>
    </row>
    <row r="13" spans="1:7">
      <c r="A13" t="s">
        <v>301</v>
      </c>
      <c r="B13" t="s">
        <v>291</v>
      </c>
      <c r="C13" s="12" t="s">
        <v>302</v>
      </c>
      <c r="D13" s="58">
        <f>1/15</f>
        <v>6.6666666666666666E-2</v>
      </c>
      <c r="E13" s="57"/>
      <c r="F13" s="13">
        <v>1</v>
      </c>
      <c r="G13">
        <v>1</v>
      </c>
    </row>
  </sheetData>
  <sheetProtection algorithmName="SHA-512" hashValue="PuGUnUeJXl/AwUi2OIqmOGSKm5wUxuXD6qX2HRh6Tb7Y/z+3kR+BzLshTB/ibHJ1+4yu76WpOdcPRxYofnCS3g==" saltValue="nabVSidLgSngXIRH0b35Cw==" spinCount="100000" sheet="1" objects="1" scenarios="1" formatCells="0" formatColumns="0" formatRows="0" insertRows="0" sort="0" autoFilter="0" pivotTables="0"/>
  <phoneticPr fontId="6" type="noConversion"/>
  <pageMargins left="0.7" right="0.7" top="0.75" bottom="0.75" header="0.3" footer="0.3"/>
  <legacyDrawing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C9F45-5E06-4AD3-9F17-17A6508403A0}">
  <sheetPr>
    <tabColor rgb="FF7030A0"/>
  </sheetPr>
  <dimension ref="A1:V136"/>
  <sheetViews>
    <sheetView zoomScale="85" zoomScaleNormal="85" workbookViewId="0">
      <selection sqref="A1:XFD1048576"/>
    </sheetView>
  </sheetViews>
  <sheetFormatPr defaultColWidth="8.85546875" defaultRowHeight="14.65" outlineLevelRow="1"/>
  <cols>
    <col min="2" max="2" width="17.85546875" style="63" customWidth="1"/>
    <col min="3" max="4" width="15.42578125" style="63" customWidth="1"/>
    <col min="5" max="5" width="1.7109375" customWidth="1"/>
    <col min="6" max="6" width="15.42578125" customWidth="1"/>
    <col min="7" max="7" width="17" customWidth="1"/>
    <col min="8" max="11" width="15.42578125" customWidth="1"/>
    <col min="12" max="12" width="17" customWidth="1"/>
    <col min="13" max="13" width="15.42578125" customWidth="1"/>
    <col min="14" max="14" width="1.7109375" customWidth="1"/>
    <col min="15" max="15" width="15.42578125" customWidth="1"/>
    <col min="16" max="16" width="17.85546875" customWidth="1"/>
    <col min="17" max="18" width="15.42578125" customWidth="1"/>
    <col min="19" max="20" width="2.28515625" customWidth="1"/>
    <col min="21" max="22" width="15.42578125" customWidth="1"/>
  </cols>
  <sheetData>
    <row r="1" spans="1:4">
      <c r="A1" s="6" t="s">
        <v>303</v>
      </c>
    </row>
    <row r="2" spans="1:4">
      <c r="A2" s="6" t="s">
        <v>304</v>
      </c>
    </row>
    <row r="3" spans="1:4" hidden="1" outlineLevel="1">
      <c r="A3" s="1" t="s">
        <v>231</v>
      </c>
      <c r="B3" s="64" t="s">
        <v>293</v>
      </c>
      <c r="C3" s="64" t="s">
        <v>305</v>
      </c>
      <c r="D3" s="64" t="s">
        <v>306</v>
      </c>
    </row>
    <row r="4" spans="1:4" hidden="1" outlineLevel="1">
      <c r="A4" s="1" t="s">
        <v>307</v>
      </c>
      <c r="B4" s="63">
        <v>0.46263809777419834</v>
      </c>
      <c r="C4" s="63">
        <v>0.2979144881695428</v>
      </c>
      <c r="D4" s="63">
        <v>7.234017679113057E-2</v>
      </c>
    </row>
    <row r="5" spans="1:4" hidden="1" outlineLevel="1">
      <c r="A5" s="1" t="s">
        <v>308</v>
      </c>
      <c r="B5" s="63">
        <v>0.4799349525258354</v>
      </c>
      <c r="C5" s="63">
        <v>0.29795284058123067</v>
      </c>
      <c r="D5" s="63">
        <v>6.290982531605728E-2</v>
      </c>
    </row>
    <row r="6" spans="1:4" hidden="1" outlineLevel="1">
      <c r="A6" s="1" t="s">
        <v>309</v>
      </c>
      <c r="B6" s="63">
        <v>0.48817123064019413</v>
      </c>
      <c r="C6" s="63">
        <v>0.28919820471614155</v>
      </c>
      <c r="D6" s="63">
        <v>6.6516419420310266E-2</v>
      </c>
    </row>
    <row r="7" spans="1:4" hidden="1" outlineLevel="1">
      <c r="A7" s="1" t="s">
        <v>310</v>
      </c>
      <c r="B7" s="63">
        <v>0.49301068219987138</v>
      </c>
      <c r="C7" s="63">
        <v>0.28162674108620056</v>
      </c>
      <c r="D7" s="63">
        <v>6.4424091451118479E-2</v>
      </c>
    </row>
    <row r="8" spans="1:4" hidden="1" outlineLevel="1">
      <c r="A8" s="1" t="s">
        <v>311</v>
      </c>
      <c r="B8" s="63">
        <v>0.49726216390225958</v>
      </c>
      <c r="C8" s="63">
        <v>0.27768954839500876</v>
      </c>
      <c r="D8" s="63">
        <v>6.388079835668517E-2</v>
      </c>
    </row>
    <row r="9" spans="1:4" hidden="1" outlineLevel="1">
      <c r="A9" s="1" t="s">
        <v>312</v>
      </c>
      <c r="B9" s="63">
        <v>0.50989843241896171</v>
      </c>
      <c r="C9" s="63">
        <v>0.27303505327587357</v>
      </c>
      <c r="D9" s="63">
        <v>6.1207991684952071E-2</v>
      </c>
    </row>
    <row r="10" spans="1:4" hidden="1" outlineLevel="1">
      <c r="A10" s="1" t="s">
        <v>313</v>
      </c>
      <c r="B10" s="63">
        <v>0.52076802982076076</v>
      </c>
      <c r="C10" s="63">
        <v>0.268889104045893</v>
      </c>
      <c r="D10" s="63">
        <v>5.7444902997809431E-2</v>
      </c>
    </row>
    <row r="11" spans="1:4" hidden="1" outlineLevel="1">
      <c r="A11" s="1" t="s">
        <v>314</v>
      </c>
      <c r="B11" s="63">
        <v>0.53601771669646714</v>
      </c>
      <c r="C11" s="63">
        <v>0.25532026785401257</v>
      </c>
      <c r="D11" s="63">
        <v>5.396814266848976E-2</v>
      </c>
    </row>
    <row r="12" spans="1:4" hidden="1" outlineLevel="1">
      <c r="A12" s="1" t="s">
        <v>315</v>
      </c>
      <c r="B12" s="63">
        <v>0.55231562830168424</v>
      </c>
      <c r="C12" s="63">
        <v>0.23439910052939947</v>
      </c>
      <c r="D12" s="63">
        <v>5.178170888114219E-2</v>
      </c>
    </row>
    <row r="13" spans="1:4" hidden="1" outlineLevel="1">
      <c r="A13" s="1" t="s">
        <v>316</v>
      </c>
      <c r="B13" s="63">
        <v>0.56063235863136363</v>
      </c>
      <c r="C13" s="63">
        <v>0.217489359349953</v>
      </c>
      <c r="D13" s="63">
        <v>5.1340445525399368E-2</v>
      </c>
    </row>
    <row r="14" spans="1:4" hidden="1" outlineLevel="1">
      <c r="A14" s="1" t="s">
        <v>317</v>
      </c>
      <c r="B14" s="63">
        <v>0.57809614031002421</v>
      </c>
      <c r="C14" s="63">
        <v>0.19899128354670209</v>
      </c>
      <c r="D14" s="63">
        <v>4.9589051245547834E-2</v>
      </c>
    </row>
    <row r="15" spans="1:4" hidden="1" outlineLevel="1">
      <c r="A15" s="1" t="s">
        <v>318</v>
      </c>
      <c r="B15" s="63">
        <v>0.58671001179798143</v>
      </c>
      <c r="C15" s="63">
        <v>0.19045239334161082</v>
      </c>
      <c r="D15" s="63">
        <v>4.9618497586308159E-2</v>
      </c>
    </row>
    <row r="16" spans="1:4" hidden="1" outlineLevel="1">
      <c r="A16" s="1" t="s">
        <v>319</v>
      </c>
      <c r="B16" s="63">
        <v>0.59902506538575051</v>
      </c>
      <c r="C16" s="63">
        <v>0.18424025319805012</v>
      </c>
      <c r="D16" s="63">
        <v>4.7657816268585326E-2</v>
      </c>
    </row>
    <row r="17" spans="1:4" hidden="1" outlineLevel="1">
      <c r="A17" s="1" t="s">
        <v>320</v>
      </c>
      <c r="B17" s="63">
        <v>0.61598869325477001</v>
      </c>
      <c r="C17" s="63">
        <v>0.1742393327427815</v>
      </c>
      <c r="D17" s="63">
        <v>4.5679847916314159E-2</v>
      </c>
    </row>
    <row r="18" spans="1:4" hidden="1" outlineLevel="1">
      <c r="A18" s="1" t="s">
        <v>321</v>
      </c>
      <c r="B18" s="63">
        <v>0.63401365986340141</v>
      </c>
      <c r="C18" s="63">
        <v>0.15938340616593835</v>
      </c>
      <c r="D18" s="63">
        <v>4.4679553204467953E-2</v>
      </c>
    </row>
    <row r="19" spans="1:4" hidden="1" outlineLevel="1">
      <c r="A19" s="1" t="s">
        <v>322</v>
      </c>
      <c r="B19" s="63">
        <v>0.63074006848109732</v>
      </c>
      <c r="C19" s="63">
        <v>0.1558472901697949</v>
      </c>
      <c r="D19" s="63">
        <v>4.4547909114220637E-2</v>
      </c>
    </row>
    <row r="20" spans="1:4" hidden="1" outlineLevel="1">
      <c r="A20" s="1" t="s">
        <v>323</v>
      </c>
      <c r="B20" s="63">
        <v>0.64206272468079828</v>
      </c>
      <c r="C20" s="63">
        <v>0.1528796330730135</v>
      </c>
      <c r="D20" s="63">
        <v>4.2746993925870828E-2</v>
      </c>
    </row>
    <row r="21" spans="1:4" hidden="1" outlineLevel="1">
      <c r="A21" s="1" t="s">
        <v>324</v>
      </c>
      <c r="B21" s="63">
        <v>0.65206734657645038</v>
      </c>
      <c r="C21" s="63">
        <v>0.1468989801353244</v>
      </c>
      <c r="D21" s="63">
        <v>4.2565048428777147E-2</v>
      </c>
    </row>
    <row r="22" spans="1:4" hidden="1" outlineLevel="1">
      <c r="A22" s="1" t="s">
        <v>325</v>
      </c>
      <c r="B22" s="63">
        <v>0.67153069974275625</v>
      </c>
      <c r="C22" s="63">
        <v>0.14481424611641774</v>
      </c>
      <c r="D22" s="63">
        <v>4.2445211079426483E-2</v>
      </c>
    </row>
    <row r="23" spans="1:4" hidden="1" outlineLevel="1">
      <c r="A23" s="1" t="s">
        <v>326</v>
      </c>
      <c r="B23" s="63">
        <v>0.67984597055141938</v>
      </c>
      <c r="C23" s="63">
        <v>0.14195442457634361</v>
      </c>
      <c r="D23" s="63">
        <v>4.2669776747786832E-2</v>
      </c>
    </row>
    <row r="24" spans="1:4" hidden="1" outlineLevel="1">
      <c r="A24" s="1" t="s">
        <v>327</v>
      </c>
      <c r="B24" s="63">
        <v>0.68772984218378974</v>
      </c>
      <c r="C24" s="63">
        <v>0.14438291970496145</v>
      </c>
      <c r="D24" s="63">
        <v>4.3782965936074981E-2</v>
      </c>
    </row>
    <row r="25" spans="1:4" hidden="1" outlineLevel="1">
      <c r="A25" s="1" t="s">
        <v>328</v>
      </c>
      <c r="B25" s="63">
        <v>0.69513654550403958</v>
      </c>
      <c r="C25" s="63">
        <v>0.14195390786709605</v>
      </c>
      <c r="D25" s="63">
        <v>4.1685285340811618E-2</v>
      </c>
    </row>
    <row r="26" spans="1:4" hidden="1" outlineLevel="1">
      <c r="A26" s="1" t="s">
        <v>329</v>
      </c>
      <c r="B26" s="63">
        <v>0.70774164751781254</v>
      </c>
      <c r="C26" s="63">
        <v>0.13830707598375516</v>
      </c>
      <c r="D26" s="63">
        <v>4.3157935340243453E-2</v>
      </c>
    </row>
    <row r="27" spans="1:4" hidden="1" outlineLevel="1">
      <c r="A27" s="1" t="s">
        <v>330</v>
      </c>
      <c r="B27" s="63">
        <v>0.71228375324174853</v>
      </c>
      <c r="C27" s="63">
        <v>0.13926759917927781</v>
      </c>
      <c r="D27" s="63">
        <v>4.2739004093195712E-2</v>
      </c>
    </row>
    <row r="28" spans="1:4" hidden="1" outlineLevel="1">
      <c r="A28" s="1" t="s">
        <v>331</v>
      </c>
      <c r="B28" s="63">
        <v>0.71311122280462413</v>
      </c>
      <c r="C28" s="63">
        <v>0.14137492435043952</v>
      </c>
      <c r="D28" s="63">
        <v>4.3656207366984993E-2</v>
      </c>
    </row>
    <row r="29" spans="1:4" hidden="1" outlineLevel="1">
      <c r="A29" s="1" t="s">
        <v>332</v>
      </c>
      <c r="B29" s="63">
        <v>0.71509370382850779</v>
      </c>
      <c r="C29" s="63">
        <v>0.14235205681847637</v>
      </c>
      <c r="D29" s="63">
        <v>4.3572928277041914E-2</v>
      </c>
    </row>
    <row r="30" spans="1:4" collapsed="1"/>
    <row r="31" spans="1:4">
      <c r="A31" s="16" t="s">
        <v>333</v>
      </c>
    </row>
    <row r="32" spans="1:4" hidden="1" outlineLevel="1">
      <c r="A32" s="1" t="s">
        <v>231</v>
      </c>
      <c r="B32" s="59" t="s">
        <v>293</v>
      </c>
      <c r="C32" s="59" t="s">
        <v>305</v>
      </c>
      <c r="D32" s="59" t="s">
        <v>306</v>
      </c>
    </row>
    <row r="33" spans="1:4" hidden="1" outlineLevel="1">
      <c r="A33" s="1" t="s">
        <v>308</v>
      </c>
      <c r="B33" s="63">
        <f>B5-B4</f>
        <v>1.7296854751637059E-2</v>
      </c>
      <c r="C33" s="63">
        <f t="shared" ref="C33:D33" si="0">C5-C4</f>
        <v>3.8352411687869736E-5</v>
      </c>
      <c r="D33" s="63">
        <f t="shared" si="0"/>
        <v>-9.4303514750732897E-3</v>
      </c>
    </row>
    <row r="34" spans="1:4" hidden="1" outlineLevel="1">
      <c r="A34" s="1" t="s">
        <v>309</v>
      </c>
      <c r="B34" s="63">
        <f t="shared" ref="B34:D49" si="1">B6-B5</f>
        <v>8.2362781143587305E-3</v>
      </c>
      <c r="C34" s="63">
        <f t="shared" si="1"/>
        <v>-8.7546358650891221E-3</v>
      </c>
      <c r="D34" s="63">
        <f t="shared" si="1"/>
        <v>3.6065941042529859E-3</v>
      </c>
    </row>
    <row r="35" spans="1:4" hidden="1" outlineLevel="1">
      <c r="A35" s="1" t="s">
        <v>310</v>
      </c>
      <c r="B35" s="63">
        <f t="shared" si="1"/>
        <v>4.8394515596772436E-3</v>
      </c>
      <c r="C35" s="63">
        <f t="shared" si="1"/>
        <v>-7.5714636299409888E-3</v>
      </c>
      <c r="D35" s="63">
        <f t="shared" si="1"/>
        <v>-2.0923279691917873E-3</v>
      </c>
    </row>
    <row r="36" spans="1:4" hidden="1" outlineLevel="1">
      <c r="A36" s="1" t="s">
        <v>311</v>
      </c>
      <c r="B36" s="63">
        <f t="shared" si="1"/>
        <v>4.2514817023882046E-3</v>
      </c>
      <c r="C36" s="63">
        <f t="shared" si="1"/>
        <v>-3.9371926911918043E-3</v>
      </c>
      <c r="D36" s="63">
        <f t="shared" si="1"/>
        <v>-5.4329309443330864E-4</v>
      </c>
    </row>
    <row r="37" spans="1:4" hidden="1" outlineLevel="1">
      <c r="A37" s="1" t="s">
        <v>312</v>
      </c>
      <c r="B37" s="63">
        <f t="shared" si="1"/>
        <v>1.2636268516702132E-2</v>
      </c>
      <c r="C37" s="63">
        <f t="shared" si="1"/>
        <v>-4.6544951191351824E-3</v>
      </c>
      <c r="D37" s="63">
        <f t="shared" si="1"/>
        <v>-2.6728066717330995E-3</v>
      </c>
    </row>
    <row r="38" spans="1:4" hidden="1" outlineLevel="1">
      <c r="A38" s="1" t="s">
        <v>313</v>
      </c>
      <c r="B38" s="63">
        <f t="shared" si="1"/>
        <v>1.0869597401799047E-2</v>
      </c>
      <c r="C38" s="63">
        <f t="shared" si="1"/>
        <v>-4.1459492299805722E-3</v>
      </c>
      <c r="D38" s="63">
        <f t="shared" si="1"/>
        <v>-3.7630886871426392E-3</v>
      </c>
    </row>
    <row r="39" spans="1:4" hidden="1" outlineLevel="1">
      <c r="A39" s="1" t="s">
        <v>314</v>
      </c>
      <c r="B39" s="63">
        <f t="shared" si="1"/>
        <v>1.5249686875706381E-2</v>
      </c>
      <c r="C39" s="63">
        <f t="shared" si="1"/>
        <v>-1.3568836191880429E-2</v>
      </c>
      <c r="D39" s="63">
        <f t="shared" si="1"/>
        <v>-3.4767603293196711E-3</v>
      </c>
    </row>
    <row r="40" spans="1:4" hidden="1" outlineLevel="1">
      <c r="A40" s="1" t="s">
        <v>315</v>
      </c>
      <c r="B40" s="63">
        <f t="shared" si="1"/>
        <v>1.6297911605217097E-2</v>
      </c>
      <c r="C40" s="63">
        <f t="shared" si="1"/>
        <v>-2.0921167324613105E-2</v>
      </c>
      <c r="D40" s="63">
        <f t="shared" si="1"/>
        <v>-2.1864337873475706E-3</v>
      </c>
    </row>
    <row r="41" spans="1:4" hidden="1" outlineLevel="1">
      <c r="A41" s="1" t="s">
        <v>316</v>
      </c>
      <c r="B41" s="63">
        <f t="shared" si="1"/>
        <v>8.3167303296793893E-3</v>
      </c>
      <c r="C41" s="63">
        <f t="shared" si="1"/>
        <v>-1.6909741179446464E-2</v>
      </c>
      <c r="D41" s="63">
        <f t="shared" si="1"/>
        <v>-4.4126335574282138E-4</v>
      </c>
    </row>
    <row r="42" spans="1:4" hidden="1" outlineLevel="1">
      <c r="A42" s="1" t="s">
        <v>317</v>
      </c>
      <c r="B42" s="63">
        <f t="shared" si="1"/>
        <v>1.7463781678660584E-2</v>
      </c>
      <c r="C42" s="63">
        <f t="shared" si="1"/>
        <v>-1.8498075803250913E-2</v>
      </c>
      <c r="D42" s="63">
        <f t="shared" si="1"/>
        <v>-1.7513942798515342E-3</v>
      </c>
    </row>
    <row r="43" spans="1:4" hidden="1" outlineLevel="1">
      <c r="A43" s="1" t="s">
        <v>318</v>
      </c>
      <c r="B43" s="63">
        <f t="shared" si="1"/>
        <v>8.6138714879572253E-3</v>
      </c>
      <c r="C43" s="63">
        <f t="shared" si="1"/>
        <v>-8.5388902050912707E-3</v>
      </c>
      <c r="D43" s="63">
        <f t="shared" si="1"/>
        <v>2.9446340760325151E-5</v>
      </c>
    </row>
    <row r="44" spans="1:4" hidden="1" outlineLevel="1">
      <c r="A44" s="1" t="s">
        <v>319</v>
      </c>
      <c r="B44" s="63">
        <f t="shared" si="1"/>
        <v>1.2315053587769076E-2</v>
      </c>
      <c r="C44" s="63">
        <f t="shared" si="1"/>
        <v>-6.212140143560696E-3</v>
      </c>
      <c r="D44" s="63">
        <f t="shared" si="1"/>
        <v>-1.960681317722833E-3</v>
      </c>
    </row>
    <row r="45" spans="1:4" hidden="1" outlineLevel="1">
      <c r="A45" s="1" t="s">
        <v>320</v>
      </c>
      <c r="B45" s="63">
        <f t="shared" si="1"/>
        <v>1.6963627869019504E-2</v>
      </c>
      <c r="C45" s="63">
        <f t="shared" si="1"/>
        <v>-1.0000920455268625E-2</v>
      </c>
      <c r="D45" s="63">
        <f t="shared" si="1"/>
        <v>-1.9779683522711672E-3</v>
      </c>
    </row>
    <row r="46" spans="1:4" hidden="1" outlineLevel="1">
      <c r="A46" s="1" t="s">
        <v>321</v>
      </c>
      <c r="B46" s="63">
        <f t="shared" si="1"/>
        <v>1.8024966608631399E-2</v>
      </c>
      <c r="C46" s="63">
        <f t="shared" si="1"/>
        <v>-1.4855926576843148E-2</v>
      </c>
      <c r="D46" s="63">
        <f t="shared" si="1"/>
        <v>-1.0002947118462058E-3</v>
      </c>
    </row>
    <row r="47" spans="1:4" hidden="1" outlineLevel="1">
      <c r="A47" s="1" t="s">
        <v>322</v>
      </c>
      <c r="B47" s="63">
        <f t="shared" si="1"/>
        <v>-3.2735913823040974E-3</v>
      </c>
      <c r="C47" s="63">
        <f t="shared" si="1"/>
        <v>-3.5361159961434518E-3</v>
      </c>
      <c r="D47" s="63">
        <f t="shared" si="1"/>
        <v>-1.3164409024731677E-4</v>
      </c>
    </row>
    <row r="48" spans="1:4" hidden="1" outlineLevel="1">
      <c r="A48" s="1" t="s">
        <v>323</v>
      </c>
      <c r="B48" s="63">
        <f t="shared" si="1"/>
        <v>1.1322656199700964E-2</v>
      </c>
      <c r="C48" s="63">
        <f t="shared" si="1"/>
        <v>-2.9676570967814009E-3</v>
      </c>
      <c r="D48" s="63">
        <f t="shared" si="1"/>
        <v>-1.8009151883498081E-3</v>
      </c>
    </row>
    <row r="49" spans="1:13" hidden="1" outlineLevel="1">
      <c r="A49" s="1" t="s">
        <v>324</v>
      </c>
      <c r="B49" s="63">
        <f t="shared" si="1"/>
        <v>1.0004621895652099E-2</v>
      </c>
      <c r="C49" s="63">
        <f t="shared" si="1"/>
        <v>-5.980652937689096E-3</v>
      </c>
      <c r="D49" s="63">
        <f t="shared" si="1"/>
        <v>-1.8194549709368152E-4</v>
      </c>
    </row>
    <row r="50" spans="1:13" hidden="1" outlineLevel="1">
      <c r="A50" s="1" t="s">
        <v>325</v>
      </c>
      <c r="B50" s="63">
        <f t="shared" ref="B50:D57" si="2">B22-B21</f>
        <v>1.9463353166305875E-2</v>
      </c>
      <c r="C50" s="63">
        <f t="shared" si="2"/>
        <v>-2.0847340189066588E-3</v>
      </c>
      <c r="D50" s="63">
        <f t="shared" si="2"/>
        <v>-1.1983734935066409E-4</v>
      </c>
    </row>
    <row r="51" spans="1:13" hidden="1" outlineLevel="1">
      <c r="A51" s="1" t="s">
        <v>326</v>
      </c>
      <c r="B51" s="63">
        <f t="shared" si="2"/>
        <v>8.3152708086631222E-3</v>
      </c>
      <c r="C51" s="63">
        <f t="shared" si="2"/>
        <v>-2.8598215400741367E-3</v>
      </c>
      <c r="D51" s="63">
        <f t="shared" si="2"/>
        <v>2.2456566836034919E-4</v>
      </c>
    </row>
    <row r="52" spans="1:13" hidden="1" outlineLevel="1">
      <c r="A52" s="1" t="s">
        <v>327</v>
      </c>
      <c r="B52" s="63">
        <f t="shared" si="2"/>
        <v>7.883871632370365E-3</v>
      </c>
      <c r="C52" s="63">
        <f t="shared" si="2"/>
        <v>2.4284951286178413E-3</v>
      </c>
      <c r="D52" s="63">
        <f t="shared" si="2"/>
        <v>1.1131891882881495E-3</v>
      </c>
    </row>
    <row r="53" spans="1:13" hidden="1" outlineLevel="1">
      <c r="A53" s="1" t="s">
        <v>328</v>
      </c>
      <c r="B53" s="63">
        <f t="shared" si="2"/>
        <v>7.4067033202498411E-3</v>
      </c>
      <c r="C53" s="63">
        <f t="shared" si="2"/>
        <v>-2.4290118378653969E-3</v>
      </c>
      <c r="D53" s="63">
        <f t="shared" si="2"/>
        <v>-2.097680595263364E-3</v>
      </c>
    </row>
    <row r="54" spans="1:13" hidden="1" outlineLevel="1">
      <c r="A54" s="1" t="s">
        <v>329</v>
      </c>
      <c r="B54" s="63">
        <f t="shared" si="2"/>
        <v>1.2605102013772962E-2</v>
      </c>
      <c r="C54" s="63">
        <f t="shared" si="2"/>
        <v>-3.6468318833408897E-3</v>
      </c>
      <c r="D54" s="63">
        <f t="shared" si="2"/>
        <v>1.4726499994318354E-3</v>
      </c>
    </row>
    <row r="55" spans="1:13" hidden="1" outlineLevel="1">
      <c r="A55" s="1" t="s">
        <v>330</v>
      </c>
      <c r="B55" s="63">
        <f t="shared" si="2"/>
        <v>4.5421057239359852E-3</v>
      </c>
      <c r="C55" s="63">
        <f t="shared" si="2"/>
        <v>9.6052319552264454E-4</v>
      </c>
      <c r="D55" s="63">
        <f t="shared" si="2"/>
        <v>-4.1893124704774076E-4</v>
      </c>
    </row>
    <row r="56" spans="1:13" hidden="1" outlineLevel="1">
      <c r="A56" s="1" t="s">
        <v>331</v>
      </c>
      <c r="B56" s="63">
        <f t="shared" si="2"/>
        <v>8.2746956287560458E-4</v>
      </c>
      <c r="C56" s="63">
        <f t="shared" si="2"/>
        <v>2.1073251711617169E-3</v>
      </c>
      <c r="D56" s="63">
        <f t="shared" si="2"/>
        <v>9.1720327378928129E-4</v>
      </c>
    </row>
    <row r="57" spans="1:13" hidden="1" outlineLevel="1">
      <c r="A57" s="1" t="s">
        <v>332</v>
      </c>
      <c r="B57" s="63">
        <f t="shared" si="2"/>
        <v>1.9824810238836532E-3</v>
      </c>
      <c r="C57" s="63">
        <f t="shared" si="2"/>
        <v>9.7713246803685094E-4</v>
      </c>
      <c r="D57" s="63">
        <f t="shared" si="2"/>
        <v>-8.3279089943079365E-5</v>
      </c>
    </row>
    <row r="58" spans="1:13" collapsed="1"/>
    <row r="59" spans="1:13">
      <c r="A59" s="6" t="s">
        <v>334</v>
      </c>
      <c r="F59" s="6" t="s">
        <v>335</v>
      </c>
      <c r="K59" s="6" t="s">
        <v>336</v>
      </c>
    </row>
    <row r="60" spans="1:13" outlineLevel="1">
      <c r="B60" s="59" t="s">
        <v>293</v>
      </c>
      <c r="C60" s="59" t="s">
        <v>305</v>
      </c>
      <c r="D60" s="59" t="s">
        <v>306</v>
      </c>
      <c r="F60" s="59" t="s">
        <v>337</v>
      </c>
      <c r="G60" s="23" t="s">
        <v>293</v>
      </c>
      <c r="H60" s="23" t="s">
        <v>305</v>
      </c>
      <c r="I60" s="23" t="s">
        <v>306</v>
      </c>
      <c r="K60" s="1" t="s">
        <v>338</v>
      </c>
      <c r="L60" s="23" t="s">
        <v>293</v>
      </c>
      <c r="M60" s="23" t="s">
        <v>305</v>
      </c>
    </row>
    <row r="61" spans="1:13" outlineLevel="1">
      <c r="A61" s="65" t="s">
        <v>339</v>
      </c>
      <c r="F61" t="s">
        <v>340</v>
      </c>
      <c r="G61" s="61">
        <v>24.8</v>
      </c>
      <c r="H61" s="61">
        <v>18.399999999999999</v>
      </c>
      <c r="I61" s="61">
        <v>24</v>
      </c>
      <c r="K61" t="s">
        <v>255</v>
      </c>
      <c r="L61" s="13">
        <v>0.5</v>
      </c>
      <c r="M61" s="13">
        <v>1</v>
      </c>
    </row>
    <row r="62" spans="1:13" outlineLevel="1">
      <c r="A62" s="66" t="s">
        <v>242</v>
      </c>
      <c r="B62" s="63">
        <f>MIN(MarketShare[Education &amp; Care])</f>
        <v>0.46263809777419834</v>
      </c>
      <c r="C62" s="63">
        <f>MIN(MarketShare[Kindergarten])</f>
        <v>0.13830707598375516</v>
      </c>
      <c r="D62" s="63">
        <f>MIN(MarketShare[Te Kōhanga Reo*])</f>
        <v>4.1685285340811618E-2</v>
      </c>
      <c r="F62" t="s">
        <v>111</v>
      </c>
      <c r="G62" s="61">
        <f>G61/40</f>
        <v>0.62</v>
      </c>
      <c r="H62" s="61">
        <f t="shared" ref="H62:I62" si="3">H61/40</f>
        <v>0.45999999999999996</v>
      </c>
      <c r="I62" s="61">
        <f t="shared" si="3"/>
        <v>0.6</v>
      </c>
      <c r="K62" t="s">
        <v>258</v>
      </c>
      <c r="L62" s="13">
        <f>AVERAGE('Source-fte_qualstus_x_servtype'!K15:AA15)</f>
        <v>0.65096926033728031</v>
      </c>
      <c r="M62" s="13">
        <v>1</v>
      </c>
    </row>
    <row r="63" spans="1:13" outlineLevel="1">
      <c r="A63" s="66" t="s">
        <v>243</v>
      </c>
      <c r="B63" s="63">
        <f>AVERAGE(MarketShare[Education &amp; Care])</f>
        <v>0.60083947648602187</v>
      </c>
      <c r="C63" s="63">
        <f>AVERAGE(MarketShare[Kindergarten])</f>
        <v>0.19964824749897078</v>
      </c>
      <c r="D63" s="63">
        <f>AVERAGE(MarketShare[Te Kōhanga Reo*])</f>
        <v>5.0638789806336633E-2</v>
      </c>
      <c r="K63" t="s">
        <v>256</v>
      </c>
      <c r="L63" s="13">
        <v>1</v>
      </c>
      <c r="M63" s="13">
        <v>1</v>
      </c>
    </row>
    <row r="64" spans="1:13" outlineLevel="1">
      <c r="A64" s="66" t="s">
        <v>244</v>
      </c>
      <c r="B64" s="63">
        <f>MEDIAN(MarketShare[Education &amp; Care])</f>
        <v>0.60750687932026026</v>
      </c>
      <c r="C64" s="63">
        <f>MEDIAN(MarketShare[Kindergarten])</f>
        <v>0.17923979297041581</v>
      </c>
      <c r="D64" s="63">
        <f>MEDIAN(MarketShare[Te Kōhanga Reo*])</f>
        <v>4.6668832092449743E-2</v>
      </c>
      <c r="F64" s="6" t="s">
        <v>341</v>
      </c>
    </row>
    <row r="65" spans="1:9" outlineLevel="1">
      <c r="A65" s="66" t="s">
        <v>245</v>
      </c>
      <c r="B65" s="63">
        <f>MAX(MarketShare[Education &amp; Care])</f>
        <v>0.71509370382850779</v>
      </c>
      <c r="C65" s="63">
        <f>MAX(MarketShare[Kindergarten])</f>
        <v>0.29795284058123067</v>
      </c>
      <c r="D65" s="63">
        <f>MAX(MarketShare[Te Kōhanga Reo*])</f>
        <v>7.234017679113057E-2</v>
      </c>
      <c r="F65" s="1" t="s">
        <v>342</v>
      </c>
      <c r="G65" s="23" t="s">
        <v>293</v>
      </c>
      <c r="H65" s="23" t="s">
        <v>305</v>
      </c>
      <c r="I65" s="23" t="s">
        <v>343</v>
      </c>
    </row>
    <row r="66" spans="1:9" outlineLevel="1">
      <c r="A66" s="66" t="s">
        <v>271</v>
      </c>
      <c r="B66" s="63">
        <f>B65-B62</f>
        <v>0.25245560605430944</v>
      </c>
      <c r="C66" s="63">
        <f t="shared" ref="C66:D66" si="4">C65-C62</f>
        <v>0.15964576459747551</v>
      </c>
      <c r="D66" s="63">
        <f t="shared" si="4"/>
        <v>3.0654891450318952E-2</v>
      </c>
      <c r="F66" t="s">
        <v>344</v>
      </c>
      <c r="G66" s="57">
        <f>1/5</f>
        <v>0.2</v>
      </c>
      <c r="H66" s="57">
        <f>1/5</f>
        <v>0.2</v>
      </c>
      <c r="I66" s="57">
        <f>1/4</f>
        <v>0.25</v>
      </c>
    </row>
    <row r="67" spans="1:9" outlineLevel="1">
      <c r="A67" s="67" t="s">
        <v>345</v>
      </c>
      <c r="F67" t="s">
        <v>346</v>
      </c>
      <c r="G67" s="57">
        <f>1/10</f>
        <v>0.1</v>
      </c>
      <c r="H67" s="57">
        <f>1/10</f>
        <v>0.1</v>
      </c>
      <c r="I67" s="57">
        <f>1/6</f>
        <v>0.16666666666666666</v>
      </c>
    </row>
    <row r="68" spans="1:9" outlineLevel="1">
      <c r="A68" s="66" t="s">
        <v>242</v>
      </c>
      <c r="B68" s="63">
        <f>MIN(B20:B29)</f>
        <v>0.64206272468079828</v>
      </c>
      <c r="C68" s="63">
        <f t="shared" ref="C68:D68" si="5">MIN(C20:C29)</f>
        <v>0.13830707598375516</v>
      </c>
      <c r="D68" s="63">
        <f t="shared" si="5"/>
        <v>4.1685285340811618E-2</v>
      </c>
      <c r="F68" t="s">
        <v>347</v>
      </c>
      <c r="G68" s="68">
        <f>1/4.02</f>
        <v>0.24875621890547267</v>
      </c>
      <c r="H68" s="68">
        <f>1/4.49</f>
        <v>0.22271714922048996</v>
      </c>
      <c r="I68" s="68"/>
    </row>
    <row r="69" spans="1:9" outlineLevel="1">
      <c r="A69" s="66" t="s">
        <v>243</v>
      </c>
      <c r="B69" s="63">
        <f>AVERAGE(B20:B29)</f>
        <v>0.68766034566319467</v>
      </c>
      <c r="C69" s="63">
        <f t="shared" ref="C69:D69" si="6">AVERAGE(C20:C29)</f>
        <v>0.14341857678051056</v>
      </c>
      <c r="D69" s="63">
        <f t="shared" si="6"/>
        <v>4.2902135653621394E-2</v>
      </c>
      <c r="F69" t="s">
        <v>348</v>
      </c>
      <c r="G69" s="68">
        <f>1/5.17</f>
        <v>0.19342359767891684</v>
      </c>
      <c r="H69" s="68">
        <f>1/5.73</f>
        <v>0.17452006980802792</v>
      </c>
      <c r="I69" s="68"/>
    </row>
    <row r="70" spans="1:9" outlineLevel="1">
      <c r="A70" s="66" t="s">
        <v>244</v>
      </c>
      <c r="B70" s="63">
        <f>MEDIAN(B20:B29)</f>
        <v>0.69143319384391466</v>
      </c>
      <c r="C70" s="63">
        <f t="shared" ref="C70:D70" si="7">MEDIAN(C20:C29)</f>
        <v>0.14215324069740998</v>
      </c>
      <c r="D70" s="63">
        <f t="shared" si="7"/>
        <v>4.2742999009533267E-2</v>
      </c>
      <c r="F70" t="s">
        <v>349</v>
      </c>
      <c r="G70" s="68">
        <f>1/6.08</f>
        <v>0.16447368421052633</v>
      </c>
      <c r="H70" s="68">
        <f>1/6.87</f>
        <v>0.14556040756914118</v>
      </c>
      <c r="I70" s="68"/>
    </row>
    <row r="71" spans="1:9" outlineLevel="1">
      <c r="A71" s="66" t="s">
        <v>245</v>
      </c>
      <c r="B71" s="63">
        <f>MAX(B20:B29)</f>
        <v>0.71509370382850779</v>
      </c>
      <c r="C71" s="63">
        <f t="shared" ref="C71:D71" si="8">MAX(C20:C29)</f>
        <v>0.1528796330730135</v>
      </c>
      <c r="D71" s="63">
        <f t="shared" si="8"/>
        <v>4.3782965936074981E-2</v>
      </c>
    </row>
    <row r="72" spans="1:9" outlineLevel="1">
      <c r="A72" s="66" t="s">
        <v>271</v>
      </c>
      <c r="B72" s="63">
        <f>B71-B68</f>
        <v>7.3030979147709507E-2</v>
      </c>
      <c r="C72" s="63">
        <f t="shared" ref="C72:D72" si="9">C71-C68</f>
        <v>1.4572557089258337E-2</v>
      </c>
      <c r="D72" s="63">
        <f t="shared" si="9"/>
        <v>2.097680595263364E-3</v>
      </c>
      <c r="F72" s="6" t="s">
        <v>350</v>
      </c>
    </row>
    <row r="73" spans="1:9" outlineLevel="1">
      <c r="A73" s="67" t="s">
        <v>351</v>
      </c>
      <c r="F73" s="69" t="s">
        <v>342</v>
      </c>
      <c r="G73" s="70" t="s">
        <v>293</v>
      </c>
      <c r="H73" s="70" t="s">
        <v>305</v>
      </c>
      <c r="I73" s="70" t="s">
        <v>343</v>
      </c>
    </row>
    <row r="74" spans="1:9" outlineLevel="1">
      <c r="A74" s="66" t="s">
        <v>242</v>
      </c>
      <c r="B74" s="63">
        <f>MIN(B25:B29)</f>
        <v>0.69513654550403958</v>
      </c>
      <c r="C74" s="63">
        <f t="shared" ref="C74:D74" si="10">MIN(C25:C29)</f>
        <v>0.13830707598375516</v>
      </c>
      <c r="D74" s="63">
        <f t="shared" si="10"/>
        <v>4.1685285340811618E-2</v>
      </c>
      <c r="F74" s="68" t="s">
        <v>352</v>
      </c>
      <c r="G74" s="71">
        <v>0.20973765978720446</v>
      </c>
      <c r="H74" s="71">
        <v>1.2647467549747198E-2</v>
      </c>
      <c r="I74" s="71">
        <v>0.2536810848868889</v>
      </c>
    </row>
    <row r="75" spans="1:9" outlineLevel="1">
      <c r="A75" s="66" t="s">
        <v>243</v>
      </c>
      <c r="B75" s="63">
        <f>AVERAGE(B25:B29)</f>
        <v>0.70867337457934654</v>
      </c>
      <c r="C75" s="63">
        <f t="shared" ref="C75:D75" si="11">AVERAGE(C25:C29)</f>
        <v>0.14065111283980897</v>
      </c>
      <c r="D75" s="63">
        <f t="shared" si="11"/>
        <v>4.2962272083655537E-2</v>
      </c>
      <c r="F75" s="68" t="s">
        <v>353</v>
      </c>
      <c r="G75" s="71">
        <v>0.23076762124248795</v>
      </c>
      <c r="H75" s="71">
        <v>0.14979598474320688</v>
      </c>
      <c r="I75" s="71">
        <v>0.26121162028958889</v>
      </c>
    </row>
    <row r="76" spans="1:9" outlineLevel="1">
      <c r="A76" s="66" t="s">
        <v>244</v>
      </c>
      <c r="B76" s="63">
        <f>MEDIAN(B25:B29)</f>
        <v>0.71228375324174853</v>
      </c>
      <c r="C76" s="63">
        <f t="shared" ref="C76:D76" si="12">MEDIAN(C25:C29)</f>
        <v>0.14137492435043952</v>
      </c>
      <c r="D76" s="63">
        <f t="shared" si="12"/>
        <v>4.3157935340243453E-2</v>
      </c>
      <c r="F76" s="68" t="s">
        <v>354</v>
      </c>
      <c r="G76" s="71">
        <v>0.54219368607951357</v>
      </c>
      <c r="H76" s="71">
        <v>0.81230596375033259</v>
      </c>
      <c r="I76" s="71">
        <v>0.48510729482352222</v>
      </c>
    </row>
    <row r="77" spans="1:9" outlineLevel="1">
      <c r="A77" s="66" t="s">
        <v>245</v>
      </c>
      <c r="B77" s="63">
        <f>MAX(B25:B29)</f>
        <v>0.71509370382850779</v>
      </c>
      <c r="C77" s="63">
        <f t="shared" ref="C77:D77" si="13">MAX(C25:C29)</f>
        <v>0.14235205681847637</v>
      </c>
      <c r="D77" s="63">
        <f t="shared" si="13"/>
        <v>4.3656207366984993E-2</v>
      </c>
      <c r="F77" s="68" t="s">
        <v>355</v>
      </c>
      <c r="G77" s="71">
        <v>1.6819784394695506E-2</v>
      </c>
      <c r="H77" s="71">
        <v>2.5250583956713285E-2</v>
      </c>
      <c r="I77" s="71"/>
    </row>
    <row r="78" spans="1:9" outlineLevel="1">
      <c r="A78" s="66" t="s">
        <v>271</v>
      </c>
      <c r="B78" s="63">
        <f>B77-B74</f>
        <v>1.9957158324468205E-2</v>
      </c>
      <c r="C78" s="63">
        <f t="shared" ref="C78:D78" si="14">C77-C74</f>
        <v>4.0449808347212124E-3</v>
      </c>
      <c r="D78" s="63">
        <f t="shared" si="14"/>
        <v>1.9709220261733759E-3</v>
      </c>
      <c r="G78" s="2"/>
      <c r="H78" s="2"/>
      <c r="I78" s="2"/>
    </row>
    <row r="82" spans="1:22" ht="43.35" customHeight="1">
      <c r="A82" s="6" t="s">
        <v>356</v>
      </c>
      <c r="B82" s="72"/>
      <c r="C82" s="72"/>
      <c r="D82" s="72"/>
      <c r="F82" s="6" t="s">
        <v>357</v>
      </c>
      <c r="O82" s="176" t="s">
        <v>358</v>
      </c>
      <c r="P82" s="176"/>
      <c r="Q82" s="176"/>
      <c r="R82" s="176"/>
      <c r="U82" s="1" t="s">
        <v>359</v>
      </c>
    </row>
    <row r="83" spans="1:22" ht="29.1" outlineLevel="1">
      <c r="A83" s="1" t="s">
        <v>231</v>
      </c>
      <c r="B83" s="59" t="s">
        <v>293</v>
      </c>
      <c r="C83" s="59" t="s">
        <v>305</v>
      </c>
      <c r="D83" s="23" t="s">
        <v>238</v>
      </c>
      <c r="F83" s="1" t="s">
        <v>231</v>
      </c>
      <c r="G83" s="15" t="s">
        <v>360</v>
      </c>
      <c r="H83" s="15" t="s">
        <v>361</v>
      </c>
      <c r="I83" s="15" t="s">
        <v>362</v>
      </c>
      <c r="J83" s="15" t="s">
        <v>363</v>
      </c>
      <c r="K83" s="15" t="s">
        <v>364</v>
      </c>
      <c r="L83" s="15" t="s">
        <v>365</v>
      </c>
      <c r="M83" s="15" t="s">
        <v>366</v>
      </c>
      <c r="O83" s="1" t="s">
        <v>231</v>
      </c>
      <c r="P83" s="15" t="s">
        <v>293</v>
      </c>
      <c r="Q83" s="15" t="s">
        <v>305</v>
      </c>
      <c r="R83" s="15" t="s">
        <v>366</v>
      </c>
      <c r="U83" s="1" t="s">
        <v>231</v>
      </c>
      <c r="V83" s="15" t="s">
        <v>293</v>
      </c>
    </row>
    <row r="84" spans="1:22" outlineLevel="1">
      <c r="A84" s="1">
        <v>2025</v>
      </c>
      <c r="B84" s="73">
        <f>MROUND(('T15'!$Q15*B$75),5)</f>
        <v>126545</v>
      </c>
      <c r="C84" s="73">
        <f>MROUND(('T15'!$Q15*C$75),5)</f>
        <v>25115</v>
      </c>
      <c r="D84" s="56">
        <f t="shared" ref="D84:D94" si="15">SUM(B84:C84)</f>
        <v>151660</v>
      </c>
      <c r="F84" s="1">
        <v>2025</v>
      </c>
      <c r="G84" s="56">
        <f>MROUND(((CentreBasedHeadcountEnrolmentsLow[[#This Row],[Education &amp; Care]]*G$74)*G$68)*'Source-fte_qualstus_x_servtype'!J32,5)</f>
        <v>5625</v>
      </c>
      <c r="H84" s="56">
        <f>MROUND(((CentreBasedHeadcountEnrolmentsLow[[#This Row],[Education &amp; Care]]*G$75)*G$69)*'Source-fte_qualstus_x_servtype'!J32,5)</f>
        <v>4810</v>
      </c>
      <c r="I84" s="56">
        <f>MROUND(((CentreBasedHeadcountEnrolmentsLow[[#This Row],[Education &amp; Care]]*SUM(G$76:G$77))*G$70)*'Source-fte_qualstus_x_servtype'!J32,5)</f>
        <v>9910</v>
      </c>
      <c r="J84" s="56">
        <f>MROUND(((CentreBasedHeadcountEnrolmentsLow[[#This Row],[Kindergarten]]*H$74)*H$68)*'Source-fte_qualstus_x_servtype'!J32,5)</f>
        <v>60</v>
      </c>
      <c r="K84" s="56">
        <f>MROUND(((CentreBasedHeadcountEnrolmentsLow[[#This Row],[Kindergarten]]*H$75)*H$69)*'Source-fte_qualstus_x_servtype'!J32,5)</f>
        <v>560</v>
      </c>
      <c r="L84" s="56">
        <f>MROUND(((CentreBasedHeadcountEnrolmentsLow[[#This Row],[Kindergarten]]*SUM(H$76:H$77))*H$70)*'Source-fte_qualstus_x_servtype'!J32,5)</f>
        <v>2610</v>
      </c>
      <c r="M84" s="56">
        <f>SUM(G84:L84)</f>
        <v>23575</v>
      </c>
      <c r="O84" s="1">
        <v>2025</v>
      </c>
      <c r="P84" s="56">
        <f>MROUND(SUM(LowScenarioCentreBasedFTEDemand[[#This Row],[Education &amp; Care (under 2s)]:[Education &amp; Care (3+)]])*L$61,5)</f>
        <v>10175</v>
      </c>
      <c r="Q84" s="56">
        <f>MROUND(SUM(LowScenarioCentreBasedFTEDemand[[#This Row],[Kindergarten (Under 2s)]:[Kindergarten (3+)]])*M$61,5)</f>
        <v>3230</v>
      </c>
      <c r="R84" s="56">
        <f>SUM(P84:Q84)</f>
        <v>13405</v>
      </c>
      <c r="U84" s="1">
        <v>2025</v>
      </c>
      <c r="V84" s="56">
        <f>SUM(LowScenarioCentreBasedFTEDemand[[#This Row],[Education &amp; Care (under 2s)]:[Education &amp; Care (3+)]])-LowScenarioQualifedFTE[[#This Row],[Education &amp; Care]]</f>
        <v>10170</v>
      </c>
    </row>
    <row r="85" spans="1:22" outlineLevel="1">
      <c r="A85" s="1">
        <v>2026</v>
      </c>
      <c r="B85" s="73">
        <f>MROUND(('T15'!$Q16*B$75),5)</f>
        <v>123190</v>
      </c>
      <c r="C85" s="73">
        <f>MROUND(('T15'!$Q16*C$75),5)</f>
        <v>24450</v>
      </c>
      <c r="D85" s="56">
        <f t="shared" si="15"/>
        <v>147640</v>
      </c>
      <c r="F85" s="1">
        <v>2026</v>
      </c>
      <c r="G85" s="56">
        <f>MROUND(((CentreBasedHeadcountEnrolmentsLow[[#This Row],[Education &amp; Care]]*G$74)*G$68)*'Source-fte_qualstus_x_servtype'!J33,5)</f>
        <v>5500</v>
      </c>
      <c r="H85" s="56">
        <f>MROUND(((CentreBasedHeadcountEnrolmentsLow[[#This Row],[Education &amp; Care]]*G$75)*G$69)*'Source-fte_qualstus_x_servtype'!J33,5)</f>
        <v>4705</v>
      </c>
      <c r="I85" s="56">
        <f>MROUND(((CentreBasedHeadcountEnrolmentsLow[[#This Row],[Education &amp; Care]]*SUM(G$76:G$77))*G$70)*'Source-fte_qualstus_x_servtype'!J33,5)</f>
        <v>9690</v>
      </c>
      <c r="J85" s="56">
        <f>MROUND(((CentreBasedHeadcountEnrolmentsLow[[#This Row],[Kindergarten]]*H$74)*H$68)*'Source-fte_qualstus_x_servtype'!J33,5)</f>
        <v>60</v>
      </c>
      <c r="K85" s="56">
        <f>MROUND(((CentreBasedHeadcountEnrolmentsLow[[#This Row],[Kindergarten]]*H$75)*H$69)*'Source-fte_qualstus_x_servtype'!J33,5)</f>
        <v>545</v>
      </c>
      <c r="L85" s="56">
        <f>MROUND(((CentreBasedHeadcountEnrolmentsLow[[#This Row],[Kindergarten]]*SUM(H$76:H$77))*H$70)*'Source-fte_qualstus_x_servtype'!J33,5)</f>
        <v>2550</v>
      </c>
      <c r="M85" s="56">
        <f t="shared" ref="M85:M94" si="16">SUM(G85:L85)</f>
        <v>23050</v>
      </c>
      <c r="O85" s="1">
        <v>2026</v>
      </c>
      <c r="P85" s="56">
        <f>MROUND(SUM(LowScenarioCentreBasedFTEDemand[[#This Row],[Education &amp; Care (under 2s)]:[Education &amp; Care (3+)]])*L$61,5)</f>
        <v>9950</v>
      </c>
      <c r="Q85" s="56">
        <f>MROUND(SUM(LowScenarioCentreBasedFTEDemand[[#This Row],[Kindergarten (Under 2s)]:[Kindergarten (3+)]])*M$61,5)</f>
        <v>3155</v>
      </c>
      <c r="R85" s="56">
        <f t="shared" ref="R85:R94" si="17">SUM(P85:Q85)</f>
        <v>13105</v>
      </c>
      <c r="U85" s="1">
        <v>2026</v>
      </c>
      <c r="V85" s="56">
        <f>SUM(LowScenarioCentreBasedFTEDemand[[#This Row],[Education &amp; Care (under 2s)]:[Education &amp; Care (3+)]])-LowScenarioQualifedFTE[[#This Row],[Education &amp; Care]]</f>
        <v>9945</v>
      </c>
    </row>
    <row r="86" spans="1:22" outlineLevel="1">
      <c r="A86" s="1">
        <v>2027</v>
      </c>
      <c r="B86" s="73">
        <f>MROUND(('T15'!$Q17*B$75),5)</f>
        <v>120065</v>
      </c>
      <c r="C86" s="73">
        <f>MROUND(('T15'!$Q17*C$75),5)</f>
        <v>23830</v>
      </c>
      <c r="D86" s="56">
        <f t="shared" si="15"/>
        <v>143895</v>
      </c>
      <c r="F86" s="1">
        <v>2027</v>
      </c>
      <c r="G86" s="56">
        <f>MROUND(((CentreBasedHeadcountEnrolmentsLow[[#This Row],[Education &amp; Care]]*G$74)*G$68)*'Source-fte_qualstus_x_servtype'!J34,5)</f>
        <v>5380</v>
      </c>
      <c r="H86" s="56">
        <f>MROUND(((CentreBasedHeadcountEnrolmentsLow[[#This Row],[Education &amp; Care]]*G$75)*G$69)*'Source-fte_qualstus_x_servtype'!J34,5)</f>
        <v>4605</v>
      </c>
      <c r="I86" s="56">
        <f>MROUND(((CentreBasedHeadcountEnrolmentsLow[[#This Row],[Education &amp; Care]]*SUM(G$76:G$77))*G$70)*'Source-fte_qualstus_x_servtype'!J34,5)</f>
        <v>9485</v>
      </c>
      <c r="J86" s="56">
        <f>MROUND(((CentreBasedHeadcountEnrolmentsLow[[#This Row],[Kindergarten]]*H$74)*H$68)*'Source-fte_qualstus_x_servtype'!J34,5)</f>
        <v>60</v>
      </c>
      <c r="K86" s="56">
        <f>MROUND(((CentreBasedHeadcountEnrolmentsLow[[#This Row],[Kindergarten]]*H$75)*H$69)*'Source-fte_qualstus_x_servtype'!J34,5)</f>
        <v>535</v>
      </c>
      <c r="L86" s="56">
        <f>MROUND(((CentreBasedHeadcountEnrolmentsLow[[#This Row],[Kindergarten]]*SUM(H$76:H$77))*H$70)*'Source-fte_qualstus_x_servtype'!J34,5)</f>
        <v>2495</v>
      </c>
      <c r="M86" s="56">
        <f t="shared" si="16"/>
        <v>22560</v>
      </c>
      <c r="O86" s="1">
        <v>2027</v>
      </c>
      <c r="P86" s="56">
        <f>MROUND(SUM(LowScenarioCentreBasedFTEDemand[[#This Row],[Education &amp; Care (under 2s)]:[Education &amp; Care (3+)]])*L$61,5)</f>
        <v>9735</v>
      </c>
      <c r="Q86" s="56">
        <f>MROUND(SUM(LowScenarioCentreBasedFTEDemand[[#This Row],[Kindergarten (Under 2s)]:[Kindergarten (3+)]])*M$61,5)</f>
        <v>3090</v>
      </c>
      <c r="R86" s="56">
        <f t="shared" si="17"/>
        <v>12825</v>
      </c>
      <c r="U86" s="1">
        <v>2027</v>
      </c>
      <c r="V86" s="56">
        <f>SUM(LowScenarioCentreBasedFTEDemand[[#This Row],[Education &amp; Care (under 2s)]:[Education &amp; Care (3+)]])-LowScenarioQualifedFTE[[#This Row],[Education &amp; Care]]</f>
        <v>9735</v>
      </c>
    </row>
    <row r="87" spans="1:22" outlineLevel="1">
      <c r="A87" s="1">
        <v>2028</v>
      </c>
      <c r="B87" s="73">
        <f>MROUND(('T15'!$Q18*B$75),5)</f>
        <v>119550</v>
      </c>
      <c r="C87" s="73">
        <f>MROUND(('T15'!$Q18*C$75),5)</f>
        <v>23725</v>
      </c>
      <c r="D87" s="56">
        <f t="shared" si="15"/>
        <v>143275</v>
      </c>
      <c r="F87" s="1">
        <v>2028</v>
      </c>
      <c r="G87" s="56">
        <f>MROUND(((CentreBasedHeadcountEnrolmentsLow[[#This Row],[Education &amp; Care]]*G$74)*G$68)*'Source-fte_qualstus_x_servtype'!J35,5)</f>
        <v>5385</v>
      </c>
      <c r="H87" s="56">
        <f>MROUND(((CentreBasedHeadcountEnrolmentsLow[[#This Row],[Education &amp; Care]]*G$75)*G$69)*'Source-fte_qualstus_x_servtype'!J35,5)</f>
        <v>4605</v>
      </c>
      <c r="I87" s="56">
        <f>MROUND(((CentreBasedHeadcountEnrolmentsLow[[#This Row],[Education &amp; Care]]*SUM(G$76:G$77))*G$70)*'Source-fte_qualstus_x_servtype'!J35,5)</f>
        <v>9485</v>
      </c>
      <c r="J87" s="56">
        <f>MROUND(((CentreBasedHeadcountEnrolmentsLow[[#This Row],[Kindergarten]]*H$74)*H$68)*'Source-fte_qualstus_x_servtype'!J35,5)</f>
        <v>60</v>
      </c>
      <c r="K87" s="56">
        <f>MROUND(((CentreBasedHeadcountEnrolmentsLow[[#This Row],[Kindergarten]]*H$75)*H$69)*'Source-fte_qualstus_x_servtype'!J35,5)</f>
        <v>535</v>
      </c>
      <c r="L87" s="56">
        <f>MROUND(((CentreBasedHeadcountEnrolmentsLow[[#This Row],[Kindergarten]]*SUM(H$76:H$77))*H$70)*'Source-fte_qualstus_x_servtype'!J35,5)</f>
        <v>2495</v>
      </c>
      <c r="M87" s="56">
        <f t="shared" si="16"/>
        <v>22565</v>
      </c>
      <c r="O87" s="1">
        <v>2028</v>
      </c>
      <c r="P87" s="56">
        <f>MROUND(SUM(LowScenarioCentreBasedFTEDemand[[#This Row],[Education &amp; Care (under 2s)]:[Education &amp; Care (3+)]])*L$61,5)</f>
        <v>9740</v>
      </c>
      <c r="Q87" s="56">
        <f>MROUND(SUM(LowScenarioCentreBasedFTEDemand[[#This Row],[Kindergarten (Under 2s)]:[Kindergarten (3+)]])*M$61,5)</f>
        <v>3090</v>
      </c>
      <c r="R87" s="56">
        <f t="shared" si="17"/>
        <v>12830</v>
      </c>
      <c r="U87" s="1">
        <v>2028</v>
      </c>
      <c r="V87" s="56">
        <f>SUM(LowScenarioCentreBasedFTEDemand[[#This Row],[Education &amp; Care (under 2s)]:[Education &amp; Care (3+)]])-LowScenarioQualifedFTE[[#This Row],[Education &amp; Care]]</f>
        <v>9735</v>
      </c>
    </row>
    <row r="88" spans="1:22" outlineLevel="1">
      <c r="A88" s="1">
        <v>2029</v>
      </c>
      <c r="B88" s="73">
        <f>MROUND(('T15'!$Q19*B$75),5)</f>
        <v>119040</v>
      </c>
      <c r="C88" s="73">
        <f>MROUND(('T15'!$Q19*C$75),5)</f>
        <v>23625</v>
      </c>
      <c r="D88" s="56">
        <f t="shared" si="15"/>
        <v>142665</v>
      </c>
      <c r="F88" s="1">
        <v>2029</v>
      </c>
      <c r="G88" s="56">
        <f>MROUND(((CentreBasedHeadcountEnrolmentsLow[[#This Row],[Education &amp; Care]]*G$74)*G$68)*'Source-fte_qualstus_x_servtype'!J36,5)</f>
        <v>5385</v>
      </c>
      <c r="H88" s="56">
        <f>MROUND(((CentreBasedHeadcountEnrolmentsLow[[#This Row],[Education &amp; Care]]*G$75)*G$69)*'Source-fte_qualstus_x_servtype'!J36,5)</f>
        <v>4605</v>
      </c>
      <c r="I88" s="56">
        <f>MROUND(((CentreBasedHeadcountEnrolmentsLow[[#This Row],[Education &amp; Care]]*SUM(G$76:G$77))*G$70)*'Source-fte_qualstus_x_servtype'!J36,5)</f>
        <v>9485</v>
      </c>
      <c r="J88" s="56">
        <f>MROUND(((CentreBasedHeadcountEnrolmentsLow[[#This Row],[Kindergarten]]*H$74)*H$68)*'Source-fte_qualstus_x_servtype'!J36,5)</f>
        <v>60</v>
      </c>
      <c r="K88" s="56">
        <f>MROUND(((CentreBasedHeadcountEnrolmentsLow[[#This Row],[Kindergarten]]*H$75)*H$69)*'Source-fte_qualstus_x_servtype'!J36,5)</f>
        <v>535</v>
      </c>
      <c r="L88" s="56">
        <f>MROUND(((CentreBasedHeadcountEnrolmentsLow[[#This Row],[Kindergarten]]*SUM(H$76:H$77))*H$70)*'Source-fte_qualstus_x_servtype'!J36,5)</f>
        <v>2495</v>
      </c>
      <c r="M88" s="56">
        <f t="shared" si="16"/>
        <v>22565</v>
      </c>
      <c r="O88" s="1">
        <v>2029</v>
      </c>
      <c r="P88" s="56">
        <f>MROUND(SUM(LowScenarioCentreBasedFTEDemand[[#This Row],[Education &amp; Care (under 2s)]:[Education &amp; Care (3+)]])*L$61,5)</f>
        <v>9740</v>
      </c>
      <c r="Q88" s="56">
        <f>MROUND(SUM(LowScenarioCentreBasedFTEDemand[[#This Row],[Kindergarten (Under 2s)]:[Kindergarten (3+)]])*M$61,5)</f>
        <v>3090</v>
      </c>
      <c r="R88" s="56">
        <f t="shared" si="17"/>
        <v>12830</v>
      </c>
      <c r="U88" s="1">
        <v>2029</v>
      </c>
      <c r="V88" s="56">
        <f>SUM(LowScenarioCentreBasedFTEDemand[[#This Row],[Education &amp; Care (under 2s)]:[Education &amp; Care (3+)]])-LowScenarioQualifedFTE[[#This Row],[Education &amp; Care]]</f>
        <v>9735</v>
      </c>
    </row>
    <row r="89" spans="1:22" outlineLevel="1">
      <c r="A89" s="1">
        <v>2030</v>
      </c>
      <c r="B89" s="73">
        <f>MROUND(('T15'!$Q20*B$75),5)</f>
        <v>118190</v>
      </c>
      <c r="C89" s="73">
        <f>MROUND(('T15'!$Q20*C$75),5)</f>
        <v>23455</v>
      </c>
      <c r="D89" s="56">
        <f t="shared" si="15"/>
        <v>141645</v>
      </c>
      <c r="F89" s="1">
        <v>2030</v>
      </c>
      <c r="G89" s="56">
        <f>MROUND(((CentreBasedHeadcountEnrolmentsLow[[#This Row],[Education &amp; Care]]*G$74)*G$68)*'Source-fte_qualstus_x_servtype'!J37,5)</f>
        <v>5370</v>
      </c>
      <c r="H89" s="56">
        <f>MROUND(((CentreBasedHeadcountEnrolmentsLow[[#This Row],[Education &amp; Care]]*G$75)*G$69)*'Source-fte_qualstus_x_servtype'!J37,5)</f>
        <v>4595</v>
      </c>
      <c r="I89" s="56">
        <f>MROUND(((CentreBasedHeadcountEnrolmentsLow[[#This Row],[Education &amp; Care]]*SUM(G$76:G$77))*G$70)*'Source-fte_qualstus_x_servtype'!J37,5)</f>
        <v>9460</v>
      </c>
      <c r="J89" s="56">
        <f>MROUND(((CentreBasedHeadcountEnrolmentsLow[[#This Row],[Kindergarten]]*H$74)*H$68)*'Source-fte_qualstus_x_servtype'!J37,5)</f>
        <v>60</v>
      </c>
      <c r="K89" s="56">
        <f>MROUND(((CentreBasedHeadcountEnrolmentsLow[[#This Row],[Kindergarten]]*H$75)*H$69)*'Source-fte_qualstus_x_servtype'!J37,5)</f>
        <v>535</v>
      </c>
      <c r="L89" s="56">
        <f>MROUND(((CentreBasedHeadcountEnrolmentsLow[[#This Row],[Kindergarten]]*SUM(H$76:H$77))*H$70)*'Source-fte_qualstus_x_servtype'!J37,5)</f>
        <v>2490</v>
      </c>
      <c r="M89" s="56">
        <f t="shared" si="16"/>
        <v>22510</v>
      </c>
      <c r="O89" s="1">
        <v>2030</v>
      </c>
      <c r="P89" s="56">
        <f>MROUND(SUM(LowScenarioCentreBasedFTEDemand[[#This Row],[Education &amp; Care (under 2s)]:[Education &amp; Care (3+)]])*L$61,5)</f>
        <v>9715</v>
      </c>
      <c r="Q89" s="56">
        <f>MROUND(SUM(LowScenarioCentreBasedFTEDemand[[#This Row],[Kindergarten (Under 2s)]:[Kindergarten (3+)]])*M$61,5)</f>
        <v>3085</v>
      </c>
      <c r="R89" s="56">
        <f t="shared" si="17"/>
        <v>12800</v>
      </c>
      <c r="U89" s="1">
        <v>2030</v>
      </c>
      <c r="V89" s="56">
        <f>SUM(LowScenarioCentreBasedFTEDemand[[#This Row],[Education &amp; Care (under 2s)]:[Education &amp; Care (3+)]])-LowScenarioQualifedFTE[[#This Row],[Education &amp; Care]]</f>
        <v>9710</v>
      </c>
    </row>
    <row r="90" spans="1:22" outlineLevel="1">
      <c r="A90" s="1">
        <v>2031</v>
      </c>
      <c r="B90" s="73">
        <f>MROUND(('T15'!$Q21*B$75),5)</f>
        <v>117395</v>
      </c>
      <c r="C90" s="73">
        <f>MROUND(('T15'!$Q21*C$75),5)</f>
        <v>23300</v>
      </c>
      <c r="D90" s="56">
        <f t="shared" si="15"/>
        <v>140695</v>
      </c>
      <c r="F90" s="1">
        <v>2031</v>
      </c>
      <c r="G90" s="56">
        <f>MROUND(((CentreBasedHeadcountEnrolmentsLow[[#This Row],[Education &amp; Care]]*G$74)*G$68)*'Source-fte_qualstus_x_servtype'!J38,5)</f>
        <v>5355</v>
      </c>
      <c r="H90" s="56">
        <f>MROUND(((CentreBasedHeadcountEnrolmentsLow[[#This Row],[Education &amp; Care]]*G$75)*G$69)*'Source-fte_qualstus_x_servtype'!J38,5)</f>
        <v>4580</v>
      </c>
      <c r="I90" s="56">
        <f>MROUND(((CentreBasedHeadcountEnrolmentsLow[[#This Row],[Education &amp; Care]]*SUM(G$76:G$77))*G$70)*'Source-fte_qualstus_x_servtype'!J38,5)</f>
        <v>9440</v>
      </c>
      <c r="J90" s="56">
        <f>MROUND(((CentreBasedHeadcountEnrolmentsLow[[#This Row],[Kindergarten]]*H$74)*H$68)*'Source-fte_qualstus_x_servtype'!J38,5)</f>
        <v>55</v>
      </c>
      <c r="K90" s="56">
        <f>MROUND(((CentreBasedHeadcountEnrolmentsLow[[#This Row],[Kindergarten]]*H$75)*H$69)*'Source-fte_qualstus_x_servtype'!J38,5)</f>
        <v>535</v>
      </c>
      <c r="L90" s="56">
        <f>MROUND(((CentreBasedHeadcountEnrolmentsLow[[#This Row],[Kindergarten]]*SUM(H$76:H$77))*H$70)*'Source-fte_qualstus_x_servtype'!J38,5)</f>
        <v>2485</v>
      </c>
      <c r="M90" s="56">
        <f t="shared" si="16"/>
        <v>22450</v>
      </c>
      <c r="O90" s="1">
        <v>2031</v>
      </c>
      <c r="P90" s="56">
        <f>MROUND(SUM(LowScenarioCentreBasedFTEDemand[[#This Row],[Education &amp; Care (under 2s)]:[Education &amp; Care (3+)]])*L$61,5)</f>
        <v>9690</v>
      </c>
      <c r="Q90" s="56">
        <f>MROUND(SUM(LowScenarioCentreBasedFTEDemand[[#This Row],[Kindergarten (Under 2s)]:[Kindergarten (3+)]])*M$61,5)</f>
        <v>3075</v>
      </c>
      <c r="R90" s="56">
        <f t="shared" si="17"/>
        <v>12765</v>
      </c>
      <c r="U90" s="1">
        <v>2031</v>
      </c>
      <c r="V90" s="56">
        <f>SUM(LowScenarioCentreBasedFTEDemand[[#This Row],[Education &amp; Care (under 2s)]:[Education &amp; Care (3+)]])-LowScenarioQualifedFTE[[#This Row],[Education &amp; Care]]</f>
        <v>9685</v>
      </c>
    </row>
    <row r="91" spans="1:22" outlineLevel="1">
      <c r="A91" s="1">
        <v>2032</v>
      </c>
      <c r="B91" s="73">
        <f>MROUND(('T15'!$Q22*B$75),5)</f>
        <v>116590</v>
      </c>
      <c r="C91" s="73">
        <f>MROUND(('T15'!$Q22*C$75),5)</f>
        <v>23140</v>
      </c>
      <c r="D91" s="56">
        <f t="shared" si="15"/>
        <v>139730</v>
      </c>
      <c r="F91" s="1">
        <v>2032</v>
      </c>
      <c r="G91" s="56">
        <f>MROUND(((CentreBasedHeadcountEnrolmentsLow[[#This Row],[Education &amp; Care]]*G$74)*G$68)*'Source-fte_qualstus_x_servtype'!J39,5)</f>
        <v>5340</v>
      </c>
      <c r="H91" s="56">
        <f>MROUND(((CentreBasedHeadcountEnrolmentsLow[[#This Row],[Education &amp; Care]]*G$75)*G$69)*'Source-fte_qualstus_x_servtype'!J39,5)</f>
        <v>4570</v>
      </c>
      <c r="I91" s="56">
        <f>MROUND(((CentreBasedHeadcountEnrolmentsLow[[#This Row],[Education &amp; Care]]*SUM(G$76:G$77))*G$70)*'Source-fte_qualstus_x_servtype'!J39,5)</f>
        <v>9415</v>
      </c>
      <c r="J91" s="56">
        <f>MROUND(((CentreBasedHeadcountEnrolmentsLow[[#This Row],[Kindergarten]]*H$74)*H$68)*'Source-fte_qualstus_x_servtype'!J39,5)</f>
        <v>55</v>
      </c>
      <c r="K91" s="56">
        <f>MROUND(((CentreBasedHeadcountEnrolmentsLow[[#This Row],[Kindergarten]]*H$75)*H$69)*'Source-fte_qualstus_x_servtype'!J39,5)</f>
        <v>530</v>
      </c>
      <c r="L91" s="56">
        <f>MROUND(((CentreBasedHeadcountEnrolmentsLow[[#This Row],[Kindergarten]]*SUM(H$76:H$77))*H$70)*'Source-fte_qualstus_x_servtype'!J39,5)</f>
        <v>2480</v>
      </c>
      <c r="M91" s="56">
        <f t="shared" si="16"/>
        <v>22390</v>
      </c>
      <c r="O91" s="1">
        <v>2032</v>
      </c>
      <c r="P91" s="56">
        <f>MROUND(SUM(LowScenarioCentreBasedFTEDemand[[#This Row],[Education &amp; Care (under 2s)]:[Education &amp; Care (3+)]])*L$61,5)</f>
        <v>9665</v>
      </c>
      <c r="Q91" s="56">
        <f>MROUND(SUM(LowScenarioCentreBasedFTEDemand[[#This Row],[Kindergarten (Under 2s)]:[Kindergarten (3+)]])*M$61,5)</f>
        <v>3065</v>
      </c>
      <c r="R91" s="56">
        <f t="shared" si="17"/>
        <v>12730</v>
      </c>
      <c r="U91" s="1">
        <v>2032</v>
      </c>
      <c r="V91" s="56">
        <f>SUM(LowScenarioCentreBasedFTEDemand[[#This Row],[Education &amp; Care (under 2s)]:[Education &amp; Care (3+)]])-LowScenarioQualifedFTE[[#This Row],[Education &amp; Care]]</f>
        <v>9660</v>
      </c>
    </row>
    <row r="92" spans="1:22" outlineLevel="1">
      <c r="A92" s="1">
        <v>2033</v>
      </c>
      <c r="B92" s="73">
        <f>MROUND(('T15'!$Q23*B$75),5)</f>
        <v>115920</v>
      </c>
      <c r="C92" s="73">
        <f>MROUND(('T15'!$Q23*C$75),5)</f>
        <v>23005</v>
      </c>
      <c r="D92" s="56">
        <f t="shared" si="15"/>
        <v>138925</v>
      </c>
      <c r="F92" s="1">
        <v>2033</v>
      </c>
      <c r="G92" s="56">
        <f>MROUND(((CentreBasedHeadcountEnrolmentsLow[[#This Row],[Education &amp; Care]]*G$74)*G$68)*'Source-fte_qualstus_x_servtype'!J40,5)</f>
        <v>5335</v>
      </c>
      <c r="H92" s="56">
        <f>MROUND(((CentreBasedHeadcountEnrolmentsLow[[#This Row],[Education &amp; Care]]*G$75)*G$69)*'Source-fte_qualstus_x_servtype'!J40,5)</f>
        <v>4565</v>
      </c>
      <c r="I92" s="56">
        <f>MROUND(((CentreBasedHeadcountEnrolmentsLow[[#This Row],[Education &amp; Care]]*SUM(G$76:G$77))*G$70)*'Source-fte_qualstus_x_servtype'!J40,5)</f>
        <v>9400</v>
      </c>
      <c r="J92" s="56">
        <f>MROUND(((CentreBasedHeadcountEnrolmentsLow[[#This Row],[Kindergarten]]*H$74)*H$68)*'Source-fte_qualstus_x_servtype'!J40,5)</f>
        <v>55</v>
      </c>
      <c r="K92" s="56">
        <f>MROUND(((CentreBasedHeadcountEnrolmentsLow[[#This Row],[Kindergarten]]*H$75)*H$69)*'Source-fte_qualstus_x_servtype'!J40,5)</f>
        <v>530</v>
      </c>
      <c r="L92" s="56">
        <f>MROUND(((CentreBasedHeadcountEnrolmentsLow[[#This Row],[Kindergarten]]*SUM(H$76:H$77))*H$70)*'Source-fte_qualstus_x_servtype'!J40,5)</f>
        <v>2475</v>
      </c>
      <c r="M92" s="56">
        <f t="shared" si="16"/>
        <v>22360</v>
      </c>
      <c r="O92" s="1">
        <v>2033</v>
      </c>
      <c r="P92" s="56">
        <f>MROUND(SUM(LowScenarioCentreBasedFTEDemand[[#This Row],[Education &amp; Care (under 2s)]:[Education &amp; Care (3+)]])*L$61,5)</f>
        <v>9650</v>
      </c>
      <c r="Q92" s="56">
        <f>MROUND(SUM(LowScenarioCentreBasedFTEDemand[[#This Row],[Kindergarten (Under 2s)]:[Kindergarten (3+)]])*M$61,5)</f>
        <v>3060</v>
      </c>
      <c r="R92" s="56">
        <f t="shared" si="17"/>
        <v>12710</v>
      </c>
      <c r="U92" s="1">
        <v>2033</v>
      </c>
      <c r="V92" s="56">
        <f>SUM(LowScenarioCentreBasedFTEDemand[[#This Row],[Education &amp; Care (under 2s)]:[Education &amp; Care (3+)]])-LowScenarioQualifedFTE[[#This Row],[Education &amp; Care]]</f>
        <v>9650</v>
      </c>
    </row>
    <row r="93" spans="1:22" outlineLevel="1">
      <c r="A93" s="1">
        <v>2034</v>
      </c>
      <c r="B93" s="73">
        <f>MROUND(('T15'!$Q24*B$75),5)</f>
        <v>115385</v>
      </c>
      <c r="C93" s="73">
        <f>MROUND(('T15'!$Q24*C$75),5)</f>
        <v>22900</v>
      </c>
      <c r="D93" s="56">
        <f t="shared" si="15"/>
        <v>138285</v>
      </c>
      <c r="F93" s="1">
        <v>2034</v>
      </c>
      <c r="G93" s="56">
        <f>MROUND(((CentreBasedHeadcountEnrolmentsLow[[#This Row],[Education &amp; Care]]*G$74)*G$68)*'Source-fte_qualstus_x_servtype'!J41,5)</f>
        <v>5335</v>
      </c>
      <c r="H93" s="56">
        <f>MROUND(((CentreBasedHeadcountEnrolmentsLow[[#This Row],[Education &amp; Care]]*G$75)*G$69)*'Source-fte_qualstus_x_servtype'!J41,5)</f>
        <v>4560</v>
      </c>
      <c r="I93" s="56">
        <f>MROUND(((CentreBasedHeadcountEnrolmentsLow[[#This Row],[Education &amp; Care]]*SUM(G$76:G$77))*G$70)*'Source-fte_qualstus_x_servtype'!J41,5)</f>
        <v>9395</v>
      </c>
      <c r="J93" s="56">
        <f>MROUND(((CentreBasedHeadcountEnrolmentsLow[[#This Row],[Kindergarten]]*H$74)*H$68)*'Source-fte_qualstus_x_servtype'!J41,5)</f>
        <v>55</v>
      </c>
      <c r="K93" s="56">
        <f>MROUND(((CentreBasedHeadcountEnrolmentsLow[[#This Row],[Kindergarten]]*H$75)*H$69)*'Source-fte_qualstus_x_servtype'!J41,5)</f>
        <v>530</v>
      </c>
      <c r="L93" s="56">
        <f>MROUND(((CentreBasedHeadcountEnrolmentsLow[[#This Row],[Kindergarten]]*SUM(H$76:H$77))*H$70)*'Source-fte_qualstus_x_servtype'!J41,5)</f>
        <v>2475</v>
      </c>
      <c r="M93" s="56">
        <f t="shared" si="16"/>
        <v>22350</v>
      </c>
      <c r="O93" s="1">
        <v>2034</v>
      </c>
      <c r="P93" s="56">
        <f>MROUND(SUM(LowScenarioCentreBasedFTEDemand[[#This Row],[Education &amp; Care (under 2s)]:[Education &amp; Care (3+)]])*L$61,5)</f>
        <v>9645</v>
      </c>
      <c r="Q93" s="56">
        <f>MROUND(SUM(LowScenarioCentreBasedFTEDemand[[#This Row],[Kindergarten (Under 2s)]:[Kindergarten (3+)]])*M$61,5)</f>
        <v>3060</v>
      </c>
      <c r="R93" s="56">
        <f t="shared" si="17"/>
        <v>12705</v>
      </c>
      <c r="U93" s="1">
        <v>2034</v>
      </c>
      <c r="V93" s="56">
        <f>SUM(LowScenarioCentreBasedFTEDemand[[#This Row],[Education &amp; Care (under 2s)]:[Education &amp; Care (3+)]])-LowScenarioQualifedFTE[[#This Row],[Education &amp; Care]]</f>
        <v>9645</v>
      </c>
    </row>
    <row r="94" spans="1:22" outlineLevel="1">
      <c r="A94" s="1">
        <v>2035</v>
      </c>
      <c r="B94" s="73">
        <f>MROUND(('T15'!$Q25*B$75),5)</f>
        <v>115030</v>
      </c>
      <c r="C94" s="73">
        <f>MROUND(('T15'!$Q25*C$75),5)</f>
        <v>22830</v>
      </c>
      <c r="D94" s="56">
        <f t="shared" si="15"/>
        <v>137860</v>
      </c>
      <c r="F94" s="1">
        <v>2035</v>
      </c>
      <c r="G94" s="56">
        <f>MROUND(((CentreBasedHeadcountEnrolmentsLow[[#This Row],[Education &amp; Care]]*G$74)*G$68)*'Source-fte_qualstus_x_servtype'!J42,5)</f>
        <v>5340</v>
      </c>
      <c r="H94" s="56">
        <f>MROUND(((CentreBasedHeadcountEnrolmentsLow[[#This Row],[Education &amp; Care]]*G$75)*G$69)*'Source-fte_qualstus_x_servtype'!J42,5)</f>
        <v>4570</v>
      </c>
      <c r="I94" s="56">
        <f>MROUND(((CentreBasedHeadcountEnrolmentsLow[[#This Row],[Education &amp; Care]]*SUM(G$76:G$77))*G$70)*'Source-fte_qualstus_x_servtype'!J42,5)</f>
        <v>9410</v>
      </c>
      <c r="J94" s="56">
        <f>MROUND(((CentreBasedHeadcountEnrolmentsLow[[#This Row],[Kindergarten]]*H$74)*H$68)*'Source-fte_qualstus_x_servtype'!J42,5)</f>
        <v>55</v>
      </c>
      <c r="K94" s="56">
        <f>MROUND(((CentreBasedHeadcountEnrolmentsLow[[#This Row],[Kindergarten]]*H$75)*H$69)*'Source-fte_qualstus_x_servtype'!J42,5)</f>
        <v>530</v>
      </c>
      <c r="L94" s="56">
        <f>MROUND(((CentreBasedHeadcountEnrolmentsLow[[#This Row],[Kindergarten]]*SUM(H$76:H$77))*H$70)*'Source-fte_qualstus_x_servtype'!J42,5)</f>
        <v>2475</v>
      </c>
      <c r="M94" s="56">
        <f t="shared" si="16"/>
        <v>22380</v>
      </c>
      <c r="O94" s="1">
        <v>2035</v>
      </c>
      <c r="P94" s="56">
        <f>MROUND(SUM(LowScenarioCentreBasedFTEDemand[[#This Row],[Education &amp; Care (under 2s)]:[Education &amp; Care (3+)]])*L$61,5)</f>
        <v>9660</v>
      </c>
      <c r="Q94" s="56">
        <f>MROUND(SUM(LowScenarioCentreBasedFTEDemand[[#This Row],[Kindergarten (Under 2s)]:[Kindergarten (3+)]])*M$61,5)</f>
        <v>3060</v>
      </c>
      <c r="R94" s="56">
        <f t="shared" si="17"/>
        <v>12720</v>
      </c>
      <c r="U94" s="1">
        <v>2035</v>
      </c>
      <c r="V94" s="56">
        <f>SUM(LowScenarioCentreBasedFTEDemand[[#This Row],[Education &amp; Care (under 2s)]:[Education &amp; Care (3+)]])-LowScenarioQualifedFTE[[#This Row],[Education &amp; Care]]</f>
        <v>9660</v>
      </c>
    </row>
    <row r="95" spans="1:22">
      <c r="B95" s="72"/>
      <c r="C95" s="72"/>
      <c r="D95" s="72"/>
    </row>
    <row r="96" spans="1:22" ht="43.35" customHeight="1">
      <c r="A96" s="6" t="s">
        <v>367</v>
      </c>
      <c r="B96" s="72"/>
      <c r="C96" s="72"/>
      <c r="D96" s="72"/>
      <c r="F96" s="6" t="s">
        <v>368</v>
      </c>
      <c r="O96" s="176" t="s">
        <v>369</v>
      </c>
      <c r="P96" s="176"/>
      <c r="Q96" s="176"/>
      <c r="R96" s="176"/>
      <c r="U96" s="1" t="s">
        <v>370</v>
      </c>
    </row>
    <row r="97" spans="1:22" ht="29.1" outlineLevel="1">
      <c r="A97" s="1" t="s">
        <v>231</v>
      </c>
      <c r="B97" s="59" t="s">
        <v>293</v>
      </c>
      <c r="C97" s="59" t="s">
        <v>305</v>
      </c>
      <c r="D97" s="23" t="s">
        <v>238</v>
      </c>
      <c r="F97" s="1" t="s">
        <v>231</v>
      </c>
      <c r="G97" s="15" t="s">
        <v>360</v>
      </c>
      <c r="H97" s="15" t="s">
        <v>361</v>
      </c>
      <c r="I97" s="15" t="s">
        <v>362</v>
      </c>
      <c r="J97" s="15" t="s">
        <v>363</v>
      </c>
      <c r="K97" s="15" t="s">
        <v>364</v>
      </c>
      <c r="L97" s="15" t="s">
        <v>365</v>
      </c>
      <c r="M97" s="15" t="s">
        <v>366</v>
      </c>
      <c r="O97" s="1" t="s">
        <v>231</v>
      </c>
      <c r="P97" s="15" t="s">
        <v>293</v>
      </c>
      <c r="Q97" s="15" t="s">
        <v>305</v>
      </c>
      <c r="R97" s="15" t="s">
        <v>366</v>
      </c>
      <c r="U97" s="1" t="s">
        <v>231</v>
      </c>
      <c r="V97" s="15" t="s">
        <v>293</v>
      </c>
    </row>
    <row r="98" spans="1:22" outlineLevel="1">
      <c r="A98" s="1">
        <v>2025</v>
      </c>
      <c r="B98" s="73">
        <f>MROUND(('T15'!$S15*B$75),5)</f>
        <v>135695</v>
      </c>
      <c r="C98" s="73">
        <f>MROUND(('T15'!$S15*C$75),5)</f>
        <v>26930</v>
      </c>
      <c r="D98" s="56">
        <f t="shared" ref="D98:D108" si="18">SUM(B98:C98)</f>
        <v>162625</v>
      </c>
      <c r="F98" s="1">
        <v>2025</v>
      </c>
      <c r="G98" s="56">
        <f>MROUND(((CentreBasedHeadcountEnrolmentsMedium[[#This Row],[Education &amp; Care]]*G$74)*G$68)*'Source-fte_qualstus_x_servtype'!J32,5)</f>
        <v>6030</v>
      </c>
      <c r="H98" s="56">
        <f>MROUND(((CentreBasedHeadcountEnrolmentsMedium[[#This Row],[Education &amp; Care]]*G$75)*G$69)*'Source-fte_qualstus_x_servtype'!J32,5)</f>
        <v>5160</v>
      </c>
      <c r="I98" s="56">
        <f>MROUND(((CentreBasedHeadcountEnrolmentsMedium[[#This Row],[Education &amp; Care]]*SUM(G$76:G$77))*G$70)*'Source-fte_qualstus_x_servtype'!J32,5)</f>
        <v>10625</v>
      </c>
      <c r="J98" s="56">
        <f>MROUND(((CentreBasedHeadcountEnrolmentsMedium[[#This Row],[Kindergarten]]*H$74)*H$68)*'Source-fte_qualstus_x_servtype'!J32,5)</f>
        <v>65</v>
      </c>
      <c r="K98" s="56">
        <f>MROUND(((CentreBasedHeadcountEnrolmentsMedium[[#This Row],[Kindergarten]]*H$75)*H$69)*'Source-fte_qualstus_x_servtype'!J32,5)</f>
        <v>600</v>
      </c>
      <c r="L98" s="56">
        <f>MROUND(((CentreBasedHeadcountEnrolmentsMedium[[#This Row],[Kindergarten]]*SUM(H$76:H$77))*H$70)*'Source-fte_qualstus_x_servtype'!J32,5)</f>
        <v>2795</v>
      </c>
      <c r="M98" s="56">
        <f>SUM(G98:L98)</f>
        <v>25275</v>
      </c>
      <c r="O98" s="1">
        <v>2025</v>
      </c>
      <c r="P98" s="56">
        <f>MROUND(SUM(MediumScenarioCentreBasedFTEDemand[[#This Row],[Education &amp; Care (under 2s)]:[Education &amp; Care (3+)]])*L$62,5)</f>
        <v>14200</v>
      </c>
      <c r="Q98" s="56">
        <f>MROUND(SUM(MediumScenarioCentreBasedFTEDemand[[#This Row],[Kindergarten (Under 2s)]:[Kindergarten (3+)]])*M$62,5)</f>
        <v>3460</v>
      </c>
      <c r="R98" s="56">
        <f>SUM(P98:Q98)</f>
        <v>17660</v>
      </c>
      <c r="U98" s="1">
        <v>2025</v>
      </c>
      <c r="V98" s="56">
        <f>SUM(MediumScenarioCentreBasedFTEDemand[[#This Row],[Education &amp; Care (under 2s)]:[Education &amp; Care (3+)]])-MediumScenarioQualifiedFTE[[#This Row],[Education &amp; Care]]</f>
        <v>7615</v>
      </c>
    </row>
    <row r="99" spans="1:22" outlineLevel="1">
      <c r="A99" s="1">
        <v>2026</v>
      </c>
      <c r="B99" s="73">
        <f>MROUND(('T15'!$S16*B$75),5)</f>
        <v>132945</v>
      </c>
      <c r="C99" s="73">
        <f>MROUND(('T15'!$S16*C$75),5)</f>
        <v>26385</v>
      </c>
      <c r="D99" s="56">
        <f t="shared" si="18"/>
        <v>159330</v>
      </c>
      <c r="F99" s="1">
        <v>2026</v>
      </c>
      <c r="G99" s="56">
        <f>MROUND(((CentreBasedHeadcountEnrolmentsMedium[[#This Row],[Education &amp; Care]]*G$74)*G$68)*'Source-fte_qualstus_x_servtype'!J33,5)</f>
        <v>5935</v>
      </c>
      <c r="H99" s="56">
        <f>MROUND(((CentreBasedHeadcountEnrolmentsMedium[[#This Row],[Education &amp; Care]]*G$75)*G$69)*'Source-fte_qualstus_x_servtype'!J33,5)</f>
        <v>5075</v>
      </c>
      <c r="I99" s="56">
        <f>MROUND(((CentreBasedHeadcountEnrolmentsMedium[[#This Row],[Education &amp; Care]]*SUM(G$76:G$77))*G$70)*'Source-fte_qualstus_x_servtype'!J33,5)</f>
        <v>10455</v>
      </c>
      <c r="J99" s="56">
        <f>MROUND(((CentreBasedHeadcountEnrolmentsMedium[[#This Row],[Kindergarten]]*H$74)*H$68)*'Source-fte_qualstus_x_servtype'!J33,5)</f>
        <v>65</v>
      </c>
      <c r="K99" s="56">
        <f>MROUND(((CentreBasedHeadcountEnrolmentsMedium[[#This Row],[Kindergarten]]*H$75)*H$69)*'Source-fte_qualstus_x_servtype'!J33,5)</f>
        <v>590</v>
      </c>
      <c r="L99" s="56">
        <f>MROUND(((CentreBasedHeadcountEnrolmentsMedium[[#This Row],[Kindergarten]]*SUM(H$76:H$77))*H$70)*'Source-fte_qualstus_x_servtype'!J33,5)</f>
        <v>2750</v>
      </c>
      <c r="M99" s="56">
        <f t="shared" ref="M99:M108" si="19">SUM(G99:L99)</f>
        <v>24870</v>
      </c>
      <c r="O99" s="1">
        <v>2026</v>
      </c>
      <c r="P99" s="56">
        <f>MROUND(SUM(MediumScenarioCentreBasedFTEDemand[[#This Row],[Education &amp; Care (under 2s)]:[Education &amp; Care (3+)]])*L$62,5)</f>
        <v>13975</v>
      </c>
      <c r="Q99" s="56">
        <f>MROUND(SUM(MediumScenarioCentreBasedFTEDemand[[#This Row],[Kindergarten (Under 2s)]:[Kindergarten (3+)]])*M$62,5)</f>
        <v>3405</v>
      </c>
      <c r="R99" s="56">
        <f t="shared" ref="R99:R108" si="20">SUM(P99:Q99)</f>
        <v>17380</v>
      </c>
      <c r="U99" s="1">
        <v>2026</v>
      </c>
      <c r="V99" s="56">
        <f>SUM(MediumScenarioCentreBasedFTEDemand[[#This Row],[Education &amp; Care (under 2s)]:[Education &amp; Care (3+)]])-MediumScenarioQualifiedFTE[[#This Row],[Education &amp; Care]]</f>
        <v>7490</v>
      </c>
    </row>
    <row r="100" spans="1:22" outlineLevel="1">
      <c r="A100" s="1">
        <v>2027</v>
      </c>
      <c r="B100" s="73">
        <f>MROUND(('T15'!$S17*B$75),5)</f>
        <v>130635</v>
      </c>
      <c r="C100" s="73">
        <f>MROUND(('T15'!$S17*C$75),5)</f>
        <v>25925</v>
      </c>
      <c r="D100" s="56">
        <f t="shared" si="18"/>
        <v>156560</v>
      </c>
      <c r="F100" s="1">
        <v>2027</v>
      </c>
      <c r="G100" s="56">
        <f>MROUND(((CentreBasedHeadcountEnrolmentsMedium[[#This Row],[Education &amp; Care]]*G$74)*G$68)*'Source-fte_qualstus_x_servtype'!J34,5)</f>
        <v>5855</v>
      </c>
      <c r="H100" s="56">
        <f>MROUND(((CentreBasedHeadcountEnrolmentsMedium[[#This Row],[Education &amp; Care]]*G$75)*G$69)*'Source-fte_qualstus_x_servtype'!J34,5)</f>
        <v>5010</v>
      </c>
      <c r="I100" s="56">
        <f>MROUND(((CentreBasedHeadcountEnrolmentsMedium[[#This Row],[Education &amp; Care]]*SUM(G$76:G$77))*G$70)*'Source-fte_qualstus_x_servtype'!J34,5)</f>
        <v>10320</v>
      </c>
      <c r="J100" s="56">
        <f>MROUND(((CentreBasedHeadcountEnrolmentsMedium[[#This Row],[Kindergarten]]*H$74)*H$68)*'Source-fte_qualstus_x_servtype'!J34,5)</f>
        <v>65</v>
      </c>
      <c r="K100" s="56">
        <f>MROUND(((CentreBasedHeadcountEnrolmentsMedium[[#This Row],[Kindergarten]]*H$75)*H$69)*'Source-fte_qualstus_x_servtype'!J34,5)</f>
        <v>580</v>
      </c>
      <c r="L100" s="56">
        <f>MROUND(((CentreBasedHeadcountEnrolmentsMedium[[#This Row],[Kindergarten]]*SUM(H$76:H$77))*H$70)*'Source-fte_qualstus_x_servtype'!J34,5)</f>
        <v>2715</v>
      </c>
      <c r="M100" s="56">
        <f t="shared" si="19"/>
        <v>24545</v>
      </c>
      <c r="O100" s="1">
        <v>2027</v>
      </c>
      <c r="P100" s="56">
        <f>MROUND(SUM(MediumScenarioCentreBasedFTEDemand[[#This Row],[Education &amp; Care (under 2s)]:[Education &amp; Care (3+)]])*L$62,5)</f>
        <v>13790</v>
      </c>
      <c r="Q100" s="56">
        <f>MROUND(SUM(MediumScenarioCentreBasedFTEDemand[[#This Row],[Kindergarten (Under 2s)]:[Kindergarten (3+)]])*M$62,5)</f>
        <v>3360</v>
      </c>
      <c r="R100" s="56">
        <f t="shared" si="20"/>
        <v>17150</v>
      </c>
      <c r="U100" s="1">
        <v>2027</v>
      </c>
      <c r="V100" s="56">
        <f>SUM(MediumScenarioCentreBasedFTEDemand[[#This Row],[Education &amp; Care (under 2s)]:[Education &amp; Care (3+)]])-MediumScenarioQualifiedFTE[[#This Row],[Education &amp; Care]]</f>
        <v>7395</v>
      </c>
    </row>
    <row r="101" spans="1:22" outlineLevel="1">
      <c r="A101" s="1">
        <v>2028</v>
      </c>
      <c r="B101" s="73">
        <f>MROUND(('T15'!$S18*B$75),5)</f>
        <v>131365</v>
      </c>
      <c r="C101" s="73">
        <f>MROUND(('T15'!$S18*C$75),5)</f>
        <v>26070</v>
      </c>
      <c r="D101" s="56">
        <f t="shared" si="18"/>
        <v>157435</v>
      </c>
      <c r="F101" s="1">
        <v>2028</v>
      </c>
      <c r="G101" s="56">
        <f>MROUND(((CentreBasedHeadcountEnrolmentsMedium[[#This Row],[Education &amp; Care]]*G$74)*G$68)*'Source-fte_qualstus_x_servtype'!J35,5)</f>
        <v>5915</v>
      </c>
      <c r="H101" s="56">
        <f>MROUND(((CentreBasedHeadcountEnrolmentsMedium[[#This Row],[Education &amp; Care]]*G$75)*G$69)*'Source-fte_qualstus_x_servtype'!J35,5)</f>
        <v>5060</v>
      </c>
      <c r="I101" s="56">
        <f>MROUND(((CentreBasedHeadcountEnrolmentsMedium[[#This Row],[Education &amp; Care]]*SUM(G$76:G$77))*G$70)*'Source-fte_qualstus_x_servtype'!J35,5)</f>
        <v>10425</v>
      </c>
      <c r="J101" s="56">
        <f>MROUND(((CentreBasedHeadcountEnrolmentsMedium[[#This Row],[Kindergarten]]*H$74)*H$68)*'Source-fte_qualstus_x_servtype'!J35,5)</f>
        <v>65</v>
      </c>
      <c r="K101" s="56">
        <f>MROUND(((CentreBasedHeadcountEnrolmentsMedium[[#This Row],[Kindergarten]]*H$75)*H$69)*'Source-fte_qualstus_x_servtype'!J35,5)</f>
        <v>590</v>
      </c>
      <c r="L101" s="56">
        <f>MROUND(((CentreBasedHeadcountEnrolmentsMedium[[#This Row],[Kindergarten]]*SUM(H$76:H$77))*H$70)*'Source-fte_qualstus_x_servtype'!J35,5)</f>
        <v>2745</v>
      </c>
      <c r="M101" s="56">
        <f t="shared" si="19"/>
        <v>24800</v>
      </c>
      <c r="O101" s="1">
        <v>2028</v>
      </c>
      <c r="P101" s="56">
        <f>MROUND(SUM(MediumScenarioCentreBasedFTEDemand[[#This Row],[Education &amp; Care (under 2s)]:[Education &amp; Care (3+)]])*L$62,5)</f>
        <v>13930</v>
      </c>
      <c r="Q101" s="56">
        <f>MROUND(SUM(MediumScenarioCentreBasedFTEDemand[[#This Row],[Kindergarten (Under 2s)]:[Kindergarten (3+)]])*M$62,5)</f>
        <v>3400</v>
      </c>
      <c r="R101" s="56">
        <f t="shared" si="20"/>
        <v>17330</v>
      </c>
      <c r="U101" s="1">
        <v>2028</v>
      </c>
      <c r="V101" s="56">
        <f>SUM(MediumScenarioCentreBasedFTEDemand[[#This Row],[Education &amp; Care (under 2s)]:[Education &amp; Care (3+)]])-MediumScenarioQualifiedFTE[[#This Row],[Education &amp; Care]]</f>
        <v>7470</v>
      </c>
    </row>
    <row r="102" spans="1:22" outlineLevel="1">
      <c r="A102" s="1">
        <v>2029</v>
      </c>
      <c r="B102" s="73">
        <f>MROUND(('T15'!$S19*B$75),5)</f>
        <v>132215</v>
      </c>
      <c r="C102" s="73">
        <f>MROUND(('T15'!$S19*C$75),5)</f>
        <v>26240</v>
      </c>
      <c r="D102" s="56">
        <f t="shared" si="18"/>
        <v>158455</v>
      </c>
      <c r="F102" s="1">
        <v>2029</v>
      </c>
      <c r="G102" s="56">
        <f>MROUND(((CentreBasedHeadcountEnrolmentsMedium[[#This Row],[Education &amp; Care]]*G$74)*G$68)*'Source-fte_qualstus_x_servtype'!J36,5)</f>
        <v>5980</v>
      </c>
      <c r="H102" s="56">
        <f>MROUND(((CentreBasedHeadcountEnrolmentsMedium[[#This Row],[Education &amp; Care]]*G$75)*G$69)*'Source-fte_qualstus_x_servtype'!J36,5)</f>
        <v>5115</v>
      </c>
      <c r="I102" s="56">
        <f>MROUND(((CentreBasedHeadcountEnrolmentsMedium[[#This Row],[Education &amp; Care]]*SUM(G$76:G$77))*G$70)*'Source-fte_qualstus_x_servtype'!J36,5)</f>
        <v>10535</v>
      </c>
      <c r="J102" s="56">
        <f>MROUND(((CentreBasedHeadcountEnrolmentsMedium[[#This Row],[Kindergarten]]*H$74)*H$68)*'Source-fte_qualstus_x_servtype'!J36,5)</f>
        <v>65</v>
      </c>
      <c r="K102" s="56">
        <f>MROUND(((CentreBasedHeadcountEnrolmentsMedium[[#This Row],[Kindergarten]]*H$75)*H$69)*'Source-fte_qualstus_x_servtype'!J36,5)</f>
        <v>595</v>
      </c>
      <c r="L102" s="56">
        <f>MROUND(((CentreBasedHeadcountEnrolmentsMedium[[#This Row],[Kindergarten]]*SUM(H$76:H$77))*H$70)*'Source-fte_qualstus_x_servtype'!J36,5)</f>
        <v>2775</v>
      </c>
      <c r="M102" s="56">
        <f t="shared" si="19"/>
        <v>25065</v>
      </c>
      <c r="O102" s="1">
        <v>2029</v>
      </c>
      <c r="P102" s="56">
        <f>MROUND(SUM(MediumScenarioCentreBasedFTEDemand[[#This Row],[Education &amp; Care (under 2s)]:[Education &amp; Care (3+)]])*L$62,5)</f>
        <v>14080</v>
      </c>
      <c r="Q102" s="56">
        <f>MROUND(SUM(MediumScenarioCentreBasedFTEDemand[[#This Row],[Kindergarten (Under 2s)]:[Kindergarten (3+)]])*M$62,5)</f>
        <v>3435</v>
      </c>
      <c r="R102" s="56">
        <f t="shared" si="20"/>
        <v>17515</v>
      </c>
      <c r="U102" s="1">
        <v>2029</v>
      </c>
      <c r="V102" s="56">
        <f>SUM(MediumScenarioCentreBasedFTEDemand[[#This Row],[Education &amp; Care (under 2s)]:[Education &amp; Care (3+)]])-MediumScenarioQualifiedFTE[[#This Row],[Education &amp; Care]]</f>
        <v>7550</v>
      </c>
    </row>
    <row r="103" spans="1:22" outlineLevel="1">
      <c r="A103" s="1">
        <v>2030</v>
      </c>
      <c r="B103" s="73">
        <f>MROUND(('T15'!$S20*B$75),5)</f>
        <v>132305</v>
      </c>
      <c r="C103" s="73">
        <f>MROUND(('T15'!$S20*C$75),5)</f>
        <v>26260</v>
      </c>
      <c r="D103" s="56">
        <f t="shared" si="18"/>
        <v>158565</v>
      </c>
      <c r="F103" s="1">
        <v>2030</v>
      </c>
      <c r="G103" s="56">
        <f>MROUND(((CentreBasedHeadcountEnrolmentsMedium[[#This Row],[Education &amp; Care]]*G$74)*G$68)*'Source-fte_qualstus_x_servtype'!J37,5)</f>
        <v>6010</v>
      </c>
      <c r="H103" s="56">
        <f>MROUND(((CentreBasedHeadcountEnrolmentsMedium[[#This Row],[Education &amp; Care]]*G$75)*G$69)*'Source-fte_qualstus_x_servtype'!J37,5)</f>
        <v>5140</v>
      </c>
      <c r="I103" s="56">
        <f>MROUND(((CentreBasedHeadcountEnrolmentsMedium[[#This Row],[Education &amp; Care]]*SUM(G$76:G$77))*G$70)*'Source-fte_qualstus_x_servtype'!J37,5)</f>
        <v>10590</v>
      </c>
      <c r="J103" s="56">
        <f>MROUND(((CentreBasedHeadcountEnrolmentsMedium[[#This Row],[Kindergarten]]*H$74)*H$68)*'Source-fte_qualstus_x_servtype'!J37,5)</f>
        <v>65</v>
      </c>
      <c r="K103" s="56">
        <f>MROUND(((CentreBasedHeadcountEnrolmentsMedium[[#This Row],[Kindergarten]]*H$75)*H$69)*'Source-fte_qualstus_x_servtype'!J37,5)</f>
        <v>600</v>
      </c>
      <c r="L103" s="56">
        <f>MROUND(((CentreBasedHeadcountEnrolmentsMedium[[#This Row],[Kindergarten]]*SUM(H$76:H$77))*H$70)*'Source-fte_qualstus_x_servtype'!J37,5)</f>
        <v>2785</v>
      </c>
      <c r="M103" s="56">
        <f t="shared" si="19"/>
        <v>25190</v>
      </c>
      <c r="O103" s="1">
        <v>2030</v>
      </c>
      <c r="P103" s="56">
        <f>MROUND(SUM(MediumScenarioCentreBasedFTEDemand[[#This Row],[Education &amp; Care (under 2s)]:[Education &amp; Care (3+)]])*L$62,5)</f>
        <v>14150</v>
      </c>
      <c r="Q103" s="56">
        <f>MROUND(SUM(MediumScenarioCentreBasedFTEDemand[[#This Row],[Kindergarten (Under 2s)]:[Kindergarten (3+)]])*M$62,5)</f>
        <v>3450</v>
      </c>
      <c r="R103" s="56">
        <f t="shared" si="20"/>
        <v>17600</v>
      </c>
      <c r="U103" s="1">
        <v>2030</v>
      </c>
      <c r="V103" s="56">
        <f>SUM(MediumScenarioCentreBasedFTEDemand[[#This Row],[Education &amp; Care (under 2s)]:[Education &amp; Care (3+)]])-MediumScenarioQualifiedFTE[[#This Row],[Education &amp; Care]]</f>
        <v>7590</v>
      </c>
    </row>
    <row r="104" spans="1:22" outlineLevel="1">
      <c r="A104" s="1">
        <v>2031</v>
      </c>
      <c r="B104" s="73">
        <f>MROUND(('T15'!$S21*B$75),5)</f>
        <v>132330</v>
      </c>
      <c r="C104" s="73">
        <f>MROUND(('T15'!$S21*C$75),5)</f>
        <v>26265</v>
      </c>
      <c r="D104" s="56">
        <f t="shared" si="18"/>
        <v>158595</v>
      </c>
      <c r="F104" s="1">
        <v>2031</v>
      </c>
      <c r="G104" s="56">
        <f>MROUND(((CentreBasedHeadcountEnrolmentsMedium[[#This Row],[Education &amp; Care]]*G$74)*G$68)*'Source-fte_qualstus_x_servtype'!J38,5)</f>
        <v>6035</v>
      </c>
      <c r="H104" s="56">
        <f>MROUND(((CentreBasedHeadcountEnrolmentsMedium[[#This Row],[Education &amp; Care]]*G$75)*G$69)*'Source-fte_qualstus_x_servtype'!J38,5)</f>
        <v>5165</v>
      </c>
      <c r="I104" s="56">
        <f>MROUND(((CentreBasedHeadcountEnrolmentsMedium[[#This Row],[Education &amp; Care]]*SUM(G$76:G$77))*G$70)*'Source-fte_qualstus_x_servtype'!J38,5)</f>
        <v>10640</v>
      </c>
      <c r="J104" s="56">
        <f>MROUND(((CentreBasedHeadcountEnrolmentsMedium[[#This Row],[Kindergarten]]*H$74)*H$68)*'Source-fte_qualstus_x_servtype'!J38,5)</f>
        <v>65</v>
      </c>
      <c r="K104" s="56">
        <f>MROUND(((CentreBasedHeadcountEnrolmentsMedium[[#This Row],[Kindergarten]]*H$75)*H$69)*'Source-fte_qualstus_x_servtype'!J38,5)</f>
        <v>600</v>
      </c>
      <c r="L104" s="56">
        <f>MROUND(((CentreBasedHeadcountEnrolmentsMedium[[#This Row],[Kindergarten]]*SUM(H$76:H$77))*H$70)*'Source-fte_qualstus_x_servtype'!J38,5)</f>
        <v>2800</v>
      </c>
      <c r="M104" s="56">
        <f t="shared" si="19"/>
        <v>25305</v>
      </c>
      <c r="O104" s="1">
        <v>2031</v>
      </c>
      <c r="P104" s="56">
        <f>MROUND(SUM(MediumScenarioCentreBasedFTEDemand[[#This Row],[Education &amp; Care (under 2s)]:[Education &amp; Care (3+)]])*L$62,5)</f>
        <v>14215</v>
      </c>
      <c r="Q104" s="56">
        <f>MROUND(SUM(MediumScenarioCentreBasedFTEDemand[[#This Row],[Kindergarten (Under 2s)]:[Kindergarten (3+)]])*M$62,5)</f>
        <v>3465</v>
      </c>
      <c r="R104" s="56">
        <f t="shared" si="20"/>
        <v>17680</v>
      </c>
      <c r="U104" s="1">
        <v>2031</v>
      </c>
      <c r="V104" s="56">
        <f>SUM(MediumScenarioCentreBasedFTEDemand[[#This Row],[Education &amp; Care (under 2s)]:[Education &amp; Care (3+)]])-MediumScenarioQualifiedFTE[[#This Row],[Education &amp; Care]]</f>
        <v>7625</v>
      </c>
    </row>
    <row r="105" spans="1:22" outlineLevel="1">
      <c r="A105" s="1">
        <v>2032</v>
      </c>
      <c r="B105" s="73">
        <f>MROUND(('T15'!$S22*B$75),5)</f>
        <v>132335</v>
      </c>
      <c r="C105" s="73">
        <f>MROUND(('T15'!$S22*C$75),5)</f>
        <v>26265</v>
      </c>
      <c r="D105" s="56">
        <f t="shared" si="18"/>
        <v>158600</v>
      </c>
      <c r="F105" s="1">
        <v>2032</v>
      </c>
      <c r="G105" s="56">
        <f>MROUND(((CentreBasedHeadcountEnrolmentsMedium[[#This Row],[Education &amp; Care]]*G$74)*G$68)*'Source-fte_qualstus_x_servtype'!J39,5)</f>
        <v>6065</v>
      </c>
      <c r="H105" s="56">
        <f>MROUND(((CentreBasedHeadcountEnrolmentsMedium[[#This Row],[Education &amp; Care]]*G$75)*G$69)*'Source-fte_qualstus_x_servtype'!J39,5)</f>
        <v>5185</v>
      </c>
      <c r="I105" s="56">
        <f>MROUND(((CentreBasedHeadcountEnrolmentsMedium[[#This Row],[Education &amp; Care]]*SUM(G$76:G$77))*G$70)*'Source-fte_qualstus_x_servtype'!J39,5)</f>
        <v>10685</v>
      </c>
      <c r="J105" s="56">
        <f>MROUND(((CentreBasedHeadcountEnrolmentsMedium[[#This Row],[Kindergarten]]*H$74)*H$68)*'Source-fte_qualstus_x_servtype'!J39,5)</f>
        <v>65</v>
      </c>
      <c r="K105" s="56">
        <f>MROUND(((CentreBasedHeadcountEnrolmentsMedium[[#This Row],[Kindergarten]]*H$75)*H$69)*'Source-fte_qualstus_x_servtype'!J39,5)</f>
        <v>605</v>
      </c>
      <c r="L105" s="56">
        <f>MROUND(((CentreBasedHeadcountEnrolmentsMedium[[#This Row],[Kindergarten]]*SUM(H$76:H$77))*H$70)*'Source-fte_qualstus_x_servtype'!J39,5)</f>
        <v>2810</v>
      </c>
      <c r="M105" s="56">
        <f t="shared" si="19"/>
        <v>25415</v>
      </c>
      <c r="O105" s="1">
        <v>2032</v>
      </c>
      <c r="P105" s="56">
        <f>MROUND(SUM(MediumScenarioCentreBasedFTEDemand[[#This Row],[Education &amp; Care (under 2s)]:[Education &amp; Care (3+)]])*L$62,5)</f>
        <v>14280</v>
      </c>
      <c r="Q105" s="56">
        <f>MROUND(SUM(MediumScenarioCentreBasedFTEDemand[[#This Row],[Kindergarten (Under 2s)]:[Kindergarten (3+)]])*M$62,5)</f>
        <v>3480</v>
      </c>
      <c r="R105" s="56">
        <f t="shared" si="20"/>
        <v>17760</v>
      </c>
      <c r="U105" s="1">
        <v>2032</v>
      </c>
      <c r="V105" s="56">
        <f>SUM(MediumScenarioCentreBasedFTEDemand[[#This Row],[Education &amp; Care (under 2s)]:[Education &amp; Care (3+)]])-MediumScenarioQualifiedFTE[[#This Row],[Education &amp; Care]]</f>
        <v>7655</v>
      </c>
    </row>
    <row r="106" spans="1:22" outlineLevel="1">
      <c r="A106" s="1">
        <v>2033</v>
      </c>
      <c r="B106" s="73">
        <f>MROUND(('T15'!$S23*B$75),5)</f>
        <v>132360</v>
      </c>
      <c r="C106" s="73">
        <f>MROUND(('T15'!$S23*C$75),5)</f>
        <v>26270</v>
      </c>
      <c r="D106" s="56">
        <f t="shared" si="18"/>
        <v>158630</v>
      </c>
      <c r="F106" s="1">
        <v>2033</v>
      </c>
      <c r="G106" s="56">
        <f>MROUND(((CentreBasedHeadcountEnrolmentsMedium[[#This Row],[Education &amp; Care]]*G$74)*G$68)*'Source-fte_qualstus_x_servtype'!J40,5)</f>
        <v>6090</v>
      </c>
      <c r="H106" s="56">
        <f>MROUND(((CentreBasedHeadcountEnrolmentsMedium[[#This Row],[Education &amp; Care]]*G$75)*G$69)*'Source-fte_qualstus_x_servtype'!J40,5)</f>
        <v>5210</v>
      </c>
      <c r="I106" s="56">
        <f>MROUND(((CentreBasedHeadcountEnrolmentsMedium[[#This Row],[Education &amp; Care]]*SUM(G$76:G$77))*G$70)*'Source-fte_qualstus_x_servtype'!J40,5)</f>
        <v>10735</v>
      </c>
      <c r="J106" s="56">
        <f>MROUND(((CentreBasedHeadcountEnrolmentsMedium[[#This Row],[Kindergarten]]*H$74)*H$68)*'Source-fte_qualstus_x_servtype'!J40,5)</f>
        <v>65</v>
      </c>
      <c r="K106" s="56">
        <f>MROUND(((CentreBasedHeadcountEnrolmentsMedium[[#This Row],[Kindergarten]]*H$75)*H$69)*'Source-fte_qualstus_x_servtype'!J40,5)</f>
        <v>605</v>
      </c>
      <c r="L106" s="56">
        <f>MROUND(((CentreBasedHeadcountEnrolmentsMedium[[#This Row],[Kindergarten]]*SUM(H$76:H$77))*H$70)*'Source-fte_qualstus_x_servtype'!J40,5)</f>
        <v>2825</v>
      </c>
      <c r="M106" s="56">
        <f t="shared" si="19"/>
        <v>25530</v>
      </c>
      <c r="O106" s="1">
        <v>2033</v>
      </c>
      <c r="P106" s="56">
        <f>MROUND(SUM(MediumScenarioCentreBasedFTEDemand[[#This Row],[Education &amp; Care (under 2s)]:[Education &amp; Care (3+)]])*L$62,5)</f>
        <v>14345</v>
      </c>
      <c r="Q106" s="56">
        <f>MROUND(SUM(MediumScenarioCentreBasedFTEDemand[[#This Row],[Kindergarten (Under 2s)]:[Kindergarten (3+)]])*M$62,5)</f>
        <v>3495</v>
      </c>
      <c r="R106" s="56">
        <f t="shared" si="20"/>
        <v>17840</v>
      </c>
      <c r="U106" s="1">
        <v>2033</v>
      </c>
      <c r="V106" s="56">
        <f>SUM(MediumScenarioCentreBasedFTEDemand[[#This Row],[Education &amp; Care (under 2s)]:[Education &amp; Care (3+)]])-MediumScenarioQualifiedFTE[[#This Row],[Education &amp; Care]]</f>
        <v>7690</v>
      </c>
    </row>
    <row r="107" spans="1:22" outlineLevel="1">
      <c r="A107" s="1">
        <v>2034</v>
      </c>
      <c r="B107" s="73">
        <f>MROUND(('T15'!$S24*B$75),5)</f>
        <v>132455</v>
      </c>
      <c r="C107" s="73">
        <f>MROUND(('T15'!$S24*C$75),5)</f>
        <v>26290</v>
      </c>
      <c r="D107" s="56">
        <f t="shared" si="18"/>
        <v>158745</v>
      </c>
      <c r="F107" s="1">
        <v>2034</v>
      </c>
      <c r="G107" s="56">
        <f>MROUND(((CentreBasedHeadcountEnrolmentsMedium[[#This Row],[Education &amp; Care]]*G$74)*G$68)*'Source-fte_qualstus_x_servtype'!J41,5)</f>
        <v>6120</v>
      </c>
      <c r="H107" s="56">
        <f>MROUND(((CentreBasedHeadcountEnrolmentsMedium[[#This Row],[Education &amp; Care]]*G$75)*G$69)*'Source-fte_qualstus_x_servtype'!J41,5)</f>
        <v>5235</v>
      </c>
      <c r="I107" s="56">
        <f>MROUND(((CentreBasedHeadcountEnrolmentsMedium[[#This Row],[Education &amp; Care]]*SUM(G$76:G$77))*G$70)*'Source-fte_qualstus_x_servtype'!J41,5)</f>
        <v>10790</v>
      </c>
      <c r="J107" s="56">
        <f>MROUND(((CentreBasedHeadcountEnrolmentsMedium[[#This Row],[Kindergarten]]*H$74)*H$68)*'Source-fte_qualstus_x_servtype'!J41,5)</f>
        <v>65</v>
      </c>
      <c r="K107" s="56">
        <f>MROUND(((CentreBasedHeadcountEnrolmentsMedium[[#This Row],[Kindergarten]]*H$75)*H$69)*'Source-fte_qualstus_x_servtype'!J41,5)</f>
        <v>610</v>
      </c>
      <c r="L107" s="56">
        <f>MROUND(((CentreBasedHeadcountEnrolmentsMedium[[#This Row],[Kindergarten]]*SUM(H$76:H$77))*H$70)*'Source-fte_qualstus_x_servtype'!J41,5)</f>
        <v>2840</v>
      </c>
      <c r="M107" s="56">
        <f t="shared" si="19"/>
        <v>25660</v>
      </c>
      <c r="O107" s="1">
        <v>2034</v>
      </c>
      <c r="P107" s="56">
        <f>MROUND(SUM(MediumScenarioCentreBasedFTEDemand[[#This Row],[Education &amp; Care (under 2s)]:[Education &amp; Care (3+)]])*L$62,5)</f>
        <v>14415</v>
      </c>
      <c r="Q107" s="56">
        <f>MROUND(SUM(MediumScenarioCentreBasedFTEDemand[[#This Row],[Kindergarten (Under 2s)]:[Kindergarten (3+)]])*M$62,5)</f>
        <v>3515</v>
      </c>
      <c r="R107" s="56">
        <f t="shared" si="20"/>
        <v>17930</v>
      </c>
      <c r="U107" s="1">
        <v>2034</v>
      </c>
      <c r="V107" s="56">
        <f>SUM(MediumScenarioCentreBasedFTEDemand[[#This Row],[Education &amp; Care (under 2s)]:[Education &amp; Care (3+)]])-MediumScenarioQualifiedFTE[[#This Row],[Education &amp; Care]]</f>
        <v>7730</v>
      </c>
    </row>
    <row r="108" spans="1:22" outlineLevel="1">
      <c r="A108" s="1">
        <v>2035</v>
      </c>
      <c r="B108" s="73">
        <f>MROUND(('T15'!$S25*B$75),5)</f>
        <v>132640</v>
      </c>
      <c r="C108" s="73">
        <f>MROUND(('T15'!$S25*C$75),5)</f>
        <v>26325</v>
      </c>
      <c r="D108" s="56">
        <f t="shared" si="18"/>
        <v>158965</v>
      </c>
      <c r="F108" s="1">
        <v>2035</v>
      </c>
      <c r="G108" s="56">
        <f>MROUND(((CentreBasedHeadcountEnrolmentsMedium[[#This Row],[Education &amp; Care]]*G$74)*G$68)*'Source-fte_qualstus_x_servtype'!J42,5)</f>
        <v>6155</v>
      </c>
      <c r="H108" s="56">
        <f>MROUND(((CentreBasedHeadcountEnrolmentsMedium[[#This Row],[Education &amp; Care]]*G$75)*G$69)*'Source-fte_qualstus_x_servtype'!J42,5)</f>
        <v>5265</v>
      </c>
      <c r="I108" s="56">
        <f>MROUND(((CentreBasedHeadcountEnrolmentsMedium[[#This Row],[Education &amp; Care]]*SUM(G$76:G$77))*G$70)*'Source-fte_qualstus_x_servtype'!J42,5)</f>
        <v>10850</v>
      </c>
      <c r="J108" s="56">
        <f>MROUND(((CentreBasedHeadcountEnrolmentsMedium[[#This Row],[Kindergarten]]*H$74)*H$68)*'Source-fte_qualstus_x_servtype'!J42,5)</f>
        <v>65</v>
      </c>
      <c r="K108" s="56">
        <f>MROUND(((CentreBasedHeadcountEnrolmentsMedium[[#This Row],[Kindergarten]]*H$75)*H$69)*'Source-fte_qualstus_x_servtype'!J42,5)</f>
        <v>610</v>
      </c>
      <c r="L108" s="56">
        <f>MROUND(((CentreBasedHeadcountEnrolmentsMedium[[#This Row],[Kindergarten]]*SUM(H$76:H$77))*H$70)*'Source-fte_qualstus_x_servtype'!J42,5)</f>
        <v>2855</v>
      </c>
      <c r="M108" s="56">
        <f t="shared" si="19"/>
        <v>25800</v>
      </c>
      <c r="O108" s="1">
        <v>2035</v>
      </c>
      <c r="P108" s="56">
        <f>MROUND(SUM(MediumScenarioCentreBasedFTEDemand[[#This Row],[Education &amp; Care (under 2s)]:[Education &amp; Care (3+)]])*L$62,5)</f>
        <v>14495</v>
      </c>
      <c r="Q108" s="56">
        <f>MROUND(SUM(MediumScenarioCentreBasedFTEDemand[[#This Row],[Kindergarten (Under 2s)]:[Kindergarten (3+)]])*M$62,5)</f>
        <v>3530</v>
      </c>
      <c r="R108" s="56">
        <f t="shared" si="20"/>
        <v>18025</v>
      </c>
      <c r="U108" s="1">
        <v>2035</v>
      </c>
      <c r="V108" s="56">
        <f>SUM(MediumScenarioCentreBasedFTEDemand[[#This Row],[Education &amp; Care (under 2s)]:[Education &amp; Care (3+)]])-MediumScenarioQualifiedFTE[[#This Row],[Education &amp; Care]]</f>
        <v>7775</v>
      </c>
    </row>
    <row r="110" spans="1:22" ht="41.45" customHeight="1">
      <c r="A110" s="6" t="s">
        <v>371</v>
      </c>
      <c r="F110" s="6" t="s">
        <v>372</v>
      </c>
      <c r="O110" s="176" t="s">
        <v>373</v>
      </c>
      <c r="P110" s="176"/>
      <c r="Q110" s="176"/>
      <c r="R110" s="176"/>
      <c r="U110" s="1" t="s">
        <v>374</v>
      </c>
    </row>
    <row r="111" spans="1:22" ht="29.1" outlineLevel="1">
      <c r="A111" s="1" t="s">
        <v>231</v>
      </c>
      <c r="B111" s="59" t="s">
        <v>293</v>
      </c>
      <c r="C111" s="59" t="s">
        <v>305</v>
      </c>
      <c r="D111" s="23" t="s">
        <v>238</v>
      </c>
      <c r="F111" s="1" t="s">
        <v>231</v>
      </c>
      <c r="G111" s="15" t="s">
        <v>360</v>
      </c>
      <c r="H111" s="15" t="s">
        <v>361</v>
      </c>
      <c r="I111" s="15" t="s">
        <v>362</v>
      </c>
      <c r="J111" s="15" t="s">
        <v>363</v>
      </c>
      <c r="K111" s="15" t="s">
        <v>364</v>
      </c>
      <c r="L111" s="15" t="s">
        <v>365</v>
      </c>
      <c r="M111" s="15" t="s">
        <v>366</v>
      </c>
      <c r="O111" s="1" t="s">
        <v>231</v>
      </c>
      <c r="P111" s="15" t="s">
        <v>293</v>
      </c>
      <c r="Q111" s="15" t="s">
        <v>305</v>
      </c>
      <c r="R111" s="15" t="s">
        <v>366</v>
      </c>
      <c r="U111" s="1" t="s">
        <v>231</v>
      </c>
      <c r="V111" s="15" t="s">
        <v>293</v>
      </c>
    </row>
    <row r="112" spans="1:22" outlineLevel="1">
      <c r="A112" s="1">
        <v>2025</v>
      </c>
      <c r="B112" s="73">
        <f>MROUND(('T15'!$T15*B$75),5)</f>
        <v>141750</v>
      </c>
      <c r="C112" s="73">
        <f>MROUND(('T15'!$T15*C$75),5)</f>
        <v>28135</v>
      </c>
      <c r="D112" s="56">
        <f t="shared" ref="D112:D122" si="21">SUM(B112:C112)</f>
        <v>169885</v>
      </c>
      <c r="F112" s="1">
        <v>2025</v>
      </c>
      <c r="G112" s="56">
        <f>MROUND(((CentreBasedHeadcountEnrolmentsHigh[[#This Row],[Education &amp; Care]]*G$74)*G$68)*'Source-fte_qualstus_x_servtype'!J32,5)</f>
        <v>6300</v>
      </c>
      <c r="H112" s="56">
        <f>MROUND(((CentreBasedHeadcountEnrolmentsHigh[[#This Row],[Education &amp; Care]]*G$75)*G$69)*'Source-fte_qualstus_x_servtype'!J32,5)</f>
        <v>5390</v>
      </c>
      <c r="I112" s="56">
        <f>MROUND(((CentreBasedHeadcountEnrolmentsHigh[[#This Row],[Education &amp; Care]]*SUM(G$76:G$77))*G$70)*'Source-fte_qualstus_x_servtype'!J32,5)</f>
        <v>11100</v>
      </c>
      <c r="J112" s="56">
        <f>MROUND(((CentreBasedHeadcountEnrolmentsHigh[[#This Row],[Kindergarten]]*H$74)*H$68)*'Source-fte_qualstus_x_servtype'!J32,5)</f>
        <v>65</v>
      </c>
      <c r="K112" s="56">
        <f>MROUND(((CentreBasedHeadcountEnrolmentsHigh[[#This Row],[Kindergarten]]*H$75)*H$69)*'Source-fte_qualstus_x_servtype'!J32,5)</f>
        <v>625</v>
      </c>
      <c r="L112" s="56">
        <f>MROUND(((CentreBasedHeadcountEnrolmentsHigh[[#This Row],[Kindergarten]]*SUM(H$76:H$77))*H$70)*'Source-fte_qualstus_x_servtype'!J32,5)</f>
        <v>2920</v>
      </c>
      <c r="M112" s="56">
        <f>SUM(G112:L112)</f>
        <v>26400</v>
      </c>
      <c r="O112" s="1">
        <v>2025</v>
      </c>
      <c r="P112" s="56">
        <f>MROUND(SUM(HighScenarioCentreBasedFTEDemand[[#This Row],[Education &amp; Care (under 2s)]:[Education &amp; Care (3+)]])*L$63,5)</f>
        <v>22790</v>
      </c>
      <c r="Q112" s="56">
        <f>MROUND(SUM(HighScenarioCentreBasedFTEDemand[[#This Row],[Kindergarten (Under 2s)]:[Kindergarten (3+)]])*M$61,5)</f>
        <v>3610</v>
      </c>
      <c r="R112" s="56">
        <f>SUM(P112:Q112)</f>
        <v>26400</v>
      </c>
      <c r="U112" s="1">
        <v>2025</v>
      </c>
      <c r="V112" s="56">
        <f>SUM(HighScenarioCentreBasedFTEDemand[[#This Row],[Education &amp; Care (under 2s)]:[Education &amp; Care (3+)]])-HighScenarioQualifiedFTE[[#This Row],[Education &amp; Care]]</f>
        <v>0</v>
      </c>
    </row>
    <row r="113" spans="1:22" outlineLevel="1">
      <c r="A113" s="1">
        <v>2026</v>
      </c>
      <c r="B113" s="73">
        <f>MROUND(('T15'!$T16*B$75),5)</f>
        <v>139665</v>
      </c>
      <c r="C113" s="73">
        <f>MROUND(('T15'!$T16*C$75),5)</f>
        <v>27720</v>
      </c>
      <c r="D113" s="56">
        <f t="shared" si="21"/>
        <v>167385</v>
      </c>
      <c r="F113" s="1">
        <v>2026</v>
      </c>
      <c r="G113" s="56">
        <f>MROUND(((CentreBasedHeadcountEnrolmentsHigh[[#This Row],[Education &amp; Care]]*G$74)*G$68)*'Source-fte_qualstus_x_servtype'!J33,5)</f>
        <v>6235</v>
      </c>
      <c r="H113" s="56">
        <f>MROUND(((CentreBasedHeadcountEnrolmentsHigh[[#This Row],[Education &amp; Care]]*G$75)*G$69)*'Source-fte_qualstus_x_servtype'!J33,5)</f>
        <v>5335</v>
      </c>
      <c r="I113" s="56">
        <f>MROUND(((CentreBasedHeadcountEnrolmentsHigh[[#This Row],[Education &amp; Care]]*SUM(G$76:G$77))*G$70)*'Source-fte_qualstus_x_servtype'!J33,5)</f>
        <v>10985</v>
      </c>
      <c r="J113" s="56">
        <f>MROUND(((CentreBasedHeadcountEnrolmentsHigh[[#This Row],[Kindergarten]]*H$74)*H$68)*'Source-fte_qualstus_x_servtype'!J33,5)</f>
        <v>65</v>
      </c>
      <c r="K113" s="56">
        <f>MROUND(((CentreBasedHeadcountEnrolmentsHigh[[#This Row],[Kindergarten]]*H$75)*H$69)*'Source-fte_qualstus_x_servtype'!J33,5)</f>
        <v>620</v>
      </c>
      <c r="L113" s="56">
        <f>MROUND(((CentreBasedHeadcountEnrolmentsHigh[[#This Row],[Kindergarten]]*SUM(H$76:H$77))*H$70)*'Source-fte_qualstus_x_servtype'!J33,5)</f>
        <v>2890</v>
      </c>
      <c r="M113" s="56">
        <f t="shared" ref="M113:M122" si="22">SUM(G113:L113)</f>
        <v>26130</v>
      </c>
      <c r="O113" s="1">
        <v>2026</v>
      </c>
      <c r="P113" s="56">
        <f>MROUND(SUM(HighScenarioCentreBasedFTEDemand[[#This Row],[Education &amp; Care (under 2s)]:[Education &amp; Care (3+)]])*L$63,5)</f>
        <v>22555</v>
      </c>
      <c r="Q113" s="56">
        <f>MROUND(SUM(HighScenarioCentreBasedFTEDemand[[#This Row],[Kindergarten (Under 2s)]:[Kindergarten (3+)]])*M$61,5)</f>
        <v>3575</v>
      </c>
      <c r="R113" s="56">
        <f t="shared" ref="R113:R122" si="23">SUM(P113:Q113)</f>
        <v>26130</v>
      </c>
      <c r="U113" s="1">
        <v>2026</v>
      </c>
      <c r="V113" s="56">
        <f>SUM(HighScenarioCentreBasedFTEDemand[[#This Row],[Education &amp; Care (under 2s)]:[Education &amp; Care (3+)]])-HighScenarioQualifiedFTE[[#This Row],[Education &amp; Care]]</f>
        <v>0</v>
      </c>
    </row>
    <row r="114" spans="1:22" outlineLevel="1">
      <c r="A114" s="1">
        <v>2027</v>
      </c>
      <c r="B114" s="73">
        <f>MROUND(('T15'!$T17*B$75),5)</f>
        <v>138285</v>
      </c>
      <c r="C114" s="73">
        <f>MROUND(('T15'!$T17*C$75),5)</f>
        <v>27445</v>
      </c>
      <c r="D114" s="56">
        <f t="shared" si="21"/>
        <v>165730</v>
      </c>
      <c r="F114" s="1">
        <v>2027</v>
      </c>
      <c r="G114" s="56">
        <f>MROUND(((CentreBasedHeadcountEnrolmentsHigh[[#This Row],[Education &amp; Care]]*G$74)*G$68)*'Source-fte_qualstus_x_servtype'!J34,5)</f>
        <v>6200</v>
      </c>
      <c r="H114" s="56">
        <f>MROUND(((CentreBasedHeadcountEnrolmentsHigh[[#This Row],[Education &amp; Care]]*G$75)*G$69)*'Source-fte_qualstus_x_servtype'!J34,5)</f>
        <v>5305</v>
      </c>
      <c r="I114" s="56">
        <f>MROUND(((CentreBasedHeadcountEnrolmentsHigh[[#This Row],[Education &amp; Care]]*SUM(G$76:G$77))*G$70)*'Source-fte_qualstus_x_servtype'!J34,5)</f>
        <v>10925</v>
      </c>
      <c r="J114" s="56">
        <f>MROUND(((CentreBasedHeadcountEnrolmentsHigh[[#This Row],[Kindergarten]]*H$74)*H$68)*'Source-fte_qualstus_x_servtype'!J34,5)</f>
        <v>65</v>
      </c>
      <c r="K114" s="56">
        <f>MROUND(((CentreBasedHeadcountEnrolmentsHigh[[#This Row],[Kindergarten]]*H$75)*H$69)*'Source-fte_qualstus_x_servtype'!J34,5)</f>
        <v>615</v>
      </c>
      <c r="L114" s="56">
        <f>MROUND(((CentreBasedHeadcountEnrolmentsHigh[[#This Row],[Kindergarten]]*SUM(H$76:H$77))*H$70)*'Source-fte_qualstus_x_servtype'!J34,5)</f>
        <v>2875</v>
      </c>
      <c r="M114" s="56">
        <f t="shared" si="22"/>
        <v>25985</v>
      </c>
      <c r="O114" s="1">
        <v>2027</v>
      </c>
      <c r="P114" s="56">
        <f>MROUND(SUM(HighScenarioCentreBasedFTEDemand[[#This Row],[Education &amp; Care (under 2s)]:[Education &amp; Care (3+)]])*L$63,5)</f>
        <v>22430</v>
      </c>
      <c r="Q114" s="56">
        <f>MROUND(SUM(HighScenarioCentreBasedFTEDemand[[#This Row],[Kindergarten (Under 2s)]:[Kindergarten (3+)]])*M$61,5)</f>
        <v>3555</v>
      </c>
      <c r="R114" s="56">
        <f t="shared" si="23"/>
        <v>25985</v>
      </c>
      <c r="U114" s="1">
        <v>2027</v>
      </c>
      <c r="V114" s="56">
        <f>SUM(HighScenarioCentreBasedFTEDemand[[#This Row],[Education &amp; Care (under 2s)]:[Education &amp; Care (3+)]])-HighScenarioQualifiedFTE[[#This Row],[Education &amp; Care]]</f>
        <v>0</v>
      </c>
    </row>
    <row r="115" spans="1:22" outlineLevel="1">
      <c r="A115" s="1">
        <v>2028</v>
      </c>
      <c r="B115" s="73">
        <f>MROUND(('T15'!$T18*B$75),5)</f>
        <v>140255</v>
      </c>
      <c r="C115" s="73">
        <f>MROUND(('T15'!$T18*C$75),5)</f>
        <v>27835</v>
      </c>
      <c r="D115" s="56">
        <f t="shared" si="21"/>
        <v>168090</v>
      </c>
      <c r="F115" s="1">
        <v>2028</v>
      </c>
      <c r="G115" s="56">
        <f>MROUND(((CentreBasedHeadcountEnrolmentsHigh[[#This Row],[Education &amp; Care]]*G$74)*G$68)*'Source-fte_qualstus_x_servtype'!J35,5)</f>
        <v>6315</v>
      </c>
      <c r="H115" s="56">
        <f>MROUND(((CentreBasedHeadcountEnrolmentsHigh[[#This Row],[Education &amp; Care]]*G$75)*G$69)*'Source-fte_qualstus_x_servtype'!J35,5)</f>
        <v>5405</v>
      </c>
      <c r="I115" s="56">
        <f>MROUND(((CentreBasedHeadcountEnrolmentsHigh[[#This Row],[Education &amp; Care]]*SUM(G$76:G$77))*G$70)*'Source-fte_qualstus_x_servtype'!J35,5)</f>
        <v>11130</v>
      </c>
      <c r="J115" s="56">
        <f>MROUND(((CentreBasedHeadcountEnrolmentsHigh[[#This Row],[Kindergarten]]*H$74)*H$68)*'Source-fte_qualstus_x_servtype'!J35,5)</f>
        <v>70</v>
      </c>
      <c r="K115" s="56">
        <f>MROUND(((CentreBasedHeadcountEnrolmentsHigh[[#This Row],[Kindergarten]]*H$75)*H$69)*'Source-fte_qualstus_x_servtype'!J35,5)</f>
        <v>630</v>
      </c>
      <c r="L115" s="56">
        <f>MROUND(((CentreBasedHeadcountEnrolmentsHigh[[#This Row],[Kindergarten]]*SUM(H$76:H$77))*H$70)*'Source-fte_qualstus_x_servtype'!J35,5)</f>
        <v>2930</v>
      </c>
      <c r="M115" s="56">
        <f t="shared" si="22"/>
        <v>26480</v>
      </c>
      <c r="O115" s="1">
        <v>2028</v>
      </c>
      <c r="P115" s="56">
        <f>MROUND(SUM(HighScenarioCentreBasedFTEDemand[[#This Row],[Education &amp; Care (under 2s)]:[Education &amp; Care (3+)]])*L$63,5)</f>
        <v>22850</v>
      </c>
      <c r="Q115" s="56">
        <f>MROUND(SUM(HighScenarioCentreBasedFTEDemand[[#This Row],[Kindergarten (Under 2s)]:[Kindergarten (3+)]])*M$61,5)</f>
        <v>3630</v>
      </c>
      <c r="R115" s="56">
        <f t="shared" si="23"/>
        <v>26480</v>
      </c>
      <c r="U115" s="1">
        <v>2028</v>
      </c>
      <c r="V115" s="56">
        <f>SUM(HighScenarioCentreBasedFTEDemand[[#This Row],[Education &amp; Care (under 2s)]:[Education &amp; Care (3+)]])-HighScenarioQualifiedFTE[[#This Row],[Education &amp; Care]]</f>
        <v>0</v>
      </c>
    </row>
    <row r="116" spans="1:22" outlineLevel="1">
      <c r="A116" s="1">
        <v>2029</v>
      </c>
      <c r="B116" s="73">
        <f>MROUND(('T15'!$T19*B$75),5)</f>
        <v>142570</v>
      </c>
      <c r="C116" s="73">
        <f>MROUND(('T15'!$T19*C$75),5)</f>
        <v>28295</v>
      </c>
      <c r="D116" s="56">
        <f t="shared" si="21"/>
        <v>170865</v>
      </c>
      <c r="F116" s="1">
        <v>2029</v>
      </c>
      <c r="G116" s="56">
        <f>MROUND(((CentreBasedHeadcountEnrolmentsHigh[[#This Row],[Education &amp; Care]]*G$74)*G$68)*'Source-fte_qualstus_x_servtype'!J36,5)</f>
        <v>6450</v>
      </c>
      <c r="H116" s="56">
        <f>MROUND(((CentreBasedHeadcountEnrolmentsHigh[[#This Row],[Education &amp; Care]]*G$75)*G$69)*'Source-fte_qualstus_x_servtype'!J36,5)</f>
        <v>5515</v>
      </c>
      <c r="I116" s="56">
        <f>MROUND(((CentreBasedHeadcountEnrolmentsHigh[[#This Row],[Education &amp; Care]]*SUM(G$76:G$77))*G$70)*'Source-fte_qualstus_x_servtype'!J36,5)</f>
        <v>11360</v>
      </c>
      <c r="J116" s="56">
        <f>MROUND(((CentreBasedHeadcountEnrolmentsHigh[[#This Row],[Kindergarten]]*H$74)*H$68)*'Source-fte_qualstus_x_servtype'!J36,5)</f>
        <v>70</v>
      </c>
      <c r="K116" s="56">
        <f>MROUND(((CentreBasedHeadcountEnrolmentsHigh[[#This Row],[Kindergarten]]*H$75)*H$69)*'Source-fte_qualstus_x_servtype'!J36,5)</f>
        <v>640</v>
      </c>
      <c r="L116" s="56">
        <f>MROUND(((CentreBasedHeadcountEnrolmentsHigh[[#This Row],[Kindergarten]]*SUM(H$76:H$77))*H$70)*'Source-fte_qualstus_x_servtype'!J36,5)</f>
        <v>2990</v>
      </c>
      <c r="M116" s="56">
        <f t="shared" si="22"/>
        <v>27025</v>
      </c>
      <c r="O116" s="1">
        <v>2029</v>
      </c>
      <c r="P116" s="56">
        <f>MROUND(SUM(HighScenarioCentreBasedFTEDemand[[#This Row],[Education &amp; Care (under 2s)]:[Education &amp; Care (3+)]])*L$63,5)</f>
        <v>23325</v>
      </c>
      <c r="Q116" s="56">
        <f>MROUND(SUM(HighScenarioCentreBasedFTEDemand[[#This Row],[Kindergarten (Under 2s)]:[Kindergarten (3+)]])*M$61,5)</f>
        <v>3700</v>
      </c>
      <c r="R116" s="56">
        <f t="shared" si="23"/>
        <v>27025</v>
      </c>
      <c r="U116" s="1">
        <v>2029</v>
      </c>
      <c r="V116" s="56">
        <f>SUM(HighScenarioCentreBasedFTEDemand[[#This Row],[Education &amp; Care (under 2s)]:[Education &amp; Care (3+)]])-HighScenarioQualifiedFTE[[#This Row],[Education &amp; Care]]</f>
        <v>0</v>
      </c>
    </row>
    <row r="117" spans="1:22" outlineLevel="1">
      <c r="A117" s="1">
        <v>2030</v>
      </c>
      <c r="B117" s="73">
        <f>MROUND(('T15'!$T20*B$75),5)</f>
        <v>143870</v>
      </c>
      <c r="C117" s="73">
        <f>MROUND(('T15'!$T20*C$75),5)</f>
        <v>28555</v>
      </c>
      <c r="D117" s="56">
        <f t="shared" si="21"/>
        <v>172425</v>
      </c>
      <c r="F117" s="1">
        <v>2030</v>
      </c>
      <c r="G117" s="56">
        <f>MROUND(((CentreBasedHeadcountEnrolmentsHigh[[#This Row],[Education &amp; Care]]*G$74)*G$68)*'Source-fte_qualstus_x_servtype'!J37,5)</f>
        <v>6535</v>
      </c>
      <c r="H117" s="56">
        <f>MROUND(((CentreBasedHeadcountEnrolmentsHigh[[#This Row],[Education &amp; Care]]*G$75)*G$69)*'Source-fte_qualstus_x_servtype'!J37,5)</f>
        <v>5590</v>
      </c>
      <c r="I117" s="56">
        <f>MROUND(((CentreBasedHeadcountEnrolmentsHigh[[#This Row],[Education &amp; Care]]*SUM(G$76:G$77))*G$70)*'Source-fte_qualstus_x_servtype'!J37,5)</f>
        <v>11515</v>
      </c>
      <c r="J117" s="56">
        <f>MROUND(((CentreBasedHeadcountEnrolmentsHigh[[#This Row],[Kindergarten]]*H$74)*H$68)*'Source-fte_qualstus_x_servtype'!J37,5)</f>
        <v>70</v>
      </c>
      <c r="K117" s="56">
        <f>MROUND(((CentreBasedHeadcountEnrolmentsHigh[[#This Row],[Kindergarten]]*H$75)*H$69)*'Source-fte_qualstus_x_servtype'!J37,5)</f>
        <v>650</v>
      </c>
      <c r="L117" s="56">
        <f>MROUND(((CentreBasedHeadcountEnrolmentsHigh[[#This Row],[Kindergarten]]*SUM(H$76:H$77))*H$70)*'Source-fte_qualstus_x_servtype'!J37,5)</f>
        <v>3030</v>
      </c>
      <c r="M117" s="56">
        <f t="shared" si="22"/>
        <v>27390</v>
      </c>
      <c r="O117" s="1">
        <v>2030</v>
      </c>
      <c r="P117" s="56">
        <f>MROUND(SUM(HighScenarioCentreBasedFTEDemand[[#This Row],[Education &amp; Care (under 2s)]:[Education &amp; Care (3+)]])*L$63,5)</f>
        <v>23640</v>
      </c>
      <c r="Q117" s="56">
        <f>MROUND(SUM(HighScenarioCentreBasedFTEDemand[[#This Row],[Kindergarten (Under 2s)]:[Kindergarten (3+)]])*M$61,5)</f>
        <v>3750</v>
      </c>
      <c r="R117" s="56">
        <f t="shared" si="23"/>
        <v>27390</v>
      </c>
      <c r="U117" s="1">
        <v>2030</v>
      </c>
      <c r="V117" s="56">
        <f>SUM(HighScenarioCentreBasedFTEDemand[[#This Row],[Education &amp; Care (under 2s)]:[Education &amp; Care (3+)]])-HighScenarioQualifiedFTE[[#This Row],[Education &amp; Care]]</f>
        <v>0</v>
      </c>
    </row>
    <row r="118" spans="1:22" outlineLevel="1">
      <c r="A118" s="1">
        <v>2031</v>
      </c>
      <c r="B118" s="73">
        <f>MROUND(('T15'!$T21*B$75),5)</f>
        <v>144680</v>
      </c>
      <c r="C118" s="73">
        <f>MROUND(('T15'!$T21*C$75),5)</f>
        <v>28715</v>
      </c>
      <c r="D118" s="56">
        <f t="shared" si="21"/>
        <v>173395</v>
      </c>
      <c r="F118" s="1">
        <v>2031</v>
      </c>
      <c r="G118" s="56">
        <f>MROUND(((CentreBasedHeadcountEnrolmentsHigh[[#This Row],[Education &amp; Care]]*G$74)*G$68)*'Source-fte_qualstus_x_servtype'!J38,5)</f>
        <v>6600</v>
      </c>
      <c r="H118" s="56">
        <f>MROUND(((CentreBasedHeadcountEnrolmentsHigh[[#This Row],[Education &amp; Care]]*G$75)*G$69)*'Source-fte_qualstus_x_servtype'!J38,5)</f>
        <v>5645</v>
      </c>
      <c r="I118" s="56">
        <f>MROUND(((CentreBasedHeadcountEnrolmentsHigh[[#This Row],[Education &amp; Care]]*SUM(G$76:G$77))*G$70)*'Source-fte_qualstus_x_servtype'!J38,5)</f>
        <v>11630</v>
      </c>
      <c r="J118" s="56">
        <f>MROUND(((CentreBasedHeadcountEnrolmentsHigh[[#This Row],[Kindergarten]]*H$74)*H$68)*'Source-fte_qualstus_x_servtype'!J38,5)</f>
        <v>70</v>
      </c>
      <c r="K118" s="56">
        <f>MROUND(((CentreBasedHeadcountEnrolmentsHigh[[#This Row],[Kindergarten]]*H$75)*H$69)*'Source-fte_qualstus_x_servtype'!J38,5)</f>
        <v>655</v>
      </c>
      <c r="L118" s="56">
        <f>MROUND(((CentreBasedHeadcountEnrolmentsHigh[[#This Row],[Kindergarten]]*SUM(H$76:H$77))*H$70)*'Source-fte_qualstus_x_servtype'!J38,5)</f>
        <v>3060</v>
      </c>
      <c r="M118" s="56">
        <f t="shared" si="22"/>
        <v>27660</v>
      </c>
      <c r="O118" s="1">
        <v>2031</v>
      </c>
      <c r="P118" s="56">
        <f>MROUND(SUM(HighScenarioCentreBasedFTEDemand[[#This Row],[Education &amp; Care (under 2s)]:[Education &amp; Care (3+)]])*L$63,5)</f>
        <v>23875</v>
      </c>
      <c r="Q118" s="56">
        <f>MROUND(SUM(HighScenarioCentreBasedFTEDemand[[#This Row],[Kindergarten (Under 2s)]:[Kindergarten (3+)]])*M$61,5)</f>
        <v>3785</v>
      </c>
      <c r="R118" s="56">
        <f t="shared" si="23"/>
        <v>27660</v>
      </c>
      <c r="U118" s="1">
        <v>2031</v>
      </c>
      <c r="V118" s="56">
        <f>SUM(HighScenarioCentreBasedFTEDemand[[#This Row],[Education &amp; Care (under 2s)]:[Education &amp; Care (3+)]])-HighScenarioQualifiedFTE[[#This Row],[Education &amp; Care]]</f>
        <v>0</v>
      </c>
    </row>
    <row r="119" spans="1:22" outlineLevel="1">
      <c r="A119" s="1">
        <v>2032</v>
      </c>
      <c r="B119" s="73">
        <f>MROUND(('T15'!$T22*B$75),5)</f>
        <v>145630</v>
      </c>
      <c r="C119" s="73">
        <f>MROUND(('T15'!$T22*C$75),5)</f>
        <v>28905</v>
      </c>
      <c r="D119" s="56">
        <f t="shared" si="21"/>
        <v>174535</v>
      </c>
      <c r="F119" s="1">
        <v>2032</v>
      </c>
      <c r="G119" s="56">
        <f>MROUND(((CentreBasedHeadcountEnrolmentsHigh[[#This Row],[Education &amp; Care]]*G$74)*G$68)*'Source-fte_qualstus_x_servtype'!J39,5)</f>
        <v>6675</v>
      </c>
      <c r="H119" s="56">
        <f>MROUND(((CentreBasedHeadcountEnrolmentsHigh[[#This Row],[Education &amp; Care]]*G$75)*G$69)*'Source-fte_qualstus_x_servtype'!J39,5)</f>
        <v>5710</v>
      </c>
      <c r="I119" s="56">
        <f>MROUND(((CentreBasedHeadcountEnrolmentsHigh[[#This Row],[Education &amp; Care]]*SUM(G$76:G$77))*G$70)*'Source-fte_qualstus_x_servtype'!J39,5)</f>
        <v>11760</v>
      </c>
      <c r="J119" s="56">
        <f>MROUND(((CentreBasedHeadcountEnrolmentsHigh[[#This Row],[Kindergarten]]*H$74)*H$68)*'Source-fte_qualstus_x_servtype'!J39,5)</f>
        <v>70</v>
      </c>
      <c r="K119" s="56">
        <f>MROUND(((CentreBasedHeadcountEnrolmentsHigh[[#This Row],[Kindergarten]]*H$75)*H$69)*'Source-fte_qualstus_x_servtype'!J39,5)</f>
        <v>665</v>
      </c>
      <c r="L119" s="56">
        <f>MROUND(((CentreBasedHeadcountEnrolmentsHigh[[#This Row],[Kindergarten]]*SUM(H$76:H$77))*H$70)*'Source-fte_qualstus_x_servtype'!J39,5)</f>
        <v>3095</v>
      </c>
      <c r="M119" s="56">
        <f t="shared" si="22"/>
        <v>27975</v>
      </c>
      <c r="O119" s="1">
        <v>2032</v>
      </c>
      <c r="P119" s="56">
        <f>MROUND(SUM(HighScenarioCentreBasedFTEDemand[[#This Row],[Education &amp; Care (under 2s)]:[Education &amp; Care (3+)]])*L$63,5)</f>
        <v>24145</v>
      </c>
      <c r="Q119" s="56">
        <f>MROUND(SUM(HighScenarioCentreBasedFTEDemand[[#This Row],[Kindergarten (Under 2s)]:[Kindergarten (3+)]])*M$61,5)</f>
        <v>3830</v>
      </c>
      <c r="R119" s="56">
        <f t="shared" si="23"/>
        <v>27975</v>
      </c>
      <c r="U119" s="1">
        <v>2032</v>
      </c>
      <c r="V119" s="56">
        <f>SUM(HighScenarioCentreBasedFTEDemand[[#This Row],[Education &amp; Care (under 2s)]:[Education &amp; Care (3+)]])-HighScenarioQualifiedFTE[[#This Row],[Education &amp; Care]]</f>
        <v>0</v>
      </c>
    </row>
    <row r="120" spans="1:22" outlineLevel="1">
      <c r="A120" s="1">
        <v>2033</v>
      </c>
      <c r="B120" s="73">
        <f>MROUND(('T15'!$T23*B$75),5)</f>
        <v>146470</v>
      </c>
      <c r="C120" s="73">
        <f>MROUND(('T15'!$T23*C$75),5)</f>
        <v>29070</v>
      </c>
      <c r="D120" s="56">
        <f t="shared" si="21"/>
        <v>175540</v>
      </c>
      <c r="F120" s="1">
        <v>2033</v>
      </c>
      <c r="G120" s="56">
        <f>MROUND(((CentreBasedHeadcountEnrolmentsHigh[[#This Row],[Education &amp; Care]]*G$74)*G$68)*'Source-fte_qualstus_x_servtype'!J40,5)</f>
        <v>6740</v>
      </c>
      <c r="H120" s="56">
        <f>MROUND(((CentreBasedHeadcountEnrolmentsHigh[[#This Row],[Education &amp; Care]]*G$75)*G$69)*'Source-fte_qualstus_x_servtype'!J40,5)</f>
        <v>5765</v>
      </c>
      <c r="I120" s="56">
        <f>MROUND(((CentreBasedHeadcountEnrolmentsHigh[[#This Row],[Education &amp; Care]]*SUM(G$76:G$77))*G$70)*'Source-fte_qualstus_x_servtype'!J40,5)</f>
        <v>11880</v>
      </c>
      <c r="J120" s="56">
        <f>MROUND(((CentreBasedHeadcountEnrolmentsHigh[[#This Row],[Kindergarten]]*H$74)*H$68)*'Source-fte_qualstus_x_servtype'!J40,5)</f>
        <v>70</v>
      </c>
      <c r="K120" s="56">
        <f>MROUND(((CentreBasedHeadcountEnrolmentsHigh[[#This Row],[Kindergarten]]*H$75)*H$69)*'Source-fte_qualstus_x_servtype'!J40,5)</f>
        <v>670</v>
      </c>
      <c r="L120" s="56">
        <f>MROUND(((CentreBasedHeadcountEnrolmentsHigh[[#This Row],[Kindergarten]]*SUM(H$76:H$77))*H$70)*'Source-fte_qualstus_x_servtype'!J40,5)</f>
        <v>3125</v>
      </c>
      <c r="M120" s="56">
        <f t="shared" si="22"/>
        <v>28250</v>
      </c>
      <c r="O120" s="1">
        <v>2033</v>
      </c>
      <c r="P120" s="56">
        <f>MROUND(SUM(HighScenarioCentreBasedFTEDemand[[#This Row],[Education &amp; Care (under 2s)]:[Education &amp; Care (3+)]])*L$63,5)</f>
        <v>24385</v>
      </c>
      <c r="Q120" s="56">
        <f>MROUND(SUM(HighScenarioCentreBasedFTEDemand[[#This Row],[Kindergarten (Under 2s)]:[Kindergarten (3+)]])*M$61,5)</f>
        <v>3865</v>
      </c>
      <c r="R120" s="56">
        <f t="shared" si="23"/>
        <v>28250</v>
      </c>
      <c r="U120" s="1">
        <v>2033</v>
      </c>
      <c r="V120" s="56">
        <f>SUM(HighScenarioCentreBasedFTEDemand[[#This Row],[Education &amp; Care (under 2s)]:[Education &amp; Care (3+)]])-HighScenarioQualifiedFTE[[#This Row],[Education &amp; Care]]</f>
        <v>0</v>
      </c>
    </row>
    <row r="121" spans="1:22" outlineLevel="1">
      <c r="A121" s="1">
        <v>2034</v>
      </c>
      <c r="B121" s="73">
        <f>MROUND(('T15'!$T24*B$75),5)</f>
        <v>147195</v>
      </c>
      <c r="C121" s="73">
        <f>MROUND(('T15'!$T24*C$75),5)</f>
        <v>29215</v>
      </c>
      <c r="D121" s="56">
        <f t="shared" si="21"/>
        <v>176410</v>
      </c>
      <c r="F121" s="1">
        <v>2034</v>
      </c>
      <c r="G121" s="56">
        <f>MROUND(((CentreBasedHeadcountEnrolmentsHigh[[#This Row],[Education &amp; Care]]*G$74)*G$68)*'Source-fte_qualstus_x_servtype'!J41,5)</f>
        <v>6805</v>
      </c>
      <c r="H121" s="56">
        <f>MROUND(((CentreBasedHeadcountEnrolmentsHigh[[#This Row],[Education &amp; Care]]*G$75)*G$69)*'Source-fte_qualstus_x_servtype'!J41,5)</f>
        <v>5820</v>
      </c>
      <c r="I121" s="56">
        <f>MROUND(((CentreBasedHeadcountEnrolmentsHigh[[#This Row],[Education &amp; Care]]*SUM(G$76:G$77))*G$70)*'Source-fte_qualstus_x_servtype'!J41,5)</f>
        <v>11990</v>
      </c>
      <c r="J121" s="56">
        <f>MROUND(((CentreBasedHeadcountEnrolmentsHigh[[#This Row],[Kindergarten]]*H$74)*H$68)*'Source-fte_qualstus_x_servtype'!J41,5)</f>
        <v>75</v>
      </c>
      <c r="K121" s="56">
        <f>MROUND(((CentreBasedHeadcountEnrolmentsHigh[[#This Row],[Kindergarten]]*H$75)*H$69)*'Source-fte_qualstus_x_servtype'!J41,5)</f>
        <v>675</v>
      </c>
      <c r="L121" s="56">
        <f>MROUND(((CentreBasedHeadcountEnrolmentsHigh[[#This Row],[Kindergarten]]*SUM(H$76:H$77))*H$70)*'Source-fte_qualstus_x_servtype'!J41,5)</f>
        <v>3155</v>
      </c>
      <c r="M121" s="56">
        <f t="shared" si="22"/>
        <v>28520</v>
      </c>
      <c r="O121" s="1">
        <v>2034</v>
      </c>
      <c r="P121" s="56">
        <f>MROUND(SUM(HighScenarioCentreBasedFTEDemand[[#This Row],[Education &amp; Care (under 2s)]:[Education &amp; Care (3+)]])*L$63,5)</f>
        <v>24615</v>
      </c>
      <c r="Q121" s="56">
        <f>MROUND(SUM(HighScenarioCentreBasedFTEDemand[[#This Row],[Kindergarten (Under 2s)]:[Kindergarten (3+)]])*M$61,5)</f>
        <v>3905</v>
      </c>
      <c r="R121" s="56">
        <f t="shared" si="23"/>
        <v>28520</v>
      </c>
      <c r="U121" s="1">
        <v>2034</v>
      </c>
      <c r="V121" s="56">
        <f>SUM(HighScenarioCentreBasedFTEDemand[[#This Row],[Education &amp; Care (under 2s)]:[Education &amp; Care (3+)]])-HighScenarioQualifiedFTE[[#This Row],[Education &amp; Care]]</f>
        <v>0</v>
      </c>
    </row>
    <row r="122" spans="1:22" outlineLevel="1">
      <c r="A122" s="1">
        <v>2035</v>
      </c>
      <c r="B122" s="73">
        <f>MROUND(('T15'!$T25*B$75),5)</f>
        <v>147935</v>
      </c>
      <c r="C122" s="73">
        <f>MROUND(('T15'!$T25*C$75),5)</f>
        <v>29360</v>
      </c>
      <c r="D122" s="56">
        <f t="shared" si="21"/>
        <v>177295</v>
      </c>
      <c r="F122" s="1">
        <v>2035</v>
      </c>
      <c r="G122" s="56">
        <f>MROUND(((CentreBasedHeadcountEnrolmentsHigh[[#This Row],[Education &amp; Care]]*G$74)*G$68)*'Source-fte_qualstus_x_servtype'!J42,5)</f>
        <v>6865</v>
      </c>
      <c r="H122" s="56">
        <f>MROUND(((CentreBasedHeadcountEnrolmentsHigh[[#This Row],[Education &amp; Care]]*G$75)*G$69)*'Source-fte_qualstus_x_servtype'!J42,5)</f>
        <v>5875</v>
      </c>
      <c r="I122" s="56">
        <f>MROUND(((CentreBasedHeadcountEnrolmentsHigh[[#This Row],[Education &amp; Care]]*SUM(G$76:G$77))*G$70)*'Source-fte_qualstus_x_servtype'!J42,5)</f>
        <v>12100</v>
      </c>
      <c r="J122" s="56">
        <f>MROUND(((CentreBasedHeadcountEnrolmentsHigh[[#This Row],[Kindergarten]]*H$74)*H$68)*'Source-fte_qualstus_x_servtype'!J42,5)</f>
        <v>75</v>
      </c>
      <c r="K122" s="56">
        <f>MROUND(((CentreBasedHeadcountEnrolmentsHigh[[#This Row],[Kindergarten]]*H$75)*H$69)*'Source-fte_qualstus_x_servtype'!J42,5)</f>
        <v>685</v>
      </c>
      <c r="L122" s="56">
        <f>MROUND(((CentreBasedHeadcountEnrolmentsHigh[[#This Row],[Kindergarten]]*SUM(H$76:H$77))*H$70)*'Source-fte_qualstus_x_servtype'!J42,5)</f>
        <v>3185</v>
      </c>
      <c r="M122" s="56">
        <f t="shared" si="22"/>
        <v>28785</v>
      </c>
      <c r="O122" s="1">
        <v>2035</v>
      </c>
      <c r="P122" s="56">
        <f>MROUND(SUM(HighScenarioCentreBasedFTEDemand[[#This Row],[Education &amp; Care (under 2s)]:[Education &amp; Care (3+)]])*L$63,5)</f>
        <v>24840</v>
      </c>
      <c r="Q122" s="56">
        <f>MROUND(SUM(HighScenarioCentreBasedFTEDemand[[#This Row],[Kindergarten (Under 2s)]:[Kindergarten (3+)]])*M$61,5)</f>
        <v>3945</v>
      </c>
      <c r="R122" s="56">
        <f t="shared" si="23"/>
        <v>28785</v>
      </c>
      <c r="U122" s="1">
        <v>2035</v>
      </c>
      <c r="V122" s="56">
        <f>SUM(HighScenarioCentreBasedFTEDemand[[#This Row],[Education &amp; Care (under 2s)]:[Education &amp; Care (3+)]])-HighScenarioQualifiedFTE[[#This Row],[Education &amp; Care]]</f>
        <v>0</v>
      </c>
    </row>
    <row r="124" spans="1:22">
      <c r="A124" s="6" t="s">
        <v>375</v>
      </c>
    </row>
    <row r="125" spans="1:22" ht="29.1">
      <c r="A125" s="1" t="s">
        <v>231</v>
      </c>
      <c r="B125" s="64" t="s">
        <v>293</v>
      </c>
      <c r="C125" s="64" t="s">
        <v>305</v>
      </c>
      <c r="D125" s="64" t="s">
        <v>238</v>
      </c>
      <c r="F125" s="1" t="s">
        <v>231</v>
      </c>
      <c r="G125" s="15" t="s">
        <v>360</v>
      </c>
      <c r="H125" s="15" t="s">
        <v>361</v>
      </c>
      <c r="I125" s="15" t="s">
        <v>362</v>
      </c>
      <c r="J125" s="15" t="s">
        <v>363</v>
      </c>
      <c r="K125" s="15" t="s">
        <v>364</v>
      </c>
      <c r="L125" s="15" t="s">
        <v>365</v>
      </c>
      <c r="M125" s="15" t="s">
        <v>366</v>
      </c>
      <c r="O125" s="1" t="s">
        <v>231</v>
      </c>
      <c r="P125" s="15" t="s">
        <v>293</v>
      </c>
      <c r="Q125" s="15" t="s">
        <v>305</v>
      </c>
      <c r="R125" s="15" t="s">
        <v>366</v>
      </c>
    </row>
    <row r="126" spans="1:22">
      <c r="A126" s="1">
        <v>2025</v>
      </c>
      <c r="B126" s="73">
        <v>138890</v>
      </c>
      <c r="C126" s="73">
        <v>27565</v>
      </c>
      <c r="D126" s="56">
        <v>166455</v>
      </c>
      <c r="F126" s="1">
        <v>2025</v>
      </c>
      <c r="G126" s="56">
        <f>MROUND(((ComplianceScenarioEnrolments[[#This Row],[Education &amp; Care]]*G$74)*G$68)*'Source-fte_qualstus_x_servtype'!J31,5)</f>
        <v>6145</v>
      </c>
      <c r="H126" s="56">
        <f>MROUND(((ComplianceScenarioEnrolments[[#This Row],[Education &amp; Care]]*G$75)*G$69)*'Source-fte_qualstus_x_servtype'!J31,5)</f>
        <v>5255</v>
      </c>
      <c r="I126" s="56">
        <f>MROUND(((ComplianceScenarioEnrolments[[#This Row],[Education &amp; Care]]*SUM(G$76:G$77))*G$70)*'Source-fte_qualstus_x_servtype'!J31,5)</f>
        <v>10825</v>
      </c>
      <c r="J126" s="56">
        <f>MROUND(((ComplianceScenarioEnrolments[[#This Row],[Kindergarten]]*H$74)*H$68)*'Source-fte_qualstus_x_servtype'!J31,5)</f>
        <v>65</v>
      </c>
      <c r="K126" s="56">
        <f>MROUND(((ComplianceScenarioEnrolments[[#This Row],[Kindergarten]]*H$75)*H$69)*'Source-fte_qualstus_x_servtype'!J31,5)</f>
        <v>610</v>
      </c>
      <c r="L126" s="56">
        <f>MROUND(((ComplianceScenarioEnrolments[[#This Row],[Kindergarten]]*SUM(H$76:H$77))*H$70)*'Source-fte_qualstus_x_servtype'!J31,5)</f>
        <v>2850</v>
      </c>
      <c r="M126" s="56">
        <f>SUM(G126:L126)</f>
        <v>25750</v>
      </c>
      <c r="O126" s="1">
        <v>2025</v>
      </c>
      <c r="P126" s="56">
        <f>SUM(HighScenarioCentreBasedFTEDemand12[[#This Row],[Education &amp; Care (2s)]:[Kindergarten (Under 2s)]])</f>
        <v>16145</v>
      </c>
      <c r="Q126" s="56">
        <f>SUM(HighScenarioCentreBasedFTEDemand12[[#This Row],[Kindergarten (Under 2s)]:[Kindergarten (3+)]])</f>
        <v>3525</v>
      </c>
      <c r="R126" s="56">
        <f>SUM(P126:Q126)</f>
        <v>19670</v>
      </c>
    </row>
    <row r="127" spans="1:22">
      <c r="A127" s="1">
        <v>2026</v>
      </c>
      <c r="B127" s="73">
        <v>136050</v>
      </c>
      <c r="C127" s="73">
        <v>27000</v>
      </c>
      <c r="D127" s="56">
        <v>163050</v>
      </c>
      <c r="F127" s="1">
        <v>2026</v>
      </c>
      <c r="G127" s="56">
        <f>MROUND(((ComplianceScenarioEnrolments[[#This Row],[Education &amp; Care]]*G$74)*G$68)*'Source-fte_qualstus_x_servtype'!J32,5)</f>
        <v>6045</v>
      </c>
      <c r="H127" s="56">
        <f>MROUND(((ComplianceScenarioEnrolments[[#This Row],[Education &amp; Care]]*G$75)*G$69)*'Source-fte_qualstus_x_servtype'!J32,5)</f>
        <v>5170</v>
      </c>
      <c r="I127" s="56">
        <f>MROUND(((ComplianceScenarioEnrolments[[#This Row],[Education &amp; Care]]*SUM(G$76:G$77))*G$70)*'Source-fte_qualstus_x_servtype'!J32,5)</f>
        <v>10655</v>
      </c>
      <c r="J127" s="56">
        <f>MROUND(((ComplianceScenarioEnrolments[[#This Row],[Kindergarten]]*H$74)*H$68)*'Source-fte_qualstus_x_servtype'!J32,5)</f>
        <v>65</v>
      </c>
      <c r="K127" s="56">
        <f>MROUND(((ComplianceScenarioEnrolments[[#This Row],[Kindergarten]]*H$75)*H$69)*'Source-fte_qualstus_x_servtype'!J32,5)</f>
        <v>600</v>
      </c>
      <c r="L127" s="56">
        <f>MROUND(((ComplianceScenarioEnrolments[[#This Row],[Kindergarten]]*SUM(H$76:H$77))*H$70)*'Source-fte_qualstus_x_servtype'!J32,5)</f>
        <v>2805</v>
      </c>
      <c r="M127" s="56">
        <f t="shared" ref="M127:M136" si="24">SUM(G127:L127)</f>
        <v>25340</v>
      </c>
      <c r="O127" s="1">
        <v>2026</v>
      </c>
      <c r="P127" s="56">
        <f>SUM(HighScenarioCentreBasedFTEDemand12[[#This Row],[Education &amp; Care (2s)]:[Kindergarten (Under 2s)]])</f>
        <v>15890</v>
      </c>
      <c r="Q127" s="56">
        <f>SUM(HighScenarioCentreBasedFTEDemand12[[#This Row],[Kindergarten (Under 2s)]:[Kindergarten (3+)]])</f>
        <v>3470</v>
      </c>
      <c r="R127" s="56">
        <f t="shared" ref="R127:R136" si="25">SUM(P127:Q127)</f>
        <v>19360</v>
      </c>
    </row>
    <row r="128" spans="1:22">
      <c r="A128" s="1">
        <v>2027</v>
      </c>
      <c r="B128" s="73">
        <v>133650</v>
      </c>
      <c r="C128" s="73">
        <v>26525</v>
      </c>
      <c r="D128" s="56">
        <v>160175</v>
      </c>
      <c r="F128" s="1">
        <v>2027</v>
      </c>
      <c r="G128" s="56">
        <f>MROUND(((ComplianceScenarioEnrolments[[#This Row],[Education &amp; Care]]*G$74)*G$68)*'Source-fte_qualstus_x_servtype'!J33,5)</f>
        <v>5965</v>
      </c>
      <c r="H128" s="56">
        <f>MROUND(((ComplianceScenarioEnrolments[[#This Row],[Education &amp; Care]]*G$75)*G$69)*'Source-fte_qualstus_x_servtype'!J33,5)</f>
        <v>5105</v>
      </c>
      <c r="I128" s="56">
        <f>MROUND(((ComplianceScenarioEnrolments[[#This Row],[Education &amp; Care]]*SUM(G$76:G$77))*G$70)*'Source-fte_qualstus_x_servtype'!J33,5)</f>
        <v>10510</v>
      </c>
      <c r="J128" s="56">
        <f>MROUND(((ComplianceScenarioEnrolments[[#This Row],[Kindergarten]]*H$74)*H$68)*'Source-fte_qualstus_x_servtype'!J33,5)</f>
        <v>65</v>
      </c>
      <c r="K128" s="56">
        <f>MROUND(((ComplianceScenarioEnrolments[[#This Row],[Kindergarten]]*H$75)*H$69)*'Source-fte_qualstus_x_servtype'!J33,5)</f>
        <v>595</v>
      </c>
      <c r="L128" s="56">
        <f>MROUND(((ComplianceScenarioEnrolments[[#This Row],[Kindergarten]]*SUM(H$76:H$77))*H$70)*'Source-fte_qualstus_x_servtype'!J33,5)</f>
        <v>2765</v>
      </c>
      <c r="M128" s="56">
        <f t="shared" si="24"/>
        <v>25005</v>
      </c>
      <c r="O128" s="1">
        <v>2027</v>
      </c>
      <c r="P128" s="56">
        <f>SUM(HighScenarioCentreBasedFTEDemand12[[#This Row],[Education &amp; Care (2s)]:[Kindergarten (Under 2s)]])</f>
        <v>15680</v>
      </c>
      <c r="Q128" s="56">
        <f>SUM(HighScenarioCentreBasedFTEDemand12[[#This Row],[Kindergarten (Under 2s)]:[Kindergarten (3+)]])</f>
        <v>3425</v>
      </c>
      <c r="R128" s="56">
        <f t="shared" si="25"/>
        <v>19105</v>
      </c>
    </row>
    <row r="129" spans="1:18">
      <c r="A129" s="1">
        <v>2028</v>
      </c>
      <c r="B129" s="73">
        <v>134405</v>
      </c>
      <c r="C129" s="73">
        <v>26675</v>
      </c>
      <c r="D129" s="56">
        <v>161080</v>
      </c>
      <c r="F129" s="1">
        <v>2028</v>
      </c>
      <c r="G129" s="56">
        <f>MROUND(((ComplianceScenarioEnrolments[[#This Row],[Education &amp; Care]]*G$74)*G$68)*'Source-fte_qualstus_x_servtype'!J34,5)</f>
        <v>6025</v>
      </c>
      <c r="H129" s="56">
        <f>MROUND(((ComplianceScenarioEnrolments[[#This Row],[Education &amp; Care]]*G$75)*G$69)*'Source-fte_qualstus_x_servtype'!J34,5)</f>
        <v>5155</v>
      </c>
      <c r="I129" s="56">
        <f>MROUND(((ComplianceScenarioEnrolments[[#This Row],[Education &amp; Care]]*SUM(G$76:G$77))*G$70)*'Source-fte_qualstus_x_servtype'!J34,5)</f>
        <v>10620</v>
      </c>
      <c r="J129" s="56">
        <f>MROUND(((ComplianceScenarioEnrolments[[#This Row],[Kindergarten]]*H$74)*H$68)*'Source-fte_qualstus_x_servtype'!J34,5)</f>
        <v>65</v>
      </c>
      <c r="K129" s="56">
        <f>MROUND(((ComplianceScenarioEnrolments[[#This Row],[Kindergarten]]*H$75)*H$69)*'Source-fte_qualstus_x_servtype'!J34,5)</f>
        <v>600</v>
      </c>
      <c r="L129" s="56">
        <f>MROUND(((ComplianceScenarioEnrolments[[#This Row],[Kindergarten]]*SUM(H$76:H$77))*H$70)*'Source-fte_qualstus_x_servtype'!J34,5)</f>
        <v>2795</v>
      </c>
      <c r="M129" s="56">
        <f t="shared" si="24"/>
        <v>25260</v>
      </c>
      <c r="O129" s="1">
        <v>2028</v>
      </c>
      <c r="P129" s="56">
        <f>SUM(HighScenarioCentreBasedFTEDemand12[[#This Row],[Education &amp; Care (2s)]:[Kindergarten (Under 2s)]])</f>
        <v>15840</v>
      </c>
      <c r="Q129" s="56">
        <f>SUM(HighScenarioCentreBasedFTEDemand12[[#This Row],[Kindergarten (Under 2s)]:[Kindergarten (3+)]])</f>
        <v>3460</v>
      </c>
      <c r="R129" s="56">
        <f t="shared" si="25"/>
        <v>19300</v>
      </c>
    </row>
    <row r="130" spans="1:18">
      <c r="A130" s="1">
        <v>2029</v>
      </c>
      <c r="B130" s="73">
        <v>135285</v>
      </c>
      <c r="C130" s="73">
        <v>26850</v>
      </c>
      <c r="D130" s="56">
        <v>162135</v>
      </c>
      <c r="F130" s="1">
        <v>2029</v>
      </c>
      <c r="G130" s="56">
        <f>MROUND(((ComplianceScenarioEnrolments[[#This Row],[Education &amp; Care]]*G$74)*G$68)*'Source-fte_qualstus_x_servtype'!J35,5)</f>
        <v>6090</v>
      </c>
      <c r="H130" s="56">
        <f>MROUND(((ComplianceScenarioEnrolments[[#This Row],[Education &amp; Care]]*G$75)*G$69)*'Source-fte_qualstus_x_servtype'!J35,5)</f>
        <v>5210</v>
      </c>
      <c r="I130" s="56">
        <f>MROUND(((ComplianceScenarioEnrolments[[#This Row],[Education &amp; Care]]*SUM(G$76:G$77))*G$70)*'Source-fte_qualstus_x_servtype'!J35,5)</f>
        <v>10735</v>
      </c>
      <c r="J130" s="56">
        <f>MROUND(((ComplianceScenarioEnrolments[[#This Row],[Kindergarten]]*H$74)*H$68)*'Source-fte_qualstus_x_servtype'!J35,5)</f>
        <v>65</v>
      </c>
      <c r="K130" s="56">
        <f>MROUND(((ComplianceScenarioEnrolments[[#This Row],[Kindergarten]]*H$75)*H$69)*'Source-fte_qualstus_x_servtype'!J35,5)</f>
        <v>605</v>
      </c>
      <c r="L130" s="56">
        <f>MROUND(((ComplianceScenarioEnrolments[[#This Row],[Kindergarten]]*SUM(H$76:H$77))*H$70)*'Source-fte_qualstus_x_servtype'!J35,5)</f>
        <v>2825</v>
      </c>
      <c r="M130" s="56">
        <f t="shared" si="24"/>
        <v>25530</v>
      </c>
      <c r="O130" s="1">
        <v>2029</v>
      </c>
      <c r="P130" s="56">
        <f>SUM(HighScenarioCentreBasedFTEDemand12[[#This Row],[Education &amp; Care (2s)]:[Kindergarten (Under 2s)]])</f>
        <v>16010</v>
      </c>
      <c r="Q130" s="56">
        <f>SUM(HighScenarioCentreBasedFTEDemand12[[#This Row],[Kindergarten (Under 2s)]:[Kindergarten (3+)]])</f>
        <v>3495</v>
      </c>
      <c r="R130" s="56">
        <f t="shared" si="25"/>
        <v>19505</v>
      </c>
    </row>
    <row r="131" spans="1:18">
      <c r="A131" s="1">
        <v>2030</v>
      </c>
      <c r="B131" s="73">
        <v>135375</v>
      </c>
      <c r="C131" s="73">
        <v>26870</v>
      </c>
      <c r="D131" s="56">
        <v>162245</v>
      </c>
      <c r="F131" s="1">
        <v>2030</v>
      </c>
      <c r="G131" s="56">
        <f>MROUND(((ComplianceScenarioEnrolments[[#This Row],[Education &amp; Care]]*G$74)*G$68)*'Source-fte_qualstus_x_servtype'!J36,5)</f>
        <v>6120</v>
      </c>
      <c r="H131" s="56">
        <f>MROUND(((ComplianceScenarioEnrolments[[#This Row],[Education &amp; Care]]*G$75)*G$69)*'Source-fte_qualstus_x_servtype'!J36,5)</f>
        <v>5240</v>
      </c>
      <c r="I131" s="56">
        <f>MROUND(((ComplianceScenarioEnrolments[[#This Row],[Education &amp; Care]]*SUM(G$76:G$77))*G$70)*'Source-fte_qualstus_x_servtype'!J36,5)</f>
        <v>10790</v>
      </c>
      <c r="J131" s="56">
        <f>MROUND(((ComplianceScenarioEnrolments[[#This Row],[Kindergarten]]*H$74)*H$68)*'Source-fte_qualstus_x_servtype'!J36,5)</f>
        <v>65</v>
      </c>
      <c r="K131" s="56">
        <f>MROUND(((ComplianceScenarioEnrolments[[#This Row],[Kindergarten]]*H$75)*H$69)*'Source-fte_qualstus_x_servtype'!J36,5)</f>
        <v>610</v>
      </c>
      <c r="L131" s="56">
        <f>MROUND(((ComplianceScenarioEnrolments[[#This Row],[Kindergarten]]*SUM(H$76:H$77))*H$70)*'Source-fte_qualstus_x_servtype'!J36,5)</f>
        <v>2840</v>
      </c>
      <c r="M131" s="56">
        <f t="shared" si="24"/>
        <v>25665</v>
      </c>
      <c r="O131" s="1">
        <v>2030</v>
      </c>
      <c r="P131" s="56">
        <f>SUM(HighScenarioCentreBasedFTEDemand12[[#This Row],[Education &amp; Care (2s)]:[Kindergarten (Under 2s)]])</f>
        <v>16095</v>
      </c>
      <c r="Q131" s="56">
        <f>SUM(HighScenarioCentreBasedFTEDemand12[[#This Row],[Kindergarten (Under 2s)]:[Kindergarten (3+)]])</f>
        <v>3515</v>
      </c>
      <c r="R131" s="56">
        <f t="shared" si="25"/>
        <v>19610</v>
      </c>
    </row>
    <row r="132" spans="1:18">
      <c r="A132" s="1">
        <v>2031</v>
      </c>
      <c r="B132" s="73">
        <v>135405</v>
      </c>
      <c r="C132" s="73">
        <v>26875</v>
      </c>
      <c r="D132" s="56">
        <v>162280</v>
      </c>
      <c r="F132" s="1">
        <v>2031</v>
      </c>
      <c r="G132" s="56">
        <f>MROUND(((ComplianceScenarioEnrolments[[#This Row],[Education &amp; Care]]*G$74)*G$68)*'Source-fte_qualstus_x_servtype'!J37,5)</f>
        <v>6150</v>
      </c>
      <c r="H132" s="56">
        <f>MROUND(((ComplianceScenarioEnrolments[[#This Row],[Education &amp; Care]]*G$75)*G$69)*'Source-fte_qualstus_x_servtype'!J37,5)</f>
        <v>5260</v>
      </c>
      <c r="I132" s="56">
        <f>MROUND(((ComplianceScenarioEnrolments[[#This Row],[Education &amp; Care]]*SUM(G$76:G$77))*G$70)*'Source-fte_qualstus_x_servtype'!J37,5)</f>
        <v>10840</v>
      </c>
      <c r="J132" s="56">
        <f>MROUND(((ComplianceScenarioEnrolments[[#This Row],[Kindergarten]]*H$74)*H$68)*'Source-fte_qualstus_x_servtype'!J37,5)</f>
        <v>65</v>
      </c>
      <c r="K132" s="56">
        <f>MROUND(((ComplianceScenarioEnrolments[[#This Row],[Kindergarten]]*H$75)*H$69)*'Source-fte_qualstus_x_servtype'!J37,5)</f>
        <v>610</v>
      </c>
      <c r="L132" s="56">
        <f>MROUND(((ComplianceScenarioEnrolments[[#This Row],[Kindergarten]]*SUM(H$76:H$77))*H$70)*'Source-fte_qualstus_x_servtype'!J37,5)</f>
        <v>2850</v>
      </c>
      <c r="M132" s="56">
        <f t="shared" si="24"/>
        <v>25775</v>
      </c>
      <c r="O132" s="1">
        <v>2031</v>
      </c>
      <c r="P132" s="56">
        <f>SUM(HighScenarioCentreBasedFTEDemand12[[#This Row],[Education &amp; Care (2s)]:[Kindergarten (Under 2s)]])</f>
        <v>16165</v>
      </c>
      <c r="Q132" s="56">
        <f>SUM(HighScenarioCentreBasedFTEDemand12[[#This Row],[Kindergarten (Under 2s)]:[Kindergarten (3+)]])</f>
        <v>3525</v>
      </c>
      <c r="R132" s="56">
        <f t="shared" si="25"/>
        <v>19690</v>
      </c>
    </row>
    <row r="133" spans="1:18">
      <c r="A133" s="1">
        <v>2032</v>
      </c>
      <c r="B133" s="73">
        <v>135405</v>
      </c>
      <c r="C133" s="73">
        <v>26875</v>
      </c>
      <c r="D133" s="56">
        <v>162280</v>
      </c>
      <c r="F133" s="1">
        <v>2032</v>
      </c>
      <c r="G133" s="56">
        <f>MROUND(((ComplianceScenarioEnrolments[[#This Row],[Education &amp; Care]]*G$74)*G$68)*'Source-fte_qualstus_x_servtype'!J38,5)</f>
        <v>6175</v>
      </c>
      <c r="H133" s="56">
        <f>MROUND(((ComplianceScenarioEnrolments[[#This Row],[Education &amp; Care]]*G$75)*G$69)*'Source-fte_qualstus_x_servtype'!J38,5)</f>
        <v>5285</v>
      </c>
      <c r="I133" s="56">
        <f>MROUND(((ComplianceScenarioEnrolments[[#This Row],[Education &amp; Care]]*SUM(G$76:G$77))*G$70)*'Source-fte_qualstus_x_servtype'!J38,5)</f>
        <v>10885</v>
      </c>
      <c r="J133" s="56">
        <f>MROUND(((ComplianceScenarioEnrolments[[#This Row],[Kindergarten]]*H$74)*H$68)*'Source-fte_qualstus_x_servtype'!J38,5)</f>
        <v>65</v>
      </c>
      <c r="K133" s="56">
        <f>MROUND(((ComplianceScenarioEnrolments[[#This Row],[Kindergarten]]*H$75)*H$69)*'Source-fte_qualstus_x_servtype'!J38,5)</f>
        <v>615</v>
      </c>
      <c r="L133" s="56">
        <f>MROUND(((ComplianceScenarioEnrolments[[#This Row],[Kindergarten]]*SUM(H$76:H$77))*H$70)*'Source-fte_qualstus_x_servtype'!J38,5)</f>
        <v>2865</v>
      </c>
      <c r="M133" s="56">
        <f t="shared" si="24"/>
        <v>25890</v>
      </c>
      <c r="O133" s="1">
        <v>2032</v>
      </c>
      <c r="P133" s="56">
        <f>SUM(HighScenarioCentreBasedFTEDemand12[[#This Row],[Education &amp; Care (2s)]:[Kindergarten (Under 2s)]])</f>
        <v>16235</v>
      </c>
      <c r="Q133" s="56">
        <f>SUM(HighScenarioCentreBasedFTEDemand12[[#This Row],[Kindergarten (Under 2s)]:[Kindergarten (3+)]])</f>
        <v>3545</v>
      </c>
      <c r="R133" s="56">
        <f t="shared" si="25"/>
        <v>19780</v>
      </c>
    </row>
    <row r="134" spans="1:18">
      <c r="A134" s="1">
        <v>2033</v>
      </c>
      <c r="B134" s="73">
        <v>135430</v>
      </c>
      <c r="C134" s="73">
        <v>26880</v>
      </c>
      <c r="D134" s="56">
        <v>162310</v>
      </c>
      <c r="F134" s="1">
        <v>2033</v>
      </c>
      <c r="G134" s="56">
        <f>MROUND(((ComplianceScenarioEnrolments[[#This Row],[Education &amp; Care]]*G$74)*G$68)*'Source-fte_qualstus_x_servtype'!J39,5)</f>
        <v>6205</v>
      </c>
      <c r="H134" s="56">
        <f>MROUND(((ComplianceScenarioEnrolments[[#This Row],[Education &amp; Care]]*G$75)*G$69)*'Source-fte_qualstus_x_servtype'!J39,5)</f>
        <v>5310</v>
      </c>
      <c r="I134" s="56">
        <f>MROUND(((ComplianceScenarioEnrolments[[#This Row],[Education &amp; Care]]*SUM(G$76:G$77))*G$70)*'Source-fte_qualstus_x_servtype'!J39,5)</f>
        <v>10935</v>
      </c>
      <c r="J134" s="56">
        <f>MROUND(((ComplianceScenarioEnrolments[[#This Row],[Kindergarten]]*H$74)*H$68)*'Source-fte_qualstus_x_servtype'!J39,5)</f>
        <v>65</v>
      </c>
      <c r="K134" s="56">
        <f>MROUND(((ComplianceScenarioEnrolments[[#This Row],[Kindergarten]]*H$75)*H$69)*'Source-fte_qualstus_x_servtype'!J39,5)</f>
        <v>615</v>
      </c>
      <c r="L134" s="56">
        <f>MROUND(((ComplianceScenarioEnrolments[[#This Row],[Kindergarten]]*SUM(H$76:H$77))*H$70)*'Source-fte_qualstus_x_servtype'!J39,5)</f>
        <v>2880</v>
      </c>
      <c r="M134" s="56">
        <f t="shared" si="24"/>
        <v>26010</v>
      </c>
      <c r="O134" s="1">
        <v>2033</v>
      </c>
      <c r="P134" s="56">
        <f>SUM(HighScenarioCentreBasedFTEDemand12[[#This Row],[Education &amp; Care (2s)]:[Kindergarten (Under 2s)]])</f>
        <v>16310</v>
      </c>
      <c r="Q134" s="56">
        <f>SUM(HighScenarioCentreBasedFTEDemand12[[#This Row],[Kindergarten (Under 2s)]:[Kindergarten (3+)]])</f>
        <v>3560</v>
      </c>
      <c r="R134" s="56">
        <f t="shared" si="25"/>
        <v>19870</v>
      </c>
    </row>
    <row r="135" spans="1:18">
      <c r="A135" s="1">
        <v>2034</v>
      </c>
      <c r="B135" s="73">
        <v>135525</v>
      </c>
      <c r="C135" s="73">
        <v>26900</v>
      </c>
      <c r="D135" s="56">
        <v>162425</v>
      </c>
      <c r="F135" s="1">
        <v>2034</v>
      </c>
      <c r="G135" s="56">
        <f>MROUND(((ComplianceScenarioEnrolments[[#This Row],[Education &amp; Care]]*G$74)*G$68)*'Source-fte_qualstus_x_servtype'!J40,5)</f>
        <v>6235</v>
      </c>
      <c r="H135" s="56">
        <f>MROUND(((ComplianceScenarioEnrolments[[#This Row],[Education &amp; Care]]*G$75)*G$69)*'Source-fte_qualstus_x_servtype'!J40,5)</f>
        <v>5335</v>
      </c>
      <c r="I135" s="56">
        <f>MROUND(((ComplianceScenarioEnrolments[[#This Row],[Education &amp; Care]]*SUM(G$76:G$77))*G$70)*'Source-fte_qualstus_x_servtype'!J40,5)</f>
        <v>10990</v>
      </c>
      <c r="J135" s="56">
        <f>MROUND(((ComplianceScenarioEnrolments[[#This Row],[Kindergarten]]*H$74)*H$68)*'Source-fte_qualstus_x_servtype'!J40,5)</f>
        <v>65</v>
      </c>
      <c r="K135" s="56">
        <f>MROUND(((ComplianceScenarioEnrolments[[#This Row],[Kindergarten]]*H$75)*H$69)*'Source-fte_qualstus_x_servtype'!J40,5)</f>
        <v>620</v>
      </c>
      <c r="L135" s="56">
        <f>MROUND(((ComplianceScenarioEnrolments[[#This Row],[Kindergarten]]*SUM(H$76:H$77))*H$70)*'Source-fte_qualstus_x_servtype'!J40,5)</f>
        <v>2895</v>
      </c>
      <c r="M135" s="56">
        <f t="shared" si="24"/>
        <v>26140</v>
      </c>
      <c r="O135" s="1">
        <v>2034</v>
      </c>
      <c r="P135" s="56">
        <f>SUM(HighScenarioCentreBasedFTEDemand12[[#This Row],[Education &amp; Care (2s)]:[Kindergarten (Under 2s)]])</f>
        <v>16390</v>
      </c>
      <c r="Q135" s="56">
        <f>SUM(HighScenarioCentreBasedFTEDemand12[[#This Row],[Kindergarten (Under 2s)]:[Kindergarten (3+)]])</f>
        <v>3580</v>
      </c>
      <c r="R135" s="56">
        <f t="shared" si="25"/>
        <v>19970</v>
      </c>
    </row>
    <row r="136" spans="1:18">
      <c r="A136" s="1">
        <v>2035</v>
      </c>
      <c r="B136" s="73">
        <v>135725</v>
      </c>
      <c r="C136" s="73">
        <v>26940</v>
      </c>
      <c r="D136" s="56">
        <v>162665</v>
      </c>
      <c r="F136" s="1">
        <v>2035</v>
      </c>
      <c r="G136" s="56">
        <f>MROUND(((ComplianceScenarioEnrolments[[#This Row],[Education &amp; Care]]*G$74)*G$68)*'Source-fte_qualstus_x_servtype'!J41,5)</f>
        <v>6275</v>
      </c>
      <c r="H136" s="56">
        <f>MROUND(((ComplianceScenarioEnrolments[[#This Row],[Education &amp; Care]]*G$75)*G$69)*'Source-fte_qualstus_x_servtype'!J41,5)</f>
        <v>5365</v>
      </c>
      <c r="I136" s="56">
        <f>MROUND(((ComplianceScenarioEnrolments[[#This Row],[Education &amp; Care]]*SUM(G$76:G$77))*G$70)*'Source-fte_qualstus_x_servtype'!J41,5)</f>
        <v>11055</v>
      </c>
      <c r="J136" s="56">
        <f>MROUND(((ComplianceScenarioEnrolments[[#This Row],[Kindergarten]]*H$74)*H$68)*'Source-fte_qualstus_x_servtype'!J41,5)</f>
        <v>65</v>
      </c>
      <c r="K136" s="56">
        <f>MROUND(((ComplianceScenarioEnrolments[[#This Row],[Kindergarten]]*H$75)*H$69)*'Source-fte_qualstus_x_servtype'!J41,5)</f>
        <v>625</v>
      </c>
      <c r="L136" s="56">
        <f>MROUND(((ComplianceScenarioEnrolments[[#This Row],[Kindergarten]]*SUM(H$76:H$77))*H$70)*'Source-fte_qualstus_x_servtype'!J41,5)</f>
        <v>2910</v>
      </c>
      <c r="M136" s="56">
        <f t="shared" si="24"/>
        <v>26295</v>
      </c>
      <c r="O136" s="1">
        <v>2035</v>
      </c>
      <c r="P136" s="56">
        <f>SUM(HighScenarioCentreBasedFTEDemand12[[#This Row],[Education &amp; Care (2s)]:[Kindergarten (Under 2s)]])</f>
        <v>16485</v>
      </c>
      <c r="Q136" s="56">
        <f>SUM(HighScenarioCentreBasedFTEDemand12[[#This Row],[Kindergarten (Under 2s)]:[Kindergarten (3+)]])</f>
        <v>3600</v>
      </c>
      <c r="R136" s="56">
        <f t="shared" si="25"/>
        <v>20085</v>
      </c>
    </row>
  </sheetData>
  <sheetProtection algorithmName="SHA-512" hashValue="Mpjty+nseAGGFQU4a4ZnYhV7OgkJxHB9aoy79oS/llral4OteKo4sO7ZILKn5flE29YfRT9T2qRZb4ZllRSbdA==" saltValue="pccR095K/oY8L/r5vOXZyA==" spinCount="100000" sheet="1" objects="1" scenarios="1" formatCells="0" formatColumns="0" formatRows="0" insertRows="0" sort="0" autoFilter="0" pivotTables="0"/>
  <mergeCells count="3">
    <mergeCell ref="O82:R82"/>
    <mergeCell ref="O96:R96"/>
    <mergeCell ref="O110:R110"/>
  </mergeCells>
  <conditionalFormatting sqref="B33:D57">
    <cfRule type="colorScale" priority="1">
      <colorScale>
        <cfvo type="min"/>
        <cfvo type="percentile" val="50"/>
        <cfvo type="max"/>
        <color rgb="FFF8696B"/>
        <color rgb="FFFFEB84"/>
        <color rgb="FF63BE7B"/>
      </colorScale>
    </cfRule>
  </conditionalFormatting>
  <pageMargins left="0.7" right="0.7" top="0.75" bottom="0.75" header="0.3" footer="0.3"/>
  <tableParts count="1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07CBB-7AAE-4280-8834-C50DFC4BC3AF}">
  <dimension ref="A1:AN136"/>
  <sheetViews>
    <sheetView workbookViewId="0">
      <selection activeCell="L126" sqref="L126"/>
    </sheetView>
  </sheetViews>
  <sheetFormatPr defaultColWidth="8.85546875" defaultRowHeight="14.65" outlineLevelRow="1" outlineLevelCol="1"/>
  <cols>
    <col min="1" max="1" width="2.28515625" customWidth="1"/>
    <col min="2" max="2" width="8.85546875" customWidth="1" outlineLevel="1"/>
    <col min="3" max="3" width="17" style="63" customWidth="1" outlineLevel="1"/>
    <col min="4" max="8" width="15.42578125" style="63" customWidth="1" outlineLevel="1"/>
    <col min="9" max="10" width="2.28515625" customWidth="1"/>
    <col min="11" max="11" width="15.42578125" customWidth="1" outlineLevel="1"/>
    <col min="12" max="12" width="17" customWidth="1" outlineLevel="1"/>
    <col min="13" max="16" width="15.42578125" customWidth="1" outlineLevel="1"/>
    <col min="17" max="17" width="17" customWidth="1" outlineLevel="1"/>
    <col min="18" max="22" width="15.42578125" customWidth="1" outlineLevel="1"/>
    <col min="23" max="24" width="2.28515625" customWidth="1"/>
    <col min="25" max="25" width="15.42578125" customWidth="1" outlineLevel="1"/>
    <col min="26" max="26" width="17" customWidth="1" outlineLevel="1"/>
    <col min="27" max="31" width="15.42578125" customWidth="1" outlineLevel="1"/>
    <col min="32" max="33" width="2.28515625" customWidth="1"/>
    <col min="34" max="40" width="15.42578125" customWidth="1" outlineLevel="1"/>
  </cols>
  <sheetData>
    <row r="1" spans="1:31">
      <c r="A1" s="6" t="s">
        <v>303</v>
      </c>
    </row>
    <row r="2" spans="1:31">
      <c r="A2" s="96" t="s">
        <v>304</v>
      </c>
      <c r="B2" s="20"/>
      <c r="C2" s="97"/>
      <c r="D2" s="97"/>
      <c r="E2" s="97"/>
      <c r="F2" s="97"/>
      <c r="G2" s="97"/>
      <c r="H2" s="97"/>
      <c r="I2" s="20"/>
      <c r="J2" s="20"/>
      <c r="K2" s="20"/>
      <c r="L2" s="20"/>
      <c r="M2" s="20"/>
      <c r="N2" s="20"/>
      <c r="O2" s="20"/>
      <c r="P2" s="20"/>
      <c r="Q2" s="20"/>
      <c r="R2" s="20"/>
      <c r="S2" s="20"/>
      <c r="T2" s="20"/>
      <c r="U2" s="20"/>
      <c r="V2" s="20"/>
      <c r="W2" s="20"/>
      <c r="X2" s="20"/>
      <c r="Y2" s="20"/>
      <c r="Z2" s="20"/>
      <c r="AA2" s="20"/>
      <c r="AB2" s="20"/>
      <c r="AC2" s="20"/>
      <c r="AD2" s="20"/>
      <c r="AE2" s="20"/>
    </row>
    <row r="3" spans="1:31" hidden="1" outlineLevel="1">
      <c r="B3" s="1" t="s">
        <v>231</v>
      </c>
      <c r="C3" s="64" t="s">
        <v>293</v>
      </c>
      <c r="D3" s="64" t="s">
        <v>305</v>
      </c>
      <c r="E3" s="64" t="s">
        <v>306</v>
      </c>
      <c r="F3" s="64" t="s">
        <v>376</v>
      </c>
      <c r="G3" s="64" t="s">
        <v>298</v>
      </c>
      <c r="H3" s="64"/>
    </row>
    <row r="4" spans="1:31" hidden="1" outlineLevel="1">
      <c r="B4" s="1" t="s">
        <v>307</v>
      </c>
      <c r="C4" s="63">
        <v>0.46263809777419834</v>
      </c>
      <c r="D4" s="63">
        <v>0.2979144881695428</v>
      </c>
      <c r="E4" s="63">
        <v>7.234017679113057E-2</v>
      </c>
      <c r="F4" s="83">
        <v>5.8044905726551792E-2</v>
      </c>
      <c r="G4" s="83">
        <v>0.10267135165327636</v>
      </c>
      <c r="H4" s="83"/>
    </row>
    <row r="5" spans="1:31" hidden="1" outlineLevel="1">
      <c r="B5" s="1" t="s">
        <v>308</v>
      </c>
      <c r="C5" s="63">
        <v>0.4799349525258354</v>
      </c>
      <c r="D5" s="63">
        <v>0.29795284058123067</v>
      </c>
      <c r="E5" s="63">
        <v>6.290982531605728E-2</v>
      </c>
      <c r="F5" s="83">
        <v>5.6037874416408749E-2</v>
      </c>
      <c r="G5" s="83">
        <v>9.6954833971567955E-2</v>
      </c>
      <c r="H5" s="83"/>
    </row>
    <row r="6" spans="1:31" hidden="1" outlineLevel="1">
      <c r="B6" s="1" t="s">
        <v>309</v>
      </c>
      <c r="C6" s="63">
        <v>0.48817123064019413</v>
      </c>
      <c r="D6" s="63">
        <v>0.28919820471614155</v>
      </c>
      <c r="E6" s="63">
        <v>6.6516419420310266E-2</v>
      </c>
      <c r="F6" s="83">
        <v>5.5004577845787418E-2</v>
      </c>
      <c r="G6" s="83">
        <v>9.5264010449013045E-2</v>
      </c>
      <c r="H6" s="83"/>
    </row>
    <row r="7" spans="1:31" hidden="1" outlineLevel="1">
      <c r="B7" s="1" t="s">
        <v>310</v>
      </c>
      <c r="C7" s="63">
        <v>0.49301068219987138</v>
      </c>
      <c r="D7" s="63">
        <v>0.28162674108620056</v>
      </c>
      <c r="E7" s="63">
        <v>6.4424091451118479E-2</v>
      </c>
      <c r="F7" s="83">
        <v>5.9854032827005799E-2</v>
      </c>
      <c r="G7" s="83">
        <v>9.4897392194689498E-2</v>
      </c>
      <c r="H7" s="83"/>
    </row>
    <row r="8" spans="1:31" hidden="1" outlineLevel="1">
      <c r="B8" s="1" t="s">
        <v>311</v>
      </c>
      <c r="C8" s="63">
        <v>0.49726216390225958</v>
      </c>
      <c r="D8" s="63">
        <v>0.27768954839500876</v>
      </c>
      <c r="E8" s="63">
        <v>6.388079835668517E-2</v>
      </c>
      <c r="F8" s="83">
        <v>6.0839439556059721E-2</v>
      </c>
      <c r="G8" s="83">
        <v>9.4674556213017749E-2</v>
      </c>
      <c r="H8" s="83"/>
    </row>
    <row r="9" spans="1:31" hidden="1" outlineLevel="1">
      <c r="B9" s="1" t="s">
        <v>312</v>
      </c>
      <c r="C9" s="63">
        <v>0.50989843241896171</v>
      </c>
      <c r="D9" s="63">
        <v>0.27303505327587357</v>
      </c>
      <c r="E9" s="63">
        <v>6.1207991684952071E-2</v>
      </c>
      <c r="F9" s="83">
        <v>5.9384516262361645E-2</v>
      </c>
      <c r="G9" s="83">
        <v>9.1532387962630912E-2</v>
      </c>
      <c r="H9" s="83"/>
    </row>
    <row r="10" spans="1:31" hidden="1" outlineLevel="1">
      <c r="B10" s="1" t="s">
        <v>313</v>
      </c>
      <c r="C10" s="63">
        <v>0.52076802982076076</v>
      </c>
      <c r="D10" s="63">
        <v>0.268889104045893</v>
      </c>
      <c r="E10" s="63">
        <v>5.7444902997809431E-2</v>
      </c>
      <c r="F10" s="83">
        <v>5.9314751836566738E-2</v>
      </c>
      <c r="G10" s="83">
        <v>9.0091616541808361E-2</v>
      </c>
      <c r="H10" s="83"/>
    </row>
    <row r="11" spans="1:31" hidden="1" outlineLevel="1">
      <c r="B11" s="1" t="s">
        <v>314</v>
      </c>
      <c r="C11" s="63">
        <v>0.53601771669646714</v>
      </c>
      <c r="D11" s="63">
        <v>0.25532026785401257</v>
      </c>
      <c r="E11" s="63">
        <v>5.396814266848976E-2</v>
      </c>
      <c r="F11" s="83">
        <v>6.4702170178452478E-2</v>
      </c>
      <c r="G11" s="83">
        <v>8.5685236475826529E-2</v>
      </c>
      <c r="H11" s="83"/>
    </row>
    <row r="12" spans="1:31" hidden="1" outlineLevel="1">
      <c r="B12" s="1" t="s">
        <v>315</v>
      </c>
      <c r="C12" s="63">
        <v>0.55231562830168424</v>
      </c>
      <c r="D12" s="63">
        <v>0.23439910052939947</v>
      </c>
      <c r="E12" s="63">
        <v>5.178170888114219E-2</v>
      </c>
      <c r="F12" s="83">
        <v>7.3816478617798442E-2</v>
      </c>
      <c r="G12" s="83">
        <v>8.4347968563728504E-2</v>
      </c>
      <c r="H12" s="83"/>
    </row>
    <row r="13" spans="1:31" hidden="1" outlineLevel="1">
      <c r="B13" s="1" t="s">
        <v>316</v>
      </c>
      <c r="C13" s="63">
        <v>0.56063235863136363</v>
      </c>
      <c r="D13" s="63">
        <v>0.217489359349953</v>
      </c>
      <c r="E13" s="63">
        <v>5.1340445525399368E-2</v>
      </c>
      <c r="F13" s="83">
        <v>8.3212647172627274E-2</v>
      </c>
      <c r="G13" s="83">
        <v>8.3859377591067388E-2</v>
      </c>
      <c r="H13" s="83"/>
    </row>
    <row r="14" spans="1:31" hidden="1" outlineLevel="1">
      <c r="B14" s="1" t="s">
        <v>317</v>
      </c>
      <c r="C14" s="63">
        <v>0.57809614031002421</v>
      </c>
      <c r="D14" s="63">
        <v>0.19899128354670209</v>
      </c>
      <c r="E14" s="63">
        <v>4.9589051245547834E-2</v>
      </c>
      <c r="F14" s="83">
        <v>9.0414018300847304E-2</v>
      </c>
      <c r="G14" s="83">
        <v>7.9644144311019141E-2</v>
      </c>
      <c r="H14" s="83"/>
    </row>
    <row r="15" spans="1:31" hidden="1" outlineLevel="1">
      <c r="B15" s="1" t="s">
        <v>318</v>
      </c>
      <c r="C15" s="63">
        <v>0.58671001179798143</v>
      </c>
      <c r="D15" s="63">
        <v>0.19045239334161082</v>
      </c>
      <c r="E15" s="63">
        <v>4.9618497586308159E-2</v>
      </c>
      <c r="F15" s="83">
        <v>9.250338741170834E-2</v>
      </c>
      <c r="G15" s="83">
        <v>7.7830613958712214E-2</v>
      </c>
      <c r="H15" s="83"/>
    </row>
    <row r="16" spans="1:31" hidden="1" outlineLevel="1">
      <c r="B16" s="1" t="s">
        <v>319</v>
      </c>
      <c r="C16" s="63">
        <v>0.59902506538575051</v>
      </c>
      <c r="D16" s="63">
        <v>0.18424025319805012</v>
      </c>
      <c r="E16" s="63">
        <v>4.7657816268585326E-2</v>
      </c>
      <c r="F16" s="83">
        <v>9.3687349256586921E-2</v>
      </c>
      <c r="G16" s="83">
        <v>7.2748643945330385E-2</v>
      </c>
      <c r="H16" s="83"/>
    </row>
    <row r="17" spans="1:31" hidden="1" outlineLevel="1">
      <c r="B17" s="1" t="s">
        <v>320</v>
      </c>
      <c r="C17" s="63">
        <v>0.61598869325477001</v>
      </c>
      <c r="D17" s="63">
        <v>0.1742393327427815</v>
      </c>
      <c r="E17" s="63">
        <v>4.5679847916314159E-2</v>
      </c>
      <c r="F17" s="83">
        <v>9.3658866737665603E-2</v>
      </c>
      <c r="G17" s="83">
        <v>6.7507041832966727E-2</v>
      </c>
      <c r="H17" s="83"/>
    </row>
    <row r="18" spans="1:31" hidden="1" outlineLevel="1">
      <c r="B18" s="1" t="s">
        <v>321</v>
      </c>
      <c r="C18" s="63">
        <v>0.63401365986340141</v>
      </c>
      <c r="D18" s="63">
        <v>0.15938340616593835</v>
      </c>
      <c r="E18" s="63">
        <v>4.4679553204467953E-2</v>
      </c>
      <c r="F18" s="83">
        <v>9.5809041909580908E-2</v>
      </c>
      <c r="G18" s="83">
        <v>6.3614363856361433E-2</v>
      </c>
      <c r="H18" s="83"/>
    </row>
    <row r="19" spans="1:31" hidden="1" outlineLevel="1">
      <c r="B19" s="1" t="s">
        <v>322</v>
      </c>
      <c r="C19" s="63">
        <v>0.63074006848109732</v>
      </c>
      <c r="D19" s="63">
        <v>0.1558472901697949</v>
      </c>
      <c r="E19" s="63">
        <v>4.4547909114220637E-2</v>
      </c>
      <c r="F19" s="83">
        <v>0.10309874451321605</v>
      </c>
      <c r="G19" s="83">
        <v>6.3272109288188771E-2</v>
      </c>
      <c r="H19" s="83"/>
    </row>
    <row r="20" spans="1:31" hidden="1" outlineLevel="1">
      <c r="B20" s="1" t="s">
        <v>323</v>
      </c>
      <c r="C20" s="63">
        <v>0.64206272468079828</v>
      </c>
      <c r="D20" s="63">
        <v>0.1528796330730135</v>
      </c>
      <c r="E20" s="63">
        <v>4.2746993925870828E-2</v>
      </c>
      <c r="F20" s="83">
        <v>9.3308540969381432E-2</v>
      </c>
      <c r="G20" s="83">
        <v>6.6949299615718355E-2</v>
      </c>
      <c r="H20" s="83"/>
    </row>
    <row r="21" spans="1:31" hidden="1" outlineLevel="1">
      <c r="B21" s="1" t="s">
        <v>324</v>
      </c>
      <c r="C21" s="63">
        <v>0.65206734657645038</v>
      </c>
      <c r="D21" s="63">
        <v>0.1468989801353244</v>
      </c>
      <c r="E21" s="63">
        <v>4.2565048428777147E-2</v>
      </c>
      <c r="F21" s="83">
        <v>9.0939577456453549E-2</v>
      </c>
      <c r="G21" s="83">
        <v>6.5719132819126905E-2</v>
      </c>
      <c r="H21" s="83"/>
    </row>
    <row r="22" spans="1:31" hidden="1" outlineLevel="1">
      <c r="B22" s="1" t="s">
        <v>325</v>
      </c>
      <c r="C22" s="63">
        <v>0.67153069974275625</v>
      </c>
      <c r="D22" s="63">
        <v>0.14481424611641774</v>
      </c>
      <c r="E22" s="63">
        <v>4.2445211079426483E-2</v>
      </c>
      <c r="F22" s="83">
        <v>9.1067262248987979E-2</v>
      </c>
      <c r="G22" s="83">
        <v>4.8527329650826567E-2</v>
      </c>
      <c r="H22" s="83"/>
    </row>
    <row r="23" spans="1:31" hidden="1" outlineLevel="1">
      <c r="B23" s="1" t="s">
        <v>326</v>
      </c>
      <c r="C23" s="63">
        <v>0.67984597055141938</v>
      </c>
      <c r="D23" s="63">
        <v>0.14195442457634361</v>
      </c>
      <c r="E23" s="63">
        <v>4.2669776747786832E-2</v>
      </c>
      <c r="F23" s="83">
        <v>8.6445509066322146E-2</v>
      </c>
      <c r="G23" s="83">
        <v>4.7515872975975627E-2</v>
      </c>
      <c r="H23" s="83"/>
    </row>
    <row r="24" spans="1:31" hidden="1" outlineLevel="1">
      <c r="B24" s="1" t="s">
        <v>327</v>
      </c>
      <c r="C24" s="63">
        <v>0.68772984218378974</v>
      </c>
      <c r="D24" s="63">
        <v>0.144382919704961</v>
      </c>
      <c r="E24" s="63">
        <v>4.3782965936074981E-2</v>
      </c>
      <c r="F24" s="83">
        <v>7.8918612226028112E-2</v>
      </c>
      <c r="G24" s="83">
        <v>4.3436232584529388E-2</v>
      </c>
      <c r="H24" s="83"/>
    </row>
    <row r="25" spans="1:31" hidden="1" outlineLevel="1">
      <c r="B25" s="1" t="s">
        <v>328</v>
      </c>
      <c r="C25" s="63">
        <v>0.69513654550403958</v>
      </c>
      <c r="D25" s="63">
        <v>0.14195390786709605</v>
      </c>
      <c r="E25" s="63">
        <v>4.1685285340811618E-2</v>
      </c>
      <c r="F25" s="83">
        <v>7.1285125091809329E-2</v>
      </c>
      <c r="G25" s="83">
        <v>4.7930887481573932E-2</v>
      </c>
      <c r="H25" s="83"/>
    </row>
    <row r="26" spans="1:31" hidden="1" outlineLevel="1">
      <c r="B26" s="1" t="s">
        <v>329</v>
      </c>
      <c r="C26" s="63">
        <v>0.70774164751781254</v>
      </c>
      <c r="D26" s="63">
        <v>0.13830707598375516</v>
      </c>
      <c r="E26" s="63">
        <v>4.3157935340243453E-2</v>
      </c>
      <c r="F26" s="83">
        <v>6.2411488210367384E-2</v>
      </c>
      <c r="G26" s="83">
        <v>4.6023375378155429E-2</v>
      </c>
      <c r="H26" s="83"/>
    </row>
    <row r="27" spans="1:31" hidden="1" outlineLevel="1">
      <c r="B27" s="1" t="s">
        <v>330</v>
      </c>
      <c r="C27" s="63">
        <v>0.71228375324174853</v>
      </c>
      <c r="D27" s="63">
        <v>0.13926759917927781</v>
      </c>
      <c r="E27" s="63">
        <v>4.2739004093195712E-2</v>
      </c>
      <c r="F27" s="83">
        <v>5.4753002197619069E-2</v>
      </c>
      <c r="G27" s="83">
        <v>4.8748606959474236E-2</v>
      </c>
      <c r="H27" s="83"/>
    </row>
    <row r="28" spans="1:31" hidden="1" outlineLevel="1">
      <c r="B28" s="1" t="s">
        <v>331</v>
      </c>
      <c r="C28" s="63">
        <v>0.71311122280462413</v>
      </c>
      <c r="D28" s="63">
        <v>0.14137492435043952</v>
      </c>
      <c r="E28" s="63">
        <v>4.3656207366984993E-2</v>
      </c>
      <c r="F28" s="83">
        <v>5.0708285037286256E-2</v>
      </c>
      <c r="G28" s="83">
        <v>4.9195293828021625E-2</v>
      </c>
      <c r="H28" s="83"/>
    </row>
    <row r="29" spans="1:31" hidden="1" outlineLevel="1">
      <c r="B29" s="1" t="s">
        <v>332</v>
      </c>
      <c r="C29" s="63">
        <v>0.71509370382850779</v>
      </c>
      <c r="D29" s="63">
        <v>0.14235205681847637</v>
      </c>
      <c r="E29" s="63">
        <v>4.3572928277041914E-2</v>
      </c>
      <c r="F29" s="83">
        <v>4.9783561004691675E-2</v>
      </c>
      <c r="G29" s="83">
        <v>4.9197750071282305E-2</v>
      </c>
      <c r="H29" s="83"/>
    </row>
    <row r="30" spans="1:31" collapsed="1">
      <c r="J30" s="18"/>
    </row>
    <row r="31" spans="1:31">
      <c r="A31" s="98" t="s">
        <v>333</v>
      </c>
      <c r="B31" s="20"/>
      <c r="C31" s="97"/>
      <c r="D31" s="97"/>
      <c r="E31" s="97"/>
      <c r="F31" s="97"/>
      <c r="G31" s="97"/>
      <c r="H31" s="97"/>
      <c r="I31" s="20"/>
      <c r="J31" s="19"/>
      <c r="K31" s="20"/>
      <c r="L31" s="20"/>
      <c r="M31" s="20"/>
      <c r="N31" s="20"/>
      <c r="O31" s="20"/>
      <c r="P31" s="20"/>
      <c r="Q31" s="20"/>
      <c r="R31" s="20"/>
      <c r="S31" s="20"/>
      <c r="T31" s="20"/>
      <c r="U31" s="20"/>
      <c r="V31" s="20"/>
      <c r="W31" s="20"/>
      <c r="X31" s="20"/>
      <c r="Y31" s="20"/>
      <c r="Z31" s="20"/>
      <c r="AA31" s="20"/>
      <c r="AB31" s="20"/>
      <c r="AC31" s="20"/>
      <c r="AD31" s="20"/>
      <c r="AE31" s="20"/>
    </row>
    <row r="32" spans="1:31" hidden="1" outlineLevel="1">
      <c r="B32" s="87" t="s">
        <v>231</v>
      </c>
      <c r="C32" s="88" t="s">
        <v>293</v>
      </c>
      <c r="D32" s="88" t="s">
        <v>305</v>
      </c>
      <c r="E32" s="88" t="s">
        <v>306</v>
      </c>
      <c r="F32" s="89" t="s">
        <v>376</v>
      </c>
      <c r="G32" s="90" t="s">
        <v>298</v>
      </c>
      <c r="H32" s="82"/>
      <c r="J32" s="18"/>
    </row>
    <row r="33" spans="2:10" hidden="1" outlineLevel="1">
      <c r="B33" s="91" t="s">
        <v>308</v>
      </c>
      <c r="C33" s="92">
        <f>C5-C4</f>
        <v>1.7296854751637059E-2</v>
      </c>
      <c r="D33" s="92">
        <f t="shared" ref="D33:E33" si="0">D5-D4</f>
        <v>3.8352411687869736E-5</v>
      </c>
      <c r="E33" s="92">
        <f t="shared" si="0"/>
        <v>-9.4303514750732897E-3</v>
      </c>
      <c r="F33" s="92">
        <f t="shared" ref="F33:G33" si="1">F5-F4</f>
        <v>-2.0070313101430426E-3</v>
      </c>
      <c r="G33" s="93">
        <f t="shared" si="1"/>
        <v>-5.7165176817084024E-3</v>
      </c>
      <c r="H33" s="83"/>
      <c r="J33" s="18"/>
    </row>
    <row r="34" spans="2:10" hidden="1" outlineLevel="1">
      <c r="B34" s="91" t="s">
        <v>309</v>
      </c>
      <c r="C34" s="92">
        <f t="shared" ref="C34:E49" si="2">C6-C5</f>
        <v>8.2362781143587305E-3</v>
      </c>
      <c r="D34" s="92">
        <f t="shared" si="2"/>
        <v>-8.7546358650891221E-3</v>
      </c>
      <c r="E34" s="92">
        <f t="shared" si="2"/>
        <v>3.6065941042529859E-3</v>
      </c>
      <c r="F34" s="92">
        <f t="shared" ref="F34:G34" si="3">F6-F5</f>
        <v>-1.033296570621331E-3</v>
      </c>
      <c r="G34" s="93">
        <f t="shared" si="3"/>
        <v>-1.6908235225549101E-3</v>
      </c>
      <c r="H34" s="83"/>
      <c r="J34" s="18"/>
    </row>
    <row r="35" spans="2:10" hidden="1" outlineLevel="1">
      <c r="B35" s="91" t="s">
        <v>310</v>
      </c>
      <c r="C35" s="92">
        <f t="shared" si="2"/>
        <v>4.8394515596772436E-3</v>
      </c>
      <c r="D35" s="92">
        <f t="shared" si="2"/>
        <v>-7.5714636299409888E-3</v>
      </c>
      <c r="E35" s="92">
        <f t="shared" si="2"/>
        <v>-2.0923279691917873E-3</v>
      </c>
      <c r="F35" s="92">
        <f t="shared" ref="F35:G35" si="4">F7-F6</f>
        <v>4.8494549812183804E-3</v>
      </c>
      <c r="G35" s="93">
        <f t="shared" si="4"/>
        <v>-3.6661825432354744E-4</v>
      </c>
      <c r="H35" s="83"/>
      <c r="J35" s="18"/>
    </row>
    <row r="36" spans="2:10" hidden="1" outlineLevel="1">
      <c r="B36" s="91" t="s">
        <v>311</v>
      </c>
      <c r="C36" s="92">
        <f t="shared" si="2"/>
        <v>4.2514817023882046E-3</v>
      </c>
      <c r="D36" s="92">
        <f t="shared" si="2"/>
        <v>-3.9371926911918043E-3</v>
      </c>
      <c r="E36" s="92">
        <f t="shared" si="2"/>
        <v>-5.4329309443330864E-4</v>
      </c>
      <c r="F36" s="92">
        <f t="shared" ref="F36:G36" si="5">F8-F7</f>
        <v>9.8540672905392257E-4</v>
      </c>
      <c r="G36" s="93">
        <f t="shared" si="5"/>
        <v>-2.2283598167174845E-4</v>
      </c>
      <c r="H36" s="83"/>
      <c r="J36" s="18"/>
    </row>
    <row r="37" spans="2:10" hidden="1" outlineLevel="1">
      <c r="B37" s="91" t="s">
        <v>312</v>
      </c>
      <c r="C37" s="92">
        <f t="shared" si="2"/>
        <v>1.2636268516702132E-2</v>
      </c>
      <c r="D37" s="92">
        <f t="shared" si="2"/>
        <v>-4.6544951191351824E-3</v>
      </c>
      <c r="E37" s="92">
        <f t="shared" si="2"/>
        <v>-2.6728066717330995E-3</v>
      </c>
      <c r="F37" s="92">
        <f t="shared" ref="F37:G37" si="6">F9-F8</f>
        <v>-1.4549232936980766E-3</v>
      </c>
      <c r="G37" s="93">
        <f t="shared" si="6"/>
        <v>-3.142168250386837E-3</v>
      </c>
      <c r="H37" s="83"/>
      <c r="J37" s="18"/>
    </row>
    <row r="38" spans="2:10" hidden="1" outlineLevel="1">
      <c r="B38" s="91" t="s">
        <v>313</v>
      </c>
      <c r="C38" s="92">
        <f t="shared" si="2"/>
        <v>1.0869597401799047E-2</v>
      </c>
      <c r="D38" s="92">
        <f t="shared" si="2"/>
        <v>-4.1459492299805722E-3</v>
      </c>
      <c r="E38" s="92">
        <f t="shared" si="2"/>
        <v>-3.7630886871426392E-3</v>
      </c>
      <c r="F38" s="92">
        <f t="shared" ref="F38:G38" si="7">F10-F9</f>
        <v>-6.9764425794906215E-5</v>
      </c>
      <c r="G38" s="93">
        <f t="shared" si="7"/>
        <v>-1.4407714208225508E-3</v>
      </c>
      <c r="H38" s="83"/>
      <c r="J38" s="18"/>
    </row>
    <row r="39" spans="2:10" hidden="1" outlineLevel="1">
      <c r="B39" s="91" t="s">
        <v>314</v>
      </c>
      <c r="C39" s="92">
        <f t="shared" si="2"/>
        <v>1.5249686875706381E-2</v>
      </c>
      <c r="D39" s="92">
        <f t="shared" si="2"/>
        <v>-1.3568836191880429E-2</v>
      </c>
      <c r="E39" s="92">
        <f t="shared" si="2"/>
        <v>-3.4767603293196711E-3</v>
      </c>
      <c r="F39" s="92">
        <f t="shared" ref="F39:G39" si="8">F11-F10</f>
        <v>5.3874183418857399E-3</v>
      </c>
      <c r="G39" s="93">
        <f t="shared" si="8"/>
        <v>-4.4063800659818325E-3</v>
      </c>
      <c r="H39" s="83"/>
      <c r="J39" s="18"/>
    </row>
    <row r="40" spans="2:10" hidden="1" outlineLevel="1">
      <c r="B40" s="91" t="s">
        <v>315</v>
      </c>
      <c r="C40" s="92">
        <f t="shared" si="2"/>
        <v>1.6297911605217097E-2</v>
      </c>
      <c r="D40" s="92">
        <f t="shared" si="2"/>
        <v>-2.0921167324613105E-2</v>
      </c>
      <c r="E40" s="92">
        <f t="shared" si="2"/>
        <v>-2.1864337873475706E-3</v>
      </c>
      <c r="F40" s="92">
        <f t="shared" ref="F40:G40" si="9">F12-F11</f>
        <v>9.1143084393459639E-3</v>
      </c>
      <c r="G40" s="93">
        <f t="shared" si="9"/>
        <v>-1.3372679120980252E-3</v>
      </c>
      <c r="H40" s="83"/>
      <c r="J40" s="18"/>
    </row>
    <row r="41" spans="2:10" hidden="1" outlineLevel="1">
      <c r="B41" s="91" t="s">
        <v>316</v>
      </c>
      <c r="C41" s="92">
        <f t="shared" si="2"/>
        <v>8.3167303296793893E-3</v>
      </c>
      <c r="D41" s="92">
        <f t="shared" si="2"/>
        <v>-1.6909741179446464E-2</v>
      </c>
      <c r="E41" s="92">
        <f t="shared" si="2"/>
        <v>-4.4126335574282138E-4</v>
      </c>
      <c r="F41" s="92">
        <f t="shared" ref="F41:G41" si="10">F13-F12</f>
        <v>9.3961685548288321E-3</v>
      </c>
      <c r="G41" s="93">
        <f t="shared" si="10"/>
        <v>-4.885909726611154E-4</v>
      </c>
      <c r="H41" s="83"/>
      <c r="J41" s="18"/>
    </row>
    <row r="42" spans="2:10" hidden="1" outlineLevel="1">
      <c r="B42" s="91" t="s">
        <v>317</v>
      </c>
      <c r="C42" s="92">
        <f t="shared" si="2"/>
        <v>1.7463781678660584E-2</v>
      </c>
      <c r="D42" s="92">
        <f t="shared" si="2"/>
        <v>-1.8498075803250913E-2</v>
      </c>
      <c r="E42" s="92">
        <f t="shared" si="2"/>
        <v>-1.7513942798515342E-3</v>
      </c>
      <c r="F42" s="92">
        <f t="shared" ref="F42:G42" si="11">F14-F13</f>
        <v>7.2013711282200299E-3</v>
      </c>
      <c r="G42" s="93">
        <f t="shared" si="11"/>
        <v>-4.2152332800482473E-3</v>
      </c>
      <c r="H42" s="83"/>
      <c r="J42" s="18"/>
    </row>
    <row r="43" spans="2:10" hidden="1" outlineLevel="1">
      <c r="B43" s="91" t="s">
        <v>318</v>
      </c>
      <c r="C43" s="92">
        <f t="shared" si="2"/>
        <v>8.6138714879572253E-3</v>
      </c>
      <c r="D43" s="92">
        <f t="shared" si="2"/>
        <v>-8.5388902050912707E-3</v>
      </c>
      <c r="E43" s="92">
        <f t="shared" si="2"/>
        <v>2.9446340760325151E-5</v>
      </c>
      <c r="F43" s="92">
        <f t="shared" ref="F43:G43" si="12">F15-F14</f>
        <v>2.0893691108610363E-3</v>
      </c>
      <c r="G43" s="93">
        <f t="shared" si="12"/>
        <v>-1.8135303523069274E-3</v>
      </c>
      <c r="H43" s="83"/>
      <c r="J43" s="18"/>
    </row>
    <row r="44" spans="2:10" hidden="1" outlineLevel="1">
      <c r="B44" s="91" t="s">
        <v>319</v>
      </c>
      <c r="C44" s="92">
        <f t="shared" si="2"/>
        <v>1.2315053587769076E-2</v>
      </c>
      <c r="D44" s="92">
        <f t="shared" si="2"/>
        <v>-6.212140143560696E-3</v>
      </c>
      <c r="E44" s="92">
        <f t="shared" si="2"/>
        <v>-1.960681317722833E-3</v>
      </c>
      <c r="F44" s="92">
        <f t="shared" ref="F44:G44" si="13">F16-F15</f>
        <v>1.183961844878581E-3</v>
      </c>
      <c r="G44" s="93">
        <f t="shared" si="13"/>
        <v>-5.0819700133818285E-3</v>
      </c>
      <c r="H44" s="83"/>
      <c r="J44" s="18"/>
    </row>
    <row r="45" spans="2:10" hidden="1" outlineLevel="1">
      <c r="B45" s="91" t="s">
        <v>320</v>
      </c>
      <c r="C45" s="92">
        <f t="shared" si="2"/>
        <v>1.6963627869019504E-2</v>
      </c>
      <c r="D45" s="92">
        <f t="shared" si="2"/>
        <v>-1.0000920455268625E-2</v>
      </c>
      <c r="E45" s="92">
        <f t="shared" si="2"/>
        <v>-1.9779683522711672E-3</v>
      </c>
      <c r="F45" s="92">
        <f t="shared" ref="F45:G45" si="14">F17-F16</f>
        <v>-2.8482518921318922E-5</v>
      </c>
      <c r="G45" s="93">
        <f t="shared" si="14"/>
        <v>-5.241602112363658E-3</v>
      </c>
      <c r="H45" s="83"/>
      <c r="J45" s="18"/>
    </row>
    <row r="46" spans="2:10" hidden="1" outlineLevel="1">
      <c r="B46" s="91" t="s">
        <v>321</v>
      </c>
      <c r="C46" s="92">
        <f t="shared" si="2"/>
        <v>1.8024966608631399E-2</v>
      </c>
      <c r="D46" s="92">
        <f t="shared" si="2"/>
        <v>-1.4855926576843148E-2</v>
      </c>
      <c r="E46" s="92">
        <f t="shared" si="2"/>
        <v>-1.0002947118462058E-3</v>
      </c>
      <c r="F46" s="92">
        <f t="shared" ref="F46:G46" si="15">F18-F17</f>
        <v>2.1501751719153056E-3</v>
      </c>
      <c r="G46" s="93">
        <f t="shared" si="15"/>
        <v>-3.8926779766052938E-3</v>
      </c>
      <c r="H46" s="83"/>
      <c r="J46" s="18"/>
    </row>
    <row r="47" spans="2:10" hidden="1" outlineLevel="1">
      <c r="B47" s="91" t="s">
        <v>322</v>
      </c>
      <c r="C47" s="92">
        <f t="shared" si="2"/>
        <v>-3.2735913823040974E-3</v>
      </c>
      <c r="D47" s="92">
        <f t="shared" si="2"/>
        <v>-3.5361159961434518E-3</v>
      </c>
      <c r="E47" s="92">
        <f t="shared" si="2"/>
        <v>-1.3164409024731677E-4</v>
      </c>
      <c r="F47" s="92">
        <f t="shared" ref="F47:G47" si="16">F19-F18</f>
        <v>7.289702603635137E-3</v>
      </c>
      <c r="G47" s="93">
        <f t="shared" si="16"/>
        <v>-3.4225456817266187E-4</v>
      </c>
      <c r="H47" s="83"/>
      <c r="J47" s="18"/>
    </row>
    <row r="48" spans="2:10" hidden="1" outlineLevel="1">
      <c r="B48" s="91" t="s">
        <v>323</v>
      </c>
      <c r="C48" s="92">
        <f t="shared" si="2"/>
        <v>1.1322656199700964E-2</v>
      </c>
      <c r="D48" s="92">
        <f t="shared" si="2"/>
        <v>-2.9676570967814009E-3</v>
      </c>
      <c r="E48" s="92">
        <f t="shared" si="2"/>
        <v>-1.8009151883498081E-3</v>
      </c>
      <c r="F48" s="92">
        <f t="shared" ref="F48:G48" si="17">F20-F19</f>
        <v>-9.7902035438346136E-3</v>
      </c>
      <c r="G48" s="93">
        <f t="shared" si="17"/>
        <v>3.6771903275295836E-3</v>
      </c>
      <c r="H48" s="83"/>
      <c r="J48" s="18"/>
    </row>
    <row r="49" spans="1:31" hidden="1" outlineLevel="1">
      <c r="B49" s="91" t="s">
        <v>324</v>
      </c>
      <c r="C49" s="92">
        <f t="shared" si="2"/>
        <v>1.0004621895652099E-2</v>
      </c>
      <c r="D49" s="92">
        <f t="shared" si="2"/>
        <v>-5.980652937689096E-3</v>
      </c>
      <c r="E49" s="92">
        <f t="shared" si="2"/>
        <v>-1.8194549709368152E-4</v>
      </c>
      <c r="F49" s="92">
        <f t="shared" ref="F49:G49" si="18">F21-F20</f>
        <v>-2.3689635129278824E-3</v>
      </c>
      <c r="G49" s="93">
        <f t="shared" si="18"/>
        <v>-1.2301667965914503E-3</v>
      </c>
      <c r="H49" s="83"/>
      <c r="J49" s="18"/>
    </row>
    <row r="50" spans="1:31" hidden="1" outlineLevel="1">
      <c r="B50" s="91" t="s">
        <v>325</v>
      </c>
      <c r="C50" s="92">
        <f t="shared" ref="C50:E57" si="19">C22-C21</f>
        <v>1.9463353166305875E-2</v>
      </c>
      <c r="D50" s="92">
        <f t="shared" si="19"/>
        <v>-2.0847340189066588E-3</v>
      </c>
      <c r="E50" s="92">
        <f t="shared" si="19"/>
        <v>-1.1983734935066409E-4</v>
      </c>
      <c r="F50" s="92">
        <f t="shared" ref="F50:G50" si="20">F22-F21</f>
        <v>1.2768479253442988E-4</v>
      </c>
      <c r="G50" s="93">
        <f t="shared" si="20"/>
        <v>-1.7191803168300338E-2</v>
      </c>
      <c r="H50" s="83"/>
      <c r="J50" s="18"/>
    </row>
    <row r="51" spans="1:31" hidden="1" outlineLevel="1">
      <c r="B51" s="91" t="s">
        <v>326</v>
      </c>
      <c r="C51" s="92">
        <f t="shared" si="19"/>
        <v>8.3152708086631222E-3</v>
      </c>
      <c r="D51" s="92">
        <f t="shared" si="19"/>
        <v>-2.8598215400741367E-3</v>
      </c>
      <c r="E51" s="92">
        <f t="shared" si="19"/>
        <v>2.2456566836034919E-4</v>
      </c>
      <c r="F51" s="92">
        <f t="shared" ref="F51:G51" si="21">F23-F22</f>
        <v>-4.6217531826658331E-3</v>
      </c>
      <c r="G51" s="93">
        <f t="shared" si="21"/>
        <v>-1.0114566748509399E-3</v>
      </c>
      <c r="H51" s="83"/>
      <c r="J51" s="18"/>
    </row>
    <row r="52" spans="1:31" hidden="1" outlineLevel="1">
      <c r="B52" s="91" t="s">
        <v>327</v>
      </c>
      <c r="C52" s="92">
        <f t="shared" si="19"/>
        <v>7.883871632370365E-3</v>
      </c>
      <c r="D52" s="92">
        <f t="shared" si="19"/>
        <v>2.4284951286173972E-3</v>
      </c>
      <c r="E52" s="92">
        <f t="shared" si="19"/>
        <v>1.1131891882881495E-3</v>
      </c>
      <c r="F52" s="92">
        <f t="shared" ref="F52:G52" si="22">F24-F23</f>
        <v>-7.5268968402940339E-3</v>
      </c>
      <c r="G52" s="93">
        <f t="shared" si="22"/>
        <v>-4.079640391446239E-3</v>
      </c>
      <c r="H52" s="83"/>
      <c r="J52" s="18"/>
    </row>
    <row r="53" spans="1:31" hidden="1" outlineLevel="1">
      <c r="B53" s="91" t="s">
        <v>328</v>
      </c>
      <c r="C53" s="92">
        <f t="shared" si="19"/>
        <v>7.4067033202498411E-3</v>
      </c>
      <c r="D53" s="92">
        <f t="shared" si="19"/>
        <v>-2.4290118378649528E-3</v>
      </c>
      <c r="E53" s="92">
        <f t="shared" si="19"/>
        <v>-2.097680595263364E-3</v>
      </c>
      <c r="F53" s="92">
        <f t="shared" ref="F53:G53" si="23">F25-F24</f>
        <v>-7.6334871342187832E-3</v>
      </c>
      <c r="G53" s="93">
        <f t="shared" si="23"/>
        <v>4.4946548970445435E-3</v>
      </c>
      <c r="H53" s="83"/>
      <c r="J53" s="18"/>
    </row>
    <row r="54" spans="1:31" hidden="1" outlineLevel="1">
      <c r="B54" s="91" t="s">
        <v>329</v>
      </c>
      <c r="C54" s="92">
        <f t="shared" si="19"/>
        <v>1.2605102013772962E-2</v>
      </c>
      <c r="D54" s="92">
        <f t="shared" si="19"/>
        <v>-3.6468318833408897E-3</v>
      </c>
      <c r="E54" s="92">
        <f t="shared" si="19"/>
        <v>1.4726499994318354E-3</v>
      </c>
      <c r="F54" s="92">
        <f t="shared" ref="F54:G54" si="24">F26-F25</f>
        <v>-8.8736368814419445E-3</v>
      </c>
      <c r="G54" s="93">
        <f t="shared" si="24"/>
        <v>-1.907512103418503E-3</v>
      </c>
      <c r="H54" s="83"/>
      <c r="J54" s="18"/>
    </row>
    <row r="55" spans="1:31" hidden="1" outlineLevel="1">
      <c r="B55" s="91" t="s">
        <v>330</v>
      </c>
      <c r="C55" s="92">
        <f t="shared" si="19"/>
        <v>4.5421057239359852E-3</v>
      </c>
      <c r="D55" s="92">
        <f t="shared" si="19"/>
        <v>9.6052319552264454E-4</v>
      </c>
      <c r="E55" s="92">
        <f t="shared" si="19"/>
        <v>-4.1893124704774076E-4</v>
      </c>
      <c r="F55" s="92">
        <f t="shared" ref="F55:G55" si="25">F27-F26</f>
        <v>-7.6584860127483154E-3</v>
      </c>
      <c r="G55" s="93">
        <f t="shared" si="25"/>
        <v>2.7252315813188072E-3</v>
      </c>
      <c r="H55" s="83"/>
      <c r="J55" s="18"/>
    </row>
    <row r="56" spans="1:31" hidden="1" outlineLevel="1">
      <c r="B56" s="91" t="s">
        <v>331</v>
      </c>
      <c r="C56" s="92">
        <f t="shared" si="19"/>
        <v>8.2746956287560458E-4</v>
      </c>
      <c r="D56" s="92">
        <f t="shared" si="19"/>
        <v>2.1073251711617169E-3</v>
      </c>
      <c r="E56" s="92">
        <f t="shared" si="19"/>
        <v>9.1720327378928129E-4</v>
      </c>
      <c r="F56" s="92">
        <f t="shared" ref="F56:G56" si="26">F28-F27</f>
        <v>-4.0447171603328128E-3</v>
      </c>
      <c r="G56" s="93">
        <f t="shared" si="26"/>
        <v>4.4668686854738848E-4</v>
      </c>
      <c r="H56" s="83"/>
      <c r="J56" s="18"/>
    </row>
    <row r="57" spans="1:31" hidden="1" outlineLevel="1">
      <c r="B57" s="21" t="s">
        <v>332</v>
      </c>
      <c r="C57" s="94">
        <f t="shared" si="19"/>
        <v>1.9824810238836532E-3</v>
      </c>
      <c r="D57" s="94">
        <f t="shared" si="19"/>
        <v>9.7713246803685094E-4</v>
      </c>
      <c r="E57" s="94">
        <f t="shared" si="19"/>
        <v>-8.3279089943079365E-5</v>
      </c>
      <c r="F57" s="94">
        <f t="shared" ref="F57:G57" si="27">F29-F28</f>
        <v>-9.2472403259458158E-4</v>
      </c>
      <c r="G57" s="95">
        <f t="shared" si="27"/>
        <v>2.4562432606803353E-6</v>
      </c>
      <c r="H57" s="83"/>
      <c r="J57" s="18"/>
    </row>
    <row r="58" spans="1:31" collapsed="1">
      <c r="J58" s="18"/>
    </row>
    <row r="59" spans="1:31">
      <c r="A59" s="96" t="s">
        <v>334</v>
      </c>
      <c r="B59" s="20"/>
      <c r="C59" s="97"/>
      <c r="D59" s="97"/>
      <c r="E59" s="97"/>
      <c r="F59" s="97"/>
      <c r="G59" s="97"/>
      <c r="H59" s="97"/>
      <c r="I59" s="20"/>
      <c r="J59" s="99" t="s">
        <v>335</v>
      </c>
      <c r="K59" s="20"/>
      <c r="L59" s="20"/>
      <c r="M59" s="20"/>
      <c r="N59" s="20"/>
      <c r="O59" s="20"/>
      <c r="P59" s="20"/>
      <c r="Q59" s="20"/>
      <c r="R59" s="99" t="s">
        <v>336</v>
      </c>
      <c r="S59" s="20"/>
      <c r="T59" s="20"/>
      <c r="U59" s="20"/>
      <c r="V59" s="20"/>
      <c r="W59" s="20"/>
      <c r="X59" s="20"/>
      <c r="Y59" s="20"/>
      <c r="Z59" s="20"/>
      <c r="AA59" s="20"/>
      <c r="AB59" s="20"/>
      <c r="AC59" s="20"/>
      <c r="AD59" s="20"/>
      <c r="AE59" s="20"/>
    </row>
    <row r="60" spans="1:31" outlineLevel="1">
      <c r="C60" s="59" t="s">
        <v>293</v>
      </c>
      <c r="D60" s="59" t="s">
        <v>305</v>
      </c>
      <c r="E60" s="59" t="s">
        <v>306</v>
      </c>
      <c r="F60" s="64" t="s">
        <v>376</v>
      </c>
      <c r="G60" s="64" t="s">
        <v>298</v>
      </c>
      <c r="H60" s="64"/>
      <c r="J60" s="18"/>
      <c r="K60" s="59" t="s">
        <v>337</v>
      </c>
      <c r="L60" s="23" t="s">
        <v>293</v>
      </c>
      <c r="M60" s="23" t="s">
        <v>305</v>
      </c>
      <c r="N60" s="23" t="s">
        <v>306</v>
      </c>
      <c r="O60" s="82" t="s">
        <v>376</v>
      </c>
      <c r="P60" s="23" t="s">
        <v>298</v>
      </c>
      <c r="R60" s="17" t="s">
        <v>338</v>
      </c>
      <c r="S60" s="23" t="s">
        <v>293</v>
      </c>
      <c r="T60" s="23" t="s">
        <v>305</v>
      </c>
      <c r="U60" s="23" t="s">
        <v>377</v>
      </c>
      <c r="V60" s="23"/>
    </row>
    <row r="61" spans="1:31" outlineLevel="1">
      <c r="B61" s="65" t="s">
        <v>339</v>
      </c>
      <c r="J61" s="18"/>
      <c r="K61" t="s">
        <v>340</v>
      </c>
      <c r="L61" s="61">
        <v>24.8</v>
      </c>
      <c r="M61" s="61">
        <v>18.399999999999999</v>
      </c>
      <c r="N61" s="61">
        <v>24</v>
      </c>
      <c r="O61" s="61">
        <v>25</v>
      </c>
      <c r="P61" s="61">
        <v>4</v>
      </c>
      <c r="R61" s="18" t="s">
        <v>255</v>
      </c>
      <c r="S61" s="13">
        <v>0.5</v>
      </c>
      <c r="T61" s="13">
        <v>1</v>
      </c>
      <c r="U61" s="13">
        <v>0.5</v>
      </c>
      <c r="V61" s="13"/>
    </row>
    <row r="62" spans="1:31" outlineLevel="1">
      <c r="B62" s="66" t="s">
        <v>242</v>
      </c>
      <c r="C62" s="63">
        <f>MIN(MarketShare29[Education &amp; Care])</f>
        <v>0.46263809777419834</v>
      </c>
      <c r="D62" s="63">
        <f>MIN(MarketShare29[Kindergarten])</f>
        <v>0.13830707598375516</v>
      </c>
      <c r="E62" s="63">
        <f>MIN(MarketShare29[Te Kōhanga Reo*])</f>
        <v>4.1685285340811618E-2</v>
      </c>
      <c r="F62" s="63">
        <f>MIN(MarketShare29[Home-based])</f>
        <v>4.9783561004691675E-2</v>
      </c>
      <c r="G62" s="63">
        <f>MIN(MarketShare29[Playcentre])</f>
        <v>4.3436232584529388E-2</v>
      </c>
      <c r="J62" s="18"/>
      <c r="K62" t="s">
        <v>111</v>
      </c>
      <c r="L62" s="61">
        <f>L61/40</f>
        <v>0.62</v>
      </c>
      <c r="M62" s="61">
        <f t="shared" ref="M62:N62" si="28">M61/40</f>
        <v>0.45999999999999996</v>
      </c>
      <c r="N62" s="61">
        <f t="shared" si="28"/>
        <v>0.6</v>
      </c>
      <c r="O62" s="61">
        <f>O61/40</f>
        <v>0.625</v>
      </c>
      <c r="P62" s="61">
        <f>P61/40</f>
        <v>0.1</v>
      </c>
      <c r="R62" s="18" t="s">
        <v>258</v>
      </c>
      <c r="S62" s="13">
        <f>AVERAGE('Source-fte_qualstus_x_servtype'!T15:AJ15)</f>
        <v>0.65608379619470503</v>
      </c>
      <c r="T62" s="13">
        <v>1</v>
      </c>
      <c r="U62" s="13">
        <f>'Source-fte_qualstus_x_servtype'!C26</f>
        <v>0.67196688841063756</v>
      </c>
      <c r="V62" s="13"/>
    </row>
    <row r="63" spans="1:31" outlineLevel="1">
      <c r="B63" s="66" t="s">
        <v>243</v>
      </c>
      <c r="C63" s="63">
        <f>AVERAGE(MarketShare29[Education &amp; Care])</f>
        <v>0.60083947648602187</v>
      </c>
      <c r="D63" s="63">
        <f>AVERAGE(MarketShare29[Kindergarten])</f>
        <v>0.19964824749897078</v>
      </c>
      <c r="E63" s="63">
        <f>AVERAGE(MarketShare29[Te Kōhanga Reo*])</f>
        <v>5.0638789806336633E-2</v>
      </c>
      <c r="F63" s="63">
        <f>AVERAGE(MarketShare29[Home-based])</f>
        <v>7.4192452541468168E-2</v>
      </c>
      <c r="G63" s="63">
        <f>AVERAGE(MarketShare29[Playcentre])</f>
        <v>7.1455362698995759E-2</v>
      </c>
      <c r="J63" s="18"/>
      <c r="P63" s="61"/>
      <c r="R63" s="18" t="s">
        <v>256</v>
      </c>
      <c r="S63" s="13">
        <v>1</v>
      </c>
      <c r="T63" s="13">
        <v>1</v>
      </c>
      <c r="U63" s="13">
        <v>1</v>
      </c>
      <c r="V63" s="13"/>
    </row>
    <row r="64" spans="1:31" outlineLevel="1">
      <c r="B64" s="66" t="s">
        <v>244</v>
      </c>
      <c r="C64" s="63">
        <f>MEDIAN(MarketShare29[Education &amp; Care])</f>
        <v>0.60750687932026026</v>
      </c>
      <c r="D64" s="63">
        <f>MEDIAN(MarketShare29[Kindergarten])</f>
        <v>0.17923979297041581</v>
      </c>
      <c r="E64" s="63">
        <f>MEDIAN(MarketShare29[Te Kōhanga Reo*])</f>
        <v>4.6668832092449743E-2</v>
      </c>
      <c r="F64" s="63">
        <f>MEDIAN(MarketShare29[Home-based])</f>
        <v>7.2550801854803892E-2</v>
      </c>
      <c r="G64" s="63">
        <f>MEDIAN(MarketShare29[Playcentre])</f>
        <v>7.0127842889148556E-2</v>
      </c>
      <c r="J64" s="18"/>
      <c r="K64" s="6" t="s">
        <v>341</v>
      </c>
      <c r="P64" s="61"/>
    </row>
    <row r="65" spans="2:16" outlineLevel="1">
      <c r="B65" s="66" t="s">
        <v>245</v>
      </c>
      <c r="C65" s="63">
        <f>MAX(MarketShare29[Education &amp; Care])</f>
        <v>0.71509370382850779</v>
      </c>
      <c r="D65" s="63">
        <f>MAX(MarketShare29[Kindergarten])</f>
        <v>0.29795284058123067</v>
      </c>
      <c r="E65" s="63">
        <f>MAX(MarketShare29[Te Kōhanga Reo*])</f>
        <v>7.234017679113057E-2</v>
      </c>
      <c r="F65" s="63">
        <f>MAX(MarketShare29[Home-based])</f>
        <v>0.10309874451321605</v>
      </c>
      <c r="G65" s="63">
        <f>MAX(MarketShare29[Playcentre])</f>
        <v>0.10267135165327636</v>
      </c>
      <c r="J65" s="18"/>
      <c r="K65" s="1" t="s">
        <v>342</v>
      </c>
      <c r="L65" s="23" t="s">
        <v>293</v>
      </c>
      <c r="M65" s="23" t="s">
        <v>305</v>
      </c>
      <c r="N65" s="23" t="s">
        <v>343</v>
      </c>
      <c r="O65" s="64" t="s">
        <v>376</v>
      </c>
      <c r="P65" s="23" t="s">
        <v>298</v>
      </c>
    </row>
    <row r="66" spans="2:16" outlineLevel="1">
      <c r="B66" s="66" t="s">
        <v>271</v>
      </c>
      <c r="C66" s="63">
        <f>C65-C62</f>
        <v>0.25245560605430944</v>
      </c>
      <c r="D66" s="63">
        <f t="shared" ref="D66:E66" si="29">D65-D62</f>
        <v>0.15964576459747551</v>
      </c>
      <c r="E66" s="63">
        <f t="shared" si="29"/>
        <v>3.0654891450318952E-2</v>
      </c>
      <c r="F66" s="63">
        <f t="shared" ref="F66:G66" si="30">F65-F62</f>
        <v>5.3315183508524371E-2</v>
      </c>
      <c r="G66" s="63">
        <f t="shared" si="30"/>
        <v>5.9235119068746969E-2</v>
      </c>
      <c r="J66" s="18"/>
      <c r="K66" t="s">
        <v>344</v>
      </c>
      <c r="L66" s="57">
        <f>1/5</f>
        <v>0.2</v>
      </c>
      <c r="M66" s="57">
        <f>1/5</f>
        <v>0.2</v>
      </c>
      <c r="N66" s="57">
        <f>1/4</f>
        <v>0.25</v>
      </c>
      <c r="O66" s="68">
        <f>1/4</f>
        <v>0.25</v>
      </c>
      <c r="P66" s="81">
        <v>0.2</v>
      </c>
    </row>
    <row r="67" spans="2:16" outlineLevel="1">
      <c r="B67" s="67" t="s">
        <v>345</v>
      </c>
      <c r="J67" s="18"/>
      <c r="K67" t="s">
        <v>346</v>
      </c>
      <c r="L67" s="57">
        <f>1/10</f>
        <v>0.1</v>
      </c>
      <c r="M67" s="57">
        <f>1/10</f>
        <v>0.1</v>
      </c>
      <c r="N67" s="57">
        <f>1/6</f>
        <v>0.16666666666666666</v>
      </c>
      <c r="O67" s="68">
        <f>1/4</f>
        <v>0.25</v>
      </c>
      <c r="P67" s="81">
        <v>0.2</v>
      </c>
    </row>
    <row r="68" spans="2:16" outlineLevel="1">
      <c r="B68" s="66" t="s">
        <v>242</v>
      </c>
      <c r="C68" s="63">
        <f>MIN(C20:C29)</f>
        <v>0.64206272468079828</v>
      </c>
      <c r="D68" s="63">
        <f t="shared" ref="D68:E68" si="31">MIN(D20:D29)</f>
        <v>0.13830707598375516</v>
      </c>
      <c r="E68" s="63">
        <f t="shared" si="31"/>
        <v>4.1685285340811618E-2</v>
      </c>
      <c r="F68" s="63">
        <f t="shared" ref="F68:G68" si="32">MIN(F20:F29)</f>
        <v>4.9783561004691675E-2</v>
      </c>
      <c r="G68" s="63">
        <f t="shared" si="32"/>
        <v>4.3436232584529388E-2</v>
      </c>
      <c r="J68" s="18"/>
      <c r="K68" t="s">
        <v>347</v>
      </c>
      <c r="L68" s="68">
        <f>1/4.02</f>
        <v>0.24875621890547267</v>
      </c>
      <c r="M68" s="68">
        <f>1/4.49</f>
        <v>0.22271714922048996</v>
      </c>
      <c r="N68" s="68"/>
      <c r="O68" s="68"/>
      <c r="P68" s="81"/>
    </row>
    <row r="69" spans="2:16" outlineLevel="1">
      <c r="B69" s="66" t="s">
        <v>243</v>
      </c>
      <c r="C69" s="63">
        <f>AVERAGE(C20:C29)</f>
        <v>0.68766034566319467</v>
      </c>
      <c r="D69" s="63">
        <f t="shared" ref="D69:E69" si="33">AVERAGE(D20:D29)</f>
        <v>0.14341857678051051</v>
      </c>
      <c r="E69" s="63">
        <f t="shared" si="33"/>
        <v>4.2902135653621394E-2</v>
      </c>
      <c r="F69" s="63">
        <f t="shared" ref="F69:G69" si="34">AVERAGE(F20:F29)</f>
        <v>7.2962096350894692E-2</v>
      </c>
      <c r="G69" s="63">
        <f t="shared" si="34"/>
        <v>5.1324378136468438E-2</v>
      </c>
      <c r="J69" s="18"/>
      <c r="K69" t="s">
        <v>348</v>
      </c>
      <c r="L69" s="68">
        <f>1/5.17</f>
        <v>0.19342359767891684</v>
      </c>
      <c r="M69" s="68">
        <f>1/5.73</f>
        <v>0.17452006980802792</v>
      </c>
      <c r="N69" s="68"/>
      <c r="O69" s="68"/>
      <c r="P69" s="81"/>
    </row>
    <row r="70" spans="2:16" outlineLevel="1">
      <c r="B70" s="66" t="s">
        <v>244</v>
      </c>
      <c r="C70" s="63">
        <f>MEDIAN(C20:C29)</f>
        <v>0.69143319384391466</v>
      </c>
      <c r="D70" s="63">
        <f t="shared" ref="D70:E70" si="35">MEDIAN(D20:D29)</f>
        <v>0.14215324069740998</v>
      </c>
      <c r="E70" s="63">
        <f t="shared" si="35"/>
        <v>4.2742999009533267E-2</v>
      </c>
      <c r="F70" s="63">
        <f t="shared" ref="F70:G70" si="36">MEDIAN(F20:F29)</f>
        <v>7.5101868658918713E-2</v>
      </c>
      <c r="G70" s="63">
        <f t="shared" si="36"/>
        <v>4.8637968305150402E-2</v>
      </c>
      <c r="J70" s="18"/>
      <c r="K70" t="s">
        <v>349</v>
      </c>
      <c r="L70" s="68">
        <f>1/6.08</f>
        <v>0.16447368421052633</v>
      </c>
      <c r="M70" s="68">
        <f>1/6.87</f>
        <v>0.14556040756914118</v>
      </c>
      <c r="N70" s="68"/>
      <c r="O70" s="68"/>
      <c r="P70" s="81"/>
    </row>
    <row r="71" spans="2:16" outlineLevel="1">
      <c r="B71" s="66" t="s">
        <v>245</v>
      </c>
      <c r="C71" s="63">
        <f>MAX(C20:C29)</f>
        <v>0.71509370382850779</v>
      </c>
      <c r="D71" s="63">
        <f t="shared" ref="D71:E71" si="37">MAX(D20:D29)</f>
        <v>0.1528796330730135</v>
      </c>
      <c r="E71" s="63">
        <f t="shared" si="37"/>
        <v>4.3782965936074981E-2</v>
      </c>
      <c r="F71" s="63">
        <f t="shared" ref="F71:G71" si="38">MAX(F20:F29)</f>
        <v>9.3308540969381432E-2</v>
      </c>
      <c r="G71" s="63">
        <f t="shared" si="38"/>
        <v>6.6949299615718355E-2</v>
      </c>
      <c r="J71" s="18"/>
      <c r="P71" s="61"/>
    </row>
    <row r="72" spans="2:16" outlineLevel="1">
      <c r="B72" s="66" t="s">
        <v>271</v>
      </c>
      <c r="C72" s="63">
        <f>C71-C68</f>
        <v>7.3030979147709507E-2</v>
      </c>
      <c r="D72" s="63">
        <f t="shared" ref="D72:E72" si="39">D71-D68</f>
        <v>1.4572557089258337E-2</v>
      </c>
      <c r="E72" s="63">
        <f t="shared" si="39"/>
        <v>2.097680595263364E-3</v>
      </c>
      <c r="F72" s="63">
        <f t="shared" ref="F72:G72" si="40">F71-F68</f>
        <v>4.3524979964689757E-2</v>
      </c>
      <c r="G72" s="63">
        <f t="shared" si="40"/>
        <v>2.3513067031188967E-2</v>
      </c>
      <c r="J72" s="18"/>
      <c r="K72" s="6" t="s">
        <v>350</v>
      </c>
      <c r="P72" s="61"/>
    </row>
    <row r="73" spans="2:16" outlineLevel="1">
      <c r="B73" s="67" t="s">
        <v>351</v>
      </c>
      <c r="J73" s="18"/>
      <c r="K73" s="69" t="s">
        <v>342</v>
      </c>
      <c r="L73" s="70" t="s">
        <v>293</v>
      </c>
      <c r="M73" s="70" t="s">
        <v>305</v>
      </c>
      <c r="N73" s="70" t="s">
        <v>343</v>
      </c>
      <c r="O73" s="85" t="s">
        <v>376</v>
      </c>
      <c r="P73" s="70" t="s">
        <v>298</v>
      </c>
    </row>
    <row r="74" spans="2:16" outlineLevel="1">
      <c r="B74" s="66" t="s">
        <v>242</v>
      </c>
      <c r="C74" s="63">
        <f>MIN(C25:C29)</f>
        <v>0.69513654550403958</v>
      </c>
      <c r="D74" s="63">
        <f t="shared" ref="D74:E74" si="41">MIN(D25:D29)</f>
        <v>0.13830707598375516</v>
      </c>
      <c r="E74" s="63">
        <f t="shared" si="41"/>
        <v>4.1685285340811618E-2</v>
      </c>
      <c r="F74" s="63">
        <f t="shared" ref="F74:G74" si="42">MIN(F25:F29)</f>
        <v>4.9783561004691675E-2</v>
      </c>
      <c r="G74" s="63">
        <f t="shared" si="42"/>
        <v>4.6023375378155429E-2</v>
      </c>
      <c r="J74" s="18"/>
      <c r="K74" s="68" t="s">
        <v>352</v>
      </c>
      <c r="L74" s="71">
        <f>SUM('Source-age_x_service'!H7:I10)/SUM('Source-age_x_service'!N7:N10)</f>
        <v>0.20983864431920643</v>
      </c>
      <c r="M74" s="71">
        <f>SUM('Source-age_x_service'!V7:W10)/SUM('Source-age_x_service'!AB7:AB10)</f>
        <v>1.2647467549747198E-2</v>
      </c>
      <c r="N74" s="71">
        <f>SUM('Source-age_x_service'!AC7:AD10)/SUM('Source-age_x_service'!AH7:AH10)</f>
        <v>0.2536810848868889</v>
      </c>
      <c r="O74" s="84">
        <f>SUM('Source-age_x_service'!O7:P10)/SUM('Source-age_x_service'!U7:U10)</f>
        <v>0.33987350187088072</v>
      </c>
      <c r="P74" s="84">
        <f>SUM('Source-age_x_service'!AI7:AJ10)/SUM('Source-age_x_service'!AO7:AO10)</f>
        <v>0.50417738520727573</v>
      </c>
    </row>
    <row r="75" spans="2:16" outlineLevel="1">
      <c r="B75" s="66" t="s">
        <v>243</v>
      </c>
      <c r="C75" s="63">
        <f>AVERAGE(C25:C29)</f>
        <v>0.70867337457934654</v>
      </c>
      <c r="D75" s="63">
        <f t="shared" ref="D75:E75" si="43">AVERAGE(D25:D29)</f>
        <v>0.14065111283980897</v>
      </c>
      <c r="E75" s="63">
        <f t="shared" si="43"/>
        <v>4.2962272083655537E-2</v>
      </c>
      <c r="F75" s="63">
        <f t="shared" ref="F75:G75" si="44">AVERAGE(F25:F29)</f>
        <v>5.7788292308354736E-2</v>
      </c>
      <c r="G75" s="63">
        <f t="shared" si="44"/>
        <v>4.8219182743701502E-2</v>
      </c>
      <c r="J75" s="18"/>
      <c r="K75" s="68" t="s">
        <v>353</v>
      </c>
      <c r="L75" s="71">
        <f>SUM('Source-age_x_service'!J7:J10)/SUM('Source-age_x_service'!N7:N10)</f>
        <v>0.23087873128469985</v>
      </c>
      <c r="M75" s="71">
        <f>SUM('Source-age_x_service'!X7:X10)/SUM('Source-age_x_service'!AB7:AB10)</f>
        <v>0.14979598474320688</v>
      </c>
      <c r="N75" s="71">
        <f>SUM('Source-age_x_service'!AE7:AE10)/SUM('Source-age_x_service'!AH7:AH10)</f>
        <v>0.26121162028958889</v>
      </c>
      <c r="O75" s="84">
        <f>SUM('Source-age_x_service'!Q7:Q10)/SUM('Source-age_x_service'!U7:U10)</f>
        <v>0.249197515622329</v>
      </c>
      <c r="P75" s="84">
        <f>SUM('Source-age_x_service'!AK7:AK10)/SUM('Source-age_x_service'!AO7:AO10)</f>
        <v>0.20051448994923396</v>
      </c>
    </row>
    <row r="76" spans="2:16" outlineLevel="1">
      <c r="B76" s="66" t="s">
        <v>244</v>
      </c>
      <c r="C76" s="63">
        <f>MEDIAN(C25:C29)</f>
        <v>0.71228375324174853</v>
      </c>
      <c r="D76" s="63">
        <f t="shared" ref="D76:E76" si="45">MEDIAN(D25:D29)</f>
        <v>0.14137492435043952</v>
      </c>
      <c r="E76" s="63">
        <f t="shared" si="45"/>
        <v>4.3157935340243453E-2</v>
      </c>
      <c r="F76" s="63">
        <f t="shared" ref="F76:G76" si="46">MEDIAN(F25:F29)</f>
        <v>5.4753002197619069E-2</v>
      </c>
      <c r="G76" s="63">
        <f t="shared" si="46"/>
        <v>4.8748606959474236E-2</v>
      </c>
      <c r="J76" s="18"/>
      <c r="K76" s="68" t="s">
        <v>354</v>
      </c>
      <c r="L76" s="71">
        <f>SUM('Source-age_x_service'!K7:L10)/SUM('Source-age_x_service'!N7:N10)</f>
        <v>0.54245474160811402</v>
      </c>
      <c r="M76" s="71">
        <f>SUM('Source-age_x_service'!Y7:Z10)/SUM('Source-age_x_service'!AB7:AB10)</f>
        <v>0.81230596375033259</v>
      </c>
      <c r="N76" s="71">
        <f>SUM('Source-age_x_service'!AF7:AG10)/SUM('Source-age_x_service'!AH7:AH10)</f>
        <v>0.48510729482352222</v>
      </c>
      <c r="O76" s="84">
        <f>SUM('Source-age_x_service'!R7:S10)/SUM('Source-age_x_service'!U7:U10)</f>
        <v>0.39527816292807083</v>
      </c>
      <c r="P76" s="84">
        <f>SUM('Source-age_x_service'!AL7:AM10)/SUM('Source-age_x_service'!AO7:AO10)</f>
        <v>0.2803287272065017</v>
      </c>
    </row>
    <row r="77" spans="2:16" outlineLevel="1">
      <c r="B77" s="66" t="s">
        <v>245</v>
      </c>
      <c r="C77" s="63">
        <f>MAX(C25:C29)</f>
        <v>0.71509370382850779</v>
      </c>
      <c r="D77" s="63">
        <f t="shared" ref="D77:E77" si="47">MAX(D25:D29)</f>
        <v>0.14235205681847637</v>
      </c>
      <c r="E77" s="63">
        <f t="shared" si="47"/>
        <v>4.3656207366984993E-2</v>
      </c>
      <c r="F77" s="63">
        <f t="shared" ref="F77:G77" si="48">MAX(F25:F29)</f>
        <v>7.1285125091809329E-2</v>
      </c>
      <c r="G77" s="63">
        <f t="shared" si="48"/>
        <v>4.9197750071282305E-2</v>
      </c>
      <c r="J77" s="18"/>
      <c r="K77" s="68" t="s">
        <v>355</v>
      </c>
      <c r="L77" s="71">
        <f>SUM('Source-age_x_service'!M7:M10)/SUM('Source-age_x_service'!N7:N10)</f>
        <v>1.6827882787979743E-2</v>
      </c>
      <c r="M77" s="71">
        <f>SUM('Source-age_x_service'!AA7:AA10)/SUM('Source-age_x_service'!AB7:AB10)</f>
        <v>2.5250583956713285E-2</v>
      </c>
      <c r="N77" s="71"/>
      <c r="O77" s="84">
        <f>SUM('Source-age_x_service'!T7:T10)/SUM('Source-age_x_service'!U7:U10)</f>
        <v>1.5650819578719444E-2</v>
      </c>
      <c r="P77" s="84">
        <f>SUM('Source-age_x_service'!AN7:AN10)/SUM('Source-age_x_service'!AO7:AO10)</f>
        <v>1.4979397636988641E-2</v>
      </c>
    </row>
    <row r="78" spans="2:16" outlineLevel="1">
      <c r="B78" s="66" t="s">
        <v>271</v>
      </c>
      <c r="C78" s="63">
        <f>C77-C74</f>
        <v>1.9957158324468205E-2</v>
      </c>
      <c r="D78" s="63">
        <f t="shared" ref="D78:E78" si="49">D77-D74</f>
        <v>4.0449808347212124E-3</v>
      </c>
      <c r="E78" s="63">
        <f t="shared" si="49"/>
        <v>1.9709220261733759E-3</v>
      </c>
      <c r="F78" s="63">
        <f t="shared" ref="F78:G78" si="50">F77-F74</f>
        <v>2.1501564087117654E-2</v>
      </c>
      <c r="G78" s="63">
        <f t="shared" si="50"/>
        <v>3.174374693126876E-3</v>
      </c>
      <c r="J78" s="18"/>
      <c r="K78" s="68" t="s">
        <v>238</v>
      </c>
      <c r="L78" s="84">
        <f t="shared" ref="L78:O78" si="51">SUM(L74:L77)</f>
        <v>1</v>
      </c>
      <c r="M78" s="84">
        <f t="shared" si="51"/>
        <v>1</v>
      </c>
      <c r="N78" s="84">
        <f t="shared" si="51"/>
        <v>1</v>
      </c>
      <c r="O78" s="84">
        <f t="shared" si="51"/>
        <v>1</v>
      </c>
      <c r="P78" s="84">
        <f>SUM(P74:P77)</f>
        <v>1</v>
      </c>
    </row>
    <row r="79" spans="2:16">
      <c r="J79" s="18"/>
    </row>
    <row r="80" spans="2:16">
      <c r="J80" s="18"/>
    </row>
    <row r="81" spans="1:40">
      <c r="J81" s="18"/>
    </row>
    <row r="82" spans="1:40">
      <c r="A82" s="96" t="s">
        <v>356</v>
      </c>
      <c r="B82" s="20"/>
      <c r="C82" s="97"/>
      <c r="D82" s="97"/>
      <c r="E82" s="97"/>
      <c r="F82" s="97"/>
      <c r="G82" s="97"/>
      <c r="H82" s="97"/>
      <c r="I82" s="20"/>
      <c r="J82" s="99" t="s">
        <v>357</v>
      </c>
      <c r="K82" s="20"/>
      <c r="L82" s="20"/>
      <c r="M82" s="20"/>
      <c r="N82" s="20"/>
      <c r="O82" s="20"/>
      <c r="P82" s="20"/>
      <c r="Q82" s="20"/>
      <c r="R82" s="20"/>
      <c r="S82" s="20"/>
      <c r="T82" s="20"/>
      <c r="U82" s="20"/>
      <c r="V82" s="20"/>
      <c r="W82" s="20"/>
      <c r="X82" s="99" t="s">
        <v>378</v>
      </c>
      <c r="Y82" s="20"/>
      <c r="Z82" s="20"/>
      <c r="AA82" s="20"/>
      <c r="AB82" s="20"/>
      <c r="AC82" s="20"/>
      <c r="AD82" s="20"/>
      <c r="AE82" s="20"/>
      <c r="AG82" s="6" t="s">
        <v>379</v>
      </c>
    </row>
    <row r="83" spans="1:40" ht="29.1" outlineLevel="1">
      <c r="B83" s="1" t="s">
        <v>231</v>
      </c>
      <c r="C83" s="59" t="s">
        <v>293</v>
      </c>
      <c r="D83" s="59" t="s">
        <v>305</v>
      </c>
      <c r="E83" s="59" t="s">
        <v>299</v>
      </c>
      <c r="F83" s="82" t="s">
        <v>376</v>
      </c>
      <c r="G83" s="59" t="s">
        <v>298</v>
      </c>
      <c r="H83" s="23" t="s">
        <v>238</v>
      </c>
      <c r="J83" s="18"/>
      <c r="K83" s="1" t="s">
        <v>231</v>
      </c>
      <c r="L83" s="15" t="s">
        <v>360</v>
      </c>
      <c r="M83" s="15" t="s">
        <v>361</v>
      </c>
      <c r="N83" s="15" t="s">
        <v>362</v>
      </c>
      <c r="O83" s="15" t="s">
        <v>363</v>
      </c>
      <c r="P83" s="15" t="s">
        <v>364</v>
      </c>
      <c r="Q83" s="15" t="s">
        <v>365</v>
      </c>
      <c r="R83" s="15" t="s">
        <v>380</v>
      </c>
      <c r="S83" s="15" t="s">
        <v>381</v>
      </c>
      <c r="T83" s="86" t="s">
        <v>376</v>
      </c>
      <c r="U83" s="15" t="s">
        <v>298</v>
      </c>
      <c r="V83" s="15" t="s">
        <v>366</v>
      </c>
      <c r="X83" s="18"/>
      <c r="Y83" s="1" t="s">
        <v>231</v>
      </c>
      <c r="Z83" s="15" t="s">
        <v>293</v>
      </c>
      <c r="AA83" s="15" t="s">
        <v>305</v>
      </c>
      <c r="AB83" s="15" t="s">
        <v>299</v>
      </c>
      <c r="AC83" s="86" t="s">
        <v>376</v>
      </c>
      <c r="AD83" s="15" t="s">
        <v>298</v>
      </c>
      <c r="AE83" s="15" t="s">
        <v>366</v>
      </c>
      <c r="AH83" s="1" t="s">
        <v>231</v>
      </c>
      <c r="AI83" s="15" t="s">
        <v>293</v>
      </c>
      <c r="AJ83" s="15" t="s">
        <v>305</v>
      </c>
      <c r="AK83" s="15" t="s">
        <v>299</v>
      </c>
      <c r="AL83" s="86" t="s">
        <v>376</v>
      </c>
      <c r="AM83" s="15" t="s">
        <v>298</v>
      </c>
      <c r="AN83" s="15" t="s">
        <v>366</v>
      </c>
    </row>
    <row r="84" spans="1:40" outlineLevel="1">
      <c r="B84" s="1">
        <v>2025</v>
      </c>
      <c r="C84" s="73">
        <f>MROUND(('T15'!$Q15*C$75),5)</f>
        <v>126545</v>
      </c>
      <c r="D84" s="73">
        <f>MROUND(('T15'!$Q15*D$75),5)</f>
        <v>25115</v>
      </c>
      <c r="E84" s="73">
        <f>MROUND(('T15'!$Q15*E$75),5)</f>
        <v>7670</v>
      </c>
      <c r="F84" s="73">
        <f>MROUND(('T15'!$Q15*F$75),5)</f>
        <v>10320</v>
      </c>
      <c r="G84" s="73">
        <f>MROUND(('T15'!$Q15*G$75),5)</f>
        <v>8610</v>
      </c>
      <c r="H84" s="56">
        <f>SUM(C84:G84)</f>
        <v>178260</v>
      </c>
      <c r="J84" s="18"/>
      <c r="K84" s="1">
        <v>2025</v>
      </c>
      <c r="L84" s="56">
        <f>MROUND(((CentreBasedHeadcountEnrolmentsLow32[[#This Row],[Education &amp; Care]]*L$74)*L$68)*'Source-fte_qualstus_x_servtype'!J32,5)</f>
        <v>5625</v>
      </c>
      <c r="M84" s="56">
        <f>MROUND(((CentreBasedHeadcountEnrolmentsLow32[[#This Row],[Education &amp; Care]]*L$75)*L$69)*'Source-fte_qualstus_x_servtype'!J32,5)</f>
        <v>4815</v>
      </c>
      <c r="N84" s="56">
        <f>MROUND(((CentreBasedHeadcountEnrolmentsLow32[[#This Row],[Education &amp; Care]]*SUM(L$76:L$77))*L$70)*'Source-fte_qualstus_x_servtype'!J32,5)</f>
        <v>9915</v>
      </c>
      <c r="O84" s="56">
        <f>MROUND(((CentreBasedHeadcountEnrolmentsLow32[[#This Row],[Kindergarten]]*M$74)*M$68)*'Source-fte_qualstus_x_servtype'!J32,5)</f>
        <v>60</v>
      </c>
      <c r="P84" s="56">
        <f>MROUND(((CentreBasedHeadcountEnrolmentsLow32[[#This Row],[Kindergarten]]*M$75)*M$69)*'Source-fte_qualstus_x_servtype'!J32,5)</f>
        <v>560</v>
      </c>
      <c r="Q84" s="56">
        <f>MROUND(((CentreBasedHeadcountEnrolmentsLow32[[#This Row],[Kindergarten]]*SUM(M$76:M$77))*M$70)*'Source-fte_qualstus_x_servtype'!J32,5)</f>
        <v>2610</v>
      </c>
      <c r="R84" s="56">
        <f>MROUND(((CentreBasedHeadcountEnrolmentsLow32[[#This Row],[Kōhanga Reo]]*SUM(N$74))*N$66)*'Source-fte_qualstus_x_servtype'!J32,5)</f>
        <v>415</v>
      </c>
      <c r="S84" s="56">
        <f>MROUND(((CentreBasedHeadcountEnrolmentsLow32[[#This Row],[Kōhanga Reo]]*SUM(N$75:N$77))*N$67)*'Source-fte_qualstus_x_servtype'!J32,5)</f>
        <v>810</v>
      </c>
      <c r="T84" s="56">
        <f>MROUND(((CentreBasedHeadcountEnrolmentsLow32[[#This Row],[Home-based]]*SUM(O$78))*O$67)*'Source-fte_qualstus_x_servtype'!J32,5)</f>
        <v>2195</v>
      </c>
      <c r="U84" s="56">
        <f>MROUND(((CentreBasedHeadcountEnrolmentsLow32[[#This Row],[Playcentre]])*P$67)*0.5,5)</f>
        <v>860</v>
      </c>
      <c r="V84" s="56">
        <f>SUM(L84:U84)</f>
        <v>27865</v>
      </c>
      <c r="X84" s="18"/>
      <c r="Y84" s="1">
        <v>2025</v>
      </c>
      <c r="Z84" s="56">
        <f>MROUND(SUM(LowScenarioCentreBasedFTEDemand37[[#This Row],[Education &amp; Care (under 2s)]:[Education &amp; Care (3+)]])*U$62,5)</f>
        <v>13680</v>
      </c>
      <c r="AA84" s="56">
        <f>MROUND(SUM(LowScenarioCentreBasedFTEDemand37[[#This Row],[Kindergarten (Under 2s)]:[Kindergarten (3+)]])*T$61,5)</f>
        <v>3230</v>
      </c>
      <c r="AB84" s="56">
        <f>MROUND(SUM(LowScenarioCentreBasedFTEDemand37[[#This Row],[Kōhanga Reo (Under 2s)]:[Kōhanga Reo (2+)]])*U$62,5)</f>
        <v>825</v>
      </c>
      <c r="AC84" s="56">
        <f>MROUND(LowScenarioCentreBasedFTEDemand37[[#This Row],[Home-based]]*U$62,5)</f>
        <v>1475</v>
      </c>
      <c r="AD84" s="56">
        <f>MROUND(LowScenarioCentreBasedFTEDemand37[[#This Row],[Playcentre]]*U$62,5)</f>
        <v>580</v>
      </c>
      <c r="AE84" s="56">
        <f>SUM(Z84:AD84)</f>
        <v>19790</v>
      </c>
      <c r="AH84" s="1">
        <v>2025</v>
      </c>
      <c r="AI84" s="74">
        <f>SUM(LowScenarioCentreBasedFTEDemand37[[#This Row],[Education &amp; Care (under 2s)]:[Education &amp; Care (3+)]])-LowScenarioQualifedFTE41[[#This Row],[Education &amp; Care]]</f>
        <v>6675</v>
      </c>
      <c r="AJ84" s="74">
        <f>SUM(LowScenarioCentreBasedFTEDemand37[[#This Row],[Kindergarten (Under 2s)]:[Kindergarten (3+)]])-LowScenarioQualifedFTE41[[#This Row],[Kindergarten]]</f>
        <v>0</v>
      </c>
      <c r="AK84" s="74">
        <f>SUM(LowScenarioCentreBasedFTEDemand37[[#This Row],[Kōhanga Reo (Under 2s)]:[Kōhanga Reo (2+)]])-LowScenarioQualifedFTE41[[#This Row],[Kōhanga Reo]]</f>
        <v>400</v>
      </c>
      <c r="AL84" s="74">
        <f>LowScenarioCentreBasedFTEDemand37[[#This Row],[Home-based]]-LowScenarioQualifedFTE41[[#This Row],[Home-based]]</f>
        <v>720</v>
      </c>
      <c r="AM84" s="74">
        <f>LowScenarioCentreBasedFTEDemand37[[#This Row],[Playcentre]]-LowScenarioQualifedFTE41[[#This Row],[Playcentre]]</f>
        <v>280</v>
      </c>
      <c r="AN84" s="74">
        <f>SUM(AI84:AM84)</f>
        <v>8075</v>
      </c>
    </row>
    <row r="85" spans="1:40" outlineLevel="1">
      <c r="B85" s="1">
        <v>2026</v>
      </c>
      <c r="C85" s="73">
        <f>MROUND(('T15'!$Q16*C$75),5)</f>
        <v>123190</v>
      </c>
      <c r="D85" s="73">
        <f>MROUND(('T15'!$Q16*D$75),5)</f>
        <v>24450</v>
      </c>
      <c r="E85" s="73">
        <f>MROUND(('T15'!$Q16*E$75),5)</f>
        <v>7470</v>
      </c>
      <c r="F85" s="73">
        <f>MROUND(('T15'!$Q16*F$75),5)</f>
        <v>10045</v>
      </c>
      <c r="G85" s="73">
        <f>MROUND(('T15'!$Q16*G$75),5)</f>
        <v>8380</v>
      </c>
      <c r="H85" s="56">
        <f>SUM(C85:G85)</f>
        <v>173535</v>
      </c>
      <c r="J85" s="18"/>
      <c r="K85" s="1">
        <v>2026</v>
      </c>
      <c r="L85" s="56">
        <f>MROUND(((CentreBasedHeadcountEnrolmentsLow32[[#This Row],[Education &amp; Care]]*L$74)*L$68)*'Source-fte_qualstus_x_servtype'!J33,5)</f>
        <v>5500</v>
      </c>
      <c r="M85" s="56">
        <f>MROUND(((CentreBasedHeadcountEnrolmentsLow32[[#This Row],[Education &amp; Care]]*L$75)*L$69)*'Source-fte_qualstus_x_servtype'!J33,5)</f>
        <v>4705</v>
      </c>
      <c r="N85" s="56">
        <f>MROUND(((CentreBasedHeadcountEnrolmentsLow32[[#This Row],[Education &amp; Care]]*SUM(L$76:L$77))*L$70)*'Source-fte_qualstus_x_servtype'!J33,5)</f>
        <v>9695</v>
      </c>
      <c r="O85" s="56">
        <f>MROUND(((CentreBasedHeadcountEnrolmentsLow32[[#This Row],[Kindergarten]]*M$74)*M$68)*'Source-fte_qualstus_x_servtype'!J33,5)</f>
        <v>60</v>
      </c>
      <c r="P85" s="56">
        <f>MROUND(((CentreBasedHeadcountEnrolmentsLow32[[#This Row],[Kindergarten]]*M$75)*M$69)*'Source-fte_qualstus_x_servtype'!J33,5)</f>
        <v>545</v>
      </c>
      <c r="Q85" s="56">
        <f>MROUND(((CentreBasedHeadcountEnrolmentsLow32[[#This Row],[Kindergarten]]*SUM(M$76:M$77))*M$70)*'Source-fte_qualstus_x_servtype'!J33,5)</f>
        <v>2550</v>
      </c>
      <c r="R85" s="56">
        <f>MROUND(((CentreBasedHeadcountEnrolmentsLow32[[#This Row],[Kōhanga Reo]]*SUM(N$74))*N$66)*'Source-fte_qualstus_x_servtype'!J33,5)</f>
        <v>405</v>
      </c>
      <c r="S85" s="56">
        <f>MROUND(((CentreBasedHeadcountEnrolmentsLow32[[#This Row],[Kōhanga Reo]]*SUM(N$75:N$77))*N$67)*'Source-fte_qualstus_x_servtype'!J33,5)</f>
        <v>795</v>
      </c>
      <c r="T85" s="56">
        <f>MROUND(((CentreBasedHeadcountEnrolmentsLow32[[#This Row],[Home-based]]*SUM(O$78))*O$67)*'Source-fte_qualstus_x_servtype'!J33,5)</f>
        <v>2150</v>
      </c>
      <c r="U85" s="56">
        <f>MROUND(((CentreBasedHeadcountEnrolmentsLow32[[#This Row],[Playcentre]])*P$67)*0.5,5)</f>
        <v>840</v>
      </c>
      <c r="V85" s="56">
        <f t="shared" ref="V85:V94" si="52">SUM(L85:U85)</f>
        <v>27245</v>
      </c>
      <c r="X85" s="18"/>
      <c r="Y85" s="1">
        <v>2026</v>
      </c>
      <c r="Z85" s="56">
        <f>MROUND(SUM(LowScenarioCentreBasedFTEDemand37[[#This Row],[Education &amp; Care (under 2s)]:[Education &amp; Care (3+)]])*U$62,5)</f>
        <v>13370</v>
      </c>
      <c r="AA85" s="56">
        <f>MROUND(SUM(LowScenarioCentreBasedFTEDemand37[[#This Row],[Kindergarten (Under 2s)]:[Kindergarten (3+)]])*T$61,5)</f>
        <v>3155</v>
      </c>
      <c r="AB85" s="56">
        <f>MROUND(SUM(LowScenarioCentreBasedFTEDemand37[[#This Row],[Kōhanga Reo (Under 2s)]:[Kōhanga Reo (2+)]])*U$62,5)</f>
        <v>805</v>
      </c>
      <c r="AC85" s="56">
        <f>MROUND(LowScenarioCentreBasedFTEDemand37[[#This Row],[Home-based]]*U$62,5)</f>
        <v>1445</v>
      </c>
      <c r="AD85" s="56">
        <f>MROUND(LowScenarioCentreBasedFTEDemand37[[#This Row],[Playcentre]]*U$62,5)</f>
        <v>565</v>
      </c>
      <c r="AE85" s="56">
        <f t="shared" ref="AE85:AE94" si="53">SUM(Z85:AD85)</f>
        <v>19340</v>
      </c>
      <c r="AH85" s="1">
        <v>2026</v>
      </c>
      <c r="AI85" s="74">
        <f>SUM(LowScenarioCentreBasedFTEDemand37[[#This Row],[Education &amp; Care (under 2s)]:[Education &amp; Care (3+)]])-LowScenarioQualifedFTE41[[#This Row],[Education &amp; Care]]</f>
        <v>6530</v>
      </c>
      <c r="AJ85" s="74">
        <f>SUM(LowScenarioCentreBasedFTEDemand37[[#This Row],[Kindergarten (Under 2s)]:[Kindergarten (3+)]])-LowScenarioQualifedFTE41[[#This Row],[Kindergarten]]</f>
        <v>0</v>
      </c>
      <c r="AK85" s="74">
        <f>SUM(LowScenarioCentreBasedFTEDemand37[[#This Row],[Kōhanga Reo (Under 2s)]:[Kōhanga Reo (2+)]])-LowScenarioQualifedFTE41[[#This Row],[Kōhanga Reo]]</f>
        <v>395</v>
      </c>
      <c r="AL85" s="74">
        <f>LowScenarioCentreBasedFTEDemand37[[#This Row],[Home-based]]-LowScenarioQualifedFTE41[[#This Row],[Home-based]]</f>
        <v>705</v>
      </c>
      <c r="AM85" s="74">
        <f>LowScenarioCentreBasedFTEDemand37[[#This Row],[Playcentre]]-LowScenarioQualifedFTE41[[#This Row],[Playcentre]]</f>
        <v>275</v>
      </c>
      <c r="AN85" s="74">
        <f t="shared" ref="AN85:AN94" si="54">SUM(AI85:AM85)</f>
        <v>7905</v>
      </c>
    </row>
    <row r="86" spans="1:40" outlineLevel="1">
      <c r="B86" s="1">
        <v>2027</v>
      </c>
      <c r="C86" s="73">
        <f>MROUND(('T15'!$Q17*C$75),5)</f>
        <v>120065</v>
      </c>
      <c r="D86" s="73">
        <f>MROUND(('T15'!$Q17*D$75),5)</f>
        <v>23830</v>
      </c>
      <c r="E86" s="73">
        <f>MROUND(('T15'!$Q17*E$75),5)</f>
        <v>7280</v>
      </c>
      <c r="F86" s="73">
        <f>MROUND(('T15'!$Q17*F$75),5)</f>
        <v>9790</v>
      </c>
      <c r="G86" s="73">
        <f>MROUND(('T15'!$Q17*G$75),5)</f>
        <v>8170</v>
      </c>
      <c r="H86" s="56">
        <f t="shared" ref="H86:H94" si="55">SUM(C86:G86)</f>
        <v>169135</v>
      </c>
      <c r="J86" s="18"/>
      <c r="K86" s="1">
        <v>2027</v>
      </c>
      <c r="L86" s="56">
        <f>MROUND(((CentreBasedHeadcountEnrolmentsLow32[[#This Row],[Education &amp; Care]]*L$74)*L$68)*'Source-fte_qualstus_x_servtype'!J34,5)</f>
        <v>5385</v>
      </c>
      <c r="M86" s="56">
        <f>MROUND(((CentreBasedHeadcountEnrolmentsLow32[[#This Row],[Education &amp; Care]]*L$75)*L$69)*'Source-fte_qualstus_x_servtype'!J34,5)</f>
        <v>4605</v>
      </c>
      <c r="N86" s="56">
        <f>MROUND(((CentreBasedHeadcountEnrolmentsLow32[[#This Row],[Education &amp; Care]]*SUM(L$76:L$77))*L$70)*'Source-fte_qualstus_x_servtype'!J34,5)</f>
        <v>9490</v>
      </c>
      <c r="O86" s="56">
        <f>MROUND(((CentreBasedHeadcountEnrolmentsLow32[[#This Row],[Kindergarten]]*M$74)*M$68)*'Source-fte_qualstus_x_servtype'!J34,5)</f>
        <v>60</v>
      </c>
      <c r="P86" s="56">
        <f>MROUND(((CentreBasedHeadcountEnrolmentsLow32[[#This Row],[Kindergarten]]*M$75)*M$69)*'Source-fte_qualstus_x_servtype'!J34,5)</f>
        <v>535</v>
      </c>
      <c r="Q86" s="56">
        <f>MROUND(((CentreBasedHeadcountEnrolmentsLow32[[#This Row],[Kindergarten]]*SUM(M$76:M$77))*M$70)*'Source-fte_qualstus_x_servtype'!J34,5)</f>
        <v>2495</v>
      </c>
      <c r="R86" s="56">
        <f>MROUND(((CentreBasedHeadcountEnrolmentsLow32[[#This Row],[Kōhanga Reo]]*SUM(N$74))*N$66)*'Source-fte_qualstus_x_servtype'!J34,5)</f>
        <v>395</v>
      </c>
      <c r="S86" s="56">
        <f>MROUND(((CentreBasedHeadcountEnrolmentsLow32[[#This Row],[Kōhanga Reo]]*SUM(N$75:N$77))*N$67)*'Source-fte_qualstus_x_servtype'!J34,5)</f>
        <v>780</v>
      </c>
      <c r="T86" s="56">
        <f>MROUND(((CentreBasedHeadcountEnrolmentsLow32[[#This Row],[Home-based]]*SUM(O$78))*O$67)*'Source-fte_qualstus_x_servtype'!J34,5)</f>
        <v>2105</v>
      </c>
      <c r="U86" s="56">
        <f>MROUND(((CentreBasedHeadcountEnrolmentsLow32[[#This Row],[Playcentre]])*P$67)*0.5,5)</f>
        <v>815</v>
      </c>
      <c r="V86" s="56">
        <f t="shared" si="52"/>
        <v>26665</v>
      </c>
      <c r="X86" s="18"/>
      <c r="Y86" s="1">
        <v>2027</v>
      </c>
      <c r="Z86" s="56">
        <f>MROUND(SUM(LowScenarioCentreBasedFTEDemand37[[#This Row],[Education &amp; Care (under 2s)]:[Education &amp; Care (3+)]])*U$62,5)</f>
        <v>13090</v>
      </c>
      <c r="AA86" s="56">
        <f>MROUND(SUM(LowScenarioCentreBasedFTEDemand37[[#This Row],[Kindergarten (Under 2s)]:[Kindergarten (3+)]])*T$61,5)</f>
        <v>3090</v>
      </c>
      <c r="AB86" s="56">
        <f>MROUND(SUM(LowScenarioCentreBasedFTEDemand37[[#This Row],[Kōhanga Reo (Under 2s)]:[Kōhanga Reo (2+)]])*U$62,5)</f>
        <v>790</v>
      </c>
      <c r="AC86" s="56">
        <f>MROUND(LowScenarioCentreBasedFTEDemand37[[#This Row],[Home-based]]*U$62,5)</f>
        <v>1415</v>
      </c>
      <c r="AD86" s="56">
        <f>MROUND(LowScenarioCentreBasedFTEDemand37[[#This Row],[Playcentre]]*U$62,5)</f>
        <v>550</v>
      </c>
      <c r="AE86" s="56">
        <f t="shared" si="53"/>
        <v>18935</v>
      </c>
      <c r="AH86" s="1">
        <v>2027</v>
      </c>
      <c r="AI86" s="74">
        <f>SUM(LowScenarioCentreBasedFTEDemand37[[#This Row],[Education &amp; Care (under 2s)]:[Education &amp; Care (3+)]])-LowScenarioQualifedFTE41[[#This Row],[Education &amp; Care]]</f>
        <v>6390</v>
      </c>
      <c r="AJ86" s="74">
        <f>SUM(LowScenarioCentreBasedFTEDemand37[[#This Row],[Kindergarten (Under 2s)]:[Kindergarten (3+)]])-LowScenarioQualifedFTE41[[#This Row],[Kindergarten]]</f>
        <v>0</v>
      </c>
      <c r="AK86" s="74">
        <f>SUM(LowScenarioCentreBasedFTEDemand37[[#This Row],[Kōhanga Reo (Under 2s)]:[Kōhanga Reo (2+)]])-LowScenarioQualifedFTE41[[#This Row],[Kōhanga Reo]]</f>
        <v>385</v>
      </c>
      <c r="AL86" s="74">
        <f>LowScenarioCentreBasedFTEDemand37[[#This Row],[Home-based]]-LowScenarioQualifedFTE41[[#This Row],[Home-based]]</f>
        <v>690</v>
      </c>
      <c r="AM86" s="74">
        <f>LowScenarioCentreBasedFTEDemand37[[#This Row],[Playcentre]]-LowScenarioQualifedFTE41[[#This Row],[Playcentre]]</f>
        <v>265</v>
      </c>
      <c r="AN86" s="74">
        <f t="shared" si="54"/>
        <v>7730</v>
      </c>
    </row>
    <row r="87" spans="1:40" outlineLevel="1">
      <c r="B87" s="1">
        <v>2028</v>
      </c>
      <c r="C87" s="73">
        <f>MROUND(('T15'!$Q18*C$75),5)</f>
        <v>119550</v>
      </c>
      <c r="D87" s="73">
        <f>MROUND(('T15'!$Q18*D$75),5)</f>
        <v>23725</v>
      </c>
      <c r="E87" s="73">
        <f>MROUND(('T15'!$Q18*E$75),5)</f>
        <v>7250</v>
      </c>
      <c r="F87" s="73">
        <f>MROUND(('T15'!$Q18*F$75),5)</f>
        <v>9750</v>
      </c>
      <c r="G87" s="73">
        <f>MROUND(('T15'!$Q18*G$75),5)</f>
        <v>8135</v>
      </c>
      <c r="H87" s="56">
        <f t="shared" si="55"/>
        <v>168410</v>
      </c>
      <c r="J87" s="18"/>
      <c r="K87" s="1">
        <v>2028</v>
      </c>
      <c r="L87" s="56">
        <f>MROUND(((CentreBasedHeadcountEnrolmentsLow32[[#This Row],[Education &amp; Care]]*L$74)*L$68)*'Source-fte_qualstus_x_servtype'!J35,5)</f>
        <v>5385</v>
      </c>
      <c r="M87" s="56">
        <f>MROUND(((CentreBasedHeadcountEnrolmentsLow32[[#This Row],[Education &amp; Care]]*L$75)*L$69)*'Source-fte_qualstus_x_servtype'!J35,5)</f>
        <v>4605</v>
      </c>
      <c r="N87" s="56">
        <f>MROUND(((CentreBasedHeadcountEnrolmentsLow32[[#This Row],[Education &amp; Care]]*SUM(L$76:L$77))*L$70)*'Source-fte_qualstus_x_servtype'!J35,5)</f>
        <v>9490</v>
      </c>
      <c r="O87" s="56">
        <f>MROUND(((CentreBasedHeadcountEnrolmentsLow32[[#This Row],[Kindergarten]]*M$74)*M$68)*'Source-fte_qualstus_x_servtype'!J35,5)</f>
        <v>60</v>
      </c>
      <c r="P87" s="56">
        <f>MROUND(((CentreBasedHeadcountEnrolmentsLow32[[#This Row],[Kindergarten]]*M$75)*M$69)*'Source-fte_qualstus_x_servtype'!J35,5)</f>
        <v>535</v>
      </c>
      <c r="Q87" s="56">
        <f>MROUND(((CentreBasedHeadcountEnrolmentsLow32[[#This Row],[Kindergarten]]*SUM(M$76:M$77))*M$70)*'Source-fte_qualstus_x_servtype'!J35,5)</f>
        <v>2495</v>
      </c>
      <c r="R87" s="56">
        <f>MROUND(((CentreBasedHeadcountEnrolmentsLow32[[#This Row],[Kōhanga Reo]]*SUM(N$74))*N$66)*'Source-fte_qualstus_x_servtype'!J35,5)</f>
        <v>395</v>
      </c>
      <c r="S87" s="56">
        <f>MROUND(((CentreBasedHeadcountEnrolmentsLow32[[#This Row],[Kōhanga Reo]]*SUM(N$75:N$77))*N$67)*'Source-fte_qualstus_x_servtype'!J35,5)</f>
        <v>780</v>
      </c>
      <c r="T87" s="56">
        <f>MROUND(((CentreBasedHeadcountEnrolmentsLow32[[#This Row],[Home-based]]*SUM(O$78))*O$67)*'Source-fte_qualstus_x_servtype'!J35,5)</f>
        <v>2105</v>
      </c>
      <c r="U87" s="56">
        <f>MROUND(((CentreBasedHeadcountEnrolmentsLow32[[#This Row],[Playcentre]])*P$67)*0.5,5)</f>
        <v>815</v>
      </c>
      <c r="V87" s="56">
        <f t="shared" si="52"/>
        <v>26665</v>
      </c>
      <c r="X87" s="18"/>
      <c r="Y87" s="1">
        <v>2028</v>
      </c>
      <c r="Z87" s="56">
        <f>MROUND(SUM(LowScenarioCentreBasedFTEDemand37[[#This Row],[Education &amp; Care (under 2s)]:[Education &amp; Care (3+)]])*U$62,5)</f>
        <v>13090</v>
      </c>
      <c r="AA87" s="56">
        <f>MROUND(SUM(LowScenarioCentreBasedFTEDemand37[[#This Row],[Kindergarten (Under 2s)]:[Kindergarten (3+)]])*T$61,5)</f>
        <v>3090</v>
      </c>
      <c r="AB87" s="56">
        <f>MROUND(SUM(LowScenarioCentreBasedFTEDemand37[[#This Row],[Kōhanga Reo (Under 2s)]:[Kōhanga Reo (2+)]])*U$62,5)</f>
        <v>790</v>
      </c>
      <c r="AC87" s="56">
        <f>MROUND(LowScenarioCentreBasedFTEDemand37[[#This Row],[Home-based]]*U$62,5)</f>
        <v>1415</v>
      </c>
      <c r="AD87" s="56">
        <f>MROUND(LowScenarioCentreBasedFTEDemand37[[#This Row],[Playcentre]]*U$62,5)</f>
        <v>550</v>
      </c>
      <c r="AE87" s="56">
        <f t="shared" si="53"/>
        <v>18935</v>
      </c>
      <c r="AH87" s="1">
        <v>2028</v>
      </c>
      <c r="AI87" s="74">
        <f>SUM(LowScenarioCentreBasedFTEDemand37[[#This Row],[Education &amp; Care (under 2s)]:[Education &amp; Care (3+)]])-LowScenarioQualifedFTE41[[#This Row],[Education &amp; Care]]</f>
        <v>6390</v>
      </c>
      <c r="AJ87" s="74">
        <f>SUM(LowScenarioCentreBasedFTEDemand37[[#This Row],[Kindergarten (Under 2s)]:[Kindergarten (3+)]])-LowScenarioQualifedFTE41[[#This Row],[Kindergarten]]</f>
        <v>0</v>
      </c>
      <c r="AK87" s="74">
        <f>SUM(LowScenarioCentreBasedFTEDemand37[[#This Row],[Kōhanga Reo (Under 2s)]:[Kōhanga Reo (2+)]])-LowScenarioQualifedFTE41[[#This Row],[Kōhanga Reo]]</f>
        <v>385</v>
      </c>
      <c r="AL87" s="74">
        <f>LowScenarioCentreBasedFTEDemand37[[#This Row],[Home-based]]-LowScenarioQualifedFTE41[[#This Row],[Home-based]]</f>
        <v>690</v>
      </c>
      <c r="AM87" s="74">
        <f>LowScenarioCentreBasedFTEDemand37[[#This Row],[Playcentre]]-LowScenarioQualifedFTE41[[#This Row],[Playcentre]]</f>
        <v>265</v>
      </c>
      <c r="AN87" s="74">
        <f t="shared" si="54"/>
        <v>7730</v>
      </c>
    </row>
    <row r="88" spans="1:40" outlineLevel="1">
      <c r="B88" s="1">
        <v>2029</v>
      </c>
      <c r="C88" s="73">
        <f>MROUND(('T15'!$Q19*C$75),5)</f>
        <v>119040</v>
      </c>
      <c r="D88" s="73">
        <f>MROUND(('T15'!$Q19*D$75),5)</f>
        <v>23625</v>
      </c>
      <c r="E88" s="73">
        <f>MROUND(('T15'!$Q19*E$75),5)</f>
        <v>7215</v>
      </c>
      <c r="F88" s="73">
        <f>MROUND(('T15'!$Q19*F$75),5)</f>
        <v>9705</v>
      </c>
      <c r="G88" s="73">
        <f>MROUND(('T15'!$Q19*G$75),5)</f>
        <v>8100</v>
      </c>
      <c r="H88" s="56">
        <f t="shared" si="55"/>
        <v>167685</v>
      </c>
      <c r="J88" s="18"/>
      <c r="K88" s="1">
        <v>2029</v>
      </c>
      <c r="L88" s="56">
        <f>MROUND(((CentreBasedHeadcountEnrolmentsLow32[[#This Row],[Education &amp; Care]]*L$74)*L$68)*'Source-fte_qualstus_x_servtype'!J36,5)</f>
        <v>5385</v>
      </c>
      <c r="M88" s="56">
        <f>MROUND(((CentreBasedHeadcountEnrolmentsLow32[[#This Row],[Education &amp; Care]]*L$75)*L$69)*'Source-fte_qualstus_x_servtype'!J36,5)</f>
        <v>4610</v>
      </c>
      <c r="N88" s="56">
        <f>MROUND(((CentreBasedHeadcountEnrolmentsLow32[[#This Row],[Education &amp; Care]]*SUM(L$76:L$77))*L$70)*'Source-fte_qualstus_x_servtype'!J36,5)</f>
        <v>9490</v>
      </c>
      <c r="O88" s="56">
        <f>MROUND(((CentreBasedHeadcountEnrolmentsLow32[[#This Row],[Kindergarten]]*M$74)*M$68)*'Source-fte_qualstus_x_servtype'!J36,5)</f>
        <v>60</v>
      </c>
      <c r="P88" s="56">
        <f>MROUND(((CentreBasedHeadcountEnrolmentsLow32[[#This Row],[Kindergarten]]*M$75)*M$69)*'Source-fte_qualstus_x_servtype'!J36,5)</f>
        <v>535</v>
      </c>
      <c r="Q88" s="56">
        <f>MROUND(((CentreBasedHeadcountEnrolmentsLow32[[#This Row],[Kindergarten]]*SUM(M$76:M$77))*M$70)*'Source-fte_qualstus_x_servtype'!J36,5)</f>
        <v>2495</v>
      </c>
      <c r="R88" s="56">
        <f>MROUND(((CentreBasedHeadcountEnrolmentsLow32[[#This Row],[Kōhanga Reo]]*SUM(N$74))*N$66)*'Source-fte_qualstus_x_servtype'!J36,5)</f>
        <v>395</v>
      </c>
      <c r="S88" s="56">
        <f>MROUND(((CentreBasedHeadcountEnrolmentsLow32[[#This Row],[Kōhanga Reo]]*SUM(N$75:N$77))*N$67)*'Source-fte_qualstus_x_servtype'!J36,5)</f>
        <v>780</v>
      </c>
      <c r="T88" s="56">
        <f>MROUND(((CentreBasedHeadcountEnrolmentsLow32[[#This Row],[Home-based]]*SUM(O$78))*O$67)*'Source-fte_qualstus_x_servtype'!J36,5)</f>
        <v>2105</v>
      </c>
      <c r="U88" s="56">
        <f>MROUND(((CentreBasedHeadcountEnrolmentsLow32[[#This Row],[Playcentre]])*P$67)*0.5,5)</f>
        <v>810</v>
      </c>
      <c r="V88" s="56">
        <f t="shared" si="52"/>
        <v>26665</v>
      </c>
      <c r="X88" s="18"/>
      <c r="Y88" s="1">
        <v>2029</v>
      </c>
      <c r="Z88" s="56">
        <f>MROUND(SUM(LowScenarioCentreBasedFTEDemand37[[#This Row],[Education &amp; Care (under 2s)]:[Education &amp; Care (3+)]])*U$62,5)</f>
        <v>13095</v>
      </c>
      <c r="AA88" s="56">
        <f>MROUND(SUM(LowScenarioCentreBasedFTEDemand37[[#This Row],[Kindergarten (Under 2s)]:[Kindergarten (3+)]])*T$61,5)</f>
        <v>3090</v>
      </c>
      <c r="AB88" s="56">
        <f>MROUND(SUM(LowScenarioCentreBasedFTEDemand37[[#This Row],[Kōhanga Reo (Under 2s)]:[Kōhanga Reo (2+)]])*U$62,5)</f>
        <v>790</v>
      </c>
      <c r="AC88" s="56">
        <f>MROUND(LowScenarioCentreBasedFTEDemand37[[#This Row],[Home-based]]*U$62,5)</f>
        <v>1415</v>
      </c>
      <c r="AD88" s="56">
        <f>MROUND(LowScenarioCentreBasedFTEDemand37[[#This Row],[Playcentre]]*U$62,5)</f>
        <v>545</v>
      </c>
      <c r="AE88" s="56">
        <f t="shared" si="53"/>
        <v>18935</v>
      </c>
      <c r="AH88" s="1">
        <v>2029</v>
      </c>
      <c r="AI88" s="74">
        <f>SUM(LowScenarioCentreBasedFTEDemand37[[#This Row],[Education &amp; Care (under 2s)]:[Education &amp; Care (3+)]])-LowScenarioQualifedFTE41[[#This Row],[Education &amp; Care]]</f>
        <v>6390</v>
      </c>
      <c r="AJ88" s="74">
        <f>SUM(LowScenarioCentreBasedFTEDemand37[[#This Row],[Kindergarten (Under 2s)]:[Kindergarten (3+)]])-LowScenarioQualifedFTE41[[#This Row],[Kindergarten]]</f>
        <v>0</v>
      </c>
      <c r="AK88" s="74">
        <f>SUM(LowScenarioCentreBasedFTEDemand37[[#This Row],[Kōhanga Reo (Under 2s)]:[Kōhanga Reo (2+)]])-LowScenarioQualifedFTE41[[#This Row],[Kōhanga Reo]]</f>
        <v>385</v>
      </c>
      <c r="AL88" s="74">
        <f>LowScenarioCentreBasedFTEDemand37[[#This Row],[Home-based]]-LowScenarioQualifedFTE41[[#This Row],[Home-based]]</f>
        <v>690</v>
      </c>
      <c r="AM88" s="74">
        <f>LowScenarioCentreBasedFTEDemand37[[#This Row],[Playcentre]]-LowScenarioQualifedFTE41[[#This Row],[Playcentre]]</f>
        <v>265</v>
      </c>
      <c r="AN88" s="74">
        <f t="shared" si="54"/>
        <v>7730</v>
      </c>
    </row>
    <row r="89" spans="1:40" outlineLevel="1">
      <c r="B89" s="1">
        <v>2030</v>
      </c>
      <c r="C89" s="73">
        <f>MROUND(('T15'!$Q20*C$75),5)</f>
        <v>118190</v>
      </c>
      <c r="D89" s="73">
        <f>MROUND(('T15'!$Q20*D$75),5)</f>
        <v>23455</v>
      </c>
      <c r="E89" s="73">
        <f>MROUND(('T15'!$Q20*E$75),5)</f>
        <v>7165</v>
      </c>
      <c r="F89" s="73">
        <f>MROUND(('T15'!$Q20*F$75),5)</f>
        <v>9640</v>
      </c>
      <c r="G89" s="73">
        <f>MROUND(('T15'!$Q20*G$75),5)</f>
        <v>8040</v>
      </c>
      <c r="H89" s="56">
        <f t="shared" si="55"/>
        <v>166490</v>
      </c>
      <c r="J89" s="18"/>
      <c r="K89" s="1">
        <v>2030</v>
      </c>
      <c r="L89" s="56">
        <f>MROUND(((CentreBasedHeadcountEnrolmentsLow32[[#This Row],[Education &amp; Care]]*L$74)*L$68)*'Source-fte_qualstus_x_servtype'!J37,5)</f>
        <v>5370</v>
      </c>
      <c r="M89" s="56">
        <f>MROUND(((CentreBasedHeadcountEnrolmentsLow32[[#This Row],[Education &amp; Care]]*L$75)*L$69)*'Source-fte_qualstus_x_servtype'!J37,5)</f>
        <v>4595</v>
      </c>
      <c r="N89" s="56">
        <f>MROUND(((CentreBasedHeadcountEnrolmentsLow32[[#This Row],[Education &amp; Care]]*SUM(L$76:L$77))*L$70)*'Source-fte_qualstus_x_servtype'!J37,5)</f>
        <v>9465</v>
      </c>
      <c r="O89" s="56">
        <f>MROUND(((CentreBasedHeadcountEnrolmentsLow32[[#This Row],[Kindergarten]]*M$74)*M$68)*'Source-fte_qualstus_x_servtype'!J37,5)</f>
        <v>60</v>
      </c>
      <c r="P89" s="56">
        <f>MROUND(((CentreBasedHeadcountEnrolmentsLow32[[#This Row],[Kindergarten]]*M$75)*M$69)*'Source-fte_qualstus_x_servtype'!J37,5)</f>
        <v>535</v>
      </c>
      <c r="Q89" s="56">
        <f>MROUND(((CentreBasedHeadcountEnrolmentsLow32[[#This Row],[Kindergarten]]*SUM(M$76:M$77))*M$70)*'Source-fte_qualstus_x_servtype'!J37,5)</f>
        <v>2490</v>
      </c>
      <c r="R89" s="56">
        <f>MROUND(((CentreBasedHeadcountEnrolmentsLow32[[#This Row],[Kōhanga Reo]]*SUM(N$74))*N$66)*'Source-fte_qualstus_x_servtype'!J37,5)</f>
        <v>395</v>
      </c>
      <c r="S89" s="56">
        <f>MROUND(((CentreBasedHeadcountEnrolmentsLow32[[#This Row],[Kōhanga Reo]]*SUM(N$75:N$77))*N$67)*'Source-fte_qualstus_x_servtype'!J37,5)</f>
        <v>775</v>
      </c>
      <c r="T89" s="56">
        <f>MROUND(((CentreBasedHeadcountEnrolmentsLow32[[#This Row],[Home-based]]*SUM(O$78))*O$67)*'Source-fte_qualstus_x_servtype'!J37,5)</f>
        <v>2100</v>
      </c>
      <c r="U89" s="56">
        <f>MROUND(((CentreBasedHeadcountEnrolmentsLow32[[#This Row],[Playcentre]])*P$67)*0.5,5)</f>
        <v>805</v>
      </c>
      <c r="V89" s="56">
        <f t="shared" si="52"/>
        <v>26590</v>
      </c>
      <c r="X89" s="18"/>
      <c r="Y89" s="1">
        <v>2030</v>
      </c>
      <c r="Z89" s="56">
        <f>MROUND(SUM(LowScenarioCentreBasedFTEDemand37[[#This Row],[Education &amp; Care (under 2s)]:[Education &amp; Care (3+)]])*U$62,5)</f>
        <v>13055</v>
      </c>
      <c r="AA89" s="56">
        <f>MROUND(SUM(LowScenarioCentreBasedFTEDemand37[[#This Row],[Kindergarten (Under 2s)]:[Kindergarten (3+)]])*T$61,5)</f>
        <v>3085</v>
      </c>
      <c r="AB89" s="56">
        <f>MROUND(SUM(LowScenarioCentreBasedFTEDemand37[[#This Row],[Kōhanga Reo (Under 2s)]:[Kōhanga Reo (2+)]])*U$62,5)</f>
        <v>785</v>
      </c>
      <c r="AC89" s="56">
        <f>MROUND(LowScenarioCentreBasedFTEDemand37[[#This Row],[Home-based]]*U$62,5)</f>
        <v>1410</v>
      </c>
      <c r="AD89" s="56">
        <f>MROUND(LowScenarioCentreBasedFTEDemand37[[#This Row],[Playcentre]]*U$62,5)</f>
        <v>540</v>
      </c>
      <c r="AE89" s="56">
        <f t="shared" si="53"/>
        <v>18875</v>
      </c>
      <c r="AH89" s="1">
        <v>2030</v>
      </c>
      <c r="AI89" s="74">
        <f>SUM(LowScenarioCentreBasedFTEDemand37[[#This Row],[Education &amp; Care (under 2s)]:[Education &amp; Care (3+)]])-LowScenarioQualifedFTE41[[#This Row],[Education &amp; Care]]</f>
        <v>6375</v>
      </c>
      <c r="AJ89" s="74">
        <f>SUM(LowScenarioCentreBasedFTEDemand37[[#This Row],[Kindergarten (Under 2s)]:[Kindergarten (3+)]])-LowScenarioQualifedFTE41[[#This Row],[Kindergarten]]</f>
        <v>0</v>
      </c>
      <c r="AK89" s="74">
        <f>SUM(LowScenarioCentreBasedFTEDemand37[[#This Row],[Kōhanga Reo (Under 2s)]:[Kōhanga Reo (2+)]])-LowScenarioQualifedFTE41[[#This Row],[Kōhanga Reo]]</f>
        <v>385</v>
      </c>
      <c r="AL89" s="74">
        <f>LowScenarioCentreBasedFTEDemand37[[#This Row],[Home-based]]-LowScenarioQualifedFTE41[[#This Row],[Home-based]]</f>
        <v>690</v>
      </c>
      <c r="AM89" s="74">
        <f>LowScenarioCentreBasedFTEDemand37[[#This Row],[Playcentre]]-LowScenarioQualifedFTE41[[#This Row],[Playcentre]]</f>
        <v>265</v>
      </c>
      <c r="AN89" s="74">
        <f t="shared" si="54"/>
        <v>7715</v>
      </c>
    </row>
    <row r="90" spans="1:40" outlineLevel="1">
      <c r="B90" s="1">
        <v>2031</v>
      </c>
      <c r="C90" s="73">
        <f>MROUND(('T15'!$Q21*C$75),5)</f>
        <v>117395</v>
      </c>
      <c r="D90" s="73">
        <f>MROUND(('T15'!$Q21*D$75),5)</f>
        <v>23300</v>
      </c>
      <c r="E90" s="73">
        <f>MROUND(('T15'!$Q21*E$75),5)</f>
        <v>7115</v>
      </c>
      <c r="F90" s="73">
        <f>MROUND(('T15'!$Q21*F$75),5)</f>
        <v>9575</v>
      </c>
      <c r="G90" s="73">
        <f>MROUND(('T15'!$Q21*G$75),5)</f>
        <v>7990</v>
      </c>
      <c r="H90" s="56">
        <f t="shared" si="55"/>
        <v>165375</v>
      </c>
      <c r="J90" s="18"/>
      <c r="K90" s="1">
        <v>2031</v>
      </c>
      <c r="L90" s="56">
        <f>MROUND(((CentreBasedHeadcountEnrolmentsLow32[[#This Row],[Education &amp; Care]]*L$74)*L$68)*'Source-fte_qualstus_x_servtype'!J38,5)</f>
        <v>5360</v>
      </c>
      <c r="M90" s="56">
        <f>MROUND(((CentreBasedHeadcountEnrolmentsLow32[[#This Row],[Education &amp; Care]]*L$75)*L$69)*'Source-fte_qualstus_x_servtype'!J38,5)</f>
        <v>4585</v>
      </c>
      <c r="N90" s="56">
        <f>MROUND(((CentreBasedHeadcountEnrolmentsLow32[[#This Row],[Education &amp; Care]]*SUM(L$76:L$77))*L$70)*'Source-fte_qualstus_x_servtype'!J38,5)</f>
        <v>9445</v>
      </c>
      <c r="O90" s="56">
        <f>MROUND(((CentreBasedHeadcountEnrolmentsLow32[[#This Row],[Kindergarten]]*M$74)*M$68)*'Source-fte_qualstus_x_servtype'!J38,5)</f>
        <v>55</v>
      </c>
      <c r="P90" s="56">
        <f>MROUND(((CentreBasedHeadcountEnrolmentsLow32[[#This Row],[Kindergarten]]*M$75)*M$69)*'Source-fte_qualstus_x_servtype'!J38,5)</f>
        <v>535</v>
      </c>
      <c r="Q90" s="56">
        <f>MROUND(((CentreBasedHeadcountEnrolmentsLow32[[#This Row],[Kindergarten]]*SUM(M$76:M$77))*M$70)*'Source-fte_qualstus_x_servtype'!J38,5)</f>
        <v>2485</v>
      </c>
      <c r="R90" s="56">
        <f>MROUND(((CentreBasedHeadcountEnrolmentsLow32[[#This Row],[Kōhanga Reo]]*SUM(N$74))*N$66)*'Source-fte_qualstus_x_servtype'!J38,5)</f>
        <v>395</v>
      </c>
      <c r="S90" s="56">
        <f>MROUND(((CentreBasedHeadcountEnrolmentsLow32[[#This Row],[Kōhanga Reo]]*SUM(N$75:N$77))*N$67)*'Source-fte_qualstus_x_servtype'!J38,5)</f>
        <v>775</v>
      </c>
      <c r="T90" s="56">
        <f>MROUND(((CentreBasedHeadcountEnrolmentsLow32[[#This Row],[Home-based]]*SUM(O$78))*O$67)*'Source-fte_qualstus_x_servtype'!J38,5)</f>
        <v>2095</v>
      </c>
      <c r="U90" s="56">
        <f>MROUND(((CentreBasedHeadcountEnrolmentsLow32[[#This Row],[Playcentre]])*P$67)*0.5,5)</f>
        <v>800</v>
      </c>
      <c r="V90" s="56">
        <f t="shared" si="52"/>
        <v>26530</v>
      </c>
      <c r="X90" s="18"/>
      <c r="Y90" s="1">
        <v>2031</v>
      </c>
      <c r="Z90" s="56">
        <f>MROUND(SUM(LowScenarioCentreBasedFTEDemand37[[#This Row],[Education &amp; Care (under 2s)]:[Education &amp; Care (3+)]])*U$62,5)</f>
        <v>13030</v>
      </c>
      <c r="AA90" s="56">
        <f>MROUND(SUM(LowScenarioCentreBasedFTEDemand37[[#This Row],[Kindergarten (Under 2s)]:[Kindergarten (3+)]])*T$61,5)</f>
        <v>3075</v>
      </c>
      <c r="AB90" s="56">
        <f>MROUND(SUM(LowScenarioCentreBasedFTEDemand37[[#This Row],[Kōhanga Reo (Under 2s)]:[Kōhanga Reo (2+)]])*U$62,5)</f>
        <v>785</v>
      </c>
      <c r="AC90" s="56">
        <f>MROUND(LowScenarioCentreBasedFTEDemand37[[#This Row],[Home-based]]*U$62,5)</f>
        <v>1410</v>
      </c>
      <c r="AD90" s="56">
        <f>MROUND(LowScenarioCentreBasedFTEDemand37[[#This Row],[Playcentre]]*U$62,5)</f>
        <v>540</v>
      </c>
      <c r="AE90" s="56">
        <f t="shared" si="53"/>
        <v>18840</v>
      </c>
      <c r="AH90" s="1">
        <v>2031</v>
      </c>
      <c r="AI90" s="74">
        <f>SUM(LowScenarioCentreBasedFTEDemand37[[#This Row],[Education &amp; Care (under 2s)]:[Education &amp; Care (3+)]])-LowScenarioQualifedFTE41[[#This Row],[Education &amp; Care]]</f>
        <v>6360</v>
      </c>
      <c r="AJ90" s="74">
        <f>SUM(LowScenarioCentreBasedFTEDemand37[[#This Row],[Kindergarten (Under 2s)]:[Kindergarten (3+)]])-LowScenarioQualifedFTE41[[#This Row],[Kindergarten]]</f>
        <v>0</v>
      </c>
      <c r="AK90" s="74">
        <f>SUM(LowScenarioCentreBasedFTEDemand37[[#This Row],[Kōhanga Reo (Under 2s)]:[Kōhanga Reo (2+)]])-LowScenarioQualifedFTE41[[#This Row],[Kōhanga Reo]]</f>
        <v>385</v>
      </c>
      <c r="AL90" s="74">
        <f>LowScenarioCentreBasedFTEDemand37[[#This Row],[Home-based]]-LowScenarioQualifedFTE41[[#This Row],[Home-based]]</f>
        <v>685</v>
      </c>
      <c r="AM90" s="74">
        <f>LowScenarioCentreBasedFTEDemand37[[#This Row],[Playcentre]]-LowScenarioQualifedFTE41[[#This Row],[Playcentre]]</f>
        <v>260</v>
      </c>
      <c r="AN90" s="74">
        <f t="shared" si="54"/>
        <v>7690</v>
      </c>
    </row>
    <row r="91" spans="1:40" outlineLevel="1">
      <c r="B91" s="1">
        <v>2032</v>
      </c>
      <c r="C91" s="73">
        <f>MROUND(('T15'!$Q22*C$75),5)</f>
        <v>116590</v>
      </c>
      <c r="D91" s="73">
        <f>MROUND(('T15'!$Q22*D$75),5)</f>
        <v>23140</v>
      </c>
      <c r="E91" s="73">
        <f>MROUND(('T15'!$Q22*E$75),5)</f>
        <v>7070</v>
      </c>
      <c r="F91" s="73">
        <f>MROUND(('T15'!$Q22*F$75),5)</f>
        <v>9505</v>
      </c>
      <c r="G91" s="73">
        <f>MROUND(('T15'!$Q22*G$75),5)</f>
        <v>7935</v>
      </c>
      <c r="H91" s="56">
        <f t="shared" si="55"/>
        <v>164240</v>
      </c>
      <c r="J91" s="18"/>
      <c r="K91" s="1">
        <v>2032</v>
      </c>
      <c r="L91" s="56">
        <f>MROUND(((CentreBasedHeadcountEnrolmentsLow32[[#This Row],[Education &amp; Care]]*L$74)*L$68)*'Source-fte_qualstus_x_servtype'!J39,5)</f>
        <v>5345</v>
      </c>
      <c r="M91" s="56">
        <f>MROUND(((CentreBasedHeadcountEnrolmentsLow32[[#This Row],[Education &amp; Care]]*L$75)*L$69)*'Source-fte_qualstus_x_servtype'!J39,5)</f>
        <v>4570</v>
      </c>
      <c r="N91" s="56">
        <f>MROUND(((CentreBasedHeadcountEnrolmentsLow32[[#This Row],[Education &amp; Care]]*SUM(L$76:L$77))*L$70)*'Source-fte_qualstus_x_servtype'!J39,5)</f>
        <v>9420</v>
      </c>
      <c r="O91" s="56">
        <f>MROUND(((CentreBasedHeadcountEnrolmentsLow32[[#This Row],[Kindergarten]]*M$74)*M$68)*'Source-fte_qualstus_x_servtype'!J39,5)</f>
        <v>55</v>
      </c>
      <c r="P91" s="56">
        <f>MROUND(((CentreBasedHeadcountEnrolmentsLow32[[#This Row],[Kindergarten]]*M$75)*M$69)*'Source-fte_qualstus_x_servtype'!J39,5)</f>
        <v>530</v>
      </c>
      <c r="Q91" s="56">
        <f>MROUND(((CentreBasedHeadcountEnrolmentsLow32[[#This Row],[Kindergarten]]*SUM(M$76:M$77))*M$70)*'Source-fte_qualstus_x_servtype'!J39,5)</f>
        <v>2480</v>
      </c>
      <c r="R91" s="56">
        <f>MROUND(((CentreBasedHeadcountEnrolmentsLow32[[#This Row],[Kōhanga Reo]]*SUM(N$74))*N$66)*'Source-fte_qualstus_x_servtype'!J39,5)</f>
        <v>395</v>
      </c>
      <c r="S91" s="56">
        <f>MROUND(((CentreBasedHeadcountEnrolmentsLow32[[#This Row],[Kōhanga Reo]]*SUM(N$75:N$77))*N$67)*'Source-fte_qualstus_x_servtype'!J39,5)</f>
        <v>770</v>
      </c>
      <c r="T91" s="56">
        <f>MROUND(((CentreBasedHeadcountEnrolmentsLow32[[#This Row],[Home-based]]*SUM(O$78))*O$67)*'Source-fte_qualstus_x_servtype'!J39,5)</f>
        <v>2085</v>
      </c>
      <c r="U91" s="56">
        <f>MROUND(((CentreBasedHeadcountEnrolmentsLow32[[#This Row],[Playcentre]])*P$67)*0.5,5)</f>
        <v>795</v>
      </c>
      <c r="V91" s="56">
        <f t="shared" si="52"/>
        <v>26445</v>
      </c>
      <c r="X91" s="18"/>
      <c r="Y91" s="1">
        <v>2032</v>
      </c>
      <c r="Z91" s="56">
        <f>MROUND(SUM(LowScenarioCentreBasedFTEDemand37[[#This Row],[Education &amp; Care (under 2s)]:[Education &amp; Care (3+)]])*U$62,5)</f>
        <v>12990</v>
      </c>
      <c r="AA91" s="56">
        <f>MROUND(SUM(LowScenarioCentreBasedFTEDemand37[[#This Row],[Kindergarten (Under 2s)]:[Kindergarten (3+)]])*T$61,5)</f>
        <v>3065</v>
      </c>
      <c r="AB91" s="56">
        <f>MROUND(SUM(LowScenarioCentreBasedFTEDemand37[[#This Row],[Kōhanga Reo (Under 2s)]:[Kōhanga Reo (2+)]])*U$62,5)</f>
        <v>785</v>
      </c>
      <c r="AC91" s="56">
        <f>MROUND(LowScenarioCentreBasedFTEDemand37[[#This Row],[Home-based]]*U$62,5)</f>
        <v>1400</v>
      </c>
      <c r="AD91" s="56">
        <f>MROUND(LowScenarioCentreBasedFTEDemand37[[#This Row],[Playcentre]]*U$62,5)</f>
        <v>535</v>
      </c>
      <c r="AE91" s="56">
        <f t="shared" si="53"/>
        <v>18775</v>
      </c>
      <c r="AH91" s="1">
        <v>2032</v>
      </c>
      <c r="AI91" s="74">
        <f>SUM(LowScenarioCentreBasedFTEDemand37[[#This Row],[Education &amp; Care (under 2s)]:[Education &amp; Care (3+)]])-LowScenarioQualifedFTE41[[#This Row],[Education &amp; Care]]</f>
        <v>6345</v>
      </c>
      <c r="AJ91" s="74">
        <f>SUM(LowScenarioCentreBasedFTEDemand37[[#This Row],[Kindergarten (Under 2s)]:[Kindergarten (3+)]])-LowScenarioQualifedFTE41[[#This Row],[Kindergarten]]</f>
        <v>0</v>
      </c>
      <c r="AK91" s="74">
        <f>SUM(LowScenarioCentreBasedFTEDemand37[[#This Row],[Kōhanga Reo (Under 2s)]:[Kōhanga Reo (2+)]])-LowScenarioQualifedFTE41[[#This Row],[Kōhanga Reo]]</f>
        <v>380</v>
      </c>
      <c r="AL91" s="74">
        <f>LowScenarioCentreBasedFTEDemand37[[#This Row],[Home-based]]-LowScenarioQualifedFTE41[[#This Row],[Home-based]]</f>
        <v>685</v>
      </c>
      <c r="AM91" s="74">
        <f>LowScenarioCentreBasedFTEDemand37[[#This Row],[Playcentre]]-LowScenarioQualifedFTE41[[#This Row],[Playcentre]]</f>
        <v>260</v>
      </c>
      <c r="AN91" s="74">
        <f t="shared" si="54"/>
        <v>7670</v>
      </c>
    </row>
    <row r="92" spans="1:40" outlineLevel="1">
      <c r="B92" s="1">
        <v>2033</v>
      </c>
      <c r="C92" s="73">
        <f>MROUND(('T15'!$Q23*C$75),5)</f>
        <v>115920</v>
      </c>
      <c r="D92" s="73">
        <f>MROUND(('T15'!$Q23*D$75),5)</f>
        <v>23005</v>
      </c>
      <c r="E92" s="73">
        <f>MROUND(('T15'!$Q23*E$75),5)</f>
        <v>7030</v>
      </c>
      <c r="F92" s="73">
        <f>MROUND(('T15'!$Q23*F$75),5)</f>
        <v>9455</v>
      </c>
      <c r="G92" s="73">
        <f>MROUND(('T15'!$Q23*G$75),5)</f>
        <v>7885</v>
      </c>
      <c r="H92" s="56">
        <f t="shared" si="55"/>
        <v>163295</v>
      </c>
      <c r="J92" s="18"/>
      <c r="K92" s="1">
        <v>2033</v>
      </c>
      <c r="L92" s="56">
        <f>MROUND(((CentreBasedHeadcountEnrolmentsLow32[[#This Row],[Education &amp; Care]]*L$74)*L$68)*'Source-fte_qualstus_x_servtype'!J40,5)</f>
        <v>5335</v>
      </c>
      <c r="M92" s="56">
        <f>MROUND(((CentreBasedHeadcountEnrolmentsLow32[[#This Row],[Education &amp; Care]]*L$75)*L$69)*'Source-fte_qualstus_x_servtype'!J40,5)</f>
        <v>4565</v>
      </c>
      <c r="N92" s="56">
        <f>MROUND(((CentreBasedHeadcountEnrolmentsLow32[[#This Row],[Education &amp; Care]]*SUM(L$76:L$77))*L$70)*'Source-fte_qualstus_x_servtype'!J40,5)</f>
        <v>9405</v>
      </c>
      <c r="O92" s="56">
        <f>MROUND(((CentreBasedHeadcountEnrolmentsLow32[[#This Row],[Kindergarten]]*M$74)*M$68)*'Source-fte_qualstus_x_servtype'!J40,5)</f>
        <v>55</v>
      </c>
      <c r="P92" s="56">
        <f>MROUND(((CentreBasedHeadcountEnrolmentsLow32[[#This Row],[Kindergarten]]*M$75)*M$69)*'Source-fte_qualstus_x_servtype'!J40,5)</f>
        <v>530</v>
      </c>
      <c r="Q92" s="56">
        <f>MROUND(((CentreBasedHeadcountEnrolmentsLow32[[#This Row],[Kindergarten]]*SUM(M$76:M$77))*M$70)*'Source-fte_qualstus_x_servtype'!J40,5)</f>
        <v>2475</v>
      </c>
      <c r="R92" s="56">
        <f>MROUND(((CentreBasedHeadcountEnrolmentsLow32[[#This Row],[Kōhanga Reo]]*SUM(N$74))*N$66)*'Source-fte_qualstus_x_servtype'!J40,5)</f>
        <v>395</v>
      </c>
      <c r="S92" s="56">
        <f>MROUND(((CentreBasedHeadcountEnrolmentsLow32[[#This Row],[Kōhanga Reo]]*SUM(N$75:N$77))*N$67)*'Source-fte_qualstus_x_servtype'!J40,5)</f>
        <v>770</v>
      </c>
      <c r="T92" s="56">
        <f>MROUND(((CentreBasedHeadcountEnrolmentsLow32[[#This Row],[Home-based]]*SUM(O$78))*O$67)*'Source-fte_qualstus_x_servtype'!J40,5)</f>
        <v>2085</v>
      </c>
      <c r="U92" s="56">
        <f>MROUND(((CentreBasedHeadcountEnrolmentsLow32[[#This Row],[Playcentre]])*P$67)*0.5,5)</f>
        <v>790</v>
      </c>
      <c r="V92" s="56">
        <f t="shared" si="52"/>
        <v>26405</v>
      </c>
      <c r="X92" s="18"/>
      <c r="Y92" s="1">
        <v>2033</v>
      </c>
      <c r="Z92" s="56">
        <f>MROUND(SUM(LowScenarioCentreBasedFTEDemand37[[#This Row],[Education &amp; Care (under 2s)]:[Education &amp; Care (3+)]])*U$62,5)</f>
        <v>12970</v>
      </c>
      <c r="AA92" s="56">
        <f>MROUND(SUM(LowScenarioCentreBasedFTEDemand37[[#This Row],[Kindergarten (Under 2s)]:[Kindergarten (3+)]])*T$61,5)</f>
        <v>3060</v>
      </c>
      <c r="AB92" s="56">
        <f>MROUND(SUM(LowScenarioCentreBasedFTEDemand37[[#This Row],[Kōhanga Reo (Under 2s)]:[Kōhanga Reo (2+)]])*U$62,5)</f>
        <v>785</v>
      </c>
      <c r="AC92" s="56">
        <f>MROUND(LowScenarioCentreBasedFTEDemand37[[#This Row],[Home-based]]*U$62,5)</f>
        <v>1400</v>
      </c>
      <c r="AD92" s="56">
        <f>MROUND(LowScenarioCentreBasedFTEDemand37[[#This Row],[Playcentre]]*U$62,5)</f>
        <v>530</v>
      </c>
      <c r="AE92" s="56">
        <f t="shared" si="53"/>
        <v>18745</v>
      </c>
      <c r="AH92" s="1">
        <v>2033</v>
      </c>
      <c r="AI92" s="74">
        <f>SUM(LowScenarioCentreBasedFTEDemand37[[#This Row],[Education &amp; Care (under 2s)]:[Education &amp; Care (3+)]])-LowScenarioQualifedFTE41[[#This Row],[Education &amp; Care]]</f>
        <v>6335</v>
      </c>
      <c r="AJ92" s="74">
        <f>SUM(LowScenarioCentreBasedFTEDemand37[[#This Row],[Kindergarten (Under 2s)]:[Kindergarten (3+)]])-LowScenarioQualifedFTE41[[#This Row],[Kindergarten]]</f>
        <v>0</v>
      </c>
      <c r="AK92" s="74">
        <f>SUM(LowScenarioCentreBasedFTEDemand37[[#This Row],[Kōhanga Reo (Under 2s)]:[Kōhanga Reo (2+)]])-LowScenarioQualifedFTE41[[#This Row],[Kōhanga Reo]]</f>
        <v>380</v>
      </c>
      <c r="AL92" s="74">
        <f>LowScenarioCentreBasedFTEDemand37[[#This Row],[Home-based]]-LowScenarioQualifedFTE41[[#This Row],[Home-based]]</f>
        <v>685</v>
      </c>
      <c r="AM92" s="74">
        <f>LowScenarioCentreBasedFTEDemand37[[#This Row],[Playcentre]]-LowScenarioQualifedFTE41[[#This Row],[Playcentre]]</f>
        <v>260</v>
      </c>
      <c r="AN92" s="74">
        <f t="shared" si="54"/>
        <v>7660</v>
      </c>
    </row>
    <row r="93" spans="1:40" outlineLevel="1">
      <c r="B93" s="1">
        <v>2034</v>
      </c>
      <c r="C93" s="73">
        <f>MROUND(('T15'!$Q24*C$75),5)</f>
        <v>115385</v>
      </c>
      <c r="D93" s="73">
        <f>MROUND(('T15'!$Q24*D$75),5)</f>
        <v>22900</v>
      </c>
      <c r="E93" s="73">
        <f>MROUND(('T15'!$Q24*E$75),5)</f>
        <v>6995</v>
      </c>
      <c r="F93" s="73">
        <f>MROUND(('T15'!$Q24*F$75),5)</f>
        <v>9410</v>
      </c>
      <c r="G93" s="73">
        <f>MROUND(('T15'!$Q24*G$75),5)</f>
        <v>7850</v>
      </c>
      <c r="H93" s="56">
        <f t="shared" si="55"/>
        <v>162540</v>
      </c>
      <c r="J93" s="18"/>
      <c r="K93" s="1">
        <v>2034</v>
      </c>
      <c r="L93" s="56">
        <f>MROUND(((CentreBasedHeadcountEnrolmentsLow32[[#This Row],[Education &amp; Care]]*L$74)*L$68)*'Source-fte_qualstus_x_servtype'!J41,5)</f>
        <v>5335</v>
      </c>
      <c r="M93" s="56">
        <f>MROUND(((CentreBasedHeadcountEnrolmentsLow32[[#This Row],[Education &amp; Care]]*L$75)*L$69)*'Source-fte_qualstus_x_servtype'!J41,5)</f>
        <v>4565</v>
      </c>
      <c r="N93" s="56">
        <f>MROUND(((CentreBasedHeadcountEnrolmentsLow32[[#This Row],[Education &amp; Care]]*SUM(L$76:L$77))*L$70)*'Source-fte_qualstus_x_servtype'!J41,5)</f>
        <v>9400</v>
      </c>
      <c r="O93" s="56">
        <f>MROUND(((CentreBasedHeadcountEnrolmentsLow32[[#This Row],[Kindergarten]]*M$74)*M$68)*'Source-fte_qualstus_x_servtype'!J41,5)</f>
        <v>55</v>
      </c>
      <c r="P93" s="56">
        <f>MROUND(((CentreBasedHeadcountEnrolmentsLow32[[#This Row],[Kindergarten]]*M$75)*M$69)*'Source-fte_qualstus_x_servtype'!J41,5)</f>
        <v>530</v>
      </c>
      <c r="Q93" s="56">
        <f>MROUND(((CentreBasedHeadcountEnrolmentsLow32[[#This Row],[Kindergarten]]*SUM(M$76:M$77))*M$70)*'Source-fte_qualstus_x_servtype'!J41,5)</f>
        <v>2475</v>
      </c>
      <c r="R93" s="56">
        <f>MROUND(((CentreBasedHeadcountEnrolmentsLow32[[#This Row],[Kōhanga Reo]]*SUM(N$74))*N$66)*'Source-fte_qualstus_x_servtype'!J41,5)</f>
        <v>395</v>
      </c>
      <c r="S93" s="56">
        <f>MROUND(((CentreBasedHeadcountEnrolmentsLow32[[#This Row],[Kōhanga Reo]]*SUM(N$75:N$77))*N$67)*'Source-fte_qualstus_x_servtype'!J41,5)</f>
        <v>770</v>
      </c>
      <c r="T93" s="56">
        <f>MROUND(((CentreBasedHeadcountEnrolmentsLow32[[#This Row],[Home-based]]*SUM(O$78))*O$67)*'Source-fte_qualstus_x_servtype'!J41,5)</f>
        <v>2085</v>
      </c>
      <c r="U93" s="56">
        <f>MROUND(((CentreBasedHeadcountEnrolmentsLow32[[#This Row],[Playcentre]])*P$67)*0.5,5)</f>
        <v>785</v>
      </c>
      <c r="V93" s="56">
        <f t="shared" si="52"/>
        <v>26395</v>
      </c>
      <c r="X93" s="18"/>
      <c r="Y93" s="1">
        <v>2034</v>
      </c>
      <c r="Z93" s="56">
        <f>MROUND(SUM(LowScenarioCentreBasedFTEDemand37[[#This Row],[Education &amp; Care (under 2s)]:[Education &amp; Care (3+)]])*U$62,5)</f>
        <v>12970</v>
      </c>
      <c r="AA93" s="56">
        <f>MROUND(SUM(LowScenarioCentreBasedFTEDemand37[[#This Row],[Kindergarten (Under 2s)]:[Kindergarten (3+)]])*T$61,5)</f>
        <v>3060</v>
      </c>
      <c r="AB93" s="56">
        <f>MROUND(SUM(LowScenarioCentreBasedFTEDemand37[[#This Row],[Kōhanga Reo (Under 2s)]:[Kōhanga Reo (2+)]])*U$62,5)</f>
        <v>785</v>
      </c>
      <c r="AC93" s="56">
        <f>MROUND(LowScenarioCentreBasedFTEDemand37[[#This Row],[Home-based]]*U$62,5)</f>
        <v>1400</v>
      </c>
      <c r="AD93" s="56">
        <f>MROUND(LowScenarioCentreBasedFTEDemand37[[#This Row],[Playcentre]]*U$62,5)</f>
        <v>525</v>
      </c>
      <c r="AE93" s="56">
        <f t="shared" si="53"/>
        <v>18740</v>
      </c>
      <c r="AH93" s="1">
        <v>2034</v>
      </c>
      <c r="AI93" s="74">
        <f>SUM(LowScenarioCentreBasedFTEDemand37[[#This Row],[Education &amp; Care (under 2s)]:[Education &amp; Care (3+)]])-LowScenarioQualifedFTE41[[#This Row],[Education &amp; Care]]</f>
        <v>6330</v>
      </c>
      <c r="AJ93" s="74">
        <f>SUM(LowScenarioCentreBasedFTEDemand37[[#This Row],[Kindergarten (Under 2s)]:[Kindergarten (3+)]])-LowScenarioQualifedFTE41[[#This Row],[Kindergarten]]</f>
        <v>0</v>
      </c>
      <c r="AK93" s="74">
        <f>SUM(LowScenarioCentreBasedFTEDemand37[[#This Row],[Kōhanga Reo (Under 2s)]:[Kōhanga Reo (2+)]])-LowScenarioQualifedFTE41[[#This Row],[Kōhanga Reo]]</f>
        <v>380</v>
      </c>
      <c r="AL93" s="74">
        <f>LowScenarioCentreBasedFTEDemand37[[#This Row],[Home-based]]-LowScenarioQualifedFTE41[[#This Row],[Home-based]]</f>
        <v>685</v>
      </c>
      <c r="AM93" s="74">
        <f>LowScenarioCentreBasedFTEDemand37[[#This Row],[Playcentre]]-LowScenarioQualifedFTE41[[#This Row],[Playcentre]]</f>
        <v>260</v>
      </c>
      <c r="AN93" s="74">
        <f t="shared" si="54"/>
        <v>7655</v>
      </c>
    </row>
    <row r="94" spans="1:40" outlineLevel="1">
      <c r="B94" s="1">
        <v>2035</v>
      </c>
      <c r="C94" s="73">
        <f>MROUND(('T15'!$Q25*C$75),5)</f>
        <v>115030</v>
      </c>
      <c r="D94" s="73">
        <f>MROUND(('T15'!$Q25*D$75),5)</f>
        <v>22830</v>
      </c>
      <c r="E94" s="73">
        <f>MROUND(('T15'!$Q25*E$75),5)</f>
        <v>6975</v>
      </c>
      <c r="F94" s="73">
        <f>MROUND(('T15'!$Q25*F$75),5)</f>
        <v>9380</v>
      </c>
      <c r="G94" s="73">
        <f>MROUND(('T15'!$Q25*G$75),5)</f>
        <v>7825</v>
      </c>
      <c r="H94" s="56">
        <f t="shared" si="55"/>
        <v>162040</v>
      </c>
      <c r="J94" s="18"/>
      <c r="K94" s="1">
        <v>2035</v>
      </c>
      <c r="L94" s="56">
        <f>MROUND(((CentreBasedHeadcountEnrolmentsLow32[[#This Row],[Education &amp; Care]]*L$74)*L$68)*'Source-fte_qualstus_x_servtype'!J42,5)</f>
        <v>5340</v>
      </c>
      <c r="M94" s="56">
        <f>MROUND(((CentreBasedHeadcountEnrolmentsLow32[[#This Row],[Education &amp; Care]]*L$75)*L$69)*'Source-fte_qualstus_x_servtype'!J42,5)</f>
        <v>4570</v>
      </c>
      <c r="N94" s="56">
        <f>MROUND(((CentreBasedHeadcountEnrolmentsLow32[[#This Row],[Education &amp; Care]]*SUM(L$76:L$77))*L$70)*'Source-fte_qualstus_x_servtype'!J42,5)</f>
        <v>9415</v>
      </c>
      <c r="O94" s="56">
        <f>MROUND(((CentreBasedHeadcountEnrolmentsLow32[[#This Row],[Kindergarten]]*M$74)*M$68)*'Source-fte_qualstus_x_servtype'!J42,5)</f>
        <v>55</v>
      </c>
      <c r="P94" s="56">
        <f>MROUND(((CentreBasedHeadcountEnrolmentsLow32[[#This Row],[Kindergarten]]*M$75)*M$69)*'Source-fte_qualstus_x_servtype'!J42,5)</f>
        <v>530</v>
      </c>
      <c r="Q94" s="56">
        <f>MROUND(((CentreBasedHeadcountEnrolmentsLow32[[#This Row],[Kindergarten]]*SUM(M$76:M$77))*M$70)*'Source-fte_qualstus_x_servtype'!J42,5)</f>
        <v>2475</v>
      </c>
      <c r="R94" s="56">
        <f>MROUND(((CentreBasedHeadcountEnrolmentsLow32[[#This Row],[Kōhanga Reo]]*SUM(N$74))*N$66)*'Source-fte_qualstus_x_servtype'!J42,5)</f>
        <v>395</v>
      </c>
      <c r="S94" s="56">
        <f>MROUND(((CentreBasedHeadcountEnrolmentsLow32[[#This Row],[Kōhanga Reo]]*SUM(N$75:N$77))*N$67)*'Source-fte_qualstus_x_servtype'!J42,5)</f>
        <v>770</v>
      </c>
      <c r="T94" s="56">
        <f>MROUND(((CentreBasedHeadcountEnrolmentsLow32[[#This Row],[Home-based]]*SUM(O$78))*O$67)*'Source-fte_qualstus_x_servtype'!J42,5)</f>
        <v>2085</v>
      </c>
      <c r="U94" s="56">
        <f>MROUND(((CentreBasedHeadcountEnrolmentsLow32[[#This Row],[Playcentre]])*P$67)*0.5,5)</f>
        <v>785</v>
      </c>
      <c r="V94" s="56">
        <f t="shared" si="52"/>
        <v>26420</v>
      </c>
      <c r="X94" s="18"/>
      <c r="Y94" s="1">
        <v>2035</v>
      </c>
      <c r="Z94" s="56">
        <f>MROUND(SUM(LowScenarioCentreBasedFTEDemand37[[#This Row],[Education &amp; Care (under 2s)]:[Education &amp; Care (3+)]])*U$62,5)</f>
        <v>12985</v>
      </c>
      <c r="AA94" s="56">
        <f>MROUND(SUM(LowScenarioCentreBasedFTEDemand37[[#This Row],[Kindergarten (Under 2s)]:[Kindergarten (3+)]])*T$61,5)</f>
        <v>3060</v>
      </c>
      <c r="AB94" s="56">
        <f>MROUND(SUM(LowScenarioCentreBasedFTEDemand37[[#This Row],[Kōhanga Reo (Under 2s)]:[Kōhanga Reo (2+)]])*U$62,5)</f>
        <v>785</v>
      </c>
      <c r="AC94" s="56">
        <f>MROUND(LowScenarioCentreBasedFTEDemand37[[#This Row],[Home-based]]*U$62,5)</f>
        <v>1400</v>
      </c>
      <c r="AD94" s="56">
        <f>MROUND(LowScenarioCentreBasedFTEDemand37[[#This Row],[Playcentre]]*U$62,5)</f>
        <v>525</v>
      </c>
      <c r="AE94" s="56">
        <f t="shared" si="53"/>
        <v>18755</v>
      </c>
      <c r="AH94" s="1">
        <v>2035</v>
      </c>
      <c r="AI94" s="74">
        <f>SUM(LowScenarioCentreBasedFTEDemand37[[#This Row],[Education &amp; Care (under 2s)]:[Education &amp; Care (3+)]])-LowScenarioQualifedFTE41[[#This Row],[Education &amp; Care]]</f>
        <v>6340</v>
      </c>
      <c r="AJ94" s="74">
        <f>SUM(LowScenarioCentreBasedFTEDemand37[[#This Row],[Kindergarten (Under 2s)]:[Kindergarten (3+)]])-LowScenarioQualifedFTE41[[#This Row],[Kindergarten]]</f>
        <v>0</v>
      </c>
      <c r="AK94" s="74">
        <f>SUM(LowScenarioCentreBasedFTEDemand37[[#This Row],[Kōhanga Reo (Under 2s)]:[Kōhanga Reo (2+)]])-LowScenarioQualifedFTE41[[#This Row],[Kōhanga Reo]]</f>
        <v>380</v>
      </c>
      <c r="AL94" s="74">
        <f>LowScenarioCentreBasedFTEDemand37[[#This Row],[Home-based]]-LowScenarioQualifedFTE41[[#This Row],[Home-based]]</f>
        <v>685</v>
      </c>
      <c r="AM94" s="74">
        <f>LowScenarioCentreBasedFTEDemand37[[#This Row],[Playcentre]]-LowScenarioQualifedFTE41[[#This Row],[Playcentre]]</f>
        <v>260</v>
      </c>
      <c r="AN94" s="74">
        <f t="shared" si="54"/>
        <v>7665</v>
      </c>
    </row>
    <row r="95" spans="1:40">
      <c r="C95" s="72"/>
      <c r="D95" s="72"/>
      <c r="E95" s="72"/>
      <c r="F95" s="72"/>
      <c r="G95" s="72"/>
      <c r="H95" s="72"/>
      <c r="J95" s="18"/>
      <c r="X95" s="18"/>
    </row>
    <row r="96" spans="1:40">
      <c r="A96" s="96" t="s">
        <v>367</v>
      </c>
      <c r="B96" s="20"/>
      <c r="C96" s="97"/>
      <c r="D96" s="97"/>
      <c r="E96" s="97"/>
      <c r="F96" s="97"/>
      <c r="G96" s="97"/>
      <c r="H96" s="97"/>
      <c r="I96" s="20"/>
      <c r="J96" s="99" t="s">
        <v>368</v>
      </c>
      <c r="K96" s="20"/>
      <c r="L96" s="20"/>
      <c r="M96" s="20"/>
      <c r="N96" s="20"/>
      <c r="O96" s="20"/>
      <c r="P96" s="20"/>
      <c r="Q96" s="20"/>
      <c r="R96" s="20"/>
      <c r="S96" s="20"/>
      <c r="T96" s="20"/>
      <c r="U96" s="20"/>
      <c r="V96" s="20"/>
      <c r="W96" s="96"/>
      <c r="X96" s="99" t="s">
        <v>369</v>
      </c>
      <c r="Y96" s="20"/>
      <c r="Z96" s="20"/>
      <c r="AA96" s="20"/>
      <c r="AB96" s="20"/>
      <c r="AC96" s="20"/>
      <c r="AD96" s="20"/>
      <c r="AE96" s="20"/>
      <c r="AG96" s="6" t="s">
        <v>382</v>
      </c>
    </row>
    <row r="97" spans="1:40" ht="29.1" outlineLevel="1">
      <c r="B97" s="1" t="s">
        <v>231</v>
      </c>
      <c r="C97" s="59" t="s">
        <v>293</v>
      </c>
      <c r="D97" s="59" t="s">
        <v>305</v>
      </c>
      <c r="E97" s="59" t="s">
        <v>299</v>
      </c>
      <c r="F97" s="82" t="s">
        <v>376</v>
      </c>
      <c r="G97" s="59" t="s">
        <v>298</v>
      </c>
      <c r="H97" s="23" t="s">
        <v>238</v>
      </c>
      <c r="J97" s="18"/>
      <c r="K97" s="1" t="s">
        <v>231</v>
      </c>
      <c r="L97" s="15" t="s">
        <v>360</v>
      </c>
      <c r="M97" s="15" t="s">
        <v>361</v>
      </c>
      <c r="N97" s="15" t="s">
        <v>362</v>
      </c>
      <c r="O97" s="15" t="s">
        <v>363</v>
      </c>
      <c r="P97" s="15" t="s">
        <v>364</v>
      </c>
      <c r="Q97" s="15" t="s">
        <v>365</v>
      </c>
      <c r="R97" s="15" t="s">
        <v>380</v>
      </c>
      <c r="S97" s="15" t="s">
        <v>381</v>
      </c>
      <c r="T97" s="86" t="s">
        <v>376</v>
      </c>
      <c r="U97" s="15" t="s">
        <v>298</v>
      </c>
      <c r="V97" s="15" t="s">
        <v>366</v>
      </c>
      <c r="X97" s="18"/>
      <c r="Y97" s="1" t="s">
        <v>231</v>
      </c>
      <c r="Z97" s="15" t="s">
        <v>293</v>
      </c>
      <c r="AA97" s="15" t="s">
        <v>305</v>
      </c>
      <c r="AB97" s="15" t="s">
        <v>299</v>
      </c>
      <c r="AC97" s="86" t="s">
        <v>376</v>
      </c>
      <c r="AD97" s="15" t="s">
        <v>298</v>
      </c>
      <c r="AE97" s="15" t="s">
        <v>366</v>
      </c>
      <c r="AH97" s="1" t="s">
        <v>231</v>
      </c>
      <c r="AI97" s="15" t="s">
        <v>293</v>
      </c>
      <c r="AJ97" s="15" t="s">
        <v>305</v>
      </c>
      <c r="AK97" s="15" t="s">
        <v>299</v>
      </c>
      <c r="AL97" s="86" t="s">
        <v>376</v>
      </c>
      <c r="AM97" s="15" t="s">
        <v>298</v>
      </c>
      <c r="AN97" s="15" t="s">
        <v>366</v>
      </c>
    </row>
    <row r="98" spans="1:40" outlineLevel="1">
      <c r="B98" s="1">
        <v>2025</v>
      </c>
      <c r="C98" s="73">
        <f>MROUND(('T15'!$S15*C$75),5)</f>
        <v>135695</v>
      </c>
      <c r="D98" s="73">
        <f>MROUND(('T15'!$S15*D$75),5)</f>
        <v>26930</v>
      </c>
      <c r="E98" s="73">
        <f>MROUND(('T15'!$S15*E$75),5)</f>
        <v>8225</v>
      </c>
      <c r="F98" s="73">
        <f>MROUND(('T15'!$S15*F$75),5)</f>
        <v>11065</v>
      </c>
      <c r="G98" s="73">
        <f>MROUND(('T15'!$S15*G$75),5)</f>
        <v>9235</v>
      </c>
      <c r="H98" s="56">
        <f>SUM(C98:G98)</f>
        <v>191150</v>
      </c>
      <c r="J98" s="18"/>
      <c r="K98" s="1">
        <v>2025</v>
      </c>
      <c r="L98" s="56">
        <f>MROUND(((CentreBasedHeadcountEnrolmentsMedium33[[#This Row],[Education &amp; Care]]*L$74)*L$68)*'Source-fte_qualstus_x_servtype'!J32,5)</f>
        <v>6030</v>
      </c>
      <c r="M98" s="56">
        <f>MROUND(((CentreBasedHeadcountEnrolmentsMedium33[[#This Row],[Education &amp; Care]]*L$75)*L$69)*'Source-fte_qualstus_x_servtype'!J32,5)</f>
        <v>5160</v>
      </c>
      <c r="N98" s="56">
        <f>MROUND(((CentreBasedHeadcountEnrolmentsMedium33[[#This Row],[Education &amp; Care]]*SUM(L$76:L$77))*L$70)*'Source-fte_qualstus_x_servtype'!J32,5)</f>
        <v>10630</v>
      </c>
      <c r="O98" s="56">
        <f>MROUND(((CentreBasedHeadcountEnrolmentsMedium33[[#This Row],[Kindergarten]]*M$74)*M$68)*'Source-fte_qualstus_x_servtype'!J32,5)</f>
        <v>65</v>
      </c>
      <c r="P98" s="56">
        <f>MROUND(((CentreBasedHeadcountEnrolmentsMedium33[[#This Row],[Kindergarten]]*M$75)*M$69)*'Source-fte_qualstus_x_servtype'!J32,5)</f>
        <v>600</v>
      </c>
      <c r="Q98" s="56">
        <f>MROUND(((CentreBasedHeadcountEnrolmentsMedium33[[#This Row],[Kindergarten]]*SUM(M$76:M$77))*M$70)*'Source-fte_qualstus_x_servtype'!J32,5)</f>
        <v>2795</v>
      </c>
      <c r="R98" s="56">
        <f>MROUND(((CentreBasedHeadcountEnrolmentsMedium33[[#This Row],[Kōhanga Reo]]*SUM(N$74))*N$66)*'Source-fte_qualstus_x_servtype'!J32,5)</f>
        <v>445</v>
      </c>
      <c r="S98" s="56">
        <f>MROUND(((CentreBasedHeadcountEnrolmentsMedium33[[#This Row],[Kōhanga Reo]]*SUM(N$75:N$77))*N$67)*'Source-fte_qualstus_x_servtype'!J32,5)</f>
        <v>870</v>
      </c>
      <c r="T98" s="56">
        <f>MROUND(((CentreBasedHeadcountEnrolmentsMedium33[[#This Row],[Home-based]]*SUM(O$78))*O$67)*'Source-fte_qualstus_x_servtype'!J32,5)</f>
        <v>2355</v>
      </c>
      <c r="U98" s="56">
        <f>MROUND(((CentreBasedHeadcountEnrolmentsMedium33[[#This Row],[Playcentre]]*SUM(P$78))*P$67)*0.5,5)</f>
        <v>925</v>
      </c>
      <c r="V98" s="56">
        <f>SUM(L98:U98)</f>
        <v>29875</v>
      </c>
      <c r="X98" s="18"/>
      <c r="Y98" s="1">
        <v>2025</v>
      </c>
      <c r="Z98" s="56">
        <f>MROUND(SUM(MediumScenarioCentreBasedFTEDemand38[[#This Row],[Education &amp; Care (under 2s)]:[Education &amp; Care (3+)]])*U$62,5)</f>
        <v>14660</v>
      </c>
      <c r="AA98" s="56">
        <f>MROUND(SUM(MediumScenarioCentreBasedFTEDemand38[[#This Row],[Kindergarten (Under 2s)]:[Kindergarten (3+)]])*T$62,5)</f>
        <v>3460</v>
      </c>
      <c r="AB98" s="56">
        <f>MROUND(SUM(MediumScenarioCentreBasedFTEDemand38[[#This Row],[Kōhanga Reo (Under 2s)]:[Kōhanga Reo (2+)]])*U$62,5)</f>
        <v>885</v>
      </c>
      <c r="AC98" s="56">
        <f>MROUND(MediumScenarioCentreBasedFTEDemand38[[#This Row],[Home-based]]*U$62,5)</f>
        <v>1580</v>
      </c>
      <c r="AD98" s="56">
        <f>MROUND(MediumScenarioCentreBasedFTEDemand38[[#This Row],[Playcentre]]*U$62,5)</f>
        <v>620</v>
      </c>
      <c r="AE98" s="56">
        <f>SUM(Z98:AD98)</f>
        <v>21205</v>
      </c>
      <c r="AH98" s="1">
        <v>2025</v>
      </c>
      <c r="AI98" s="74">
        <f>SUM(MediumScenarioCentreBasedFTEDemand38[[#This Row],[Education &amp; Care (under 2s)]:[Education &amp; Care (3+)]])-MediumScenarioQualifiedFTE42[[#This Row],[Education &amp; Care]]</f>
        <v>7160</v>
      </c>
      <c r="AJ98" s="74">
        <f>SUM(MediumScenarioCentreBasedFTEDemand38[[#This Row],[Kindergarten (Under 2s)]:[Kindergarten (3+)]])-MediumScenarioQualifiedFTE42[[#This Row],[Kindergarten]]</f>
        <v>0</v>
      </c>
      <c r="AK98" s="74">
        <f>SUM(MediumScenarioCentreBasedFTEDemand38[[#This Row],[Kōhanga Reo (Under 2s)]:[Kōhanga Reo (2+)]])-MediumScenarioQualifiedFTE42[[#This Row],[Kōhanga Reo]]</f>
        <v>430</v>
      </c>
      <c r="AL98" s="74">
        <f>MediumScenarioCentreBasedFTEDemand38[[#This Row],[Home-based]]-MediumScenarioQualifiedFTE42[[#This Row],[Home-based]]</f>
        <v>775</v>
      </c>
      <c r="AM98" s="74">
        <f>MediumScenarioCentreBasedFTEDemand38[[#This Row],[Playcentre]]-MediumScenarioQualifiedFTE42[[#This Row],[Playcentre]]</f>
        <v>305</v>
      </c>
      <c r="AN98" s="74">
        <f>SUM(AI98:AM98)</f>
        <v>8670</v>
      </c>
    </row>
    <row r="99" spans="1:40" outlineLevel="1">
      <c r="B99" s="1">
        <v>2026</v>
      </c>
      <c r="C99" s="73">
        <f>MROUND(('T15'!$S16*C$75),5)</f>
        <v>132945</v>
      </c>
      <c r="D99" s="73">
        <f>MROUND(('T15'!$S16*D$75),5)</f>
        <v>26385</v>
      </c>
      <c r="E99" s="73">
        <f>MROUND(('T15'!$S16*E$75),5)</f>
        <v>8060</v>
      </c>
      <c r="F99" s="73">
        <f>MROUND(('T15'!$S16*F$75),5)</f>
        <v>10840</v>
      </c>
      <c r="G99" s="73">
        <f>MROUND(('T15'!$S16*G$75),5)</f>
        <v>9045</v>
      </c>
      <c r="H99" s="56">
        <f t="shared" ref="H99:H108" si="56">SUM(C99:G99)</f>
        <v>187275</v>
      </c>
      <c r="J99" s="18"/>
      <c r="K99" s="1">
        <v>2026</v>
      </c>
      <c r="L99" s="56">
        <f>MROUND(((CentreBasedHeadcountEnrolmentsMedium33[[#This Row],[Education &amp; Care]]*L$74)*L$68)*'Source-fte_qualstus_x_servtype'!J33,5)</f>
        <v>5935</v>
      </c>
      <c r="M99" s="56">
        <f>MROUND(((CentreBasedHeadcountEnrolmentsMedium33[[#This Row],[Education &amp; Care]]*L$75)*L$69)*'Source-fte_qualstus_x_servtype'!J33,5)</f>
        <v>5080</v>
      </c>
      <c r="N99" s="56">
        <f>MROUND(((CentreBasedHeadcountEnrolmentsMedium33[[#This Row],[Education &amp; Care]]*SUM(L$76:L$77))*L$70)*'Source-fte_qualstus_x_servtype'!J33,5)</f>
        <v>10460</v>
      </c>
      <c r="O99" s="56">
        <f>MROUND(((CentreBasedHeadcountEnrolmentsMedium33[[#This Row],[Kindergarten]]*M$74)*M$68)*'Source-fte_qualstus_x_servtype'!J33,5)</f>
        <v>65</v>
      </c>
      <c r="P99" s="56">
        <f>MROUND(((CentreBasedHeadcountEnrolmentsMedium33[[#This Row],[Kindergarten]]*M$75)*M$69)*'Source-fte_qualstus_x_servtype'!J33,5)</f>
        <v>590</v>
      </c>
      <c r="Q99" s="56">
        <f>MROUND(((CentreBasedHeadcountEnrolmentsMedium33[[#This Row],[Kindergarten]]*SUM(M$76:M$77))*M$70)*'Source-fte_qualstus_x_servtype'!J33,5)</f>
        <v>2750</v>
      </c>
      <c r="R99" s="56">
        <f>MROUND(((CentreBasedHeadcountEnrolmentsMedium33[[#This Row],[Kōhanga Reo]]*SUM(N$74))*N$66)*'Source-fte_qualstus_x_servtype'!J33,5)</f>
        <v>435</v>
      </c>
      <c r="S99" s="56">
        <f>MROUND(((CentreBasedHeadcountEnrolmentsMedium33[[#This Row],[Kōhanga Reo]]*SUM(N$75:N$77))*N$67)*'Source-fte_qualstus_x_servtype'!J33,5)</f>
        <v>860</v>
      </c>
      <c r="T99" s="56">
        <f>MROUND(((CentreBasedHeadcountEnrolmentsMedium33[[#This Row],[Home-based]]*SUM(O$78))*O$67)*'Source-fte_qualstus_x_servtype'!J33,5)</f>
        <v>2320</v>
      </c>
      <c r="U99" s="56">
        <f>MROUND(((CentreBasedHeadcountEnrolmentsMedium33[[#This Row],[Playcentre]]*SUM(P$78))*P$67)*0.5,5)</f>
        <v>905</v>
      </c>
      <c r="V99" s="56">
        <f t="shared" ref="V99:V108" si="57">SUM(L99:U99)</f>
        <v>29400</v>
      </c>
      <c r="X99" s="18"/>
      <c r="Y99" s="1">
        <v>2026</v>
      </c>
      <c r="Z99" s="56">
        <f>MROUND(SUM(MediumScenarioCentreBasedFTEDemand38[[#This Row],[Education &amp; Care (under 2s)]:[Education &amp; Care (3+)]])*U$62,5)</f>
        <v>14430</v>
      </c>
      <c r="AA99" s="56">
        <f>MROUND(SUM(MediumScenarioCentreBasedFTEDemand38[[#This Row],[Kindergarten (Under 2s)]:[Kindergarten (3+)]])*T$62,5)</f>
        <v>3405</v>
      </c>
      <c r="AB99" s="56">
        <f>MROUND(SUM(MediumScenarioCentreBasedFTEDemand38[[#This Row],[Kōhanga Reo (Under 2s)]:[Kōhanga Reo (2+)]])*U$62,5)</f>
        <v>870</v>
      </c>
      <c r="AC99" s="56">
        <f>MROUND(MediumScenarioCentreBasedFTEDemand38[[#This Row],[Home-based]]*U$62,5)</f>
        <v>1560</v>
      </c>
      <c r="AD99" s="56">
        <f>MROUND(MediumScenarioCentreBasedFTEDemand38[[#This Row],[Playcentre]]*U$62,5)</f>
        <v>610</v>
      </c>
      <c r="AE99" s="56">
        <f t="shared" ref="AE99:AE108" si="58">SUM(Z99:AD99)</f>
        <v>20875</v>
      </c>
      <c r="AH99" s="1">
        <v>2026</v>
      </c>
      <c r="AI99" s="74">
        <f>SUM(MediumScenarioCentreBasedFTEDemand38[[#This Row],[Education &amp; Care (under 2s)]:[Education &amp; Care (3+)]])-MediumScenarioQualifiedFTE42[[#This Row],[Education &amp; Care]]</f>
        <v>7045</v>
      </c>
      <c r="AJ99" s="74">
        <f>SUM(MediumScenarioCentreBasedFTEDemand38[[#This Row],[Kindergarten (Under 2s)]:[Kindergarten (3+)]])-MediumScenarioQualifiedFTE42[[#This Row],[Kindergarten]]</f>
        <v>0</v>
      </c>
      <c r="AK99" s="74">
        <f>SUM(MediumScenarioCentreBasedFTEDemand38[[#This Row],[Kōhanga Reo (Under 2s)]:[Kōhanga Reo (2+)]])-MediumScenarioQualifiedFTE42[[#This Row],[Kōhanga Reo]]</f>
        <v>425</v>
      </c>
      <c r="AL99" s="74">
        <f>MediumScenarioCentreBasedFTEDemand38[[#This Row],[Home-based]]-MediumScenarioQualifiedFTE42[[#This Row],[Home-based]]</f>
        <v>760</v>
      </c>
      <c r="AM99" s="74">
        <f>MediumScenarioCentreBasedFTEDemand38[[#This Row],[Playcentre]]-MediumScenarioQualifiedFTE42[[#This Row],[Playcentre]]</f>
        <v>295</v>
      </c>
      <c r="AN99" s="74">
        <f t="shared" ref="AN99:AN108" si="59">SUM(AI99:AM99)</f>
        <v>8525</v>
      </c>
    </row>
    <row r="100" spans="1:40" outlineLevel="1">
      <c r="B100" s="1">
        <v>2027</v>
      </c>
      <c r="C100" s="73">
        <f>MROUND(('T15'!$S17*C$75),5)</f>
        <v>130635</v>
      </c>
      <c r="D100" s="73">
        <f>MROUND(('T15'!$S17*D$75),5)</f>
        <v>25925</v>
      </c>
      <c r="E100" s="73">
        <f>MROUND(('T15'!$S17*E$75),5)</f>
        <v>7920</v>
      </c>
      <c r="F100" s="73">
        <f>MROUND(('T15'!$S17*F$75),5)</f>
        <v>10650</v>
      </c>
      <c r="G100" s="73">
        <f>MROUND(('T15'!$S17*G$75),5)</f>
        <v>8890</v>
      </c>
      <c r="H100" s="56">
        <f t="shared" si="56"/>
        <v>184020</v>
      </c>
      <c r="J100" s="18"/>
      <c r="K100" s="1">
        <v>2027</v>
      </c>
      <c r="L100" s="56">
        <f>MROUND(((CentreBasedHeadcountEnrolmentsMedium33[[#This Row],[Education &amp; Care]]*L$74)*L$68)*'Source-fte_qualstus_x_servtype'!J34,5)</f>
        <v>5860</v>
      </c>
      <c r="M100" s="56">
        <f>MROUND(((CentreBasedHeadcountEnrolmentsMedium33[[#This Row],[Education &amp; Care]]*L$75)*L$69)*'Source-fte_qualstus_x_servtype'!J34,5)</f>
        <v>5010</v>
      </c>
      <c r="N100" s="56">
        <f>MROUND(((CentreBasedHeadcountEnrolmentsMedium33[[#This Row],[Education &amp; Care]]*SUM(L$76:L$77))*L$70)*'Source-fte_qualstus_x_servtype'!J34,5)</f>
        <v>10325</v>
      </c>
      <c r="O100" s="56">
        <f>MROUND(((CentreBasedHeadcountEnrolmentsMedium33[[#This Row],[Kindergarten]]*M$74)*M$68)*'Source-fte_qualstus_x_servtype'!J34,5)</f>
        <v>65</v>
      </c>
      <c r="P100" s="56">
        <f>MROUND(((CentreBasedHeadcountEnrolmentsMedium33[[#This Row],[Kindergarten]]*M$75)*M$69)*'Source-fte_qualstus_x_servtype'!J34,5)</f>
        <v>580</v>
      </c>
      <c r="Q100" s="56">
        <f>MROUND(((CentreBasedHeadcountEnrolmentsMedium33[[#This Row],[Kindergarten]]*SUM(M$76:M$77))*M$70)*'Source-fte_qualstus_x_servtype'!J34,5)</f>
        <v>2715</v>
      </c>
      <c r="R100" s="56">
        <f>MROUND(((CentreBasedHeadcountEnrolmentsMedium33[[#This Row],[Kōhanga Reo]]*SUM(N$74))*N$66)*'Source-fte_qualstus_x_servtype'!J34,5)</f>
        <v>430</v>
      </c>
      <c r="S100" s="56">
        <f>MROUND(((CentreBasedHeadcountEnrolmentsMedium33[[#This Row],[Kōhanga Reo]]*SUM(N$75:N$77))*N$67)*'Source-fte_qualstus_x_servtype'!J34,5)</f>
        <v>845</v>
      </c>
      <c r="T100" s="56">
        <f>MROUND(((CentreBasedHeadcountEnrolmentsMedium33[[#This Row],[Home-based]]*SUM(O$78))*O$67)*'Source-fte_qualstus_x_servtype'!J34,5)</f>
        <v>2290</v>
      </c>
      <c r="U100" s="56">
        <f>MROUND(((CentreBasedHeadcountEnrolmentsMedium33[[#This Row],[Playcentre]]*SUM(P$78))*P$67)*0.5,5)</f>
        <v>890</v>
      </c>
      <c r="V100" s="56">
        <f t="shared" si="57"/>
        <v>29010</v>
      </c>
      <c r="X100" s="18"/>
      <c r="Y100" s="1">
        <v>2027</v>
      </c>
      <c r="Z100" s="56">
        <f>MROUND(SUM(MediumScenarioCentreBasedFTEDemand38[[#This Row],[Education &amp; Care (under 2s)]:[Education &amp; Care (3+)]])*U$62,5)</f>
        <v>14240</v>
      </c>
      <c r="AA100" s="56">
        <f>MROUND(SUM(MediumScenarioCentreBasedFTEDemand38[[#This Row],[Kindergarten (Under 2s)]:[Kindergarten (3+)]])*T$62,5)</f>
        <v>3360</v>
      </c>
      <c r="AB100" s="56">
        <f>MROUND(SUM(MediumScenarioCentreBasedFTEDemand38[[#This Row],[Kōhanga Reo (Under 2s)]:[Kōhanga Reo (2+)]])*U$62,5)</f>
        <v>855</v>
      </c>
      <c r="AC100" s="56">
        <f>MROUND(MediumScenarioCentreBasedFTEDemand38[[#This Row],[Home-based]]*U$62,5)</f>
        <v>1540</v>
      </c>
      <c r="AD100" s="56">
        <f>MROUND(MediumScenarioCentreBasedFTEDemand38[[#This Row],[Playcentre]]*U$62,5)</f>
        <v>600</v>
      </c>
      <c r="AE100" s="56">
        <f t="shared" si="58"/>
        <v>20595</v>
      </c>
      <c r="AH100" s="1">
        <v>2027</v>
      </c>
      <c r="AI100" s="74">
        <f>SUM(MediumScenarioCentreBasedFTEDemand38[[#This Row],[Education &amp; Care (under 2s)]:[Education &amp; Care (3+)]])-MediumScenarioQualifiedFTE42[[#This Row],[Education &amp; Care]]</f>
        <v>6955</v>
      </c>
      <c r="AJ100" s="74">
        <f>SUM(MediumScenarioCentreBasedFTEDemand38[[#This Row],[Kindergarten (Under 2s)]:[Kindergarten (3+)]])-MediumScenarioQualifiedFTE42[[#This Row],[Kindergarten]]</f>
        <v>0</v>
      </c>
      <c r="AK100" s="74">
        <f>SUM(MediumScenarioCentreBasedFTEDemand38[[#This Row],[Kōhanga Reo (Under 2s)]:[Kōhanga Reo (2+)]])-MediumScenarioQualifiedFTE42[[#This Row],[Kōhanga Reo]]</f>
        <v>420</v>
      </c>
      <c r="AL100" s="74">
        <f>MediumScenarioCentreBasedFTEDemand38[[#This Row],[Home-based]]-MediumScenarioQualifiedFTE42[[#This Row],[Home-based]]</f>
        <v>750</v>
      </c>
      <c r="AM100" s="74">
        <f>MediumScenarioCentreBasedFTEDemand38[[#This Row],[Playcentre]]-MediumScenarioQualifiedFTE42[[#This Row],[Playcentre]]</f>
        <v>290</v>
      </c>
      <c r="AN100" s="74">
        <f t="shared" si="59"/>
        <v>8415</v>
      </c>
    </row>
    <row r="101" spans="1:40" outlineLevel="1">
      <c r="B101" s="1">
        <v>2028</v>
      </c>
      <c r="C101" s="73">
        <f>MROUND(('T15'!$S18*C$75),5)</f>
        <v>131365</v>
      </c>
      <c r="D101" s="73">
        <f>MROUND(('T15'!$S18*D$75),5)</f>
        <v>26070</v>
      </c>
      <c r="E101" s="73">
        <f>MROUND(('T15'!$S18*E$75),5)</f>
        <v>7965</v>
      </c>
      <c r="F101" s="73">
        <f>MROUND(('T15'!$S18*F$75),5)</f>
        <v>10710</v>
      </c>
      <c r="G101" s="73">
        <f>MROUND(('T15'!$S18*G$75),5)</f>
        <v>8940</v>
      </c>
      <c r="H101" s="56">
        <f t="shared" si="56"/>
        <v>185050</v>
      </c>
      <c r="J101" s="18"/>
      <c r="K101" s="1">
        <v>2028</v>
      </c>
      <c r="L101" s="56">
        <f>MROUND(((CentreBasedHeadcountEnrolmentsMedium33[[#This Row],[Education &amp; Care]]*L$74)*L$68)*'Source-fte_qualstus_x_servtype'!J35,5)</f>
        <v>5920</v>
      </c>
      <c r="M101" s="56">
        <f>MROUND(((CentreBasedHeadcountEnrolmentsMedium33[[#This Row],[Education &amp; Care]]*L$75)*L$69)*'Source-fte_qualstus_x_servtype'!J35,5)</f>
        <v>5065</v>
      </c>
      <c r="N101" s="56">
        <f>MROUND(((CentreBasedHeadcountEnrolmentsMedium33[[#This Row],[Education &amp; Care]]*SUM(L$76:L$77))*L$70)*'Source-fte_qualstus_x_servtype'!J35,5)</f>
        <v>10430</v>
      </c>
      <c r="O101" s="56">
        <f>MROUND(((CentreBasedHeadcountEnrolmentsMedium33[[#This Row],[Kindergarten]]*M$74)*M$68)*'Source-fte_qualstus_x_servtype'!J35,5)</f>
        <v>65</v>
      </c>
      <c r="P101" s="56">
        <f>MROUND(((CentreBasedHeadcountEnrolmentsMedium33[[#This Row],[Kindergarten]]*M$75)*M$69)*'Source-fte_qualstus_x_servtype'!J35,5)</f>
        <v>590</v>
      </c>
      <c r="Q101" s="56">
        <f>MROUND(((CentreBasedHeadcountEnrolmentsMedium33[[#This Row],[Kindergarten]]*SUM(M$76:M$77))*M$70)*'Source-fte_qualstus_x_servtype'!J35,5)</f>
        <v>2745</v>
      </c>
      <c r="R101" s="56">
        <f>MROUND(((CentreBasedHeadcountEnrolmentsMedium33[[#This Row],[Kōhanga Reo]]*SUM(N$74))*N$66)*'Source-fte_qualstus_x_servtype'!J35,5)</f>
        <v>435</v>
      </c>
      <c r="S101" s="56">
        <f>MROUND(((CentreBasedHeadcountEnrolmentsMedium33[[#This Row],[Kōhanga Reo]]*SUM(N$75:N$77))*N$67)*'Source-fte_qualstus_x_servtype'!J35,5)</f>
        <v>855</v>
      </c>
      <c r="T101" s="56">
        <f>MROUND(((CentreBasedHeadcountEnrolmentsMedium33[[#This Row],[Home-based]]*SUM(O$78))*O$67)*'Source-fte_qualstus_x_servtype'!J35,5)</f>
        <v>2310</v>
      </c>
      <c r="U101" s="56">
        <f>MROUND(((CentreBasedHeadcountEnrolmentsMedium33[[#This Row],[Playcentre]]*SUM(P$78))*P$67)*0.5,5)</f>
        <v>895</v>
      </c>
      <c r="V101" s="56">
        <f t="shared" si="57"/>
        <v>29310</v>
      </c>
      <c r="X101" s="18"/>
      <c r="Y101" s="1">
        <v>2028</v>
      </c>
      <c r="Z101" s="56">
        <f>MROUND(SUM(MediumScenarioCentreBasedFTEDemand38[[#This Row],[Education &amp; Care (under 2s)]:[Education &amp; Care (3+)]])*U$62,5)</f>
        <v>14390</v>
      </c>
      <c r="AA101" s="56">
        <f>MROUND(SUM(MediumScenarioCentreBasedFTEDemand38[[#This Row],[Kindergarten (Under 2s)]:[Kindergarten (3+)]])*T$62,5)</f>
        <v>3400</v>
      </c>
      <c r="AB101" s="56">
        <f>MROUND(SUM(MediumScenarioCentreBasedFTEDemand38[[#This Row],[Kōhanga Reo (Under 2s)]:[Kōhanga Reo (2+)]])*U$62,5)</f>
        <v>865</v>
      </c>
      <c r="AC101" s="56">
        <f>MROUND(MediumScenarioCentreBasedFTEDemand38[[#This Row],[Home-based]]*U$62,5)</f>
        <v>1550</v>
      </c>
      <c r="AD101" s="56">
        <f>MROUND(MediumScenarioCentreBasedFTEDemand38[[#This Row],[Playcentre]]*U$62,5)</f>
        <v>600</v>
      </c>
      <c r="AE101" s="56">
        <f t="shared" si="58"/>
        <v>20805</v>
      </c>
      <c r="AH101" s="1">
        <v>2028</v>
      </c>
      <c r="AI101" s="74">
        <f>SUM(MediumScenarioCentreBasedFTEDemand38[[#This Row],[Education &amp; Care (under 2s)]:[Education &amp; Care (3+)]])-MediumScenarioQualifiedFTE42[[#This Row],[Education &amp; Care]]</f>
        <v>7025</v>
      </c>
      <c r="AJ101" s="74">
        <f>SUM(MediumScenarioCentreBasedFTEDemand38[[#This Row],[Kindergarten (Under 2s)]:[Kindergarten (3+)]])-MediumScenarioQualifiedFTE42[[#This Row],[Kindergarten]]</f>
        <v>0</v>
      </c>
      <c r="AK101" s="74">
        <f>SUM(MediumScenarioCentreBasedFTEDemand38[[#This Row],[Kōhanga Reo (Under 2s)]:[Kōhanga Reo (2+)]])-MediumScenarioQualifiedFTE42[[#This Row],[Kōhanga Reo]]</f>
        <v>425</v>
      </c>
      <c r="AL101" s="74">
        <f>MediumScenarioCentreBasedFTEDemand38[[#This Row],[Home-based]]-MediumScenarioQualifiedFTE42[[#This Row],[Home-based]]</f>
        <v>760</v>
      </c>
      <c r="AM101" s="74">
        <f>MediumScenarioCentreBasedFTEDemand38[[#This Row],[Playcentre]]-MediumScenarioQualifiedFTE42[[#This Row],[Playcentre]]</f>
        <v>295</v>
      </c>
      <c r="AN101" s="74">
        <f t="shared" si="59"/>
        <v>8505</v>
      </c>
    </row>
    <row r="102" spans="1:40" outlineLevel="1">
      <c r="B102" s="1">
        <v>2029</v>
      </c>
      <c r="C102" s="73">
        <f>MROUND(('T15'!$S19*C$75),5)</f>
        <v>132215</v>
      </c>
      <c r="D102" s="73">
        <f>MROUND(('T15'!$S19*D$75),5)</f>
        <v>26240</v>
      </c>
      <c r="E102" s="73">
        <f>MROUND(('T15'!$S19*E$75),5)</f>
        <v>8015</v>
      </c>
      <c r="F102" s="73">
        <f>MROUND(('T15'!$S19*F$75),5)</f>
        <v>10780</v>
      </c>
      <c r="G102" s="73">
        <f>MROUND(('T15'!$S19*G$75),5)</f>
        <v>8995</v>
      </c>
      <c r="H102" s="56">
        <f t="shared" si="56"/>
        <v>186245</v>
      </c>
      <c r="J102" s="18"/>
      <c r="K102" s="1">
        <v>2029</v>
      </c>
      <c r="L102" s="56">
        <f>MROUND(((CentreBasedHeadcountEnrolmentsMedium33[[#This Row],[Education &amp; Care]]*L$74)*L$68)*'Source-fte_qualstus_x_servtype'!J36,5)</f>
        <v>5980</v>
      </c>
      <c r="M102" s="56">
        <f>MROUND(((CentreBasedHeadcountEnrolmentsMedium33[[#This Row],[Education &amp; Care]]*L$75)*L$69)*'Source-fte_qualstus_x_servtype'!J36,5)</f>
        <v>5120</v>
      </c>
      <c r="N102" s="56">
        <f>MROUND(((CentreBasedHeadcountEnrolmentsMedium33[[#This Row],[Education &amp; Care]]*SUM(L$76:L$77))*L$70)*'Source-fte_qualstus_x_servtype'!J36,5)</f>
        <v>10540</v>
      </c>
      <c r="O102" s="56">
        <f>MROUND(((CentreBasedHeadcountEnrolmentsMedium33[[#This Row],[Kindergarten]]*M$74)*M$68)*'Source-fte_qualstus_x_servtype'!J36,5)</f>
        <v>65</v>
      </c>
      <c r="P102" s="56">
        <f>MROUND(((CentreBasedHeadcountEnrolmentsMedium33[[#This Row],[Kindergarten]]*M$75)*M$69)*'Source-fte_qualstus_x_servtype'!J36,5)</f>
        <v>595</v>
      </c>
      <c r="Q102" s="56">
        <f>MROUND(((CentreBasedHeadcountEnrolmentsMedium33[[#This Row],[Kindergarten]]*SUM(M$76:M$77))*M$70)*'Source-fte_qualstus_x_servtype'!J36,5)</f>
        <v>2775</v>
      </c>
      <c r="R102" s="56">
        <f>MROUND(((CentreBasedHeadcountEnrolmentsMedium33[[#This Row],[Kōhanga Reo]]*SUM(N$74))*N$66)*'Source-fte_qualstus_x_servtype'!J36,5)</f>
        <v>440</v>
      </c>
      <c r="S102" s="56">
        <f>MROUND(((CentreBasedHeadcountEnrolmentsMedium33[[#This Row],[Kōhanga Reo]]*SUM(N$75:N$77))*N$67)*'Source-fte_qualstus_x_servtype'!J36,5)</f>
        <v>865</v>
      </c>
      <c r="T102" s="56">
        <f>MROUND(((CentreBasedHeadcountEnrolmentsMedium33[[#This Row],[Home-based]]*SUM(O$78))*O$67)*'Source-fte_qualstus_x_servtype'!J36,5)</f>
        <v>2335</v>
      </c>
      <c r="U102" s="56">
        <f>MROUND(((CentreBasedHeadcountEnrolmentsMedium33[[#This Row],[Playcentre]]*SUM(P$78))*P$67)*0.5,5)</f>
        <v>900</v>
      </c>
      <c r="V102" s="56">
        <f t="shared" si="57"/>
        <v>29615</v>
      </c>
      <c r="X102" s="18"/>
      <c r="Y102" s="1">
        <v>2029</v>
      </c>
      <c r="Z102" s="56">
        <f>MROUND(SUM(MediumScenarioCentreBasedFTEDemand38[[#This Row],[Education &amp; Care (under 2s)]:[Education &amp; Care (3+)]])*U$62,5)</f>
        <v>14540</v>
      </c>
      <c r="AA102" s="56">
        <f>MROUND(SUM(MediumScenarioCentreBasedFTEDemand38[[#This Row],[Kindergarten (Under 2s)]:[Kindergarten (3+)]])*T$62,5)</f>
        <v>3435</v>
      </c>
      <c r="AB102" s="56">
        <f>MROUND(SUM(MediumScenarioCentreBasedFTEDemand38[[#This Row],[Kōhanga Reo (Under 2s)]:[Kōhanga Reo (2+)]])*U$62,5)</f>
        <v>875</v>
      </c>
      <c r="AC102" s="56">
        <f>MROUND(MediumScenarioCentreBasedFTEDemand38[[#This Row],[Home-based]]*U$62,5)</f>
        <v>1570</v>
      </c>
      <c r="AD102" s="56">
        <f>MROUND(MediumScenarioCentreBasedFTEDemand38[[#This Row],[Playcentre]]*U$62,5)</f>
        <v>605</v>
      </c>
      <c r="AE102" s="56">
        <f t="shared" si="58"/>
        <v>21025</v>
      </c>
      <c r="AH102" s="1">
        <v>2029</v>
      </c>
      <c r="AI102" s="74">
        <f>SUM(MediumScenarioCentreBasedFTEDemand38[[#This Row],[Education &amp; Care (under 2s)]:[Education &amp; Care (3+)]])-MediumScenarioQualifiedFTE42[[#This Row],[Education &amp; Care]]</f>
        <v>7100</v>
      </c>
      <c r="AJ102" s="74">
        <f>SUM(MediumScenarioCentreBasedFTEDemand38[[#This Row],[Kindergarten (Under 2s)]:[Kindergarten (3+)]])-MediumScenarioQualifiedFTE42[[#This Row],[Kindergarten]]</f>
        <v>0</v>
      </c>
      <c r="AK102" s="74">
        <f>SUM(MediumScenarioCentreBasedFTEDemand38[[#This Row],[Kōhanga Reo (Under 2s)]:[Kōhanga Reo (2+)]])-MediumScenarioQualifiedFTE42[[#This Row],[Kōhanga Reo]]</f>
        <v>430</v>
      </c>
      <c r="AL102" s="74">
        <f>MediumScenarioCentreBasedFTEDemand38[[#This Row],[Home-based]]-MediumScenarioQualifiedFTE42[[#This Row],[Home-based]]</f>
        <v>765</v>
      </c>
      <c r="AM102" s="74">
        <f>MediumScenarioCentreBasedFTEDemand38[[#This Row],[Playcentre]]-MediumScenarioQualifiedFTE42[[#This Row],[Playcentre]]</f>
        <v>295</v>
      </c>
      <c r="AN102" s="74">
        <f t="shared" si="59"/>
        <v>8590</v>
      </c>
    </row>
    <row r="103" spans="1:40" outlineLevel="1">
      <c r="B103" s="1">
        <v>2030</v>
      </c>
      <c r="C103" s="73">
        <f>MROUND(('T15'!$S20*C$75),5)</f>
        <v>132305</v>
      </c>
      <c r="D103" s="73">
        <f>MROUND(('T15'!$S20*D$75),5)</f>
        <v>26260</v>
      </c>
      <c r="E103" s="73">
        <f>MROUND(('T15'!$S20*E$75),5)</f>
        <v>8020</v>
      </c>
      <c r="F103" s="73">
        <f>MROUND(('T15'!$S20*F$75),5)</f>
        <v>10790</v>
      </c>
      <c r="G103" s="73">
        <f>MROUND(('T15'!$S20*G$75),5)</f>
        <v>9000</v>
      </c>
      <c r="H103" s="56">
        <f t="shared" si="56"/>
        <v>186375</v>
      </c>
      <c r="J103" s="18"/>
      <c r="K103" s="1">
        <v>2030</v>
      </c>
      <c r="L103" s="56">
        <f>MROUND(((CentreBasedHeadcountEnrolmentsMedium33[[#This Row],[Education &amp; Care]]*L$74)*L$68)*'Source-fte_qualstus_x_servtype'!J37,5)</f>
        <v>6010</v>
      </c>
      <c r="M103" s="56">
        <f>MROUND(((CentreBasedHeadcountEnrolmentsMedium33[[#This Row],[Education &amp; Care]]*L$75)*L$69)*'Source-fte_qualstus_x_servtype'!J37,5)</f>
        <v>5145</v>
      </c>
      <c r="N103" s="56">
        <f>MROUND(((CentreBasedHeadcountEnrolmentsMedium33[[#This Row],[Education &amp; Care]]*SUM(L$76:L$77))*L$70)*'Source-fte_qualstus_x_servtype'!J37,5)</f>
        <v>10595</v>
      </c>
      <c r="O103" s="56">
        <f>MROUND(((CentreBasedHeadcountEnrolmentsMedium33[[#This Row],[Kindergarten]]*M$74)*M$68)*'Source-fte_qualstus_x_servtype'!J37,5)</f>
        <v>65</v>
      </c>
      <c r="P103" s="56">
        <f>MROUND(((CentreBasedHeadcountEnrolmentsMedium33[[#This Row],[Kindergarten]]*M$75)*M$69)*'Source-fte_qualstus_x_servtype'!J37,5)</f>
        <v>600</v>
      </c>
      <c r="Q103" s="56">
        <f>MROUND(((CentreBasedHeadcountEnrolmentsMedium33[[#This Row],[Kindergarten]]*SUM(M$76:M$77))*M$70)*'Source-fte_qualstus_x_servtype'!J37,5)</f>
        <v>2785</v>
      </c>
      <c r="R103" s="56">
        <f>MROUND(((CentreBasedHeadcountEnrolmentsMedium33[[#This Row],[Kōhanga Reo]]*SUM(N$74))*N$66)*'Source-fte_qualstus_x_servtype'!J37,5)</f>
        <v>445</v>
      </c>
      <c r="S103" s="56">
        <f>MROUND(((CentreBasedHeadcountEnrolmentsMedium33[[#This Row],[Kōhanga Reo]]*SUM(N$75:N$77))*N$67)*'Source-fte_qualstus_x_servtype'!J37,5)</f>
        <v>870</v>
      </c>
      <c r="T103" s="56">
        <f>MROUND(((CentreBasedHeadcountEnrolmentsMedium33[[#This Row],[Home-based]]*SUM(O$78))*O$67)*'Source-fte_qualstus_x_servtype'!J37,5)</f>
        <v>2350</v>
      </c>
      <c r="U103" s="56">
        <f>MROUND(((CentreBasedHeadcountEnrolmentsMedium33[[#This Row],[Playcentre]]*SUM(P$78))*P$67)*0.5,5)</f>
        <v>900</v>
      </c>
      <c r="V103" s="56">
        <f t="shared" si="57"/>
        <v>29765</v>
      </c>
      <c r="X103" s="18"/>
      <c r="Y103" s="1">
        <v>2030</v>
      </c>
      <c r="Z103" s="56">
        <f>MROUND(SUM(MediumScenarioCentreBasedFTEDemand38[[#This Row],[Education &amp; Care (under 2s)]:[Education &amp; Care (3+)]])*U$62,5)</f>
        <v>14615</v>
      </c>
      <c r="AA103" s="56">
        <f>MROUND(SUM(MediumScenarioCentreBasedFTEDemand38[[#This Row],[Kindergarten (Under 2s)]:[Kindergarten (3+)]])*T$62,5)</f>
        <v>3450</v>
      </c>
      <c r="AB103" s="56">
        <f>MROUND(SUM(MediumScenarioCentreBasedFTEDemand38[[#This Row],[Kōhanga Reo (Under 2s)]:[Kōhanga Reo (2+)]])*U$62,5)</f>
        <v>885</v>
      </c>
      <c r="AC103" s="56">
        <f>MROUND(MediumScenarioCentreBasedFTEDemand38[[#This Row],[Home-based]]*U$62,5)</f>
        <v>1580</v>
      </c>
      <c r="AD103" s="56">
        <f>MROUND(MediumScenarioCentreBasedFTEDemand38[[#This Row],[Playcentre]]*U$62,5)</f>
        <v>605</v>
      </c>
      <c r="AE103" s="56">
        <f t="shared" si="58"/>
        <v>21135</v>
      </c>
      <c r="AH103" s="1">
        <v>2030</v>
      </c>
      <c r="AI103" s="74">
        <f>SUM(MediumScenarioCentreBasedFTEDemand38[[#This Row],[Education &amp; Care (under 2s)]:[Education &amp; Care (3+)]])-MediumScenarioQualifiedFTE42[[#This Row],[Education &amp; Care]]</f>
        <v>7135</v>
      </c>
      <c r="AJ103" s="74">
        <f>SUM(MediumScenarioCentreBasedFTEDemand38[[#This Row],[Kindergarten (Under 2s)]:[Kindergarten (3+)]])-MediumScenarioQualifiedFTE42[[#This Row],[Kindergarten]]</f>
        <v>0</v>
      </c>
      <c r="AK103" s="74">
        <f>SUM(MediumScenarioCentreBasedFTEDemand38[[#This Row],[Kōhanga Reo (Under 2s)]:[Kōhanga Reo (2+)]])-MediumScenarioQualifiedFTE42[[#This Row],[Kōhanga Reo]]</f>
        <v>430</v>
      </c>
      <c r="AL103" s="74">
        <f>MediumScenarioCentreBasedFTEDemand38[[#This Row],[Home-based]]-MediumScenarioQualifiedFTE42[[#This Row],[Home-based]]</f>
        <v>770</v>
      </c>
      <c r="AM103" s="74">
        <f>MediumScenarioCentreBasedFTEDemand38[[#This Row],[Playcentre]]-MediumScenarioQualifiedFTE42[[#This Row],[Playcentre]]</f>
        <v>295</v>
      </c>
      <c r="AN103" s="74">
        <f t="shared" si="59"/>
        <v>8630</v>
      </c>
    </row>
    <row r="104" spans="1:40" outlineLevel="1">
      <c r="B104" s="1">
        <v>2031</v>
      </c>
      <c r="C104" s="73">
        <f>MROUND(('T15'!$S21*C$75),5)</f>
        <v>132330</v>
      </c>
      <c r="D104" s="73">
        <f>MROUND(('T15'!$S21*D$75),5)</f>
        <v>26265</v>
      </c>
      <c r="E104" s="73">
        <f>MROUND(('T15'!$S21*E$75),5)</f>
        <v>8020</v>
      </c>
      <c r="F104" s="73">
        <f>MROUND(('T15'!$S21*F$75),5)</f>
        <v>10790</v>
      </c>
      <c r="G104" s="73">
        <f>MROUND(('T15'!$S21*G$75),5)</f>
        <v>9005</v>
      </c>
      <c r="H104" s="56">
        <f t="shared" si="56"/>
        <v>186410</v>
      </c>
      <c r="J104" s="18"/>
      <c r="K104" s="1">
        <v>2031</v>
      </c>
      <c r="L104" s="56">
        <f>MROUND(((CentreBasedHeadcountEnrolmentsMedium33[[#This Row],[Education &amp; Care]]*L$74)*L$68)*'Source-fte_qualstus_x_servtype'!J38,5)</f>
        <v>6040</v>
      </c>
      <c r="M104" s="56">
        <f>MROUND(((CentreBasedHeadcountEnrolmentsMedium33[[#This Row],[Education &amp; Care]]*L$75)*L$69)*'Source-fte_qualstus_x_servtype'!J38,5)</f>
        <v>5165</v>
      </c>
      <c r="N104" s="56">
        <f>MROUND(((CentreBasedHeadcountEnrolmentsMedium33[[#This Row],[Education &amp; Care]]*SUM(L$76:L$77))*L$70)*'Source-fte_qualstus_x_servtype'!J38,5)</f>
        <v>10645</v>
      </c>
      <c r="O104" s="56">
        <f>MROUND(((CentreBasedHeadcountEnrolmentsMedium33[[#This Row],[Kindergarten]]*M$74)*M$68)*'Source-fte_qualstus_x_servtype'!J38,5)</f>
        <v>65</v>
      </c>
      <c r="P104" s="56">
        <f>MROUND(((CentreBasedHeadcountEnrolmentsMedium33[[#This Row],[Kindergarten]]*M$75)*M$69)*'Source-fte_qualstus_x_servtype'!J38,5)</f>
        <v>600</v>
      </c>
      <c r="Q104" s="56">
        <f>MROUND(((CentreBasedHeadcountEnrolmentsMedium33[[#This Row],[Kindergarten]]*SUM(M$76:M$77))*M$70)*'Source-fte_qualstus_x_servtype'!J38,5)</f>
        <v>2800</v>
      </c>
      <c r="R104" s="56">
        <f>MROUND(((CentreBasedHeadcountEnrolmentsMedium33[[#This Row],[Kōhanga Reo]]*SUM(N$74))*N$66)*'Source-fte_qualstus_x_servtype'!J38,5)</f>
        <v>445</v>
      </c>
      <c r="S104" s="56">
        <f>MROUND(((CentreBasedHeadcountEnrolmentsMedium33[[#This Row],[Kōhanga Reo]]*SUM(N$75:N$77))*N$67)*'Source-fte_qualstus_x_servtype'!J38,5)</f>
        <v>870</v>
      </c>
      <c r="T104" s="56">
        <f>MROUND(((CentreBasedHeadcountEnrolmentsMedium33[[#This Row],[Home-based]]*SUM(O$78))*O$67)*'Source-fte_qualstus_x_servtype'!J38,5)</f>
        <v>2360</v>
      </c>
      <c r="U104" s="56">
        <f>MROUND(((CentreBasedHeadcountEnrolmentsMedium33[[#This Row],[Playcentre]]*SUM(P$78))*P$67)*0.5,5)</f>
        <v>900</v>
      </c>
      <c r="V104" s="56">
        <f t="shared" si="57"/>
        <v>29890</v>
      </c>
      <c r="X104" s="18"/>
      <c r="Y104" s="1">
        <v>2031</v>
      </c>
      <c r="Z104" s="56">
        <f>MROUND(SUM(MediumScenarioCentreBasedFTEDemand38[[#This Row],[Education &amp; Care (under 2s)]:[Education &amp; Care (3+)]])*U$62,5)</f>
        <v>14680</v>
      </c>
      <c r="AA104" s="56">
        <f>MROUND(SUM(MediumScenarioCentreBasedFTEDemand38[[#This Row],[Kindergarten (Under 2s)]:[Kindergarten (3+)]])*T$62,5)</f>
        <v>3465</v>
      </c>
      <c r="AB104" s="56">
        <f>MROUND(SUM(MediumScenarioCentreBasedFTEDemand38[[#This Row],[Kōhanga Reo (Under 2s)]:[Kōhanga Reo (2+)]])*U$62,5)</f>
        <v>885</v>
      </c>
      <c r="AC104" s="56">
        <f>MROUND(MediumScenarioCentreBasedFTEDemand38[[#This Row],[Home-based]]*U$62,5)</f>
        <v>1585</v>
      </c>
      <c r="AD104" s="56">
        <f>MROUND(MediumScenarioCentreBasedFTEDemand38[[#This Row],[Playcentre]]*U$62,5)</f>
        <v>605</v>
      </c>
      <c r="AE104" s="56">
        <f t="shared" si="58"/>
        <v>21220</v>
      </c>
      <c r="AH104" s="1">
        <v>2031</v>
      </c>
      <c r="AI104" s="74">
        <f>SUM(MediumScenarioCentreBasedFTEDemand38[[#This Row],[Education &amp; Care (under 2s)]:[Education &amp; Care (3+)]])-MediumScenarioQualifiedFTE42[[#This Row],[Education &amp; Care]]</f>
        <v>7170</v>
      </c>
      <c r="AJ104" s="74">
        <f>SUM(MediumScenarioCentreBasedFTEDemand38[[#This Row],[Kindergarten (Under 2s)]:[Kindergarten (3+)]])-MediumScenarioQualifiedFTE42[[#This Row],[Kindergarten]]</f>
        <v>0</v>
      </c>
      <c r="AK104" s="74">
        <f>SUM(MediumScenarioCentreBasedFTEDemand38[[#This Row],[Kōhanga Reo (Under 2s)]:[Kōhanga Reo (2+)]])-MediumScenarioQualifiedFTE42[[#This Row],[Kōhanga Reo]]</f>
        <v>430</v>
      </c>
      <c r="AL104" s="74">
        <f>MediumScenarioCentreBasedFTEDemand38[[#This Row],[Home-based]]-MediumScenarioQualifiedFTE42[[#This Row],[Home-based]]</f>
        <v>775</v>
      </c>
      <c r="AM104" s="74">
        <f>MediumScenarioCentreBasedFTEDemand38[[#This Row],[Playcentre]]-MediumScenarioQualifiedFTE42[[#This Row],[Playcentre]]</f>
        <v>295</v>
      </c>
      <c r="AN104" s="74">
        <f t="shared" si="59"/>
        <v>8670</v>
      </c>
    </row>
    <row r="105" spans="1:40" outlineLevel="1">
      <c r="B105" s="1">
        <v>2032</v>
      </c>
      <c r="C105" s="73">
        <f>MROUND(('T15'!$S22*C$75),5)</f>
        <v>132335</v>
      </c>
      <c r="D105" s="73">
        <f>MROUND(('T15'!$S22*D$75),5)</f>
        <v>26265</v>
      </c>
      <c r="E105" s="73">
        <f>MROUND(('T15'!$S22*E$75),5)</f>
        <v>8025</v>
      </c>
      <c r="F105" s="73">
        <f>MROUND(('T15'!$S22*F$75),5)</f>
        <v>10790</v>
      </c>
      <c r="G105" s="73">
        <f>MROUND(('T15'!$S22*G$75),5)</f>
        <v>9005</v>
      </c>
      <c r="H105" s="56">
        <f t="shared" si="56"/>
        <v>186420</v>
      </c>
      <c r="J105" s="18"/>
      <c r="K105" s="1">
        <v>2032</v>
      </c>
      <c r="L105" s="56">
        <f>MROUND(((CentreBasedHeadcountEnrolmentsMedium33[[#This Row],[Education &amp; Care]]*L$74)*L$68)*'Source-fte_qualstus_x_servtype'!J39,5)</f>
        <v>6065</v>
      </c>
      <c r="M105" s="56">
        <f>MROUND(((CentreBasedHeadcountEnrolmentsMedium33[[#This Row],[Education &amp; Care]]*L$75)*L$69)*'Source-fte_qualstus_x_servtype'!J39,5)</f>
        <v>5190</v>
      </c>
      <c r="N105" s="56">
        <f>MROUND(((CentreBasedHeadcountEnrolmentsMedium33[[#This Row],[Education &amp; Care]]*SUM(L$76:L$77))*L$70)*'Source-fte_qualstus_x_servtype'!J39,5)</f>
        <v>10690</v>
      </c>
      <c r="O105" s="56">
        <f>MROUND(((CentreBasedHeadcountEnrolmentsMedium33[[#This Row],[Kindergarten]]*M$74)*M$68)*'Source-fte_qualstus_x_servtype'!J39,5)</f>
        <v>65</v>
      </c>
      <c r="P105" s="56">
        <f>MROUND(((CentreBasedHeadcountEnrolmentsMedium33[[#This Row],[Kindergarten]]*M$75)*M$69)*'Source-fte_qualstus_x_servtype'!J39,5)</f>
        <v>605</v>
      </c>
      <c r="Q105" s="56">
        <f>MROUND(((CentreBasedHeadcountEnrolmentsMedium33[[#This Row],[Kindergarten]]*SUM(M$76:M$77))*M$70)*'Source-fte_qualstus_x_servtype'!J39,5)</f>
        <v>2810</v>
      </c>
      <c r="R105" s="56">
        <f>MROUND(((CentreBasedHeadcountEnrolmentsMedium33[[#This Row],[Kōhanga Reo]]*SUM(N$74))*N$66)*'Source-fte_qualstus_x_servtype'!J39,5)</f>
        <v>445</v>
      </c>
      <c r="S105" s="56">
        <f>MROUND(((CentreBasedHeadcountEnrolmentsMedium33[[#This Row],[Kōhanga Reo]]*SUM(N$75:N$77))*N$67)*'Source-fte_qualstus_x_servtype'!J39,5)</f>
        <v>875</v>
      </c>
      <c r="T105" s="56">
        <f>MROUND(((CentreBasedHeadcountEnrolmentsMedium33[[#This Row],[Home-based]]*SUM(O$78))*O$67)*'Source-fte_qualstus_x_servtype'!J39,5)</f>
        <v>2370</v>
      </c>
      <c r="U105" s="56">
        <f>MROUND(((CentreBasedHeadcountEnrolmentsMedium33[[#This Row],[Playcentre]]*SUM(P$78))*P$67)*0.5,5)</f>
        <v>900</v>
      </c>
      <c r="V105" s="56">
        <f t="shared" si="57"/>
        <v>30015</v>
      </c>
      <c r="X105" s="18"/>
      <c r="Y105" s="1">
        <v>2032</v>
      </c>
      <c r="Z105" s="56">
        <f>MROUND(SUM(MediumScenarioCentreBasedFTEDemand38[[#This Row],[Education &amp; Care (under 2s)]:[Education &amp; Care (3+)]])*U$62,5)</f>
        <v>14745</v>
      </c>
      <c r="AA105" s="56">
        <f>MROUND(SUM(MediumScenarioCentreBasedFTEDemand38[[#This Row],[Kindergarten (Under 2s)]:[Kindergarten (3+)]])*T$62,5)</f>
        <v>3480</v>
      </c>
      <c r="AB105" s="56">
        <f>MROUND(SUM(MediumScenarioCentreBasedFTEDemand38[[#This Row],[Kōhanga Reo (Under 2s)]:[Kōhanga Reo (2+)]])*U$62,5)</f>
        <v>885</v>
      </c>
      <c r="AC105" s="56">
        <f>MROUND(MediumScenarioCentreBasedFTEDemand38[[#This Row],[Home-based]]*U$62,5)</f>
        <v>1595</v>
      </c>
      <c r="AD105" s="56">
        <f>MROUND(MediumScenarioCentreBasedFTEDemand38[[#This Row],[Playcentre]]*U$62,5)</f>
        <v>605</v>
      </c>
      <c r="AE105" s="56">
        <f t="shared" si="58"/>
        <v>21310</v>
      </c>
      <c r="AH105" s="1">
        <v>2032</v>
      </c>
      <c r="AI105" s="74">
        <f>SUM(MediumScenarioCentreBasedFTEDemand38[[#This Row],[Education &amp; Care (under 2s)]:[Education &amp; Care (3+)]])-MediumScenarioQualifiedFTE42[[#This Row],[Education &amp; Care]]</f>
        <v>7200</v>
      </c>
      <c r="AJ105" s="74">
        <f>SUM(MediumScenarioCentreBasedFTEDemand38[[#This Row],[Kindergarten (Under 2s)]:[Kindergarten (3+)]])-MediumScenarioQualifiedFTE42[[#This Row],[Kindergarten]]</f>
        <v>0</v>
      </c>
      <c r="AK105" s="74">
        <f>SUM(MediumScenarioCentreBasedFTEDemand38[[#This Row],[Kōhanga Reo (Under 2s)]:[Kōhanga Reo (2+)]])-MediumScenarioQualifiedFTE42[[#This Row],[Kōhanga Reo]]</f>
        <v>435</v>
      </c>
      <c r="AL105" s="74">
        <f>MediumScenarioCentreBasedFTEDemand38[[#This Row],[Home-based]]-MediumScenarioQualifiedFTE42[[#This Row],[Home-based]]</f>
        <v>775</v>
      </c>
      <c r="AM105" s="74">
        <f>MediumScenarioCentreBasedFTEDemand38[[#This Row],[Playcentre]]-MediumScenarioQualifiedFTE42[[#This Row],[Playcentre]]</f>
        <v>295</v>
      </c>
      <c r="AN105" s="74">
        <f t="shared" si="59"/>
        <v>8705</v>
      </c>
    </row>
    <row r="106" spans="1:40" outlineLevel="1">
      <c r="B106" s="1">
        <v>2033</v>
      </c>
      <c r="C106" s="73">
        <f>MROUND(('T15'!$S23*C$75),5)</f>
        <v>132360</v>
      </c>
      <c r="D106" s="73">
        <f>MROUND(('T15'!$S23*D$75),5)</f>
        <v>26270</v>
      </c>
      <c r="E106" s="73">
        <f>MROUND(('T15'!$S23*E$75),5)</f>
        <v>8025</v>
      </c>
      <c r="F106" s="73">
        <f>MROUND(('T15'!$S23*F$75),5)</f>
        <v>10795</v>
      </c>
      <c r="G106" s="73">
        <f>MROUND(('T15'!$S23*G$75),5)</f>
        <v>9005</v>
      </c>
      <c r="H106" s="56">
        <f t="shared" si="56"/>
        <v>186455</v>
      </c>
      <c r="J106" s="18"/>
      <c r="K106" s="1">
        <v>2033</v>
      </c>
      <c r="L106" s="56">
        <f>MROUND(((CentreBasedHeadcountEnrolmentsMedium33[[#This Row],[Education &amp; Care]]*L$74)*L$68)*'Source-fte_qualstus_x_servtype'!J40,5)</f>
        <v>6095</v>
      </c>
      <c r="M106" s="56">
        <f>MROUND(((CentreBasedHeadcountEnrolmentsMedium33[[#This Row],[Education &amp; Care]]*L$75)*L$69)*'Source-fte_qualstus_x_servtype'!J40,5)</f>
        <v>5215</v>
      </c>
      <c r="N106" s="56">
        <f>MROUND(((CentreBasedHeadcountEnrolmentsMedium33[[#This Row],[Education &amp; Care]]*SUM(L$76:L$77))*L$70)*'Source-fte_qualstus_x_servtype'!J40,5)</f>
        <v>10740</v>
      </c>
      <c r="O106" s="56">
        <f>MROUND(((CentreBasedHeadcountEnrolmentsMedium33[[#This Row],[Kindergarten]]*M$74)*M$68)*'Source-fte_qualstus_x_servtype'!J40,5)</f>
        <v>65</v>
      </c>
      <c r="P106" s="56">
        <f>MROUND(((CentreBasedHeadcountEnrolmentsMedium33[[#This Row],[Kindergarten]]*M$75)*M$69)*'Source-fte_qualstus_x_servtype'!J40,5)</f>
        <v>605</v>
      </c>
      <c r="Q106" s="56">
        <f>MROUND(((CentreBasedHeadcountEnrolmentsMedium33[[#This Row],[Kindergarten]]*SUM(M$76:M$77))*M$70)*'Source-fte_qualstus_x_servtype'!J40,5)</f>
        <v>2825</v>
      </c>
      <c r="R106" s="56">
        <f>MROUND(((CentreBasedHeadcountEnrolmentsMedium33[[#This Row],[Kōhanga Reo]]*SUM(N$74))*N$66)*'Source-fte_qualstus_x_servtype'!J40,5)</f>
        <v>450</v>
      </c>
      <c r="S106" s="56">
        <f>MROUND(((CentreBasedHeadcountEnrolmentsMedium33[[#This Row],[Kōhanga Reo]]*SUM(N$75:N$77))*N$67)*'Source-fte_qualstus_x_servtype'!J40,5)</f>
        <v>880</v>
      </c>
      <c r="T106" s="56">
        <f>MROUND(((CentreBasedHeadcountEnrolmentsMedium33[[#This Row],[Home-based]]*SUM(O$78))*O$67)*'Source-fte_qualstus_x_servtype'!J40,5)</f>
        <v>2380</v>
      </c>
      <c r="U106" s="56">
        <f>MROUND(((CentreBasedHeadcountEnrolmentsMedium33[[#This Row],[Playcentre]]*SUM(P$78))*P$67)*0.5,5)</f>
        <v>900</v>
      </c>
      <c r="V106" s="56">
        <f t="shared" si="57"/>
        <v>30155</v>
      </c>
      <c r="X106" s="18"/>
      <c r="Y106" s="1">
        <v>2033</v>
      </c>
      <c r="Z106" s="56">
        <f>MROUND(SUM(MediumScenarioCentreBasedFTEDemand38[[#This Row],[Education &amp; Care (under 2s)]:[Education &amp; Care (3+)]])*U$62,5)</f>
        <v>14815</v>
      </c>
      <c r="AA106" s="56">
        <f>MROUND(SUM(MediumScenarioCentreBasedFTEDemand38[[#This Row],[Kindergarten (Under 2s)]:[Kindergarten (3+)]])*T$62,5)</f>
        <v>3495</v>
      </c>
      <c r="AB106" s="56">
        <f>MROUND(SUM(MediumScenarioCentreBasedFTEDemand38[[#This Row],[Kōhanga Reo (Under 2s)]:[Kōhanga Reo (2+)]])*U$62,5)</f>
        <v>895</v>
      </c>
      <c r="AC106" s="56">
        <f>MROUND(MediumScenarioCentreBasedFTEDemand38[[#This Row],[Home-based]]*U$62,5)</f>
        <v>1600</v>
      </c>
      <c r="AD106" s="56">
        <f>MROUND(MediumScenarioCentreBasedFTEDemand38[[#This Row],[Playcentre]]*U$62,5)</f>
        <v>605</v>
      </c>
      <c r="AE106" s="56">
        <f t="shared" si="58"/>
        <v>21410</v>
      </c>
      <c r="AH106" s="1">
        <v>2033</v>
      </c>
      <c r="AI106" s="74">
        <f>SUM(MediumScenarioCentreBasedFTEDemand38[[#This Row],[Education &amp; Care (under 2s)]:[Education &amp; Care (3+)]])-MediumScenarioQualifiedFTE42[[#This Row],[Education &amp; Care]]</f>
        <v>7235</v>
      </c>
      <c r="AJ106" s="74">
        <f>SUM(MediumScenarioCentreBasedFTEDemand38[[#This Row],[Kindergarten (Under 2s)]:[Kindergarten (3+)]])-MediumScenarioQualifiedFTE42[[#This Row],[Kindergarten]]</f>
        <v>0</v>
      </c>
      <c r="AK106" s="74">
        <f>SUM(MediumScenarioCentreBasedFTEDemand38[[#This Row],[Kōhanga Reo (Under 2s)]:[Kōhanga Reo (2+)]])-MediumScenarioQualifiedFTE42[[#This Row],[Kōhanga Reo]]</f>
        <v>435</v>
      </c>
      <c r="AL106" s="74">
        <f>MediumScenarioCentreBasedFTEDemand38[[#This Row],[Home-based]]-MediumScenarioQualifiedFTE42[[#This Row],[Home-based]]</f>
        <v>780</v>
      </c>
      <c r="AM106" s="74">
        <f>MediumScenarioCentreBasedFTEDemand38[[#This Row],[Playcentre]]-MediumScenarioQualifiedFTE42[[#This Row],[Playcentre]]</f>
        <v>295</v>
      </c>
      <c r="AN106" s="74">
        <f t="shared" si="59"/>
        <v>8745</v>
      </c>
    </row>
    <row r="107" spans="1:40" outlineLevel="1">
      <c r="B107" s="1">
        <v>2034</v>
      </c>
      <c r="C107" s="73">
        <f>MROUND(('T15'!$S24*C$75),5)</f>
        <v>132455</v>
      </c>
      <c r="D107" s="73">
        <f>MROUND(('T15'!$S24*D$75),5)</f>
        <v>26290</v>
      </c>
      <c r="E107" s="73">
        <f>MROUND(('T15'!$S24*E$75),5)</f>
        <v>8030</v>
      </c>
      <c r="F107" s="73">
        <f>MROUND(('T15'!$S24*F$75),5)</f>
        <v>10800</v>
      </c>
      <c r="G107" s="73">
        <f>MROUND(('T15'!$S24*G$75),5)</f>
        <v>9010</v>
      </c>
      <c r="H107" s="56">
        <f t="shared" si="56"/>
        <v>186585</v>
      </c>
      <c r="J107" s="18"/>
      <c r="K107" s="1">
        <v>2034</v>
      </c>
      <c r="L107" s="56">
        <f>MROUND(((CentreBasedHeadcountEnrolmentsMedium33[[#This Row],[Education &amp; Care]]*L$74)*L$68)*'Source-fte_qualstus_x_servtype'!J41,5)</f>
        <v>6125</v>
      </c>
      <c r="M107" s="56">
        <f>MROUND(((CentreBasedHeadcountEnrolmentsMedium33[[#This Row],[Education &amp; Care]]*L$75)*L$69)*'Source-fte_qualstus_x_servtype'!J41,5)</f>
        <v>5240</v>
      </c>
      <c r="N107" s="56">
        <f>MROUND(((CentreBasedHeadcountEnrolmentsMedium33[[#This Row],[Education &amp; Care]]*SUM(L$76:L$77))*L$70)*'Source-fte_qualstus_x_servtype'!J41,5)</f>
        <v>10795</v>
      </c>
      <c r="O107" s="56">
        <f>MROUND(((CentreBasedHeadcountEnrolmentsMedium33[[#This Row],[Kindergarten]]*M$74)*M$68)*'Source-fte_qualstus_x_servtype'!J41,5)</f>
        <v>65</v>
      </c>
      <c r="P107" s="56">
        <f>MROUND(((CentreBasedHeadcountEnrolmentsMedium33[[#This Row],[Kindergarten]]*M$75)*M$69)*'Source-fte_qualstus_x_servtype'!J41,5)</f>
        <v>610</v>
      </c>
      <c r="Q107" s="56">
        <f>MROUND(((CentreBasedHeadcountEnrolmentsMedium33[[#This Row],[Kindergarten]]*SUM(M$76:M$77))*M$70)*'Source-fte_qualstus_x_servtype'!J41,5)</f>
        <v>2840</v>
      </c>
      <c r="R107" s="56">
        <f>MROUND(((CentreBasedHeadcountEnrolmentsMedium33[[#This Row],[Kōhanga Reo]]*SUM(N$74))*N$66)*'Source-fte_qualstus_x_servtype'!J41,5)</f>
        <v>450</v>
      </c>
      <c r="S107" s="56">
        <f>MROUND(((CentreBasedHeadcountEnrolmentsMedium33[[#This Row],[Kōhanga Reo]]*SUM(N$75:N$77))*N$67)*'Source-fte_qualstus_x_servtype'!J41,5)</f>
        <v>885</v>
      </c>
      <c r="T107" s="56">
        <f>MROUND(((CentreBasedHeadcountEnrolmentsMedium33[[#This Row],[Home-based]]*SUM(O$78))*O$67)*'Source-fte_qualstus_x_servtype'!J41,5)</f>
        <v>2390</v>
      </c>
      <c r="U107" s="56">
        <f>MROUND(((CentreBasedHeadcountEnrolmentsMedium33[[#This Row],[Playcentre]]*SUM(P$78))*P$67)*0.5,5)</f>
        <v>900</v>
      </c>
      <c r="V107" s="56">
        <f t="shared" si="57"/>
        <v>30300</v>
      </c>
      <c r="X107" s="18"/>
      <c r="Y107" s="1">
        <v>2034</v>
      </c>
      <c r="Z107" s="56">
        <f>MROUND(SUM(MediumScenarioCentreBasedFTEDemand38[[#This Row],[Education &amp; Care (under 2s)]:[Education &amp; Care (3+)]])*U$62,5)</f>
        <v>14890</v>
      </c>
      <c r="AA107" s="56">
        <f>MROUND(SUM(MediumScenarioCentreBasedFTEDemand38[[#This Row],[Kindergarten (Under 2s)]:[Kindergarten (3+)]])*T$62,5)</f>
        <v>3515</v>
      </c>
      <c r="AB107" s="56">
        <f>MROUND(SUM(MediumScenarioCentreBasedFTEDemand38[[#This Row],[Kōhanga Reo (Under 2s)]:[Kōhanga Reo (2+)]])*U$62,5)</f>
        <v>895</v>
      </c>
      <c r="AC107" s="56">
        <f>MROUND(MediumScenarioCentreBasedFTEDemand38[[#This Row],[Home-based]]*U$62,5)</f>
        <v>1605</v>
      </c>
      <c r="AD107" s="56">
        <f>MROUND(MediumScenarioCentreBasedFTEDemand38[[#This Row],[Playcentre]]*U$62,5)</f>
        <v>605</v>
      </c>
      <c r="AE107" s="56">
        <f t="shared" si="58"/>
        <v>21510</v>
      </c>
      <c r="AH107" s="1">
        <v>2034</v>
      </c>
      <c r="AI107" s="74">
        <f>SUM(MediumScenarioCentreBasedFTEDemand38[[#This Row],[Education &amp; Care (under 2s)]:[Education &amp; Care (3+)]])-MediumScenarioQualifiedFTE42[[#This Row],[Education &amp; Care]]</f>
        <v>7270</v>
      </c>
      <c r="AJ107" s="74">
        <f>SUM(MediumScenarioCentreBasedFTEDemand38[[#This Row],[Kindergarten (Under 2s)]:[Kindergarten (3+)]])-MediumScenarioQualifiedFTE42[[#This Row],[Kindergarten]]</f>
        <v>0</v>
      </c>
      <c r="AK107" s="74">
        <f>SUM(MediumScenarioCentreBasedFTEDemand38[[#This Row],[Kōhanga Reo (Under 2s)]:[Kōhanga Reo (2+)]])-MediumScenarioQualifiedFTE42[[#This Row],[Kōhanga Reo]]</f>
        <v>440</v>
      </c>
      <c r="AL107" s="74">
        <f>MediumScenarioCentreBasedFTEDemand38[[#This Row],[Home-based]]-MediumScenarioQualifiedFTE42[[#This Row],[Home-based]]</f>
        <v>785</v>
      </c>
      <c r="AM107" s="74">
        <f>MediumScenarioCentreBasedFTEDemand38[[#This Row],[Playcentre]]-MediumScenarioQualifiedFTE42[[#This Row],[Playcentre]]</f>
        <v>295</v>
      </c>
      <c r="AN107" s="74">
        <f t="shared" si="59"/>
        <v>8790</v>
      </c>
    </row>
    <row r="108" spans="1:40" outlineLevel="1">
      <c r="B108" s="1">
        <v>2035</v>
      </c>
      <c r="C108" s="73">
        <f>MROUND(('T15'!$S25*C$75),5)</f>
        <v>132640</v>
      </c>
      <c r="D108" s="73">
        <f>MROUND(('T15'!$S25*D$75),5)</f>
        <v>26325</v>
      </c>
      <c r="E108" s="73">
        <f>MROUND(('T15'!$S25*E$75),5)</f>
        <v>8040</v>
      </c>
      <c r="F108" s="73">
        <f>MROUND(('T15'!$S25*F$75),5)</f>
        <v>10815</v>
      </c>
      <c r="G108" s="73">
        <f>MROUND(('T15'!$S25*G$75),5)</f>
        <v>9025</v>
      </c>
      <c r="H108" s="56">
        <f t="shared" si="56"/>
        <v>186845</v>
      </c>
      <c r="J108" s="18"/>
      <c r="K108" s="1">
        <v>2035</v>
      </c>
      <c r="L108" s="56">
        <f>MROUND(((CentreBasedHeadcountEnrolmentsMedium33[[#This Row],[Education &amp; Care]]*L$74)*L$68)*'Source-fte_qualstus_x_servtype'!J42,5)</f>
        <v>6160</v>
      </c>
      <c r="M108" s="56">
        <f>MROUND(((CentreBasedHeadcountEnrolmentsMedium33[[#This Row],[Education &amp; Care]]*L$75)*L$69)*'Source-fte_qualstus_x_servtype'!J42,5)</f>
        <v>5270</v>
      </c>
      <c r="N108" s="56">
        <f>MROUND(((CentreBasedHeadcountEnrolmentsMedium33[[#This Row],[Education &amp; Care]]*SUM(L$76:L$77))*L$70)*'Source-fte_qualstus_x_servtype'!J42,5)</f>
        <v>10855</v>
      </c>
      <c r="O108" s="56">
        <f>MROUND(((CentreBasedHeadcountEnrolmentsMedium33[[#This Row],[Kindergarten]]*M$74)*M$68)*'Source-fte_qualstus_x_servtype'!J42,5)</f>
        <v>65</v>
      </c>
      <c r="P108" s="56">
        <f>MROUND(((CentreBasedHeadcountEnrolmentsMedium33[[#This Row],[Kindergarten]]*M$75)*M$69)*'Source-fte_qualstus_x_servtype'!J42,5)</f>
        <v>610</v>
      </c>
      <c r="Q108" s="56">
        <f>MROUND(((CentreBasedHeadcountEnrolmentsMedium33[[#This Row],[Kindergarten]]*SUM(M$76:M$77))*M$70)*'Source-fte_qualstus_x_servtype'!J42,5)</f>
        <v>2855</v>
      </c>
      <c r="R108" s="56">
        <f>MROUND(((CentreBasedHeadcountEnrolmentsMedium33[[#This Row],[Kōhanga Reo]]*SUM(N$74))*N$66)*'Source-fte_qualstus_x_servtype'!J42,5)</f>
        <v>455</v>
      </c>
      <c r="S108" s="56">
        <f>MROUND(((CentreBasedHeadcountEnrolmentsMedium33[[#This Row],[Kōhanga Reo]]*SUM(N$75:N$77))*N$67)*'Source-fte_qualstus_x_servtype'!J42,5)</f>
        <v>890</v>
      </c>
      <c r="T108" s="56">
        <f>MROUND(((CentreBasedHeadcountEnrolmentsMedium33[[#This Row],[Home-based]]*SUM(O$78))*O$67)*'Source-fte_qualstus_x_servtype'!J42,5)</f>
        <v>2405</v>
      </c>
      <c r="U108" s="56">
        <f>MROUND(((CentreBasedHeadcountEnrolmentsMedium33[[#This Row],[Playcentre]]*SUM(P$78))*P$67)*0.5,5)</f>
        <v>905</v>
      </c>
      <c r="V108" s="56">
        <f t="shared" si="57"/>
        <v>30470</v>
      </c>
      <c r="X108" s="18"/>
      <c r="Y108" s="1">
        <v>2035</v>
      </c>
      <c r="Z108" s="56">
        <f>MROUND(SUM(MediumScenarioCentreBasedFTEDemand38[[#This Row],[Education &amp; Care (under 2s)]:[Education &amp; Care (3+)]])*U$62,5)</f>
        <v>14975</v>
      </c>
      <c r="AA108" s="56">
        <f>MROUND(SUM(MediumScenarioCentreBasedFTEDemand38[[#This Row],[Kindergarten (Under 2s)]:[Kindergarten (3+)]])*T$62,5)</f>
        <v>3530</v>
      </c>
      <c r="AB108" s="56">
        <f>MROUND(SUM(MediumScenarioCentreBasedFTEDemand38[[#This Row],[Kōhanga Reo (Under 2s)]:[Kōhanga Reo (2+)]])*U$62,5)</f>
        <v>905</v>
      </c>
      <c r="AC108" s="56">
        <f>MROUND(MediumScenarioCentreBasedFTEDemand38[[#This Row],[Home-based]]*U$62,5)</f>
        <v>1615</v>
      </c>
      <c r="AD108" s="56">
        <f>MROUND(MediumScenarioCentreBasedFTEDemand38[[#This Row],[Playcentre]]*U$62,5)</f>
        <v>610</v>
      </c>
      <c r="AE108" s="56">
        <f t="shared" si="58"/>
        <v>21635</v>
      </c>
      <c r="AH108" s="1">
        <v>2035</v>
      </c>
      <c r="AI108" s="74">
        <f>SUM(MediumScenarioCentreBasedFTEDemand38[[#This Row],[Education &amp; Care (under 2s)]:[Education &amp; Care (3+)]])-MediumScenarioQualifiedFTE42[[#This Row],[Education &amp; Care]]</f>
        <v>7310</v>
      </c>
      <c r="AJ108" s="74">
        <f>SUM(MediumScenarioCentreBasedFTEDemand38[[#This Row],[Kindergarten (Under 2s)]:[Kindergarten (3+)]])-MediumScenarioQualifiedFTE42[[#This Row],[Kindergarten]]</f>
        <v>0</v>
      </c>
      <c r="AK108" s="74">
        <f>SUM(MediumScenarioCentreBasedFTEDemand38[[#This Row],[Kōhanga Reo (Under 2s)]:[Kōhanga Reo (2+)]])-MediumScenarioQualifiedFTE42[[#This Row],[Kōhanga Reo]]</f>
        <v>440</v>
      </c>
      <c r="AL108" s="74">
        <f>MediumScenarioCentreBasedFTEDemand38[[#This Row],[Home-based]]-MediumScenarioQualifiedFTE42[[#This Row],[Home-based]]</f>
        <v>790</v>
      </c>
      <c r="AM108" s="74">
        <f>MediumScenarioCentreBasedFTEDemand38[[#This Row],[Playcentre]]-MediumScenarioQualifiedFTE42[[#This Row],[Playcentre]]</f>
        <v>295</v>
      </c>
      <c r="AN108" s="74">
        <f t="shared" si="59"/>
        <v>8835</v>
      </c>
    </row>
    <row r="109" spans="1:40">
      <c r="J109" s="18"/>
      <c r="X109" s="18"/>
    </row>
    <row r="110" spans="1:40">
      <c r="A110" s="96" t="s">
        <v>371</v>
      </c>
      <c r="B110" s="20"/>
      <c r="C110" s="97"/>
      <c r="D110" s="97"/>
      <c r="E110" s="97"/>
      <c r="F110" s="97"/>
      <c r="G110" s="97"/>
      <c r="H110" s="97"/>
      <c r="I110" s="20"/>
      <c r="J110" s="99" t="s">
        <v>372</v>
      </c>
      <c r="K110" s="20"/>
      <c r="L110" s="20"/>
      <c r="M110" s="20"/>
      <c r="N110" s="20"/>
      <c r="O110" s="20"/>
      <c r="P110" s="20"/>
      <c r="Q110" s="20"/>
      <c r="R110" s="20"/>
      <c r="S110" s="20"/>
      <c r="T110" s="20"/>
      <c r="U110" s="20"/>
      <c r="V110" s="20"/>
      <c r="W110" s="20"/>
      <c r="X110" s="99" t="s">
        <v>369</v>
      </c>
      <c r="Y110" s="20"/>
      <c r="Z110" s="20"/>
      <c r="AA110" s="20"/>
      <c r="AB110" s="20"/>
      <c r="AC110" s="20"/>
      <c r="AD110" s="20"/>
      <c r="AE110" s="20"/>
      <c r="AG110" s="6" t="s">
        <v>383</v>
      </c>
    </row>
    <row r="111" spans="1:40" ht="29.1" outlineLevel="1">
      <c r="B111" s="1" t="s">
        <v>231</v>
      </c>
      <c r="C111" s="59" t="s">
        <v>293</v>
      </c>
      <c r="D111" s="59" t="s">
        <v>305</v>
      </c>
      <c r="E111" s="59" t="s">
        <v>299</v>
      </c>
      <c r="F111" s="82" t="s">
        <v>376</v>
      </c>
      <c r="G111" s="59" t="s">
        <v>298</v>
      </c>
      <c r="H111" s="23" t="s">
        <v>238</v>
      </c>
      <c r="J111" s="18"/>
      <c r="K111" s="1" t="s">
        <v>231</v>
      </c>
      <c r="L111" s="15" t="s">
        <v>360</v>
      </c>
      <c r="M111" s="15" t="s">
        <v>361</v>
      </c>
      <c r="N111" s="15" t="s">
        <v>362</v>
      </c>
      <c r="O111" s="15" t="s">
        <v>363</v>
      </c>
      <c r="P111" s="15" t="s">
        <v>364</v>
      </c>
      <c r="Q111" s="15" t="s">
        <v>365</v>
      </c>
      <c r="R111" s="15" t="s">
        <v>380</v>
      </c>
      <c r="S111" s="15" t="s">
        <v>381</v>
      </c>
      <c r="T111" s="86" t="s">
        <v>376</v>
      </c>
      <c r="U111" s="15" t="s">
        <v>298</v>
      </c>
      <c r="V111" s="15" t="s">
        <v>366</v>
      </c>
      <c r="X111" s="18"/>
      <c r="Y111" s="1" t="s">
        <v>231</v>
      </c>
      <c r="Z111" s="15" t="s">
        <v>293</v>
      </c>
      <c r="AA111" s="15" t="s">
        <v>305</v>
      </c>
      <c r="AB111" s="15" t="s">
        <v>299</v>
      </c>
      <c r="AC111" s="86" t="s">
        <v>376</v>
      </c>
      <c r="AD111" s="15" t="s">
        <v>298</v>
      </c>
      <c r="AE111" s="15" t="s">
        <v>366</v>
      </c>
      <c r="AH111" s="1" t="s">
        <v>231</v>
      </c>
      <c r="AI111" s="15" t="s">
        <v>293</v>
      </c>
      <c r="AJ111" s="15" t="s">
        <v>305</v>
      </c>
      <c r="AK111" s="15" t="s">
        <v>299</v>
      </c>
      <c r="AL111" s="86" t="s">
        <v>376</v>
      </c>
      <c r="AM111" s="15" t="s">
        <v>298</v>
      </c>
      <c r="AN111" s="15" t="s">
        <v>366</v>
      </c>
    </row>
    <row r="112" spans="1:40" outlineLevel="1">
      <c r="B112" s="1">
        <v>2025</v>
      </c>
      <c r="C112" s="73">
        <f>MROUND(('T15'!$T15*C$75),5)</f>
        <v>141750</v>
      </c>
      <c r="D112" s="73">
        <f>MROUND(('T15'!$T15*D$75),5)</f>
        <v>28135</v>
      </c>
      <c r="E112" s="73">
        <f>MROUND(('T15'!$T15*E$75),5)</f>
        <v>8595</v>
      </c>
      <c r="F112" s="73">
        <f>MROUND(('T15'!$T15*F$75),5)</f>
        <v>11560</v>
      </c>
      <c r="G112" s="73">
        <f>MROUND(('T15'!$T15*G$75),5)</f>
        <v>9645</v>
      </c>
      <c r="H112" s="56">
        <f>SUM(C112:G112)</f>
        <v>199685</v>
      </c>
      <c r="J112" s="18"/>
      <c r="K112" s="1">
        <v>2025</v>
      </c>
      <c r="L112" s="56">
        <f>MROUND(((CentreBasedHeadcountEnrolmentsHigh34[[#This Row],[Education &amp; Care]]*L$74)*L$68)*'Source-fte_qualstus_x_servtype'!J32,5)</f>
        <v>6300</v>
      </c>
      <c r="M112" s="56">
        <f>MROUND(((CentreBasedHeadcountEnrolmentsHigh34[[#This Row],[Education &amp; Care]]*L$75)*L$69)*'Source-fte_qualstus_x_servtype'!J32,5)</f>
        <v>5390</v>
      </c>
      <c r="N112" s="56">
        <f>MROUND(((CentreBasedHeadcountEnrolmentsHigh34[[#This Row],[Education &amp; Care]]*SUM(L$76:L$77))*L$70)*'Source-fte_qualstus_x_servtype'!J32,5)</f>
        <v>11105</v>
      </c>
      <c r="O112" s="56">
        <f>MROUND(((CentreBasedHeadcountEnrolmentsHigh34[[#This Row],[Kindergarten]]*M$74)*M$68)*'Source-fte_qualstus_x_servtype'!J32,5)</f>
        <v>65</v>
      </c>
      <c r="P112" s="56">
        <f>MROUND(((CentreBasedHeadcountEnrolmentsHigh34[[#This Row],[Kindergarten]]*M$75)*M$69)*'Source-fte_qualstus_x_servtype'!J32,5)</f>
        <v>625</v>
      </c>
      <c r="Q112" s="56">
        <f>MROUND(((CentreBasedHeadcountEnrolmentsHigh34[[#This Row],[Kindergarten]]*SUM(M$76:M$77))*M$70)*'Source-fte_qualstus_x_servtype'!J32,5)</f>
        <v>2920</v>
      </c>
      <c r="R112" s="56">
        <f>MROUND(((CentreBasedHeadcountEnrolmentsHigh34[[#This Row],[Kōhanga Reo]]*SUM(N$74))*N$66)*'Source-fte_qualstus_x_servtype'!J32,5)</f>
        <v>465</v>
      </c>
      <c r="S112" s="56">
        <f>MROUND(((CentreBasedHeadcountEnrolmentsHigh34[[#This Row],[Kōhanga Reo]]*SUM(N$75:N$77))*N$67)*'Source-fte_qualstus_x_servtype'!J32,5)</f>
        <v>910</v>
      </c>
      <c r="T112" s="56">
        <f>MROUND(((CentreBasedHeadcountEnrolmentsHigh34[[#This Row],[Home-based]]*SUM(O$78))*O$67)*'Source-fte_qualstus_x_servtype'!J32,5)</f>
        <v>2460</v>
      </c>
      <c r="U112" s="56">
        <f>MROUND(((CentreBasedHeadcountEnrolmentsHigh34[[#This Row],[Playcentre]]*SUM(P$78))*P$67)*0.5,5)</f>
        <v>965</v>
      </c>
      <c r="V112" s="56">
        <f>SUM(L112:U112)</f>
        <v>31205</v>
      </c>
      <c r="X112" s="18"/>
      <c r="Y112" s="1">
        <v>2025</v>
      </c>
      <c r="Z112" s="56">
        <f>MROUND(SUM(HighScenarioCentreBasedFTEDemand39[[#This Row],[Education &amp; Care (under 2s)]:[Education &amp; Care (3+)]])*U$62,5)</f>
        <v>15315</v>
      </c>
      <c r="AA112" s="56">
        <f>MROUND(SUM(HighScenarioCentreBasedFTEDemand39[[#This Row],[Kindergarten (Under 2s)]:[Kindergarten (3+)]])*T$61,5)</f>
        <v>3610</v>
      </c>
      <c r="AB112" s="56">
        <f>MROUND(SUM(HighScenarioCentreBasedFTEDemand39[[#This Row],[Kōhanga Reo (Under 2s)]:[Kōhanga Reo (2+)]])*U$62,5)</f>
        <v>925</v>
      </c>
      <c r="AC112" s="56">
        <f>MROUND(HighScenarioCentreBasedFTEDemand39[[#This Row],[Home-based]]*U$62,5)</f>
        <v>1655</v>
      </c>
      <c r="AD112" s="56">
        <f>MROUND(HighScenarioCentreBasedFTEDemand39[[#This Row],[Playcentre]]*U$62,5)</f>
        <v>650</v>
      </c>
      <c r="AE112" s="56">
        <f>SUM(Z112:AD112)</f>
        <v>22155</v>
      </c>
      <c r="AH112" s="1">
        <v>2025</v>
      </c>
      <c r="AI112" s="74">
        <f>SUM(HighScenarioCentreBasedFTEDemand39[[#This Row],[Education &amp; Care (under 2s)]:[Education &amp; Care (3+)]])-HighScenarioQualifiedFTE43[[#This Row],[Education &amp; Care]]</f>
        <v>7480</v>
      </c>
      <c r="AJ112" s="74">
        <f>SUM(HighScenarioCentreBasedFTEDemand39[[#This Row],[Kindergarten (Under 2s)]:[Kindergarten (3+)]])-HighScenarioQualifiedFTE43[[#This Row],[Kindergarten]]</f>
        <v>0</v>
      </c>
      <c r="AK112" s="74">
        <f>SUM(HighScenarioCentreBasedFTEDemand39[[#This Row],[Kōhanga Reo (Under 2s)]:[Kōhanga Reo (2+)]])-HighScenarioQualifiedFTE43[[#This Row],[Kōhanga Reo]]</f>
        <v>450</v>
      </c>
      <c r="AL112" s="74">
        <f>HighScenarioCentreBasedFTEDemand39[[#This Row],[Home-based]]-HighScenarioQualifiedFTE43[[#This Row],[Home-based]]</f>
        <v>805</v>
      </c>
      <c r="AM112" s="74">
        <f>HighScenarioCentreBasedFTEDemand39[[#This Row],[Playcentre]]-HighScenarioQualifiedFTE43[[#This Row],[Playcentre]]</f>
        <v>315</v>
      </c>
      <c r="AN112" s="74">
        <f>SUM(AI112:AM112)</f>
        <v>9050</v>
      </c>
    </row>
    <row r="113" spans="1:40" outlineLevel="1">
      <c r="B113" s="1">
        <v>2026</v>
      </c>
      <c r="C113" s="73">
        <f>MROUND(('T15'!$T16*C$75),5)</f>
        <v>139665</v>
      </c>
      <c r="D113" s="73">
        <f>MROUND(('T15'!$T16*D$75),5)</f>
        <v>27720</v>
      </c>
      <c r="E113" s="73">
        <f>MROUND(('T15'!$T16*E$75),5)</f>
        <v>8465</v>
      </c>
      <c r="F113" s="73">
        <f>MROUND(('T15'!$T16*F$75),5)</f>
        <v>11390</v>
      </c>
      <c r="G113" s="73">
        <f>MROUND(('T15'!$T16*G$75),5)</f>
        <v>9505</v>
      </c>
      <c r="H113" s="56">
        <f t="shared" ref="H113:H122" si="60">SUM(C113:G113)</f>
        <v>196745</v>
      </c>
      <c r="J113" s="18"/>
      <c r="K113" s="1">
        <v>2026</v>
      </c>
      <c r="L113" s="56">
        <f>MROUND(((CentreBasedHeadcountEnrolmentsHigh34[[#This Row],[Education &amp; Care]]*L$74)*L$68)*'Source-fte_qualstus_x_servtype'!J33,5)</f>
        <v>6235</v>
      </c>
      <c r="M113" s="56">
        <f>MROUND(((CentreBasedHeadcountEnrolmentsHigh34[[#This Row],[Education &amp; Care]]*L$75)*L$69)*'Source-fte_qualstus_x_servtype'!J33,5)</f>
        <v>5335</v>
      </c>
      <c r="N113" s="56">
        <f>MROUND(((CentreBasedHeadcountEnrolmentsHigh34[[#This Row],[Education &amp; Care]]*SUM(L$76:L$77))*L$70)*'Source-fte_qualstus_x_servtype'!J33,5)</f>
        <v>10990</v>
      </c>
      <c r="O113" s="56">
        <f>MROUND(((CentreBasedHeadcountEnrolmentsHigh34[[#This Row],[Kindergarten]]*M$74)*M$68)*'Source-fte_qualstus_x_servtype'!J33,5)</f>
        <v>65</v>
      </c>
      <c r="P113" s="56">
        <f>MROUND(((CentreBasedHeadcountEnrolmentsHigh34[[#This Row],[Kindergarten]]*M$75)*M$69)*'Source-fte_qualstus_x_servtype'!J33,5)</f>
        <v>620</v>
      </c>
      <c r="Q113" s="56">
        <f>MROUND(((CentreBasedHeadcountEnrolmentsHigh34[[#This Row],[Kindergarten]]*SUM(M$76:M$77))*M$70)*'Source-fte_qualstus_x_servtype'!J33,5)</f>
        <v>2890</v>
      </c>
      <c r="R113" s="56">
        <f>MROUND(((CentreBasedHeadcountEnrolmentsHigh34[[#This Row],[Kōhanga Reo]]*SUM(N$74))*N$66)*'Source-fte_qualstus_x_servtype'!J33,5)</f>
        <v>460</v>
      </c>
      <c r="S113" s="56">
        <f>MROUND(((CentreBasedHeadcountEnrolmentsHigh34[[#This Row],[Kōhanga Reo]]*SUM(N$75:N$77))*N$67)*'Source-fte_qualstus_x_servtype'!J33,5)</f>
        <v>900</v>
      </c>
      <c r="T113" s="56">
        <f>MROUND(((CentreBasedHeadcountEnrolmentsHigh34[[#This Row],[Home-based]]*SUM(O$78))*O$67)*'Source-fte_qualstus_x_servtype'!J33,5)</f>
        <v>2435</v>
      </c>
      <c r="U113" s="56">
        <f>MROUND(((CentreBasedHeadcountEnrolmentsHigh34[[#This Row],[Playcentre]]*SUM(P$78))*P$67)*0.5,5)</f>
        <v>950</v>
      </c>
      <c r="V113" s="56">
        <f t="shared" ref="V113:V122" si="61">SUM(L113:U113)</f>
        <v>30880</v>
      </c>
      <c r="X113" s="18"/>
      <c r="Y113" s="1">
        <v>2026</v>
      </c>
      <c r="Z113" s="56">
        <f>MROUND(SUM(HighScenarioCentreBasedFTEDemand39[[#This Row],[Education &amp; Care (under 2s)]:[Education &amp; Care (3+)]])*U$62,5)</f>
        <v>15160</v>
      </c>
      <c r="AA113" s="56">
        <f>MROUND(SUM(HighScenarioCentreBasedFTEDemand39[[#This Row],[Kindergarten (Under 2s)]:[Kindergarten (3+)]])*T$61,5)</f>
        <v>3575</v>
      </c>
      <c r="AB113" s="56">
        <f>MROUND(SUM(HighScenarioCentreBasedFTEDemand39[[#This Row],[Kōhanga Reo (Under 2s)]:[Kōhanga Reo (2+)]])*U$62,5)</f>
        <v>915</v>
      </c>
      <c r="AC113" s="56">
        <f>MROUND(HighScenarioCentreBasedFTEDemand39[[#This Row],[Home-based]]*U$62,5)</f>
        <v>1635</v>
      </c>
      <c r="AD113" s="56">
        <f>MROUND(HighScenarioCentreBasedFTEDemand39[[#This Row],[Playcentre]]*U$62,5)</f>
        <v>640</v>
      </c>
      <c r="AE113" s="56">
        <f t="shared" ref="AE113:AE122" si="62">SUM(Z113:AD113)</f>
        <v>21925</v>
      </c>
      <c r="AH113" s="1">
        <v>2026</v>
      </c>
      <c r="AI113" s="74">
        <f>SUM(HighScenarioCentreBasedFTEDemand39[[#This Row],[Education &amp; Care (under 2s)]:[Education &amp; Care (3+)]])-HighScenarioQualifiedFTE43[[#This Row],[Education &amp; Care]]</f>
        <v>7400</v>
      </c>
      <c r="AJ113" s="74">
        <f>SUM(HighScenarioCentreBasedFTEDemand39[[#This Row],[Kindergarten (Under 2s)]:[Kindergarten (3+)]])-HighScenarioQualifiedFTE43[[#This Row],[Kindergarten]]</f>
        <v>0</v>
      </c>
      <c r="AK113" s="74">
        <f>SUM(HighScenarioCentreBasedFTEDemand39[[#This Row],[Kōhanga Reo (Under 2s)]:[Kōhanga Reo (2+)]])-HighScenarioQualifiedFTE43[[#This Row],[Kōhanga Reo]]</f>
        <v>445</v>
      </c>
      <c r="AL113" s="74">
        <f>HighScenarioCentreBasedFTEDemand39[[#This Row],[Home-based]]-HighScenarioQualifiedFTE43[[#This Row],[Home-based]]</f>
        <v>800</v>
      </c>
      <c r="AM113" s="74">
        <f>HighScenarioCentreBasedFTEDemand39[[#This Row],[Playcentre]]-HighScenarioQualifiedFTE43[[#This Row],[Playcentre]]</f>
        <v>310</v>
      </c>
      <c r="AN113" s="74">
        <f t="shared" ref="AN113:AN122" si="63">SUM(AI113:AM113)</f>
        <v>8955</v>
      </c>
    </row>
    <row r="114" spans="1:40" outlineLevel="1">
      <c r="B114" s="1">
        <v>2027</v>
      </c>
      <c r="C114" s="73">
        <f>MROUND(('T15'!$T17*C$75),5)</f>
        <v>138285</v>
      </c>
      <c r="D114" s="73">
        <f>MROUND(('T15'!$T17*D$75),5)</f>
        <v>27445</v>
      </c>
      <c r="E114" s="73">
        <f>MROUND(('T15'!$T17*E$75),5)</f>
        <v>8385</v>
      </c>
      <c r="F114" s="73">
        <f>MROUND(('T15'!$T17*F$75),5)</f>
        <v>11275</v>
      </c>
      <c r="G114" s="73">
        <f>MROUND(('T15'!$T17*G$75),5)</f>
        <v>9410</v>
      </c>
      <c r="H114" s="56">
        <f t="shared" si="60"/>
        <v>194800</v>
      </c>
      <c r="J114" s="18"/>
      <c r="K114" s="1">
        <v>2027</v>
      </c>
      <c r="L114" s="56">
        <f>MROUND(((CentreBasedHeadcountEnrolmentsHigh34[[#This Row],[Education &amp; Care]]*L$74)*L$68)*'Source-fte_qualstus_x_servtype'!J34,5)</f>
        <v>6200</v>
      </c>
      <c r="M114" s="56">
        <f>MROUND(((CentreBasedHeadcountEnrolmentsHigh34[[#This Row],[Education &amp; Care]]*L$75)*L$69)*'Source-fte_qualstus_x_servtype'!J34,5)</f>
        <v>5305</v>
      </c>
      <c r="N114" s="56">
        <f>MROUND(((CentreBasedHeadcountEnrolmentsHigh34[[#This Row],[Education &amp; Care]]*SUM(L$76:L$77))*L$70)*'Source-fte_qualstus_x_servtype'!J34,5)</f>
        <v>10930</v>
      </c>
      <c r="O114" s="56">
        <f>MROUND(((CentreBasedHeadcountEnrolmentsHigh34[[#This Row],[Kindergarten]]*M$74)*M$68)*'Source-fte_qualstus_x_servtype'!J34,5)</f>
        <v>65</v>
      </c>
      <c r="P114" s="56">
        <f>MROUND(((CentreBasedHeadcountEnrolmentsHigh34[[#This Row],[Kindergarten]]*M$75)*M$69)*'Source-fte_qualstus_x_servtype'!J34,5)</f>
        <v>615</v>
      </c>
      <c r="Q114" s="56">
        <f>MROUND(((CentreBasedHeadcountEnrolmentsHigh34[[#This Row],[Kindergarten]]*SUM(M$76:M$77))*M$70)*'Source-fte_qualstus_x_servtype'!J34,5)</f>
        <v>2875</v>
      </c>
      <c r="R114" s="56">
        <f>MROUND(((CentreBasedHeadcountEnrolmentsHigh34[[#This Row],[Kōhanga Reo]]*SUM(N$74))*N$66)*'Source-fte_qualstus_x_servtype'!J34,5)</f>
        <v>455</v>
      </c>
      <c r="S114" s="56">
        <f>MROUND(((CentreBasedHeadcountEnrolmentsHigh34[[#This Row],[Kōhanga Reo]]*SUM(N$75:N$77))*N$67)*'Source-fte_qualstus_x_servtype'!J34,5)</f>
        <v>895</v>
      </c>
      <c r="T114" s="56">
        <f>MROUND(((CentreBasedHeadcountEnrolmentsHigh34[[#This Row],[Home-based]]*SUM(O$78))*O$67)*'Source-fte_qualstus_x_servtype'!J34,5)</f>
        <v>2420</v>
      </c>
      <c r="U114" s="56">
        <f>MROUND(((CentreBasedHeadcountEnrolmentsHigh34[[#This Row],[Playcentre]]*SUM(P$78))*P$67)*0.5,5)</f>
        <v>940</v>
      </c>
      <c r="V114" s="56">
        <f t="shared" si="61"/>
        <v>30700</v>
      </c>
      <c r="X114" s="18"/>
      <c r="Y114" s="1">
        <v>2027</v>
      </c>
      <c r="Z114" s="56">
        <f>MROUND(SUM(HighScenarioCentreBasedFTEDemand39[[#This Row],[Education &amp; Care (under 2s)]:[Education &amp; Care (3+)]])*U$62,5)</f>
        <v>15075</v>
      </c>
      <c r="AA114" s="56">
        <f>MROUND(SUM(HighScenarioCentreBasedFTEDemand39[[#This Row],[Kindergarten (Under 2s)]:[Kindergarten (3+)]])*T$61,5)</f>
        <v>3555</v>
      </c>
      <c r="AB114" s="56">
        <f>MROUND(SUM(HighScenarioCentreBasedFTEDemand39[[#This Row],[Kōhanga Reo (Under 2s)]:[Kōhanga Reo (2+)]])*U$62,5)</f>
        <v>905</v>
      </c>
      <c r="AC114" s="56">
        <f>MROUND(HighScenarioCentreBasedFTEDemand39[[#This Row],[Home-based]]*U$62,5)</f>
        <v>1625</v>
      </c>
      <c r="AD114" s="56">
        <f>MROUND(HighScenarioCentreBasedFTEDemand39[[#This Row],[Playcentre]]*U$62,5)</f>
        <v>630</v>
      </c>
      <c r="AE114" s="56">
        <f t="shared" si="62"/>
        <v>21790</v>
      </c>
      <c r="AH114" s="1">
        <v>2027</v>
      </c>
      <c r="AI114" s="74">
        <f>SUM(HighScenarioCentreBasedFTEDemand39[[#This Row],[Education &amp; Care (under 2s)]:[Education &amp; Care (3+)]])-HighScenarioQualifiedFTE43[[#This Row],[Education &amp; Care]]</f>
        <v>7360</v>
      </c>
      <c r="AJ114" s="74">
        <f>SUM(HighScenarioCentreBasedFTEDemand39[[#This Row],[Kindergarten (Under 2s)]:[Kindergarten (3+)]])-HighScenarioQualifiedFTE43[[#This Row],[Kindergarten]]</f>
        <v>0</v>
      </c>
      <c r="AK114" s="74">
        <f>SUM(HighScenarioCentreBasedFTEDemand39[[#This Row],[Kōhanga Reo (Under 2s)]:[Kōhanga Reo (2+)]])-HighScenarioQualifiedFTE43[[#This Row],[Kōhanga Reo]]</f>
        <v>445</v>
      </c>
      <c r="AL114" s="74">
        <f>HighScenarioCentreBasedFTEDemand39[[#This Row],[Home-based]]-HighScenarioQualifiedFTE43[[#This Row],[Home-based]]</f>
        <v>795</v>
      </c>
      <c r="AM114" s="74">
        <f>HighScenarioCentreBasedFTEDemand39[[#This Row],[Playcentre]]-HighScenarioQualifiedFTE43[[#This Row],[Playcentre]]</f>
        <v>310</v>
      </c>
      <c r="AN114" s="74">
        <f t="shared" si="63"/>
        <v>8910</v>
      </c>
    </row>
    <row r="115" spans="1:40" outlineLevel="1">
      <c r="B115" s="1">
        <v>2028</v>
      </c>
      <c r="C115" s="73">
        <f>MROUND(('T15'!$T18*C$75),5)</f>
        <v>140255</v>
      </c>
      <c r="D115" s="73">
        <f>MROUND(('T15'!$T18*D$75),5)</f>
        <v>27835</v>
      </c>
      <c r="E115" s="73">
        <f>MROUND(('T15'!$T18*E$75),5)</f>
        <v>8505</v>
      </c>
      <c r="F115" s="73">
        <f>MROUND(('T15'!$T18*F$75),5)</f>
        <v>11435</v>
      </c>
      <c r="G115" s="73">
        <f>MROUND(('T15'!$T18*G$75),5)</f>
        <v>9545</v>
      </c>
      <c r="H115" s="56">
        <f t="shared" si="60"/>
        <v>197575</v>
      </c>
      <c r="J115" s="18"/>
      <c r="K115" s="1">
        <v>2028</v>
      </c>
      <c r="L115" s="56">
        <f>MROUND(((CentreBasedHeadcountEnrolmentsHigh34[[#This Row],[Education &amp; Care]]*L$74)*L$68)*'Source-fte_qualstus_x_servtype'!J35,5)</f>
        <v>6320</v>
      </c>
      <c r="M115" s="56">
        <f>MROUND(((CentreBasedHeadcountEnrolmentsHigh34[[#This Row],[Education &amp; Care]]*L$75)*L$69)*'Source-fte_qualstus_x_servtype'!J35,5)</f>
        <v>5405</v>
      </c>
      <c r="N115" s="56">
        <f>MROUND(((CentreBasedHeadcountEnrolmentsHigh34[[#This Row],[Education &amp; Care]]*SUM(L$76:L$77))*L$70)*'Source-fte_qualstus_x_servtype'!J35,5)</f>
        <v>11135</v>
      </c>
      <c r="O115" s="56">
        <f>MROUND(((CentreBasedHeadcountEnrolmentsHigh34[[#This Row],[Kindergarten]]*M$74)*M$68)*'Source-fte_qualstus_x_servtype'!J35,5)</f>
        <v>70</v>
      </c>
      <c r="P115" s="56">
        <f>MROUND(((CentreBasedHeadcountEnrolmentsHigh34[[#This Row],[Kindergarten]]*M$75)*M$69)*'Source-fte_qualstus_x_servtype'!J35,5)</f>
        <v>630</v>
      </c>
      <c r="Q115" s="56">
        <f>MROUND(((CentreBasedHeadcountEnrolmentsHigh34[[#This Row],[Kindergarten]]*SUM(M$76:M$77))*M$70)*'Source-fte_qualstus_x_servtype'!J35,5)</f>
        <v>2930</v>
      </c>
      <c r="R115" s="56">
        <f>MROUND(((CentreBasedHeadcountEnrolmentsHigh34[[#This Row],[Kōhanga Reo]]*SUM(N$74))*N$66)*'Source-fte_qualstus_x_servtype'!J35,5)</f>
        <v>465</v>
      </c>
      <c r="S115" s="56">
        <f>MROUND(((CentreBasedHeadcountEnrolmentsHigh34[[#This Row],[Kōhanga Reo]]*SUM(N$75:N$77))*N$67)*'Source-fte_qualstus_x_servtype'!J35,5)</f>
        <v>915</v>
      </c>
      <c r="T115" s="56">
        <f>MROUND(((CentreBasedHeadcountEnrolmentsHigh34[[#This Row],[Home-based]]*SUM(O$78))*O$67)*'Source-fte_qualstus_x_servtype'!J35,5)</f>
        <v>2465</v>
      </c>
      <c r="U115" s="56">
        <f>MROUND(((CentreBasedHeadcountEnrolmentsHigh34[[#This Row],[Playcentre]]*SUM(P$78))*P$67)*0.5,5)</f>
        <v>955</v>
      </c>
      <c r="V115" s="56">
        <f t="shared" si="61"/>
        <v>31290</v>
      </c>
      <c r="X115" s="18"/>
      <c r="Y115" s="1">
        <v>2028</v>
      </c>
      <c r="Z115" s="56">
        <f>MROUND(SUM(HighScenarioCentreBasedFTEDemand39[[#This Row],[Education &amp; Care (under 2s)]:[Education &amp; Care (3+)]])*U$62,5)</f>
        <v>15360</v>
      </c>
      <c r="AA115" s="56">
        <f>MROUND(SUM(HighScenarioCentreBasedFTEDemand39[[#This Row],[Kindergarten (Under 2s)]:[Kindergarten (3+)]])*T$61,5)</f>
        <v>3630</v>
      </c>
      <c r="AB115" s="56">
        <f>MROUND(SUM(HighScenarioCentreBasedFTEDemand39[[#This Row],[Kōhanga Reo (Under 2s)]:[Kōhanga Reo (2+)]])*U$62,5)</f>
        <v>925</v>
      </c>
      <c r="AC115" s="56">
        <f>MROUND(HighScenarioCentreBasedFTEDemand39[[#This Row],[Home-based]]*U$62,5)</f>
        <v>1655</v>
      </c>
      <c r="AD115" s="56">
        <f>MROUND(HighScenarioCentreBasedFTEDemand39[[#This Row],[Playcentre]]*U$62,5)</f>
        <v>640</v>
      </c>
      <c r="AE115" s="56">
        <f t="shared" si="62"/>
        <v>22210</v>
      </c>
      <c r="AH115" s="1">
        <v>2028</v>
      </c>
      <c r="AI115" s="74">
        <f>SUM(HighScenarioCentreBasedFTEDemand39[[#This Row],[Education &amp; Care (under 2s)]:[Education &amp; Care (3+)]])-HighScenarioQualifiedFTE43[[#This Row],[Education &amp; Care]]</f>
        <v>7500</v>
      </c>
      <c r="AJ115" s="74">
        <f>SUM(HighScenarioCentreBasedFTEDemand39[[#This Row],[Kindergarten (Under 2s)]:[Kindergarten (3+)]])-HighScenarioQualifiedFTE43[[#This Row],[Kindergarten]]</f>
        <v>0</v>
      </c>
      <c r="AK115" s="74">
        <f>SUM(HighScenarioCentreBasedFTEDemand39[[#This Row],[Kōhanga Reo (Under 2s)]:[Kōhanga Reo (2+)]])-HighScenarioQualifiedFTE43[[#This Row],[Kōhanga Reo]]</f>
        <v>455</v>
      </c>
      <c r="AL115" s="74">
        <f>HighScenarioCentreBasedFTEDemand39[[#This Row],[Home-based]]-HighScenarioQualifiedFTE43[[#This Row],[Home-based]]</f>
        <v>810</v>
      </c>
      <c r="AM115" s="74">
        <f>HighScenarioCentreBasedFTEDemand39[[#This Row],[Playcentre]]-HighScenarioQualifiedFTE43[[#This Row],[Playcentre]]</f>
        <v>315</v>
      </c>
      <c r="AN115" s="74">
        <f t="shared" si="63"/>
        <v>9080</v>
      </c>
    </row>
    <row r="116" spans="1:40" outlineLevel="1">
      <c r="B116" s="1">
        <v>2029</v>
      </c>
      <c r="C116" s="73">
        <f>MROUND(('T15'!$T19*C$75),5)</f>
        <v>142570</v>
      </c>
      <c r="D116" s="73">
        <f>MROUND(('T15'!$T19*D$75),5)</f>
        <v>28295</v>
      </c>
      <c r="E116" s="73">
        <f>MROUND(('T15'!$T19*E$75),5)</f>
        <v>8645</v>
      </c>
      <c r="F116" s="73">
        <f>MROUND(('T15'!$T19*F$75),5)</f>
        <v>11625</v>
      </c>
      <c r="G116" s="73">
        <f>MROUND(('T15'!$T19*G$75),5)</f>
        <v>9700</v>
      </c>
      <c r="H116" s="56">
        <f t="shared" si="60"/>
        <v>200835</v>
      </c>
      <c r="J116" s="18"/>
      <c r="K116" s="1">
        <v>2029</v>
      </c>
      <c r="L116" s="56">
        <f>MROUND(((CentreBasedHeadcountEnrolmentsHigh34[[#This Row],[Education &amp; Care]]*L$74)*L$68)*'Source-fte_qualstus_x_servtype'!J36,5)</f>
        <v>6450</v>
      </c>
      <c r="M116" s="56">
        <f>MROUND(((CentreBasedHeadcountEnrolmentsHigh34[[#This Row],[Education &amp; Care]]*L$75)*L$69)*'Source-fte_qualstus_x_servtype'!J36,5)</f>
        <v>5520</v>
      </c>
      <c r="N116" s="56">
        <f>MROUND(((CentreBasedHeadcountEnrolmentsHigh34[[#This Row],[Education &amp; Care]]*SUM(L$76:L$77))*L$70)*'Source-fte_qualstus_x_servtype'!J36,5)</f>
        <v>11370</v>
      </c>
      <c r="O116" s="56">
        <f>MROUND(((CentreBasedHeadcountEnrolmentsHigh34[[#This Row],[Kindergarten]]*M$74)*M$68)*'Source-fte_qualstus_x_servtype'!J36,5)</f>
        <v>70</v>
      </c>
      <c r="P116" s="56">
        <f>MROUND(((CentreBasedHeadcountEnrolmentsHigh34[[#This Row],[Kindergarten]]*M$75)*M$69)*'Source-fte_qualstus_x_servtype'!J36,5)</f>
        <v>640</v>
      </c>
      <c r="Q116" s="56">
        <f>MROUND(((CentreBasedHeadcountEnrolmentsHigh34[[#This Row],[Kindergarten]]*SUM(M$76:M$77))*M$70)*'Source-fte_qualstus_x_servtype'!J36,5)</f>
        <v>2990</v>
      </c>
      <c r="R116" s="56">
        <f>MROUND(((CentreBasedHeadcountEnrolmentsHigh34[[#This Row],[Kōhanga Reo]]*SUM(N$74))*N$66)*'Source-fte_qualstus_x_servtype'!J36,5)</f>
        <v>475</v>
      </c>
      <c r="S116" s="56">
        <f>MROUND(((CentreBasedHeadcountEnrolmentsHigh34[[#This Row],[Kōhanga Reo]]*SUM(N$75:N$77))*N$67)*'Source-fte_qualstus_x_servtype'!J36,5)</f>
        <v>930</v>
      </c>
      <c r="T116" s="56">
        <f>MROUND(((CentreBasedHeadcountEnrolmentsHigh34[[#This Row],[Home-based]]*SUM(O$78))*O$67)*'Source-fte_qualstus_x_servtype'!J36,5)</f>
        <v>2520</v>
      </c>
      <c r="U116" s="56">
        <f>MROUND(((CentreBasedHeadcountEnrolmentsHigh34[[#This Row],[Playcentre]]*SUM(P$78))*P$67)*0.5,5)</f>
        <v>970</v>
      </c>
      <c r="V116" s="56">
        <f t="shared" si="61"/>
        <v>31935</v>
      </c>
      <c r="X116" s="18"/>
      <c r="Y116" s="1">
        <v>2029</v>
      </c>
      <c r="Z116" s="56">
        <f>MROUND(SUM(HighScenarioCentreBasedFTEDemand39[[#This Row],[Education &amp; Care (under 2s)]:[Education &amp; Care (3+)]])*U$62,5)</f>
        <v>15685</v>
      </c>
      <c r="AA116" s="56">
        <f>MROUND(SUM(HighScenarioCentreBasedFTEDemand39[[#This Row],[Kindergarten (Under 2s)]:[Kindergarten (3+)]])*T$61,5)</f>
        <v>3700</v>
      </c>
      <c r="AB116" s="56">
        <f>MROUND(SUM(HighScenarioCentreBasedFTEDemand39[[#This Row],[Kōhanga Reo (Under 2s)]:[Kōhanga Reo (2+)]])*U$62,5)</f>
        <v>945</v>
      </c>
      <c r="AC116" s="56">
        <f>MROUND(HighScenarioCentreBasedFTEDemand39[[#This Row],[Home-based]]*U$62,5)</f>
        <v>1695</v>
      </c>
      <c r="AD116" s="56">
        <f>MROUND(HighScenarioCentreBasedFTEDemand39[[#This Row],[Playcentre]]*U$62,5)</f>
        <v>650</v>
      </c>
      <c r="AE116" s="56">
        <f t="shared" si="62"/>
        <v>22675</v>
      </c>
      <c r="AH116" s="1">
        <v>2029</v>
      </c>
      <c r="AI116" s="74">
        <f>SUM(HighScenarioCentreBasedFTEDemand39[[#This Row],[Education &amp; Care (under 2s)]:[Education &amp; Care (3+)]])-HighScenarioQualifiedFTE43[[#This Row],[Education &amp; Care]]</f>
        <v>7655</v>
      </c>
      <c r="AJ116" s="74">
        <f>SUM(HighScenarioCentreBasedFTEDemand39[[#This Row],[Kindergarten (Under 2s)]:[Kindergarten (3+)]])-HighScenarioQualifiedFTE43[[#This Row],[Kindergarten]]</f>
        <v>0</v>
      </c>
      <c r="AK116" s="74">
        <f>SUM(HighScenarioCentreBasedFTEDemand39[[#This Row],[Kōhanga Reo (Under 2s)]:[Kōhanga Reo (2+)]])-HighScenarioQualifiedFTE43[[#This Row],[Kōhanga Reo]]</f>
        <v>460</v>
      </c>
      <c r="AL116" s="74">
        <f>HighScenarioCentreBasedFTEDemand39[[#This Row],[Home-based]]-HighScenarioQualifiedFTE43[[#This Row],[Home-based]]</f>
        <v>825</v>
      </c>
      <c r="AM116" s="74">
        <f>HighScenarioCentreBasedFTEDemand39[[#This Row],[Playcentre]]-HighScenarioQualifiedFTE43[[#This Row],[Playcentre]]</f>
        <v>320</v>
      </c>
      <c r="AN116" s="74">
        <f t="shared" si="63"/>
        <v>9260</v>
      </c>
    </row>
    <row r="117" spans="1:40" outlineLevel="1">
      <c r="B117" s="1">
        <v>2030</v>
      </c>
      <c r="C117" s="73">
        <f>MROUND(('T15'!$T20*C$75),5)</f>
        <v>143870</v>
      </c>
      <c r="D117" s="73">
        <f>MROUND(('T15'!$T20*D$75),5)</f>
        <v>28555</v>
      </c>
      <c r="E117" s="73">
        <f>MROUND(('T15'!$T20*E$75),5)</f>
        <v>8720</v>
      </c>
      <c r="F117" s="73">
        <f>MROUND(('T15'!$T20*F$75),5)</f>
        <v>11730</v>
      </c>
      <c r="G117" s="73">
        <f>MROUND(('T15'!$T20*G$75),5)</f>
        <v>9790</v>
      </c>
      <c r="H117" s="56">
        <f t="shared" si="60"/>
        <v>202665</v>
      </c>
      <c r="J117" s="18"/>
      <c r="K117" s="1">
        <v>2030</v>
      </c>
      <c r="L117" s="56">
        <f>MROUND(((CentreBasedHeadcountEnrolmentsHigh34[[#This Row],[Education &amp; Care]]*L$74)*L$68)*'Source-fte_qualstus_x_servtype'!J37,5)</f>
        <v>6540</v>
      </c>
      <c r="M117" s="56">
        <f>MROUND(((CentreBasedHeadcountEnrolmentsHigh34[[#This Row],[Education &amp; Care]]*L$75)*L$69)*'Source-fte_qualstus_x_servtype'!J37,5)</f>
        <v>5595</v>
      </c>
      <c r="N117" s="56">
        <f>MROUND(((CentreBasedHeadcountEnrolmentsHigh34[[#This Row],[Education &amp; Care]]*SUM(L$76:L$77))*L$70)*'Source-fte_qualstus_x_servtype'!J37,5)</f>
        <v>11520</v>
      </c>
      <c r="O117" s="56">
        <f>MROUND(((CentreBasedHeadcountEnrolmentsHigh34[[#This Row],[Kindergarten]]*M$74)*M$68)*'Source-fte_qualstus_x_servtype'!J37,5)</f>
        <v>70</v>
      </c>
      <c r="P117" s="56">
        <f>MROUND(((CentreBasedHeadcountEnrolmentsHigh34[[#This Row],[Kindergarten]]*M$75)*M$69)*'Source-fte_qualstus_x_servtype'!J37,5)</f>
        <v>650</v>
      </c>
      <c r="Q117" s="56">
        <f>MROUND(((CentreBasedHeadcountEnrolmentsHigh34[[#This Row],[Kindergarten]]*SUM(M$76:M$77))*M$70)*'Source-fte_qualstus_x_servtype'!J37,5)</f>
        <v>3030</v>
      </c>
      <c r="R117" s="56">
        <f>MROUND(((CentreBasedHeadcountEnrolmentsHigh34[[#This Row],[Kōhanga Reo]]*SUM(N$74))*N$66)*'Source-fte_qualstus_x_servtype'!J37,5)</f>
        <v>480</v>
      </c>
      <c r="S117" s="56">
        <f>MROUND(((CentreBasedHeadcountEnrolmentsHigh34[[#This Row],[Kōhanga Reo]]*SUM(N$75:N$77))*N$67)*'Source-fte_qualstus_x_servtype'!J37,5)</f>
        <v>945</v>
      </c>
      <c r="T117" s="56">
        <f>MROUND(((CentreBasedHeadcountEnrolmentsHigh34[[#This Row],[Home-based]]*SUM(O$78))*O$67)*'Source-fte_qualstus_x_servtype'!J37,5)</f>
        <v>2555</v>
      </c>
      <c r="U117" s="56">
        <f>MROUND(((CentreBasedHeadcountEnrolmentsHigh34[[#This Row],[Playcentre]]*SUM(P$78))*P$67)*0.5,5)</f>
        <v>980</v>
      </c>
      <c r="V117" s="56">
        <f t="shared" si="61"/>
        <v>32365</v>
      </c>
      <c r="X117" s="18"/>
      <c r="Y117" s="1">
        <v>2030</v>
      </c>
      <c r="Z117" s="56">
        <f>MROUND(SUM(HighScenarioCentreBasedFTEDemand39[[#This Row],[Education &amp; Care (under 2s)]:[Education &amp; Care (3+)]])*U$62,5)</f>
        <v>15895</v>
      </c>
      <c r="AA117" s="56">
        <f>MROUND(SUM(HighScenarioCentreBasedFTEDemand39[[#This Row],[Kindergarten (Under 2s)]:[Kindergarten (3+)]])*T$61,5)</f>
        <v>3750</v>
      </c>
      <c r="AB117" s="56">
        <f>MROUND(SUM(HighScenarioCentreBasedFTEDemand39[[#This Row],[Kōhanga Reo (Under 2s)]:[Kōhanga Reo (2+)]])*U$62,5)</f>
        <v>960</v>
      </c>
      <c r="AC117" s="56">
        <f>MROUND(HighScenarioCentreBasedFTEDemand39[[#This Row],[Home-based]]*U$62,5)</f>
        <v>1715</v>
      </c>
      <c r="AD117" s="56">
        <f>MROUND(HighScenarioCentreBasedFTEDemand39[[#This Row],[Playcentre]]*U$62,5)</f>
        <v>660</v>
      </c>
      <c r="AE117" s="56">
        <f t="shared" si="62"/>
        <v>22980</v>
      </c>
      <c r="AH117" s="1">
        <v>2030</v>
      </c>
      <c r="AI117" s="74">
        <f>SUM(HighScenarioCentreBasedFTEDemand39[[#This Row],[Education &amp; Care (under 2s)]:[Education &amp; Care (3+)]])-HighScenarioQualifiedFTE43[[#This Row],[Education &amp; Care]]</f>
        <v>7760</v>
      </c>
      <c r="AJ117" s="74">
        <f>SUM(HighScenarioCentreBasedFTEDemand39[[#This Row],[Kindergarten (Under 2s)]:[Kindergarten (3+)]])-HighScenarioQualifiedFTE43[[#This Row],[Kindergarten]]</f>
        <v>0</v>
      </c>
      <c r="AK117" s="74">
        <f>SUM(HighScenarioCentreBasedFTEDemand39[[#This Row],[Kōhanga Reo (Under 2s)]:[Kōhanga Reo (2+)]])-HighScenarioQualifiedFTE43[[#This Row],[Kōhanga Reo]]</f>
        <v>465</v>
      </c>
      <c r="AL117" s="74">
        <f>HighScenarioCentreBasedFTEDemand39[[#This Row],[Home-based]]-HighScenarioQualifiedFTE43[[#This Row],[Home-based]]</f>
        <v>840</v>
      </c>
      <c r="AM117" s="74">
        <f>HighScenarioCentreBasedFTEDemand39[[#This Row],[Playcentre]]-HighScenarioQualifiedFTE43[[#This Row],[Playcentre]]</f>
        <v>320</v>
      </c>
      <c r="AN117" s="74">
        <f t="shared" si="63"/>
        <v>9385</v>
      </c>
    </row>
    <row r="118" spans="1:40" outlineLevel="1">
      <c r="B118" s="1">
        <v>2031</v>
      </c>
      <c r="C118" s="73">
        <f>MROUND(('T15'!$T21*C$75),5)</f>
        <v>144680</v>
      </c>
      <c r="D118" s="73">
        <f>MROUND(('T15'!$T21*D$75),5)</f>
        <v>28715</v>
      </c>
      <c r="E118" s="73">
        <f>MROUND(('T15'!$T21*E$75),5)</f>
        <v>8770</v>
      </c>
      <c r="F118" s="73">
        <f>MROUND(('T15'!$T21*F$75),5)</f>
        <v>11800</v>
      </c>
      <c r="G118" s="73">
        <f>MROUND(('T15'!$T21*G$75),5)</f>
        <v>9845</v>
      </c>
      <c r="H118" s="56">
        <f t="shared" si="60"/>
        <v>203810</v>
      </c>
      <c r="J118" s="18"/>
      <c r="K118" s="1">
        <v>2031</v>
      </c>
      <c r="L118" s="56">
        <f>MROUND(((CentreBasedHeadcountEnrolmentsHigh34[[#This Row],[Education &amp; Care]]*L$74)*L$68)*'Source-fte_qualstus_x_servtype'!J38,5)</f>
        <v>6605</v>
      </c>
      <c r="M118" s="56">
        <f>MROUND(((CentreBasedHeadcountEnrolmentsHigh34[[#This Row],[Education &amp; Care]]*L$75)*L$69)*'Source-fte_qualstus_x_servtype'!J38,5)</f>
        <v>5650</v>
      </c>
      <c r="N118" s="56">
        <f>MROUND(((CentreBasedHeadcountEnrolmentsHigh34[[#This Row],[Education &amp; Care]]*SUM(L$76:L$77))*L$70)*'Source-fte_qualstus_x_servtype'!J38,5)</f>
        <v>11635</v>
      </c>
      <c r="O118" s="56">
        <f>MROUND(((CentreBasedHeadcountEnrolmentsHigh34[[#This Row],[Kindergarten]]*M$74)*M$68)*'Source-fte_qualstus_x_servtype'!J38,5)</f>
        <v>70</v>
      </c>
      <c r="P118" s="56">
        <f>MROUND(((CentreBasedHeadcountEnrolmentsHigh34[[#This Row],[Kindergarten]]*M$75)*M$69)*'Source-fte_qualstus_x_servtype'!J38,5)</f>
        <v>655</v>
      </c>
      <c r="Q118" s="56">
        <f>MROUND(((CentreBasedHeadcountEnrolmentsHigh34[[#This Row],[Kindergarten]]*SUM(M$76:M$77))*M$70)*'Source-fte_qualstus_x_servtype'!J38,5)</f>
        <v>3060</v>
      </c>
      <c r="R118" s="56">
        <f>MROUND(((CentreBasedHeadcountEnrolmentsHigh34[[#This Row],[Kōhanga Reo]]*SUM(N$74))*N$66)*'Source-fte_qualstus_x_servtype'!J38,5)</f>
        <v>485</v>
      </c>
      <c r="S118" s="56">
        <f>MROUND(((CentreBasedHeadcountEnrolmentsHigh34[[#This Row],[Kōhanga Reo]]*SUM(N$75:N$77))*N$67)*'Source-fte_qualstus_x_servtype'!J38,5)</f>
        <v>955</v>
      </c>
      <c r="T118" s="56">
        <f>MROUND(((CentreBasedHeadcountEnrolmentsHigh34[[#This Row],[Home-based]]*SUM(O$78))*O$67)*'Source-fte_qualstus_x_servtype'!J38,5)</f>
        <v>2580</v>
      </c>
      <c r="U118" s="56">
        <f>MROUND(((CentreBasedHeadcountEnrolmentsHigh34[[#This Row],[Playcentre]]*SUM(P$78))*P$67)*0.5,5)</f>
        <v>985</v>
      </c>
      <c r="V118" s="56">
        <f t="shared" si="61"/>
        <v>32680</v>
      </c>
      <c r="X118" s="18"/>
      <c r="Y118" s="1">
        <v>2031</v>
      </c>
      <c r="Z118" s="56">
        <f>MROUND(SUM(HighScenarioCentreBasedFTEDemand39[[#This Row],[Education &amp; Care (under 2s)]:[Education &amp; Care (3+)]])*U$62,5)</f>
        <v>16055</v>
      </c>
      <c r="AA118" s="56">
        <f>MROUND(SUM(HighScenarioCentreBasedFTEDemand39[[#This Row],[Kindergarten (Under 2s)]:[Kindergarten (3+)]])*T$61,5)</f>
        <v>3785</v>
      </c>
      <c r="AB118" s="56">
        <f>MROUND(SUM(HighScenarioCentreBasedFTEDemand39[[#This Row],[Kōhanga Reo (Under 2s)]:[Kōhanga Reo (2+)]])*U$62,5)</f>
        <v>970</v>
      </c>
      <c r="AC118" s="56">
        <f>MROUND(HighScenarioCentreBasedFTEDemand39[[#This Row],[Home-based]]*U$62,5)</f>
        <v>1735</v>
      </c>
      <c r="AD118" s="56">
        <f>MROUND(HighScenarioCentreBasedFTEDemand39[[#This Row],[Playcentre]]*U$62,5)</f>
        <v>660</v>
      </c>
      <c r="AE118" s="56">
        <f t="shared" si="62"/>
        <v>23205</v>
      </c>
      <c r="AH118" s="1">
        <v>2031</v>
      </c>
      <c r="AI118" s="74">
        <f>SUM(HighScenarioCentreBasedFTEDemand39[[#This Row],[Education &amp; Care (under 2s)]:[Education &amp; Care (3+)]])-HighScenarioQualifiedFTE43[[#This Row],[Education &amp; Care]]</f>
        <v>7835</v>
      </c>
      <c r="AJ118" s="74">
        <f>SUM(HighScenarioCentreBasedFTEDemand39[[#This Row],[Kindergarten (Under 2s)]:[Kindergarten (3+)]])-HighScenarioQualifiedFTE43[[#This Row],[Kindergarten]]</f>
        <v>0</v>
      </c>
      <c r="AK118" s="74">
        <f>SUM(HighScenarioCentreBasedFTEDemand39[[#This Row],[Kōhanga Reo (Under 2s)]:[Kōhanga Reo (2+)]])-HighScenarioQualifiedFTE43[[#This Row],[Kōhanga Reo]]</f>
        <v>470</v>
      </c>
      <c r="AL118" s="74">
        <f>HighScenarioCentreBasedFTEDemand39[[#This Row],[Home-based]]-HighScenarioQualifiedFTE43[[#This Row],[Home-based]]</f>
        <v>845</v>
      </c>
      <c r="AM118" s="74">
        <f>HighScenarioCentreBasedFTEDemand39[[#This Row],[Playcentre]]-HighScenarioQualifiedFTE43[[#This Row],[Playcentre]]</f>
        <v>325</v>
      </c>
      <c r="AN118" s="74">
        <f t="shared" si="63"/>
        <v>9475</v>
      </c>
    </row>
    <row r="119" spans="1:40" outlineLevel="1">
      <c r="B119" s="1">
        <v>2032</v>
      </c>
      <c r="C119" s="73">
        <f>MROUND(('T15'!$T22*C$75),5)</f>
        <v>145630</v>
      </c>
      <c r="D119" s="73">
        <f>MROUND(('T15'!$T22*D$75),5)</f>
        <v>28905</v>
      </c>
      <c r="E119" s="73">
        <f>MROUND(('T15'!$T22*E$75),5)</f>
        <v>8830</v>
      </c>
      <c r="F119" s="73">
        <f>MROUND(('T15'!$T22*F$75),5)</f>
        <v>11875</v>
      </c>
      <c r="G119" s="73">
        <f>MROUND(('T15'!$T22*G$75),5)</f>
        <v>9910</v>
      </c>
      <c r="H119" s="56">
        <f t="shared" si="60"/>
        <v>205150</v>
      </c>
      <c r="J119" s="18"/>
      <c r="K119" s="1">
        <v>2032</v>
      </c>
      <c r="L119" s="56">
        <f>MROUND(((CentreBasedHeadcountEnrolmentsHigh34[[#This Row],[Education &amp; Care]]*L$74)*L$68)*'Source-fte_qualstus_x_servtype'!J39,5)</f>
        <v>6675</v>
      </c>
      <c r="M119" s="56">
        <f>MROUND(((CentreBasedHeadcountEnrolmentsHigh34[[#This Row],[Education &amp; Care]]*L$75)*L$69)*'Source-fte_qualstus_x_servtype'!J39,5)</f>
        <v>5710</v>
      </c>
      <c r="N119" s="56">
        <f>MROUND(((CentreBasedHeadcountEnrolmentsHigh34[[#This Row],[Education &amp; Care]]*SUM(L$76:L$77))*L$70)*'Source-fte_qualstus_x_servtype'!J39,5)</f>
        <v>11765</v>
      </c>
      <c r="O119" s="56">
        <f>MROUND(((CentreBasedHeadcountEnrolmentsHigh34[[#This Row],[Kindergarten]]*M$74)*M$68)*'Source-fte_qualstus_x_servtype'!J39,5)</f>
        <v>70</v>
      </c>
      <c r="P119" s="56">
        <f>MROUND(((CentreBasedHeadcountEnrolmentsHigh34[[#This Row],[Kindergarten]]*M$75)*M$69)*'Source-fte_qualstus_x_servtype'!J39,5)</f>
        <v>665</v>
      </c>
      <c r="Q119" s="56">
        <f>MROUND(((CentreBasedHeadcountEnrolmentsHigh34[[#This Row],[Kindergarten]]*SUM(M$76:M$77))*M$70)*'Source-fte_qualstus_x_servtype'!J39,5)</f>
        <v>3095</v>
      </c>
      <c r="R119" s="56">
        <f>MROUND(((CentreBasedHeadcountEnrolmentsHigh34[[#This Row],[Kōhanga Reo]]*SUM(N$74))*N$66)*'Source-fte_qualstus_x_servtype'!J39,5)</f>
        <v>490</v>
      </c>
      <c r="S119" s="56">
        <f>MROUND(((CentreBasedHeadcountEnrolmentsHigh34[[#This Row],[Kōhanga Reo]]*SUM(N$75:N$77))*N$67)*'Source-fte_qualstus_x_servtype'!J39,5)</f>
        <v>965</v>
      </c>
      <c r="T119" s="56">
        <f>MROUND(((CentreBasedHeadcountEnrolmentsHigh34[[#This Row],[Home-based]]*SUM(O$78))*O$67)*'Source-fte_qualstus_x_servtype'!J39,5)</f>
        <v>2605</v>
      </c>
      <c r="U119" s="56">
        <f>MROUND(((CentreBasedHeadcountEnrolmentsHigh34[[#This Row],[Playcentre]]*SUM(P$78))*P$67)*0.5,5)</f>
        <v>990</v>
      </c>
      <c r="V119" s="56">
        <f t="shared" si="61"/>
        <v>33030</v>
      </c>
      <c r="X119" s="18"/>
      <c r="Y119" s="1">
        <v>2032</v>
      </c>
      <c r="Z119" s="56">
        <f>MROUND(SUM(HighScenarioCentreBasedFTEDemand39[[#This Row],[Education &amp; Care (under 2s)]:[Education &amp; Care (3+)]])*U$62,5)</f>
        <v>16230</v>
      </c>
      <c r="AA119" s="56">
        <f>MROUND(SUM(HighScenarioCentreBasedFTEDemand39[[#This Row],[Kindergarten (Under 2s)]:[Kindergarten (3+)]])*T$61,5)</f>
        <v>3830</v>
      </c>
      <c r="AB119" s="56">
        <f>MROUND(SUM(HighScenarioCentreBasedFTEDemand39[[#This Row],[Kōhanga Reo (Under 2s)]:[Kōhanga Reo (2+)]])*U$62,5)</f>
        <v>980</v>
      </c>
      <c r="AC119" s="56">
        <f>MROUND(HighScenarioCentreBasedFTEDemand39[[#This Row],[Home-based]]*U$62,5)</f>
        <v>1750</v>
      </c>
      <c r="AD119" s="56">
        <f>MROUND(HighScenarioCentreBasedFTEDemand39[[#This Row],[Playcentre]]*U$62,5)</f>
        <v>665</v>
      </c>
      <c r="AE119" s="56">
        <f t="shared" si="62"/>
        <v>23455</v>
      </c>
      <c r="AH119" s="1">
        <v>2032</v>
      </c>
      <c r="AI119" s="74">
        <f>SUM(HighScenarioCentreBasedFTEDemand39[[#This Row],[Education &amp; Care (under 2s)]:[Education &amp; Care (3+)]])-HighScenarioQualifiedFTE43[[#This Row],[Education &amp; Care]]</f>
        <v>7920</v>
      </c>
      <c r="AJ119" s="74">
        <f>SUM(HighScenarioCentreBasedFTEDemand39[[#This Row],[Kindergarten (Under 2s)]:[Kindergarten (3+)]])-HighScenarioQualifiedFTE43[[#This Row],[Kindergarten]]</f>
        <v>0</v>
      </c>
      <c r="AK119" s="74">
        <f>SUM(HighScenarioCentreBasedFTEDemand39[[#This Row],[Kōhanga Reo (Under 2s)]:[Kōhanga Reo (2+)]])-HighScenarioQualifiedFTE43[[#This Row],[Kōhanga Reo]]</f>
        <v>475</v>
      </c>
      <c r="AL119" s="74">
        <f>HighScenarioCentreBasedFTEDemand39[[#This Row],[Home-based]]-HighScenarioQualifiedFTE43[[#This Row],[Home-based]]</f>
        <v>855</v>
      </c>
      <c r="AM119" s="74">
        <f>HighScenarioCentreBasedFTEDemand39[[#This Row],[Playcentre]]-HighScenarioQualifiedFTE43[[#This Row],[Playcentre]]</f>
        <v>325</v>
      </c>
      <c r="AN119" s="74">
        <f t="shared" si="63"/>
        <v>9575</v>
      </c>
    </row>
    <row r="120" spans="1:40" outlineLevel="1">
      <c r="B120" s="1">
        <v>2033</v>
      </c>
      <c r="C120" s="73">
        <f>MROUND(('T15'!$T23*C$75),5)</f>
        <v>146470</v>
      </c>
      <c r="D120" s="73">
        <f>MROUND(('T15'!$T23*D$75),5)</f>
        <v>29070</v>
      </c>
      <c r="E120" s="73">
        <f>MROUND(('T15'!$T23*E$75),5)</f>
        <v>8880</v>
      </c>
      <c r="F120" s="73">
        <f>MROUND(('T15'!$T23*F$75),5)</f>
        <v>11945</v>
      </c>
      <c r="G120" s="73">
        <f>MROUND(('T15'!$T23*G$75),5)</f>
        <v>9965</v>
      </c>
      <c r="H120" s="56">
        <f t="shared" si="60"/>
        <v>206330</v>
      </c>
      <c r="J120" s="18"/>
      <c r="K120" s="1">
        <v>2033</v>
      </c>
      <c r="L120" s="56">
        <f>MROUND(((CentreBasedHeadcountEnrolmentsHigh34[[#This Row],[Education &amp; Care]]*L$74)*L$68)*'Source-fte_qualstus_x_servtype'!J40,5)</f>
        <v>6745</v>
      </c>
      <c r="M120" s="56">
        <f>MROUND(((CentreBasedHeadcountEnrolmentsHigh34[[#This Row],[Education &amp; Care]]*L$75)*L$69)*'Source-fte_qualstus_x_servtype'!J40,5)</f>
        <v>5770</v>
      </c>
      <c r="N120" s="56">
        <f>MROUND(((CentreBasedHeadcountEnrolmentsHigh34[[#This Row],[Education &amp; Care]]*SUM(L$76:L$77))*L$70)*'Source-fte_qualstus_x_servtype'!J40,5)</f>
        <v>11885</v>
      </c>
      <c r="O120" s="56">
        <f>MROUND(((CentreBasedHeadcountEnrolmentsHigh34[[#This Row],[Kindergarten]]*M$74)*M$68)*'Source-fte_qualstus_x_servtype'!J40,5)</f>
        <v>70</v>
      </c>
      <c r="P120" s="56">
        <f>MROUND(((CentreBasedHeadcountEnrolmentsHigh34[[#This Row],[Kindergarten]]*M$75)*M$69)*'Source-fte_qualstus_x_servtype'!J40,5)</f>
        <v>670</v>
      </c>
      <c r="Q120" s="56">
        <f>MROUND(((CentreBasedHeadcountEnrolmentsHigh34[[#This Row],[Kindergarten]]*SUM(M$76:M$77))*M$70)*'Source-fte_qualstus_x_servtype'!J40,5)</f>
        <v>3125</v>
      </c>
      <c r="R120" s="56">
        <f>MROUND(((CentreBasedHeadcountEnrolmentsHigh34[[#This Row],[Kōhanga Reo]]*SUM(N$74))*N$66)*'Source-fte_qualstus_x_servtype'!J40,5)</f>
        <v>495</v>
      </c>
      <c r="S120" s="56">
        <f>MROUND(((CentreBasedHeadcountEnrolmentsHigh34[[#This Row],[Kōhanga Reo]]*SUM(N$75:N$77))*N$67)*'Source-fte_qualstus_x_servtype'!J40,5)</f>
        <v>975</v>
      </c>
      <c r="T120" s="56">
        <f>MROUND(((CentreBasedHeadcountEnrolmentsHigh34[[#This Row],[Home-based]]*SUM(O$78))*O$67)*'Source-fte_qualstus_x_servtype'!J40,5)</f>
        <v>2635</v>
      </c>
      <c r="U120" s="56">
        <f>MROUND(((CentreBasedHeadcountEnrolmentsHigh34[[#This Row],[Playcentre]]*SUM(P$78))*P$67)*0.5,5)</f>
        <v>995</v>
      </c>
      <c r="V120" s="56">
        <f t="shared" si="61"/>
        <v>33365</v>
      </c>
      <c r="X120" s="18"/>
      <c r="Y120" s="1">
        <v>2033</v>
      </c>
      <c r="Z120" s="56">
        <f>MROUND(SUM(HighScenarioCentreBasedFTEDemand39[[#This Row],[Education &amp; Care (under 2s)]:[Education &amp; Care (3+)]])*U$62,5)</f>
        <v>16395</v>
      </c>
      <c r="AA120" s="56">
        <f>MROUND(SUM(HighScenarioCentreBasedFTEDemand39[[#This Row],[Kindergarten (Under 2s)]:[Kindergarten (3+)]])*T$61,5)</f>
        <v>3865</v>
      </c>
      <c r="AB120" s="56">
        <f>MROUND(SUM(HighScenarioCentreBasedFTEDemand39[[#This Row],[Kōhanga Reo (Under 2s)]:[Kōhanga Reo (2+)]])*U$62,5)</f>
        <v>990</v>
      </c>
      <c r="AC120" s="56">
        <f>MROUND(HighScenarioCentreBasedFTEDemand39[[#This Row],[Home-based]]*U$62,5)</f>
        <v>1770</v>
      </c>
      <c r="AD120" s="56">
        <f>MROUND(HighScenarioCentreBasedFTEDemand39[[#This Row],[Playcentre]]*U$62,5)</f>
        <v>670</v>
      </c>
      <c r="AE120" s="56">
        <f t="shared" si="62"/>
        <v>23690</v>
      </c>
      <c r="AH120" s="1">
        <v>2033</v>
      </c>
      <c r="AI120" s="74">
        <f>SUM(HighScenarioCentreBasedFTEDemand39[[#This Row],[Education &amp; Care (under 2s)]:[Education &amp; Care (3+)]])-HighScenarioQualifiedFTE43[[#This Row],[Education &amp; Care]]</f>
        <v>8005</v>
      </c>
      <c r="AJ120" s="74">
        <f>SUM(HighScenarioCentreBasedFTEDemand39[[#This Row],[Kindergarten (Under 2s)]:[Kindergarten (3+)]])-HighScenarioQualifiedFTE43[[#This Row],[Kindergarten]]</f>
        <v>0</v>
      </c>
      <c r="AK120" s="74">
        <f>SUM(HighScenarioCentreBasedFTEDemand39[[#This Row],[Kōhanga Reo (Under 2s)]:[Kōhanga Reo (2+)]])-HighScenarioQualifiedFTE43[[#This Row],[Kōhanga Reo]]</f>
        <v>480</v>
      </c>
      <c r="AL120" s="74">
        <f>HighScenarioCentreBasedFTEDemand39[[#This Row],[Home-based]]-HighScenarioQualifiedFTE43[[#This Row],[Home-based]]</f>
        <v>865</v>
      </c>
      <c r="AM120" s="74">
        <f>HighScenarioCentreBasedFTEDemand39[[#This Row],[Playcentre]]-HighScenarioQualifiedFTE43[[#This Row],[Playcentre]]</f>
        <v>325</v>
      </c>
      <c r="AN120" s="74">
        <f t="shared" si="63"/>
        <v>9675</v>
      </c>
    </row>
    <row r="121" spans="1:40" outlineLevel="1">
      <c r="B121" s="1">
        <v>2034</v>
      </c>
      <c r="C121" s="73">
        <f>MROUND(('T15'!$T24*C$75),5)</f>
        <v>147195</v>
      </c>
      <c r="D121" s="73">
        <f>MROUND(('T15'!$T24*D$75),5)</f>
        <v>29215</v>
      </c>
      <c r="E121" s="73">
        <f>MROUND(('T15'!$T24*E$75),5)</f>
        <v>8925</v>
      </c>
      <c r="F121" s="73">
        <f>MROUND(('T15'!$T24*F$75),5)</f>
        <v>12005</v>
      </c>
      <c r="G121" s="73">
        <f>MROUND(('T15'!$T24*G$75),5)</f>
        <v>10015</v>
      </c>
      <c r="H121" s="56">
        <f t="shared" si="60"/>
        <v>207355</v>
      </c>
      <c r="J121" s="18"/>
      <c r="K121" s="1">
        <v>2034</v>
      </c>
      <c r="L121" s="56">
        <f>MROUND(((CentreBasedHeadcountEnrolmentsHigh34[[#This Row],[Education &amp; Care]]*L$74)*L$68)*'Source-fte_qualstus_x_servtype'!J41,5)</f>
        <v>6805</v>
      </c>
      <c r="M121" s="56">
        <f>MROUND(((CentreBasedHeadcountEnrolmentsHigh34[[#This Row],[Education &amp; Care]]*L$75)*L$69)*'Source-fte_qualstus_x_servtype'!J41,5)</f>
        <v>5825</v>
      </c>
      <c r="N121" s="56">
        <f>MROUND(((CentreBasedHeadcountEnrolmentsHigh34[[#This Row],[Education &amp; Care]]*SUM(L$76:L$77))*L$70)*'Source-fte_qualstus_x_servtype'!J41,5)</f>
        <v>11995</v>
      </c>
      <c r="O121" s="56">
        <f>MROUND(((CentreBasedHeadcountEnrolmentsHigh34[[#This Row],[Kindergarten]]*M$74)*M$68)*'Source-fte_qualstus_x_servtype'!J41,5)</f>
        <v>75</v>
      </c>
      <c r="P121" s="56">
        <f>MROUND(((CentreBasedHeadcountEnrolmentsHigh34[[#This Row],[Kindergarten]]*M$75)*M$69)*'Source-fte_qualstus_x_servtype'!J41,5)</f>
        <v>675</v>
      </c>
      <c r="Q121" s="56">
        <f>MROUND(((CentreBasedHeadcountEnrolmentsHigh34[[#This Row],[Kindergarten]]*SUM(M$76:M$77))*M$70)*'Source-fte_qualstus_x_servtype'!J41,5)</f>
        <v>3155</v>
      </c>
      <c r="R121" s="56">
        <f>MROUND(((CentreBasedHeadcountEnrolmentsHigh34[[#This Row],[Kōhanga Reo]]*SUM(N$74))*N$66)*'Source-fte_qualstus_x_servtype'!J41,5)</f>
        <v>500</v>
      </c>
      <c r="S121" s="56">
        <f>MROUND(((CentreBasedHeadcountEnrolmentsHigh34[[#This Row],[Kōhanga Reo]]*SUM(N$75:N$77))*N$67)*'Source-fte_qualstus_x_servtype'!J41,5)</f>
        <v>985</v>
      </c>
      <c r="T121" s="56">
        <f>MROUND(((CentreBasedHeadcountEnrolmentsHigh34[[#This Row],[Home-based]]*SUM(O$78))*O$67)*'Source-fte_qualstus_x_servtype'!J41,5)</f>
        <v>2660</v>
      </c>
      <c r="U121" s="56">
        <f>MROUND(((CentreBasedHeadcountEnrolmentsHigh34[[#This Row],[Playcentre]]*SUM(P$78))*P$67)*0.5,5)</f>
        <v>1000</v>
      </c>
      <c r="V121" s="56">
        <f t="shared" si="61"/>
        <v>33675</v>
      </c>
      <c r="X121" s="18"/>
      <c r="Y121" s="1">
        <v>2034</v>
      </c>
      <c r="Z121" s="56">
        <f>MROUND(SUM(HighScenarioCentreBasedFTEDemand39[[#This Row],[Education &amp; Care (under 2s)]:[Education &amp; Care (3+)]])*U$62,5)</f>
        <v>16545</v>
      </c>
      <c r="AA121" s="56">
        <f>MROUND(SUM(HighScenarioCentreBasedFTEDemand39[[#This Row],[Kindergarten (Under 2s)]:[Kindergarten (3+)]])*T$61,5)</f>
        <v>3905</v>
      </c>
      <c r="AB121" s="56">
        <f>MROUND(SUM(HighScenarioCentreBasedFTEDemand39[[#This Row],[Kōhanga Reo (Under 2s)]:[Kōhanga Reo (2+)]])*U$62,5)</f>
        <v>1000</v>
      </c>
      <c r="AC121" s="56">
        <f>MROUND(HighScenarioCentreBasedFTEDemand39[[#This Row],[Home-based]]*U$62,5)</f>
        <v>1785</v>
      </c>
      <c r="AD121" s="56">
        <f>MROUND(HighScenarioCentreBasedFTEDemand39[[#This Row],[Playcentre]]*U$62,5)</f>
        <v>670</v>
      </c>
      <c r="AE121" s="56">
        <f t="shared" si="62"/>
        <v>23905</v>
      </c>
      <c r="AH121" s="1">
        <v>2034</v>
      </c>
      <c r="AI121" s="74">
        <f>SUM(HighScenarioCentreBasedFTEDemand39[[#This Row],[Education &amp; Care (under 2s)]:[Education &amp; Care (3+)]])-HighScenarioQualifiedFTE43[[#This Row],[Education &amp; Care]]</f>
        <v>8080</v>
      </c>
      <c r="AJ121" s="74">
        <f>SUM(HighScenarioCentreBasedFTEDemand39[[#This Row],[Kindergarten (Under 2s)]:[Kindergarten (3+)]])-HighScenarioQualifiedFTE43[[#This Row],[Kindergarten]]</f>
        <v>0</v>
      </c>
      <c r="AK121" s="74">
        <f>SUM(HighScenarioCentreBasedFTEDemand39[[#This Row],[Kōhanga Reo (Under 2s)]:[Kōhanga Reo (2+)]])-HighScenarioQualifiedFTE43[[#This Row],[Kōhanga Reo]]</f>
        <v>485</v>
      </c>
      <c r="AL121" s="74">
        <f>HighScenarioCentreBasedFTEDemand39[[#This Row],[Home-based]]-HighScenarioQualifiedFTE43[[#This Row],[Home-based]]</f>
        <v>875</v>
      </c>
      <c r="AM121" s="74">
        <f>HighScenarioCentreBasedFTEDemand39[[#This Row],[Playcentre]]-HighScenarioQualifiedFTE43[[#This Row],[Playcentre]]</f>
        <v>330</v>
      </c>
      <c r="AN121" s="74">
        <f t="shared" si="63"/>
        <v>9770</v>
      </c>
    </row>
    <row r="122" spans="1:40" outlineLevel="1">
      <c r="B122" s="1">
        <v>2035</v>
      </c>
      <c r="C122" s="73">
        <f>MROUND(('T15'!$T25*C$75),5)</f>
        <v>147935</v>
      </c>
      <c r="D122" s="73">
        <f>MROUND(('T15'!$T25*D$75),5)</f>
        <v>29360</v>
      </c>
      <c r="E122" s="73">
        <f>MROUND(('T15'!$T25*E$75),5)</f>
        <v>8970</v>
      </c>
      <c r="F122" s="73">
        <f>MROUND(('T15'!$T25*F$75),5)</f>
        <v>12065</v>
      </c>
      <c r="G122" s="73">
        <f>MROUND(('T15'!$T25*G$75),5)</f>
        <v>10065</v>
      </c>
      <c r="H122" s="56">
        <f t="shared" si="60"/>
        <v>208395</v>
      </c>
      <c r="J122" s="18"/>
      <c r="K122" s="1">
        <v>2035</v>
      </c>
      <c r="L122" s="56">
        <f>MROUND(((CentreBasedHeadcountEnrolmentsHigh34[[#This Row],[Education &amp; Care]]*L$74)*L$68)*'Source-fte_qualstus_x_servtype'!J42,5)</f>
        <v>6870</v>
      </c>
      <c r="M122" s="56">
        <f>MROUND(((CentreBasedHeadcountEnrolmentsHigh34[[#This Row],[Education &amp; Care]]*L$75)*L$69)*'Source-fte_qualstus_x_servtype'!J42,5)</f>
        <v>5875</v>
      </c>
      <c r="N122" s="56">
        <f>MROUND(((CentreBasedHeadcountEnrolmentsHigh34[[#This Row],[Education &amp; Care]]*SUM(L$76:L$77))*L$70)*'Source-fte_qualstus_x_servtype'!J42,5)</f>
        <v>12105</v>
      </c>
      <c r="O122" s="56">
        <f>MROUND(((CentreBasedHeadcountEnrolmentsHigh34[[#This Row],[Kindergarten]]*M$74)*M$68)*'Source-fte_qualstus_x_servtype'!J42,5)</f>
        <v>75</v>
      </c>
      <c r="P122" s="56">
        <f>MROUND(((CentreBasedHeadcountEnrolmentsHigh34[[#This Row],[Kindergarten]]*M$75)*M$69)*'Source-fte_qualstus_x_servtype'!J42,5)</f>
        <v>685</v>
      </c>
      <c r="Q122" s="56">
        <f>MROUND(((CentreBasedHeadcountEnrolmentsHigh34[[#This Row],[Kindergarten]]*SUM(M$76:M$77))*M$70)*'Source-fte_qualstus_x_servtype'!J42,5)</f>
        <v>3185</v>
      </c>
      <c r="R122" s="56">
        <f>MROUND(((CentreBasedHeadcountEnrolmentsHigh34[[#This Row],[Kōhanga Reo]]*SUM(N$74))*N$66)*'Source-fte_qualstus_x_servtype'!J42,5)</f>
        <v>505</v>
      </c>
      <c r="S122" s="56">
        <f>MROUND(((CentreBasedHeadcountEnrolmentsHigh34[[#This Row],[Kōhanga Reo]]*SUM(N$75:N$77))*N$67)*'Source-fte_qualstus_x_servtype'!J42,5)</f>
        <v>995</v>
      </c>
      <c r="T122" s="56">
        <f>MROUND(((CentreBasedHeadcountEnrolmentsHigh34[[#This Row],[Home-based]]*SUM(O$78))*O$67)*'Source-fte_qualstus_x_servtype'!J42,5)</f>
        <v>2685</v>
      </c>
      <c r="U122" s="56">
        <f>MROUND(((CentreBasedHeadcountEnrolmentsHigh34[[#This Row],[Playcentre]]*SUM(P$78))*P$67)*0.5,5)</f>
        <v>1005</v>
      </c>
      <c r="V122" s="56">
        <f t="shared" si="61"/>
        <v>33985</v>
      </c>
      <c r="X122" s="18"/>
      <c r="Y122" s="1">
        <v>2035</v>
      </c>
      <c r="Z122" s="56">
        <f>MROUND(SUM(HighScenarioCentreBasedFTEDemand39[[#This Row],[Education &amp; Care (under 2s)]:[Education &amp; Care (3+)]])*U$62,5)</f>
        <v>16700</v>
      </c>
      <c r="AA122" s="56">
        <f>MROUND(SUM(HighScenarioCentreBasedFTEDemand39[[#This Row],[Kindergarten (Under 2s)]:[Kindergarten (3+)]])*T$61,5)</f>
        <v>3945</v>
      </c>
      <c r="AB122" s="56">
        <f>MROUND(SUM(HighScenarioCentreBasedFTEDemand39[[#This Row],[Kōhanga Reo (Under 2s)]:[Kōhanga Reo (2+)]])*U$62,5)</f>
        <v>1010</v>
      </c>
      <c r="AC122" s="56">
        <f>MROUND(HighScenarioCentreBasedFTEDemand39[[#This Row],[Home-based]]*U$62,5)</f>
        <v>1805</v>
      </c>
      <c r="AD122" s="56">
        <f>MROUND(HighScenarioCentreBasedFTEDemand39[[#This Row],[Playcentre]]*U$62,5)</f>
        <v>675</v>
      </c>
      <c r="AE122" s="56">
        <f t="shared" si="62"/>
        <v>24135</v>
      </c>
      <c r="AH122" s="1">
        <v>2035</v>
      </c>
      <c r="AI122" s="74">
        <f>SUM(HighScenarioCentreBasedFTEDemand39[[#This Row],[Education &amp; Care (under 2s)]:[Education &amp; Care (3+)]])-HighScenarioQualifiedFTE43[[#This Row],[Education &amp; Care]]</f>
        <v>8150</v>
      </c>
      <c r="AJ122" s="74">
        <f>SUM(HighScenarioCentreBasedFTEDemand39[[#This Row],[Kindergarten (Under 2s)]:[Kindergarten (3+)]])-HighScenarioQualifiedFTE43[[#This Row],[Kindergarten]]</f>
        <v>0</v>
      </c>
      <c r="AK122" s="74">
        <f>SUM(HighScenarioCentreBasedFTEDemand39[[#This Row],[Kōhanga Reo (Under 2s)]:[Kōhanga Reo (2+)]])-HighScenarioQualifiedFTE43[[#This Row],[Kōhanga Reo]]</f>
        <v>490</v>
      </c>
      <c r="AL122" s="74">
        <f>HighScenarioCentreBasedFTEDemand39[[#This Row],[Home-based]]-HighScenarioQualifiedFTE43[[#This Row],[Home-based]]</f>
        <v>880</v>
      </c>
      <c r="AM122" s="74">
        <f>HighScenarioCentreBasedFTEDemand39[[#This Row],[Playcentre]]-HighScenarioQualifiedFTE43[[#This Row],[Playcentre]]</f>
        <v>330</v>
      </c>
      <c r="AN122" s="74">
        <f t="shared" si="63"/>
        <v>9850</v>
      </c>
    </row>
    <row r="124" spans="1:40">
      <c r="A124" s="6" t="s">
        <v>384</v>
      </c>
      <c r="J124" s="6" t="s">
        <v>385</v>
      </c>
    </row>
    <row r="125" spans="1:40" ht="29.1">
      <c r="B125" s="1" t="s">
        <v>231</v>
      </c>
      <c r="C125" s="59" t="s">
        <v>293</v>
      </c>
      <c r="D125" s="59" t="s">
        <v>305</v>
      </c>
      <c r="E125" s="59" t="s">
        <v>299</v>
      </c>
      <c r="F125" s="82" t="s">
        <v>376</v>
      </c>
      <c r="G125" s="59" t="s">
        <v>298</v>
      </c>
      <c r="H125" s="23" t="s">
        <v>238</v>
      </c>
      <c r="K125" s="1" t="s">
        <v>231</v>
      </c>
      <c r="L125" s="15" t="s">
        <v>360</v>
      </c>
      <c r="M125" s="15" t="s">
        <v>361</v>
      </c>
      <c r="N125" s="15" t="s">
        <v>362</v>
      </c>
      <c r="O125" s="15" t="s">
        <v>363</v>
      </c>
      <c r="P125" s="15" t="s">
        <v>364</v>
      </c>
      <c r="Q125" s="15" t="s">
        <v>365</v>
      </c>
      <c r="R125" s="15" t="s">
        <v>380</v>
      </c>
      <c r="S125" s="15" t="s">
        <v>381</v>
      </c>
      <c r="T125" s="86" t="s">
        <v>376</v>
      </c>
      <c r="U125" s="15" t="s">
        <v>298</v>
      </c>
      <c r="V125" s="15" t="s">
        <v>366</v>
      </c>
    </row>
    <row r="126" spans="1:40">
      <c r="B126" s="1">
        <v>2025</v>
      </c>
      <c r="C126" s="73">
        <v>138890</v>
      </c>
      <c r="D126" s="73">
        <v>27565</v>
      </c>
      <c r="E126" s="73">
        <v>8420</v>
      </c>
      <c r="F126" s="73">
        <v>11325</v>
      </c>
      <c r="G126" s="73">
        <v>9450</v>
      </c>
      <c r="H126" s="56">
        <v>195650</v>
      </c>
      <c r="K126" s="1">
        <v>2025</v>
      </c>
      <c r="L126" s="56">
        <f>MROUND(((ComplianceScenarioHeadcountEnrolments[[#This Row],[Education &amp; Care]]*L$74)*L$66)*'Source-fte_qualstus_x_servtype'!J32,1)</f>
        <v>4964</v>
      </c>
      <c r="M126" s="56">
        <f>MROUND(((ComplianceScenarioHeadcountEnrolments[[#This Row],[Education &amp; Care]]*L$75)*L$67)*'Source-fte_qualstus_x_servtype'!J32,5)</f>
        <v>2730</v>
      </c>
      <c r="N126" s="56">
        <f>MROUND(((ComplianceScenarioHeadcountEnrolments[[#This Row],[Education &amp; Care]]*SUM(L$76:L$77))*L$67)*'Source-fte_qualstus_x_servtype'!J32,5)</f>
        <v>6615</v>
      </c>
      <c r="O126" s="56">
        <f>MROUND(((ComplianceScenarioHeadcountEnrolments[[#This Row],[Kindergarten]]*M$74)*M$66)*'Source-fte_qualstus_x_servtype'!J32,5)</f>
        <v>60</v>
      </c>
      <c r="P126" s="56">
        <f>MROUND(((ComplianceScenarioHeadcountEnrolments[[#This Row],[Kindergarten]]*M$75)*M$67)*'Source-fte_qualstus_x_servtype'!J32,5)</f>
        <v>350</v>
      </c>
      <c r="Q126" s="56">
        <f>MROUND(((ComplianceScenarioHeadcountEnrolments[[#This Row],[Kindergarten]]*SUM(M$76:M$77))*M$67)*'Source-fte_qualstus_x_servtype'!J32,5)</f>
        <v>1965</v>
      </c>
      <c r="R126" s="56">
        <f>MROUND(((ComplianceScenarioHeadcountEnrolments[[#This Row],[Kōhanga Reo]]*SUM(N$74))*N$66)*'Source-fte_qualstus_x_servtype'!J32,5)</f>
        <v>455</v>
      </c>
      <c r="S126" s="56">
        <f>MROUND(((ComplianceScenarioHeadcountEnrolments[[#This Row],[Kōhanga Reo]]*SUM(N$75:N$77))*N$67)*'Source-fte_qualstus_x_servtype'!J32,5)</f>
        <v>890</v>
      </c>
      <c r="T126" s="56">
        <f>MROUND(((ComplianceScenarioHeadcountEnrolments[[#This Row],[Home-based]]*SUM(O$78))*O$67)*'Source-fte_qualstus_x_servtype'!J32,5)</f>
        <v>2410</v>
      </c>
      <c r="U126" s="56">
        <f>MROUND(((ComplianceScenarioHeadcountEnrolments[[#This Row],[Playcentre]]*SUM(P$78))*P$67)*0.5,5)</f>
        <v>945</v>
      </c>
      <c r="V126" s="56">
        <f>SUM(L126:U126)</f>
        <v>21384</v>
      </c>
    </row>
    <row r="127" spans="1:40">
      <c r="B127" s="1">
        <v>2026</v>
      </c>
      <c r="C127" s="73">
        <v>136050</v>
      </c>
      <c r="D127" s="73">
        <v>27000</v>
      </c>
      <c r="E127" s="73">
        <v>8250</v>
      </c>
      <c r="F127" s="73">
        <v>11095</v>
      </c>
      <c r="G127" s="73">
        <v>9255</v>
      </c>
      <c r="H127" s="56">
        <v>191650</v>
      </c>
      <c r="K127" s="1">
        <v>2026</v>
      </c>
      <c r="L127" s="56">
        <f>MROUND(((ComplianceScenarioHeadcountEnrolments[[#This Row],[Education &amp; Care]]*L$74)*L$66)*'Source-fte_qualstus_x_servtype'!J33,1)</f>
        <v>4884</v>
      </c>
      <c r="M127" s="56">
        <f>MROUND(((ComplianceScenarioHeadcountEnrolments[[#This Row],[Education &amp; Care]]*L$75)*L$67)*'Source-fte_qualstus_x_servtype'!J33,5)</f>
        <v>2685</v>
      </c>
      <c r="N127" s="56">
        <f>MROUND(((ComplianceScenarioHeadcountEnrolments[[#This Row],[Education &amp; Care]]*SUM(L$76:L$77))*L$67)*'Source-fte_qualstus_x_servtype'!J33,5)</f>
        <v>6510</v>
      </c>
      <c r="O127" s="56">
        <f>MROUND(((ComplianceScenarioHeadcountEnrolments[[#This Row],[Kindergarten]]*M$74)*M$66)*'Source-fte_qualstus_x_servtype'!J33,5)</f>
        <v>60</v>
      </c>
      <c r="P127" s="56">
        <f>MROUND(((ComplianceScenarioHeadcountEnrolments[[#This Row],[Kindergarten]]*M$75)*M$67)*'Source-fte_qualstus_x_servtype'!J33,5)</f>
        <v>345</v>
      </c>
      <c r="Q127" s="56">
        <f>MROUND(((ComplianceScenarioHeadcountEnrolments[[#This Row],[Kindergarten]]*SUM(M$76:M$77))*M$67)*'Source-fte_qualstus_x_servtype'!J33,5)</f>
        <v>1935</v>
      </c>
      <c r="R127" s="56">
        <f>MROUND(((ComplianceScenarioHeadcountEnrolments[[#This Row],[Kōhanga Reo]]*SUM(N$74))*N$66)*'Source-fte_qualstus_x_servtype'!J33,5)</f>
        <v>450</v>
      </c>
      <c r="S127" s="56">
        <f>MROUND(((ComplianceScenarioHeadcountEnrolments[[#This Row],[Kōhanga Reo]]*SUM(N$75:N$77))*N$67)*'Source-fte_qualstus_x_servtype'!J33,5)</f>
        <v>880</v>
      </c>
      <c r="T127" s="56">
        <f>MROUND(((ComplianceScenarioHeadcountEnrolments[[#This Row],[Home-based]]*SUM(O$78))*O$67)*'Source-fte_qualstus_x_servtype'!J33,5)</f>
        <v>2375</v>
      </c>
      <c r="U127" s="56">
        <f>MROUND(((ComplianceScenarioHeadcountEnrolments[[#This Row],[Playcentre]]*SUM(P$78))*P$67)*0.5,5)</f>
        <v>925</v>
      </c>
      <c r="V127" s="56">
        <f t="shared" ref="V127:V136" si="64">SUM(L127:U127)</f>
        <v>21049</v>
      </c>
    </row>
    <row r="128" spans="1:40">
      <c r="B128" s="1">
        <v>2027</v>
      </c>
      <c r="C128" s="73">
        <v>133650</v>
      </c>
      <c r="D128" s="73">
        <v>26525</v>
      </c>
      <c r="E128" s="73">
        <v>8100</v>
      </c>
      <c r="F128" s="73">
        <v>10900</v>
      </c>
      <c r="G128" s="73">
        <v>9095</v>
      </c>
      <c r="H128" s="56">
        <v>188270</v>
      </c>
      <c r="K128" s="1">
        <v>2027</v>
      </c>
      <c r="L128" s="56">
        <f>MROUND(((ComplianceScenarioHeadcountEnrolments[[#This Row],[Education &amp; Care]]*L$74)*L$66)*'Source-fte_qualstus_x_servtype'!J34,1)</f>
        <v>4819</v>
      </c>
      <c r="M128" s="56">
        <f>MROUND(((ComplianceScenarioHeadcountEnrolments[[#This Row],[Education &amp; Care]]*L$75)*L$67)*'Source-fte_qualstus_x_servtype'!J34,5)</f>
        <v>2650</v>
      </c>
      <c r="N128" s="56">
        <f>MROUND(((ComplianceScenarioHeadcountEnrolments[[#This Row],[Education &amp; Care]]*SUM(L$76:L$77))*L$67)*'Source-fte_qualstus_x_servtype'!J34,5)</f>
        <v>6420</v>
      </c>
      <c r="O128" s="56">
        <f>MROUND(((ComplianceScenarioHeadcountEnrolments[[#This Row],[Kindergarten]]*M$74)*M$66)*'Source-fte_qualstus_x_servtype'!J34,5)</f>
        <v>60</v>
      </c>
      <c r="P128" s="56">
        <f>MROUND(((ComplianceScenarioHeadcountEnrolments[[#This Row],[Kindergarten]]*M$75)*M$67)*'Source-fte_qualstus_x_servtype'!J34,5)</f>
        <v>340</v>
      </c>
      <c r="Q128" s="56">
        <f>MROUND(((ComplianceScenarioHeadcountEnrolments[[#This Row],[Kindergarten]]*SUM(M$76:M$77))*M$67)*'Source-fte_qualstus_x_servtype'!J34,5)</f>
        <v>1910</v>
      </c>
      <c r="R128" s="56">
        <f>MROUND(((ComplianceScenarioHeadcountEnrolments[[#This Row],[Kōhanga Reo]]*SUM(N$74))*N$66)*'Source-fte_qualstus_x_servtype'!J34,5)</f>
        <v>440</v>
      </c>
      <c r="S128" s="56">
        <f>MROUND(((ComplianceScenarioHeadcountEnrolments[[#This Row],[Kōhanga Reo]]*SUM(N$75:N$77))*N$67)*'Source-fte_qualstus_x_servtype'!J34,5)</f>
        <v>865</v>
      </c>
      <c r="T128" s="56">
        <f>MROUND(((ComplianceScenarioHeadcountEnrolments[[#This Row],[Home-based]]*SUM(O$78))*O$67)*'Source-fte_qualstus_x_servtype'!J34,5)</f>
        <v>2340</v>
      </c>
      <c r="U128" s="56">
        <f>MROUND(((ComplianceScenarioHeadcountEnrolments[[#This Row],[Playcentre]]*SUM(P$78))*P$67)*0.5,5)</f>
        <v>910</v>
      </c>
      <c r="V128" s="56">
        <f t="shared" si="64"/>
        <v>20754</v>
      </c>
    </row>
    <row r="129" spans="2:22">
      <c r="B129" s="1">
        <v>2028</v>
      </c>
      <c r="C129" s="73">
        <v>134405</v>
      </c>
      <c r="D129" s="73">
        <v>26675</v>
      </c>
      <c r="E129" s="73">
        <v>8150</v>
      </c>
      <c r="F129" s="73">
        <v>10960</v>
      </c>
      <c r="G129" s="73">
        <v>9145</v>
      </c>
      <c r="H129" s="56">
        <v>189335</v>
      </c>
      <c r="K129" s="1">
        <v>2028</v>
      </c>
      <c r="L129" s="56">
        <f>MROUND(((ComplianceScenarioHeadcountEnrolments[[#This Row],[Education &amp; Care]]*L$74)*L$66)*'Source-fte_qualstus_x_servtype'!J35,1)</f>
        <v>4868</v>
      </c>
      <c r="M129" s="56">
        <f>MROUND(((ComplianceScenarioHeadcountEnrolments[[#This Row],[Education &amp; Care]]*L$75)*L$67)*'Source-fte_qualstus_x_servtype'!J35,5)</f>
        <v>2680</v>
      </c>
      <c r="N129" s="56">
        <f>MROUND(((ComplianceScenarioHeadcountEnrolments[[#This Row],[Education &amp; Care]]*SUM(L$76:L$77))*L$67)*'Source-fte_qualstus_x_servtype'!J35,5)</f>
        <v>6485</v>
      </c>
      <c r="O129" s="56">
        <f>MROUND(((ComplianceScenarioHeadcountEnrolments[[#This Row],[Kindergarten]]*M$74)*M$66)*'Source-fte_qualstus_x_servtype'!J35,5)</f>
        <v>60</v>
      </c>
      <c r="P129" s="56">
        <f>MROUND(((ComplianceScenarioHeadcountEnrolments[[#This Row],[Kindergarten]]*M$75)*M$67)*'Source-fte_qualstus_x_servtype'!J35,5)</f>
        <v>345</v>
      </c>
      <c r="Q129" s="56">
        <f>MROUND(((ComplianceScenarioHeadcountEnrolments[[#This Row],[Kindergarten]]*SUM(M$76:M$77))*M$67)*'Source-fte_qualstus_x_servtype'!J35,5)</f>
        <v>1930</v>
      </c>
      <c r="R129" s="56">
        <f>MROUND(((ComplianceScenarioHeadcountEnrolments[[#This Row],[Kōhanga Reo]]*SUM(N$74))*N$66)*'Source-fte_qualstus_x_servtype'!J35,5)</f>
        <v>445</v>
      </c>
      <c r="S129" s="56">
        <f>MROUND(((ComplianceScenarioHeadcountEnrolments[[#This Row],[Kōhanga Reo]]*SUM(N$75:N$77))*N$67)*'Source-fte_qualstus_x_servtype'!J35,5)</f>
        <v>875</v>
      </c>
      <c r="T129" s="56">
        <f>MROUND(((ComplianceScenarioHeadcountEnrolments[[#This Row],[Home-based]]*SUM(O$78))*O$67)*'Source-fte_qualstus_x_servtype'!J35,5)</f>
        <v>2365</v>
      </c>
      <c r="U129" s="56">
        <f>MROUND(((ComplianceScenarioHeadcountEnrolments[[#This Row],[Playcentre]]*SUM(P$78))*P$67)*0.5,5)</f>
        <v>915</v>
      </c>
      <c r="V129" s="56">
        <f t="shared" si="64"/>
        <v>20968</v>
      </c>
    </row>
    <row r="130" spans="2:22">
      <c r="B130" s="1">
        <v>2029</v>
      </c>
      <c r="C130" s="73">
        <v>135285</v>
      </c>
      <c r="D130" s="73">
        <v>26850</v>
      </c>
      <c r="E130" s="73">
        <v>8200</v>
      </c>
      <c r="F130" s="73">
        <v>11030</v>
      </c>
      <c r="G130" s="73">
        <v>9205</v>
      </c>
      <c r="H130" s="56">
        <v>190570</v>
      </c>
      <c r="K130" s="1">
        <v>2029</v>
      </c>
      <c r="L130" s="56">
        <f>MROUND(((ComplianceScenarioHeadcountEnrolments[[#This Row],[Education &amp; Care]]*L$74)*L$66)*'Source-fte_qualstus_x_servtype'!J36,1)</f>
        <v>4921</v>
      </c>
      <c r="M130" s="56">
        <f>MROUND(((ComplianceScenarioHeadcountEnrolments[[#This Row],[Education &amp; Care]]*L$75)*L$67)*'Source-fte_qualstus_x_servtype'!J36,5)</f>
        <v>2705</v>
      </c>
      <c r="N130" s="56">
        <f>MROUND(((ComplianceScenarioHeadcountEnrolments[[#This Row],[Education &amp; Care]]*SUM(L$76:L$77))*L$67)*'Source-fte_qualstus_x_servtype'!J36,5)</f>
        <v>6560</v>
      </c>
      <c r="O130" s="56">
        <f>MROUND(((ComplianceScenarioHeadcountEnrolments[[#This Row],[Kindergarten]]*M$74)*M$66)*'Source-fte_qualstus_x_servtype'!J36,5)</f>
        <v>60</v>
      </c>
      <c r="P130" s="56">
        <f>MROUND(((ComplianceScenarioHeadcountEnrolments[[#This Row],[Kindergarten]]*M$75)*M$67)*'Source-fte_qualstus_x_servtype'!J36,5)</f>
        <v>350</v>
      </c>
      <c r="Q130" s="56">
        <f>MROUND(((ComplianceScenarioHeadcountEnrolments[[#This Row],[Kindergarten]]*SUM(M$76:M$77))*M$67)*'Source-fte_qualstus_x_servtype'!J36,5)</f>
        <v>1950</v>
      </c>
      <c r="R130" s="56">
        <f>MROUND(((ComplianceScenarioHeadcountEnrolments[[#This Row],[Kōhanga Reo]]*SUM(N$74))*N$66)*'Source-fte_qualstus_x_servtype'!J36,5)</f>
        <v>450</v>
      </c>
      <c r="S130" s="56">
        <f>MROUND(((ComplianceScenarioHeadcountEnrolments[[#This Row],[Kōhanga Reo]]*SUM(N$75:N$77))*N$67)*'Source-fte_qualstus_x_servtype'!J36,5)</f>
        <v>885</v>
      </c>
      <c r="T130" s="56">
        <f>MROUND(((ComplianceScenarioHeadcountEnrolments[[#This Row],[Home-based]]*SUM(O$78))*O$67)*'Source-fte_qualstus_x_servtype'!J36,5)</f>
        <v>2390</v>
      </c>
      <c r="U130" s="56">
        <f>MROUND(((ComplianceScenarioHeadcountEnrolments[[#This Row],[Playcentre]]*SUM(P$78))*P$67)*0.5,5)</f>
        <v>920</v>
      </c>
      <c r="V130" s="56">
        <f t="shared" si="64"/>
        <v>21191</v>
      </c>
    </row>
    <row r="131" spans="2:22">
      <c r="B131" s="1">
        <v>2030</v>
      </c>
      <c r="C131" s="73">
        <v>135375</v>
      </c>
      <c r="D131" s="73">
        <v>26870</v>
      </c>
      <c r="E131" s="73">
        <v>8205</v>
      </c>
      <c r="F131" s="73">
        <v>11040</v>
      </c>
      <c r="G131" s="73">
        <v>9210</v>
      </c>
      <c r="H131" s="56">
        <v>190700</v>
      </c>
      <c r="K131" s="1">
        <v>2030</v>
      </c>
      <c r="L131" s="56">
        <f>MROUND(((ComplianceScenarioHeadcountEnrolments[[#This Row],[Education &amp; Care]]*L$74)*L$66)*'Source-fte_qualstus_x_servtype'!J37,1)</f>
        <v>4946</v>
      </c>
      <c r="M131" s="56">
        <f>MROUND(((ComplianceScenarioHeadcountEnrolments[[#This Row],[Education &amp; Care]]*L$75)*L$67)*'Source-fte_qualstus_x_servtype'!J37,5)</f>
        <v>2720</v>
      </c>
      <c r="N131" s="56">
        <f>MROUND(((ComplianceScenarioHeadcountEnrolments[[#This Row],[Education &amp; Care]]*SUM(L$76:L$77))*L$67)*'Source-fte_qualstus_x_servtype'!J37,5)</f>
        <v>6590</v>
      </c>
      <c r="O131" s="56">
        <f>MROUND(((ComplianceScenarioHeadcountEnrolments[[#This Row],[Kindergarten]]*M$74)*M$66)*'Source-fte_qualstus_x_servtype'!J37,5)</f>
        <v>60</v>
      </c>
      <c r="P131" s="56">
        <f>MROUND(((ComplianceScenarioHeadcountEnrolments[[#This Row],[Kindergarten]]*M$75)*M$67)*'Source-fte_qualstus_x_servtype'!J37,5)</f>
        <v>350</v>
      </c>
      <c r="Q131" s="56">
        <f>MROUND(((ComplianceScenarioHeadcountEnrolments[[#This Row],[Kindergarten]]*SUM(M$76:M$77))*M$67)*'Source-fte_qualstus_x_servtype'!J37,5)</f>
        <v>1960</v>
      </c>
      <c r="R131" s="56">
        <f>MROUND(((ComplianceScenarioHeadcountEnrolments[[#This Row],[Kōhanga Reo]]*SUM(N$74))*N$66)*'Source-fte_qualstus_x_servtype'!J37,5)</f>
        <v>455</v>
      </c>
      <c r="S131" s="56">
        <f>MROUND(((ComplianceScenarioHeadcountEnrolments[[#This Row],[Kōhanga Reo]]*SUM(N$75:N$77))*N$67)*'Source-fte_qualstus_x_servtype'!J37,5)</f>
        <v>890</v>
      </c>
      <c r="T131" s="56">
        <f>MROUND(((ComplianceScenarioHeadcountEnrolments[[#This Row],[Home-based]]*SUM(O$78))*O$67)*'Source-fte_qualstus_x_servtype'!J37,5)</f>
        <v>2405</v>
      </c>
      <c r="U131" s="56">
        <f>MROUND(((ComplianceScenarioHeadcountEnrolments[[#This Row],[Playcentre]]*SUM(P$78))*P$67)*0.5,5)</f>
        <v>920</v>
      </c>
      <c r="V131" s="56">
        <f t="shared" si="64"/>
        <v>21296</v>
      </c>
    </row>
    <row r="132" spans="2:22">
      <c r="B132" s="1">
        <v>2031</v>
      </c>
      <c r="C132" s="73">
        <v>135405</v>
      </c>
      <c r="D132" s="73">
        <v>26875</v>
      </c>
      <c r="E132" s="73">
        <v>8210</v>
      </c>
      <c r="F132" s="73">
        <v>11040</v>
      </c>
      <c r="G132" s="73">
        <v>9215</v>
      </c>
      <c r="H132" s="56">
        <v>190745</v>
      </c>
      <c r="K132" s="1">
        <v>2031</v>
      </c>
      <c r="L132" s="56">
        <f>MROUND(((ComplianceScenarioHeadcountEnrolments[[#This Row],[Education &amp; Care]]*L$74)*L$66)*'Source-fte_qualstus_x_servtype'!J38,1)</f>
        <v>4969</v>
      </c>
      <c r="M132" s="56">
        <f>MROUND(((ComplianceScenarioHeadcountEnrolments[[#This Row],[Education &amp; Care]]*L$75)*L$67)*'Source-fte_qualstus_x_servtype'!J38,5)</f>
        <v>2735</v>
      </c>
      <c r="N132" s="56">
        <f>MROUND(((ComplianceScenarioHeadcountEnrolments[[#This Row],[Education &amp; Care]]*SUM(L$76:L$77))*L$67)*'Source-fte_qualstus_x_servtype'!J38,5)</f>
        <v>6620</v>
      </c>
      <c r="O132" s="56">
        <f>MROUND(((ComplianceScenarioHeadcountEnrolments[[#This Row],[Kindergarten]]*M$74)*M$66)*'Source-fte_qualstus_x_servtype'!J38,5)</f>
        <v>60</v>
      </c>
      <c r="P132" s="56">
        <f>MROUND(((ComplianceScenarioHeadcountEnrolments[[#This Row],[Kindergarten]]*M$75)*M$67)*'Source-fte_qualstus_x_servtype'!J38,5)</f>
        <v>350</v>
      </c>
      <c r="Q132" s="56">
        <f>MROUND(((ComplianceScenarioHeadcountEnrolments[[#This Row],[Kindergarten]]*SUM(M$76:M$77))*M$67)*'Source-fte_qualstus_x_servtype'!J38,5)</f>
        <v>1970</v>
      </c>
      <c r="R132" s="56">
        <f>MROUND(((ComplianceScenarioHeadcountEnrolments[[#This Row],[Kōhanga Reo]]*SUM(N$74))*N$66)*'Source-fte_qualstus_x_servtype'!J38,5)</f>
        <v>455</v>
      </c>
      <c r="S132" s="56">
        <f>MROUND(((ComplianceScenarioHeadcountEnrolments[[#This Row],[Kōhanga Reo]]*SUM(N$75:N$77))*N$67)*'Source-fte_qualstus_x_servtype'!J38,5)</f>
        <v>895</v>
      </c>
      <c r="T132" s="56">
        <f>MROUND(((ComplianceScenarioHeadcountEnrolments[[#This Row],[Home-based]]*SUM(O$78))*O$67)*'Source-fte_qualstus_x_servtype'!J38,5)</f>
        <v>2415</v>
      </c>
      <c r="U132" s="56">
        <f>MROUND(((ComplianceScenarioHeadcountEnrolments[[#This Row],[Playcentre]]*SUM(P$78))*P$67)*0.5,5)</f>
        <v>920</v>
      </c>
      <c r="V132" s="56">
        <f t="shared" si="64"/>
        <v>21389</v>
      </c>
    </row>
    <row r="133" spans="2:22">
      <c r="B133" s="1">
        <v>2032</v>
      </c>
      <c r="C133" s="73">
        <v>135405</v>
      </c>
      <c r="D133" s="73">
        <v>26875</v>
      </c>
      <c r="E133" s="73">
        <v>8210</v>
      </c>
      <c r="F133" s="73">
        <v>11040</v>
      </c>
      <c r="G133" s="73">
        <v>9215</v>
      </c>
      <c r="H133" s="56">
        <v>190745</v>
      </c>
      <c r="K133" s="1">
        <v>2032</v>
      </c>
      <c r="L133" s="56">
        <f>MROUND(((ComplianceScenarioHeadcountEnrolments[[#This Row],[Education &amp; Care]]*L$74)*L$66)*'Source-fte_qualstus_x_servtype'!J39,1)</f>
        <v>4990</v>
      </c>
      <c r="M133" s="56">
        <f>MROUND(((ComplianceScenarioHeadcountEnrolments[[#This Row],[Education &amp; Care]]*L$75)*L$67)*'Source-fte_qualstus_x_servtype'!J39,5)</f>
        <v>2745</v>
      </c>
      <c r="N133" s="56">
        <f>MROUND(((ComplianceScenarioHeadcountEnrolments[[#This Row],[Education &amp; Care]]*SUM(L$76:L$77))*L$67)*'Source-fte_qualstus_x_servtype'!J39,5)</f>
        <v>6650</v>
      </c>
      <c r="O133" s="56">
        <f>MROUND(((ComplianceScenarioHeadcountEnrolments[[#This Row],[Kindergarten]]*M$74)*M$66)*'Source-fte_qualstus_x_servtype'!J39,5)</f>
        <v>60</v>
      </c>
      <c r="P133" s="56">
        <f>MROUND(((ComplianceScenarioHeadcountEnrolments[[#This Row],[Kindergarten]]*M$75)*M$67)*'Source-fte_qualstus_x_servtype'!J39,5)</f>
        <v>355</v>
      </c>
      <c r="Q133" s="56">
        <f>MROUND(((ComplianceScenarioHeadcountEnrolments[[#This Row],[Kindergarten]]*SUM(M$76:M$77))*M$67)*'Source-fte_qualstus_x_servtype'!J39,5)</f>
        <v>1975</v>
      </c>
      <c r="R133" s="56">
        <f>MROUND(((ComplianceScenarioHeadcountEnrolments[[#This Row],[Kōhanga Reo]]*SUM(N$74))*N$66)*'Source-fte_qualstus_x_servtype'!J39,5)</f>
        <v>455</v>
      </c>
      <c r="S133" s="56">
        <f>MROUND(((ComplianceScenarioHeadcountEnrolments[[#This Row],[Kōhanga Reo]]*SUM(N$75:N$77))*N$67)*'Source-fte_qualstus_x_servtype'!J39,5)</f>
        <v>895</v>
      </c>
      <c r="T133" s="56">
        <f>MROUND(((ComplianceScenarioHeadcountEnrolments[[#This Row],[Home-based]]*SUM(O$78))*O$67)*'Source-fte_qualstus_x_servtype'!J39,5)</f>
        <v>2425</v>
      </c>
      <c r="U133" s="56">
        <f>MROUND(((ComplianceScenarioHeadcountEnrolments[[#This Row],[Playcentre]]*SUM(P$78))*P$67)*0.5,5)</f>
        <v>920</v>
      </c>
      <c r="V133" s="56">
        <f t="shared" si="64"/>
        <v>21470</v>
      </c>
    </row>
    <row r="134" spans="2:22">
      <c r="B134" s="1">
        <v>2033</v>
      </c>
      <c r="C134" s="73">
        <v>135430</v>
      </c>
      <c r="D134" s="73">
        <v>26880</v>
      </c>
      <c r="E134" s="73">
        <v>8210</v>
      </c>
      <c r="F134" s="73">
        <v>11045</v>
      </c>
      <c r="G134" s="73">
        <v>9215</v>
      </c>
      <c r="H134" s="56">
        <v>190780</v>
      </c>
      <c r="K134" s="1">
        <v>2033</v>
      </c>
      <c r="L134" s="56">
        <f>MROUND(((ComplianceScenarioHeadcountEnrolments[[#This Row],[Education &amp; Care]]*L$74)*L$66)*'Source-fte_qualstus_x_servtype'!J40,1)</f>
        <v>5013</v>
      </c>
      <c r="M134" s="56">
        <f>MROUND(((ComplianceScenarioHeadcountEnrolments[[#This Row],[Education &amp; Care]]*L$75)*L$67)*'Source-fte_qualstus_x_servtype'!J40,5)</f>
        <v>2760</v>
      </c>
      <c r="N134" s="56">
        <f>MROUND(((ComplianceScenarioHeadcountEnrolments[[#This Row],[Education &amp; Care]]*SUM(L$76:L$77))*L$67)*'Source-fte_qualstus_x_servtype'!J40,5)</f>
        <v>6680</v>
      </c>
      <c r="O134" s="56">
        <f>MROUND(((ComplianceScenarioHeadcountEnrolments[[#This Row],[Kindergarten]]*M$74)*M$66)*'Source-fte_qualstus_x_servtype'!J40,5)</f>
        <v>60</v>
      </c>
      <c r="P134" s="56">
        <f>MROUND(((ComplianceScenarioHeadcountEnrolments[[#This Row],[Kindergarten]]*M$75)*M$67)*'Source-fte_qualstus_x_servtype'!J40,5)</f>
        <v>355</v>
      </c>
      <c r="Q134" s="56">
        <f>MROUND(((ComplianceScenarioHeadcountEnrolments[[#This Row],[Kindergarten]]*SUM(M$76:M$77))*M$67)*'Source-fte_qualstus_x_servtype'!J40,5)</f>
        <v>1985</v>
      </c>
      <c r="R134" s="56">
        <f>MROUND(((ComplianceScenarioHeadcountEnrolments[[#This Row],[Kōhanga Reo]]*SUM(N$74))*N$66)*'Source-fte_qualstus_x_servtype'!J40,5)</f>
        <v>460</v>
      </c>
      <c r="S134" s="56">
        <f>MROUND(((ComplianceScenarioHeadcountEnrolments[[#This Row],[Kōhanga Reo]]*SUM(N$75:N$77))*N$67)*'Source-fte_qualstus_x_servtype'!J40,5)</f>
        <v>900</v>
      </c>
      <c r="T134" s="56">
        <f>MROUND(((ComplianceScenarioHeadcountEnrolments[[#This Row],[Home-based]]*SUM(O$78))*O$67)*'Source-fte_qualstus_x_servtype'!J40,5)</f>
        <v>2435</v>
      </c>
      <c r="U134" s="56">
        <f>MROUND(((ComplianceScenarioHeadcountEnrolments[[#This Row],[Playcentre]]*SUM(P$78))*P$67)*0.5,5)</f>
        <v>920</v>
      </c>
      <c r="V134" s="56">
        <f t="shared" si="64"/>
        <v>21568</v>
      </c>
    </row>
    <row r="135" spans="2:22">
      <c r="B135" s="1">
        <v>2034</v>
      </c>
      <c r="C135" s="73">
        <v>135525</v>
      </c>
      <c r="D135" s="73">
        <v>26900</v>
      </c>
      <c r="E135" s="73">
        <v>8215</v>
      </c>
      <c r="F135" s="73">
        <v>11050</v>
      </c>
      <c r="G135" s="73">
        <v>9220</v>
      </c>
      <c r="H135" s="56">
        <v>190910</v>
      </c>
      <c r="K135" s="1">
        <v>2034</v>
      </c>
      <c r="L135" s="56">
        <f>MROUND(((ComplianceScenarioHeadcountEnrolments[[#This Row],[Education &amp; Care]]*L$74)*L$66)*'Source-fte_qualstus_x_servtype'!J41,1)</f>
        <v>5038</v>
      </c>
      <c r="M135" s="56">
        <f>MROUND(((ComplianceScenarioHeadcountEnrolments[[#This Row],[Education &amp; Care]]*L$75)*L$67)*'Source-fte_qualstus_x_servtype'!J41,5)</f>
        <v>2770</v>
      </c>
      <c r="N135" s="56">
        <f>MROUND(((ComplianceScenarioHeadcountEnrolments[[#This Row],[Education &amp; Care]]*SUM(L$76:L$77))*L$67)*'Source-fte_qualstus_x_servtype'!J41,5)</f>
        <v>6715</v>
      </c>
      <c r="O135" s="56">
        <f>MROUND(((ComplianceScenarioHeadcountEnrolments[[#This Row],[Kindergarten]]*M$74)*M$66)*'Source-fte_qualstus_x_servtype'!J41,5)</f>
        <v>60</v>
      </c>
      <c r="P135" s="56">
        <f>MROUND(((ComplianceScenarioHeadcountEnrolments[[#This Row],[Kindergarten]]*M$75)*M$67)*'Source-fte_qualstus_x_servtype'!J41,5)</f>
        <v>355</v>
      </c>
      <c r="Q135" s="56">
        <f>MROUND(((ComplianceScenarioHeadcountEnrolments[[#This Row],[Kindergarten]]*SUM(M$76:M$77))*M$67)*'Source-fte_qualstus_x_servtype'!J41,5)</f>
        <v>1995</v>
      </c>
      <c r="R135" s="56">
        <f>MROUND(((ComplianceScenarioHeadcountEnrolments[[#This Row],[Kōhanga Reo]]*SUM(N$74))*N$66)*'Source-fte_qualstus_x_servtype'!J41,5)</f>
        <v>460</v>
      </c>
      <c r="S135" s="56">
        <f>MROUND(((ComplianceScenarioHeadcountEnrolments[[#This Row],[Kōhanga Reo]]*SUM(N$75:N$77))*N$67)*'Source-fte_qualstus_x_servtype'!J41,5)</f>
        <v>905</v>
      </c>
      <c r="T135" s="56">
        <f>MROUND(((ComplianceScenarioHeadcountEnrolments[[#This Row],[Home-based]]*SUM(O$78))*O$67)*'Source-fte_qualstus_x_servtype'!J41,5)</f>
        <v>2445</v>
      </c>
      <c r="U135" s="56">
        <f>MROUND(((ComplianceScenarioHeadcountEnrolments[[#This Row],[Playcentre]]*SUM(P$78))*P$67)*0.5,5)</f>
        <v>920</v>
      </c>
      <c r="V135" s="56">
        <f t="shared" si="64"/>
        <v>21663</v>
      </c>
    </row>
    <row r="136" spans="2:22">
      <c r="B136" s="1">
        <v>2035</v>
      </c>
      <c r="C136" s="73">
        <v>135725</v>
      </c>
      <c r="D136" s="73">
        <v>26940</v>
      </c>
      <c r="E136" s="73">
        <v>8230</v>
      </c>
      <c r="F136" s="73">
        <v>11070</v>
      </c>
      <c r="G136" s="73">
        <v>9235</v>
      </c>
      <c r="H136" s="56">
        <v>191200</v>
      </c>
      <c r="K136" s="1">
        <v>2035</v>
      </c>
      <c r="L136" s="56">
        <f>MROUND(((ComplianceScenarioHeadcountEnrolments[[#This Row],[Education &amp; Care]]*L$74)*L$66)*'Source-fte_qualstus_x_servtype'!J42,1)</f>
        <v>5067</v>
      </c>
      <c r="M136" s="56">
        <f>MROUND(((ComplianceScenarioHeadcountEnrolments[[#This Row],[Education &amp; Care]]*L$75)*L$67)*'Source-fte_qualstus_x_servtype'!J42,5)</f>
        <v>2790</v>
      </c>
      <c r="N136" s="56">
        <f>MROUND(((ComplianceScenarioHeadcountEnrolments[[#This Row],[Education &amp; Care]]*SUM(L$76:L$77))*L$67)*'Source-fte_qualstus_x_servtype'!J42,5)</f>
        <v>6755</v>
      </c>
      <c r="O136" s="56">
        <f>MROUND(((ComplianceScenarioHeadcountEnrolments[[#This Row],[Kindergarten]]*M$74)*M$66)*'Source-fte_qualstus_x_servtype'!J42,5)</f>
        <v>60</v>
      </c>
      <c r="P136" s="56">
        <f>MROUND(((ComplianceScenarioHeadcountEnrolments[[#This Row],[Kindergarten]]*M$75)*M$67)*'Source-fte_qualstus_x_servtype'!J42,5)</f>
        <v>360</v>
      </c>
      <c r="Q136" s="56">
        <f>MROUND(((ComplianceScenarioHeadcountEnrolments[[#This Row],[Kindergarten]]*SUM(M$76:M$77))*M$67)*'Source-fte_qualstus_x_servtype'!J42,5)</f>
        <v>2005</v>
      </c>
      <c r="R136" s="56">
        <f>MROUND(((ComplianceScenarioHeadcountEnrolments[[#This Row],[Kōhanga Reo]]*SUM(N$74))*N$66)*'Source-fte_qualstus_x_servtype'!J42,5)</f>
        <v>465</v>
      </c>
      <c r="S136" s="56">
        <f>MROUND(((ComplianceScenarioHeadcountEnrolments[[#This Row],[Kōhanga Reo]]*SUM(N$75:N$77))*N$67)*'Source-fte_qualstus_x_servtype'!J42,5)</f>
        <v>910</v>
      </c>
      <c r="T136" s="56">
        <f>MROUND(((ComplianceScenarioHeadcountEnrolments[[#This Row],[Home-based]]*SUM(O$78))*O$67)*'Source-fte_qualstus_x_servtype'!J42,5)</f>
        <v>2460</v>
      </c>
      <c r="U136" s="56">
        <f>MROUND(((ComplianceScenarioHeadcountEnrolments[[#This Row],[Playcentre]]*SUM(P$78))*P$67)*0.5,5)</f>
        <v>925</v>
      </c>
      <c r="V136" s="56">
        <f t="shared" si="64"/>
        <v>21797</v>
      </c>
    </row>
  </sheetData>
  <sheetProtection algorithmName="SHA-512" hashValue="54yJ+m4T1pc8Htkj1VYFp8vgVPViWQiDmZu+9m6ruiNroLOTQfYWWjMR3n+z1ie2LAfwvj/wAuPDNNMrKNEwmA==" saltValue="vNLr0z2TRAQyRsNXgo/JGw==" spinCount="100000" sheet="1" objects="1" scenarios="1" formatCells="0" formatColumns="0" formatRows="0" insertRows="0" sort="0" autoFilter="0" pivotTables="0"/>
  <conditionalFormatting sqref="C33:H57">
    <cfRule type="colorScale" priority="1">
      <colorScale>
        <cfvo type="min"/>
        <cfvo type="percentile" val="50"/>
        <cfvo type="max"/>
        <color rgb="FFF8696B"/>
        <color rgb="FFFFEB84"/>
        <color rgb="FF63BE7B"/>
      </colorScale>
    </cfRule>
  </conditionalFormatting>
  <pageMargins left="0.7" right="0.7" top="0.75" bottom="0.75" header="0.3" footer="0.3"/>
  <ignoredErrors>
    <ignoredError sqref="H84:H94 H98 H112 AE112 L61:N61" calculatedColumn="1"/>
    <ignoredError sqref="B4:B29 B33:B57" numberStoredAsText="1"/>
    <ignoredError sqref="C68:E72 C74:F78" formulaRange="1"/>
  </ignoredErrors>
  <tableParts count="1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8DB18-3A51-49A2-9866-669D1FB1DE20}">
  <dimension ref="A1:AG33"/>
  <sheetViews>
    <sheetView zoomScale="102" zoomScaleNormal="60" workbookViewId="0">
      <selection sqref="A1:XFD1048576"/>
    </sheetView>
  </sheetViews>
  <sheetFormatPr defaultColWidth="8.85546875" defaultRowHeight="14.65"/>
  <cols>
    <col min="1" max="1" width="9.42578125" style="142" customWidth="1"/>
    <col min="2" max="11" width="15" style="142" customWidth="1"/>
    <col min="12" max="12" width="13" style="142" customWidth="1"/>
    <col min="13" max="16384" width="8.85546875" style="142"/>
  </cols>
  <sheetData>
    <row r="1" spans="1:33">
      <c r="A1" s="141" t="s">
        <v>386</v>
      </c>
    </row>
    <row r="2" spans="1:33">
      <c r="A2" s="142" t="s">
        <v>387</v>
      </c>
    </row>
    <row r="3" spans="1:33">
      <c r="B3" s="177" t="s">
        <v>388</v>
      </c>
      <c r="C3" s="177"/>
      <c r="D3" s="177"/>
      <c r="E3" s="177"/>
      <c r="F3" s="177"/>
      <c r="G3" s="143"/>
      <c r="H3" s="177" t="s">
        <v>389</v>
      </c>
      <c r="I3" s="177"/>
      <c r="J3" s="177"/>
      <c r="K3" s="177"/>
      <c r="O3" s="144"/>
      <c r="P3" s="144"/>
      <c r="Q3" s="145"/>
      <c r="R3" s="145"/>
      <c r="S3" s="145"/>
      <c r="T3" s="145"/>
      <c r="U3" s="145"/>
      <c r="V3" s="145"/>
      <c r="W3" s="145"/>
    </row>
    <row r="4" spans="1:33" ht="58.35" customHeight="1">
      <c r="A4" s="146" t="s">
        <v>231</v>
      </c>
      <c r="B4" s="147" t="s">
        <v>390</v>
      </c>
      <c r="C4" s="147" t="s">
        <v>391</v>
      </c>
      <c r="D4" s="147" t="s">
        <v>392</v>
      </c>
      <c r="E4" s="147" t="s">
        <v>393</v>
      </c>
      <c r="F4" s="147" t="s">
        <v>394</v>
      </c>
      <c r="G4" s="147" t="s">
        <v>395</v>
      </c>
      <c r="H4" s="147" t="s">
        <v>396</v>
      </c>
      <c r="I4" s="147" t="s">
        <v>397</v>
      </c>
      <c r="J4" s="147" t="s">
        <v>393</v>
      </c>
      <c r="K4" s="147" t="s">
        <v>394</v>
      </c>
      <c r="L4" s="147" t="s">
        <v>395</v>
      </c>
      <c r="O4" s="148"/>
      <c r="P4" s="149"/>
      <c r="Q4" s="150"/>
      <c r="R4" s="150"/>
      <c r="S4" s="150"/>
      <c r="T4" s="150"/>
      <c r="U4" s="150"/>
      <c r="V4" s="150"/>
      <c r="W4" s="151"/>
      <c r="Z4" s="152"/>
      <c r="AA4" s="153"/>
      <c r="AB4" s="152"/>
      <c r="AC4" s="152"/>
      <c r="AD4" s="152"/>
      <c r="AE4" s="153"/>
      <c r="AF4" s="152"/>
      <c r="AG4" s="152"/>
    </row>
    <row r="5" spans="1:33">
      <c r="A5" s="143">
        <v>2016</v>
      </c>
      <c r="B5" s="154"/>
      <c r="C5" s="154">
        <f>SUM('T22'!B27:D27,'T22'!F27:H27)</f>
        <v>18790</v>
      </c>
      <c r="D5" s="154">
        <f>SUM('Source-fte_qualstus_x_servtype'!J8:K8,'Source-fte_qualstus_x_servtype'!J11:K11)*'Source-fte_qualstus_x_servtype'!J25</f>
        <v>23609.024999999998</v>
      </c>
      <c r="E5" s="154"/>
      <c r="F5" s="154"/>
      <c r="G5" s="155">
        <f>'T20'!X131</f>
        <v>33030</v>
      </c>
      <c r="H5" s="154">
        <f>C5*0.5</f>
        <v>9395</v>
      </c>
      <c r="I5" s="154">
        <f>SUM('Source-fte_qualstus_x_servtype'!K8,'Source-fte_qualstus_x_servtype'!K11)*'Source-fte_qualstus_x_servtype'!J25</f>
        <v>16221.974999999999</v>
      </c>
      <c r="J5" s="154">
        <f>C5*0.8</f>
        <v>15032</v>
      </c>
      <c r="K5" s="154">
        <f>C5</f>
        <v>18790</v>
      </c>
      <c r="L5" s="155">
        <f>G5</f>
        <v>33030</v>
      </c>
      <c r="O5" s="148"/>
      <c r="P5" s="149"/>
      <c r="Q5" s="150"/>
      <c r="R5" s="150"/>
      <c r="S5" s="150"/>
      <c r="T5" s="150"/>
      <c r="U5" s="150"/>
      <c r="V5" s="150"/>
      <c r="W5" s="151"/>
    </row>
    <row r="6" spans="1:33">
      <c r="A6" s="143">
        <v>2017</v>
      </c>
      <c r="B6" s="154"/>
      <c r="C6" s="154">
        <f>SUM('T22'!B28:D28,'T22'!F28:H28)</f>
        <v>19015</v>
      </c>
      <c r="D6" s="154">
        <f>SUM('Source-fte_qualstus_x_servtype'!L8:M8,'Source-fte_qualstus_x_servtype'!L11:M11)*'Source-fte_qualstus_x_servtype'!J25</f>
        <v>24599.024999999998</v>
      </c>
      <c r="E6" s="154"/>
      <c r="F6" s="154"/>
      <c r="G6" s="155">
        <f>'T20'!X132</f>
        <v>33550</v>
      </c>
      <c r="H6" s="154">
        <f t="shared" ref="H6:H13" si="0">C6*0.5</f>
        <v>9507.5</v>
      </c>
      <c r="I6" s="154">
        <f>SUM('Source-fte_qualstus_x_servtype'!M8,'Source-fte_qualstus_x_servtype'!M11)*'Source-fte_qualstus_x_servtype'!J25</f>
        <v>16690.575000000001</v>
      </c>
      <c r="J6" s="154">
        <f t="shared" ref="J6:J13" si="1">C6*0.8</f>
        <v>15212</v>
      </c>
      <c r="K6" s="154">
        <f t="shared" ref="K6:K13" si="2">C6</f>
        <v>19015</v>
      </c>
      <c r="L6" s="155">
        <f t="shared" ref="L6:L24" si="3">G6</f>
        <v>33550</v>
      </c>
      <c r="O6" s="156"/>
      <c r="P6" s="149"/>
      <c r="Q6" s="150"/>
      <c r="R6" s="150"/>
      <c r="S6" s="150"/>
      <c r="T6" s="150"/>
      <c r="U6" s="150"/>
      <c r="V6" s="150"/>
      <c r="W6" s="151"/>
      <c r="X6" s="157"/>
    </row>
    <row r="7" spans="1:33">
      <c r="A7" s="143">
        <v>2018</v>
      </c>
      <c r="B7" s="154"/>
      <c r="C7" s="154">
        <f>SUM('T22'!B29:D29,'T22'!F29:H29)</f>
        <v>19245</v>
      </c>
      <c r="D7" s="154">
        <f>SUM('Source-fte_qualstus_x_servtype'!N8:O8,'Source-fte_qualstus_x_servtype'!N11:O11)*'Source-fte_qualstus_x_servtype'!J25</f>
        <v>25157.55</v>
      </c>
      <c r="E7" s="154"/>
      <c r="F7" s="154"/>
      <c r="G7" s="155">
        <f>'T20'!X133</f>
        <v>34445</v>
      </c>
      <c r="H7" s="154">
        <f t="shared" si="0"/>
        <v>9622.5</v>
      </c>
      <c r="I7" s="154">
        <f>SUM('Source-fte_qualstus_x_servtype'!O8,'Source-fte_qualstus_x_servtype'!O11)*'Source-fte_qualstus_x_servtype'!J25</f>
        <v>16986.75</v>
      </c>
      <c r="J7" s="154">
        <f t="shared" si="1"/>
        <v>15396</v>
      </c>
      <c r="K7" s="154">
        <f t="shared" si="2"/>
        <v>19245</v>
      </c>
      <c r="L7" s="155">
        <f t="shared" si="3"/>
        <v>34445</v>
      </c>
      <c r="O7" s="148"/>
      <c r="P7" s="149"/>
      <c r="Q7" s="150"/>
      <c r="R7" s="150"/>
      <c r="S7" s="150"/>
      <c r="T7" s="150"/>
      <c r="U7" s="150"/>
      <c r="V7" s="150"/>
      <c r="W7" s="151"/>
    </row>
    <row r="8" spans="1:33">
      <c r="A8" s="143">
        <v>2019</v>
      </c>
      <c r="B8" s="154"/>
      <c r="C8" s="154">
        <f>SUM('T22'!B30:D30,'T22'!F30:H30)</f>
        <v>19225</v>
      </c>
      <c r="D8" s="154">
        <f>SUM('Source-fte_qualstus_x_servtype'!P8:Q8,'Source-fte_qualstus_x_servtype'!P11:Q11)*'Source-fte_qualstus_x_servtype'!L25</f>
        <v>25810.489600000001</v>
      </c>
      <c r="E8" s="154"/>
      <c r="F8" s="154"/>
      <c r="G8" s="155">
        <f>'T20'!X134</f>
        <v>35505</v>
      </c>
      <c r="H8" s="154">
        <f t="shared" si="0"/>
        <v>9612.5</v>
      </c>
      <c r="I8" s="154">
        <f>SUM('Source-fte_qualstus_x_servtype'!Q8,'Source-fte_qualstus_x_servtype'!Q11)*'Source-fte_qualstus_x_servtype'!L25</f>
        <v>17295.398399999998</v>
      </c>
      <c r="J8" s="154">
        <f t="shared" si="1"/>
        <v>15380</v>
      </c>
      <c r="K8" s="154">
        <f t="shared" si="2"/>
        <v>19225</v>
      </c>
      <c r="L8" s="155">
        <f t="shared" si="3"/>
        <v>35505</v>
      </c>
      <c r="O8" s="156"/>
      <c r="P8" s="149"/>
      <c r="Q8" s="150"/>
      <c r="R8" s="150"/>
      <c r="S8" s="150"/>
      <c r="T8" s="150"/>
      <c r="U8" s="150"/>
      <c r="V8" s="150"/>
      <c r="W8" s="151"/>
      <c r="X8" s="157"/>
    </row>
    <row r="9" spans="1:33">
      <c r="A9" s="143">
        <v>2020</v>
      </c>
      <c r="B9" s="154"/>
      <c r="C9" s="154">
        <f>SUM('T22'!B31:D31,'T22'!F31:H31)</f>
        <v>18620</v>
      </c>
      <c r="D9" s="154">
        <f>SUM('Source-fte_qualstus_x_servtype'!R8:S8,'Source-fte_qualstus_x_servtype'!R11:S11)*'Source-fte_qualstus_x_servtype'!L26</f>
        <v>24662.444599999999</v>
      </c>
      <c r="E9" s="154"/>
      <c r="F9" s="154"/>
      <c r="G9" s="155">
        <f>'T20'!X135</f>
        <v>35900</v>
      </c>
      <c r="H9" s="154">
        <f t="shared" si="0"/>
        <v>9310</v>
      </c>
      <c r="I9" s="154">
        <f>SUM('Source-fte_qualstus_x_servtype'!S8,'Source-fte_qualstus_x_servtype'!S11)*'Source-fte_qualstus_x_servtype'!L26</f>
        <v>17475.4414</v>
      </c>
      <c r="J9" s="154">
        <f t="shared" si="1"/>
        <v>14896</v>
      </c>
      <c r="K9" s="154">
        <f t="shared" si="2"/>
        <v>18620</v>
      </c>
      <c r="L9" s="155">
        <f t="shared" si="3"/>
        <v>35900</v>
      </c>
      <c r="O9" s="148"/>
      <c r="P9" s="149"/>
      <c r="Q9" s="158"/>
      <c r="R9" s="158"/>
      <c r="S9" s="158"/>
      <c r="T9" s="158"/>
      <c r="U9" s="158"/>
      <c r="V9" s="158"/>
      <c r="W9" s="159"/>
    </row>
    <row r="10" spans="1:33">
      <c r="A10" s="143">
        <v>2021</v>
      </c>
      <c r="B10" s="154"/>
      <c r="C10" s="154">
        <f>SUM('T22'!B32:D32,'T22'!F32:H32)</f>
        <v>19175</v>
      </c>
      <c r="D10" s="154">
        <f>SUM('Source-fte_qualstus_x_servtype'!T8:U8,'Source-fte_qualstus_x_servtype'!T11:U11)*'Source-fte_qualstus_x_servtype'!L27</f>
        <v>26805.783600000002</v>
      </c>
      <c r="E10" s="154"/>
      <c r="F10" s="154"/>
      <c r="G10" s="155">
        <f>'T20'!X136</f>
        <v>35905</v>
      </c>
      <c r="H10" s="154">
        <f t="shared" si="0"/>
        <v>9587.5</v>
      </c>
      <c r="I10" s="154">
        <f>SUM('Source-fte_qualstus_x_servtype'!U8,'Source-fte_qualstus_x_servtype'!U11)*'Source-fte_qualstus_x_servtype'!L27</f>
        <v>18579.7896</v>
      </c>
      <c r="J10" s="154">
        <f t="shared" si="1"/>
        <v>15340</v>
      </c>
      <c r="K10" s="154">
        <f t="shared" si="2"/>
        <v>19175</v>
      </c>
      <c r="L10" s="155">
        <f t="shared" si="3"/>
        <v>35905</v>
      </c>
      <c r="O10" s="156"/>
      <c r="P10" s="149"/>
      <c r="Q10" s="158"/>
      <c r="R10" s="158"/>
      <c r="S10" s="158"/>
      <c r="T10" s="158"/>
      <c r="U10" s="158"/>
      <c r="V10" s="158"/>
      <c r="W10" s="159"/>
      <c r="X10" s="157"/>
    </row>
    <row r="11" spans="1:33">
      <c r="A11" s="143">
        <v>2022</v>
      </c>
      <c r="B11" s="154"/>
      <c r="C11" s="154">
        <f>SUM('T22'!B33:D33,'T22'!F33:H33)</f>
        <v>18080</v>
      </c>
      <c r="D11" s="154">
        <f>SUM('Source-fte_qualstus_x_servtype'!V8:W8,'Source-fte_qualstus_x_servtype'!V11:W11)*'Source-fte_qualstus_x_servtype'!L28</f>
        <v>26635.180200000003</v>
      </c>
      <c r="E11" s="154"/>
      <c r="F11" s="154"/>
      <c r="G11" s="155">
        <f>'T20'!X137</f>
        <v>35755</v>
      </c>
      <c r="H11" s="154">
        <f t="shared" si="0"/>
        <v>9040</v>
      </c>
      <c r="I11" s="154">
        <f>SUM('Source-fte_qualstus_x_servtype'!W8,'Source-fte_qualstus_x_servtype'!W11)*'Source-fte_qualstus_x_servtype'!L28</f>
        <v>18265.948</v>
      </c>
      <c r="J11" s="154">
        <f t="shared" si="1"/>
        <v>14464</v>
      </c>
      <c r="K11" s="154">
        <f t="shared" si="2"/>
        <v>18080</v>
      </c>
      <c r="L11" s="155">
        <f t="shared" si="3"/>
        <v>35755</v>
      </c>
      <c r="O11" s="148"/>
      <c r="P11" s="149"/>
      <c r="Q11" s="158"/>
      <c r="R11" s="158"/>
      <c r="S11" s="158"/>
      <c r="T11" s="158"/>
      <c r="U11" s="158"/>
      <c r="V11" s="158"/>
      <c r="W11" s="159"/>
    </row>
    <row r="12" spans="1:33">
      <c r="A12" s="143">
        <v>2023</v>
      </c>
      <c r="B12" s="154"/>
      <c r="C12" s="154">
        <f>SUM('T22'!B34:D34,'T22'!F34:H34)</f>
        <v>19260</v>
      </c>
      <c r="D12" s="154">
        <f>SUM('Source-fte_qualstus_x_servtype'!X8:Y8,'Source-fte_qualstus_x_servtype'!X11:Y11)*'Source-fte_qualstus_x_servtype'!J26</f>
        <v>27877.32</v>
      </c>
      <c r="E12" s="154"/>
      <c r="F12" s="154"/>
      <c r="G12" s="155">
        <f>'T20'!X138</f>
        <v>34815</v>
      </c>
      <c r="H12" s="154">
        <f t="shared" si="0"/>
        <v>9630</v>
      </c>
      <c r="I12" s="154">
        <f>SUM('Source-fte_qualstus_x_servtype'!Y8,'Source-fte_qualstus_x_servtype'!Y11)*'Source-fte_qualstus_x_servtype'!J26</f>
        <v>19118.288</v>
      </c>
      <c r="J12" s="154">
        <f t="shared" si="1"/>
        <v>15408</v>
      </c>
      <c r="K12" s="154">
        <f t="shared" si="2"/>
        <v>19260</v>
      </c>
      <c r="L12" s="155">
        <f t="shared" si="3"/>
        <v>34815</v>
      </c>
      <c r="O12" s="156"/>
      <c r="P12" s="149"/>
      <c r="Q12" s="158"/>
      <c r="R12" s="158"/>
      <c r="S12" s="158"/>
      <c r="T12" s="158"/>
      <c r="U12" s="158"/>
      <c r="V12" s="158"/>
      <c r="W12" s="159"/>
      <c r="X12" s="157"/>
    </row>
    <row r="13" spans="1:33">
      <c r="A13" s="143">
        <v>2024</v>
      </c>
      <c r="B13" s="154">
        <f>D13</f>
        <v>27689.148000000001</v>
      </c>
      <c r="C13" s="154">
        <f>SUM('T22'!B35:D35,'T22'!F35:H35)</f>
        <v>19615</v>
      </c>
      <c r="D13" s="154">
        <f>SUM('Source-fte_qualstus_x_servtype'!Z8:AA8,'Source-fte_qualstus_x_servtype'!Z11:AA11)*'Source-fte_qualstus_x_servtype'!J31</f>
        <v>27689.148000000001</v>
      </c>
      <c r="E13" s="154">
        <f>D13</f>
        <v>27689.148000000001</v>
      </c>
      <c r="F13" s="154">
        <f>D13</f>
        <v>27689.148000000001</v>
      </c>
      <c r="G13" s="155">
        <f>'T20'!X139</f>
        <v>34380</v>
      </c>
      <c r="H13" s="154">
        <f t="shared" si="0"/>
        <v>9807.5</v>
      </c>
      <c r="I13" s="154">
        <f>SUM('Source-fte_qualstus_x_servtype'!AA8,'Source-fte_qualstus_x_servtype'!AA11)*'Source-fte_qualstus_x_servtype'!J31</f>
        <v>19558.745999999999</v>
      </c>
      <c r="J13" s="154">
        <f t="shared" si="1"/>
        <v>15692</v>
      </c>
      <c r="K13" s="154">
        <f t="shared" si="2"/>
        <v>19615</v>
      </c>
      <c r="L13" s="155">
        <f t="shared" si="3"/>
        <v>34380</v>
      </c>
      <c r="O13" s="148"/>
      <c r="P13" s="149"/>
      <c r="Q13" s="158"/>
      <c r="R13" s="158"/>
      <c r="S13" s="158"/>
      <c r="T13" s="158"/>
      <c r="U13" s="158"/>
      <c r="V13" s="158"/>
      <c r="W13" s="159"/>
    </row>
    <row r="14" spans="1:33">
      <c r="A14" s="143">
        <v>2025</v>
      </c>
      <c r="B14" s="154">
        <f>'T17'!M84</f>
        <v>23575</v>
      </c>
      <c r="C14" s="154"/>
      <c r="D14" s="154"/>
      <c r="E14" s="154">
        <f>'T17'!M98</f>
        <v>25275</v>
      </c>
      <c r="F14" s="154">
        <f>'T17'!M112</f>
        <v>26400</v>
      </c>
      <c r="G14" s="155">
        <f>'T20'!X140</f>
        <v>34590</v>
      </c>
      <c r="H14" s="154">
        <f>'T17'!R84</f>
        <v>13405</v>
      </c>
      <c r="I14" s="154"/>
      <c r="J14" s="154">
        <f>'T17'!R98</f>
        <v>17660</v>
      </c>
      <c r="K14" s="154">
        <f>'T17'!R112</f>
        <v>26400</v>
      </c>
      <c r="L14" s="155">
        <f t="shared" si="3"/>
        <v>34590</v>
      </c>
      <c r="O14" s="156"/>
      <c r="P14" s="149"/>
      <c r="Q14" s="158"/>
      <c r="R14" s="158"/>
      <c r="S14" s="158"/>
      <c r="T14" s="158"/>
      <c r="U14" s="158"/>
      <c r="V14" s="158"/>
      <c r="W14" s="159"/>
      <c r="X14" s="157"/>
    </row>
    <row r="15" spans="1:33">
      <c r="A15" s="143">
        <v>2026</v>
      </c>
      <c r="B15" s="154">
        <f>'T17'!M85</f>
        <v>23050</v>
      </c>
      <c r="C15" s="154"/>
      <c r="D15" s="154"/>
      <c r="E15" s="154">
        <f>'T17'!M99</f>
        <v>24870</v>
      </c>
      <c r="F15" s="154">
        <f>'T17'!M113</f>
        <v>26130</v>
      </c>
      <c r="G15" s="155">
        <f>'T20'!X104</f>
        <v>34825</v>
      </c>
      <c r="H15" s="154">
        <f>'T17'!R85</f>
        <v>13105</v>
      </c>
      <c r="I15" s="154"/>
      <c r="J15" s="154">
        <f>'T17'!R99</f>
        <v>17380</v>
      </c>
      <c r="K15" s="154">
        <f>'T17'!R113</f>
        <v>26130</v>
      </c>
      <c r="L15" s="155">
        <f t="shared" si="3"/>
        <v>34825</v>
      </c>
      <c r="O15" s="148"/>
      <c r="P15" s="149"/>
      <c r="Q15" s="158"/>
      <c r="R15" s="158"/>
      <c r="S15" s="158"/>
      <c r="T15" s="158"/>
      <c r="U15" s="158"/>
      <c r="V15" s="158"/>
      <c r="W15" s="159"/>
    </row>
    <row r="16" spans="1:33">
      <c r="A16" s="143">
        <v>2027</v>
      </c>
      <c r="B16" s="154">
        <f>'T17'!M86</f>
        <v>22560</v>
      </c>
      <c r="C16" s="154"/>
      <c r="D16" s="154"/>
      <c r="E16" s="154">
        <f>'T17'!M100</f>
        <v>24545</v>
      </c>
      <c r="F16" s="154">
        <f>'T17'!M114</f>
        <v>25985</v>
      </c>
      <c r="G16" s="155">
        <f>'T20'!X105</f>
        <v>34915</v>
      </c>
      <c r="H16" s="154">
        <f>'T17'!R86</f>
        <v>12825</v>
      </c>
      <c r="I16" s="154"/>
      <c r="J16" s="154">
        <f>'T17'!R100</f>
        <v>17150</v>
      </c>
      <c r="K16" s="154">
        <f>'T17'!R114</f>
        <v>25985</v>
      </c>
      <c r="L16" s="155">
        <f t="shared" si="3"/>
        <v>34915</v>
      </c>
      <c r="O16" s="156"/>
      <c r="P16" s="149"/>
      <c r="Q16" s="158"/>
      <c r="R16" s="158"/>
      <c r="S16" s="158"/>
      <c r="T16" s="158"/>
      <c r="U16" s="158"/>
      <c r="V16" s="158"/>
      <c r="W16" s="159"/>
      <c r="X16" s="157"/>
    </row>
    <row r="17" spans="1:24">
      <c r="A17" s="143">
        <v>2028</v>
      </c>
      <c r="B17" s="154">
        <f>'T17'!M87</f>
        <v>22565</v>
      </c>
      <c r="C17" s="154"/>
      <c r="D17" s="154"/>
      <c r="E17" s="154">
        <f>'T17'!M101</f>
        <v>24800</v>
      </c>
      <c r="F17" s="154">
        <f>'T17'!M115</f>
        <v>26480</v>
      </c>
      <c r="G17" s="155">
        <f>'T20'!X106</f>
        <v>35060</v>
      </c>
      <c r="H17" s="154">
        <f>'T17'!R87</f>
        <v>12830</v>
      </c>
      <c r="I17" s="154"/>
      <c r="J17" s="154">
        <f>'T17'!R101</f>
        <v>17330</v>
      </c>
      <c r="K17" s="154">
        <f>'T17'!R115</f>
        <v>26480</v>
      </c>
      <c r="L17" s="155">
        <f t="shared" si="3"/>
        <v>35060</v>
      </c>
      <c r="O17" s="148"/>
      <c r="P17" s="149"/>
      <c r="Q17" s="158"/>
      <c r="R17" s="158"/>
      <c r="S17" s="158"/>
      <c r="T17" s="158"/>
      <c r="U17" s="158"/>
      <c r="V17" s="158"/>
      <c r="W17" s="159"/>
    </row>
    <row r="18" spans="1:24">
      <c r="A18" s="143">
        <v>2029</v>
      </c>
      <c r="B18" s="154">
        <f>'T17'!M88</f>
        <v>22565</v>
      </c>
      <c r="C18" s="154"/>
      <c r="D18" s="154"/>
      <c r="E18" s="154">
        <f>'T17'!M102</f>
        <v>25065</v>
      </c>
      <c r="F18" s="154">
        <f>'T17'!M116</f>
        <v>27025</v>
      </c>
      <c r="G18" s="155">
        <f>'T20'!X107</f>
        <v>35240</v>
      </c>
      <c r="H18" s="154">
        <f>'T17'!R88</f>
        <v>12830</v>
      </c>
      <c r="I18" s="154"/>
      <c r="J18" s="154">
        <f>'T17'!R102</f>
        <v>17515</v>
      </c>
      <c r="K18" s="154">
        <f>'T17'!R116</f>
        <v>27025</v>
      </c>
      <c r="L18" s="155">
        <f t="shared" si="3"/>
        <v>35240</v>
      </c>
      <c r="O18" s="156"/>
      <c r="P18" s="149"/>
      <c r="Q18" s="158"/>
      <c r="R18" s="158"/>
      <c r="S18" s="158"/>
      <c r="T18" s="158"/>
      <c r="U18" s="158"/>
      <c r="V18" s="158"/>
      <c r="W18" s="159"/>
      <c r="X18" s="157"/>
    </row>
    <row r="19" spans="1:24">
      <c r="A19" s="143">
        <v>2030</v>
      </c>
      <c r="B19" s="154">
        <f>'T17'!M89</f>
        <v>22510</v>
      </c>
      <c r="C19" s="154"/>
      <c r="D19" s="154"/>
      <c r="E19" s="154">
        <f>'T17'!M103</f>
        <v>25190</v>
      </c>
      <c r="F19" s="154">
        <f>'T17'!M117</f>
        <v>27390</v>
      </c>
      <c r="G19" s="155">
        <f>'T20'!X108</f>
        <v>35455</v>
      </c>
      <c r="H19" s="154">
        <f>'T17'!R89</f>
        <v>12800</v>
      </c>
      <c r="I19" s="154"/>
      <c r="J19" s="154">
        <f>'T17'!R103</f>
        <v>17600</v>
      </c>
      <c r="K19" s="154">
        <f>'T17'!R117</f>
        <v>27390</v>
      </c>
      <c r="L19" s="155">
        <f t="shared" si="3"/>
        <v>35455</v>
      </c>
      <c r="O19" s="148"/>
      <c r="P19" s="149"/>
      <c r="Q19" s="158"/>
      <c r="R19" s="158"/>
      <c r="S19" s="158"/>
      <c r="T19" s="158"/>
      <c r="U19" s="158"/>
      <c r="V19" s="158"/>
      <c r="W19" s="159"/>
    </row>
    <row r="20" spans="1:24">
      <c r="A20" s="143">
        <v>2031</v>
      </c>
      <c r="B20" s="154">
        <f>'T17'!M90</f>
        <v>22450</v>
      </c>
      <c r="C20" s="154"/>
      <c r="D20" s="154"/>
      <c r="E20" s="154">
        <f>'T17'!M104</f>
        <v>25305</v>
      </c>
      <c r="F20" s="154">
        <f>'T17'!M118</f>
        <v>27660</v>
      </c>
      <c r="G20" s="155">
        <f>'T20'!X109</f>
        <v>35725</v>
      </c>
      <c r="H20" s="154">
        <f>'T17'!R90</f>
        <v>12765</v>
      </c>
      <c r="I20" s="154"/>
      <c r="J20" s="154">
        <f>'T17'!R104</f>
        <v>17680</v>
      </c>
      <c r="K20" s="154">
        <f>'T17'!R118</f>
        <v>27660</v>
      </c>
      <c r="L20" s="155">
        <f t="shared" si="3"/>
        <v>35725</v>
      </c>
      <c r="O20" s="156"/>
      <c r="P20" s="149"/>
      <c r="Q20" s="158"/>
      <c r="R20" s="158"/>
      <c r="S20" s="158"/>
      <c r="T20" s="158"/>
      <c r="U20" s="158"/>
      <c r="V20" s="158"/>
      <c r="W20" s="159"/>
      <c r="X20" s="157"/>
    </row>
    <row r="21" spans="1:24">
      <c r="A21" s="143">
        <v>2032</v>
      </c>
      <c r="B21" s="154">
        <f>'T17'!M91</f>
        <v>22390</v>
      </c>
      <c r="C21" s="154"/>
      <c r="D21" s="154"/>
      <c r="E21" s="154">
        <f>'T17'!M105</f>
        <v>25415</v>
      </c>
      <c r="F21" s="154">
        <f>'T17'!M119</f>
        <v>27975</v>
      </c>
      <c r="G21" s="155">
        <f>'T20'!X110</f>
        <v>36015</v>
      </c>
      <c r="H21" s="154">
        <f>'T17'!R91</f>
        <v>12730</v>
      </c>
      <c r="I21" s="154"/>
      <c r="J21" s="154">
        <f>'T17'!R105</f>
        <v>17760</v>
      </c>
      <c r="K21" s="154">
        <f>'T17'!R119</f>
        <v>27975</v>
      </c>
      <c r="L21" s="155">
        <f t="shared" si="3"/>
        <v>36015</v>
      </c>
      <c r="O21" s="148"/>
      <c r="P21" s="149"/>
      <c r="Q21" s="158"/>
      <c r="R21" s="158"/>
      <c r="S21" s="160"/>
      <c r="T21" s="160"/>
      <c r="U21" s="160"/>
      <c r="V21" s="160"/>
      <c r="W21" s="161"/>
    </row>
    <row r="22" spans="1:24">
      <c r="A22" s="143">
        <v>2033</v>
      </c>
      <c r="B22" s="154">
        <f>'T17'!M92</f>
        <v>22360</v>
      </c>
      <c r="C22" s="154"/>
      <c r="D22" s="154"/>
      <c r="E22" s="154">
        <f>'T17'!M106</f>
        <v>25530</v>
      </c>
      <c r="F22" s="154">
        <f>'T17'!M120</f>
        <v>28250</v>
      </c>
      <c r="G22" s="155">
        <f>'T20'!X111</f>
        <v>36330</v>
      </c>
      <c r="H22" s="154">
        <f>'T17'!R92</f>
        <v>12710</v>
      </c>
      <c r="I22" s="154"/>
      <c r="J22" s="154">
        <f>'T17'!R106</f>
        <v>17840</v>
      </c>
      <c r="K22" s="154">
        <f>'T17'!R120</f>
        <v>28250</v>
      </c>
      <c r="L22" s="155">
        <f t="shared" si="3"/>
        <v>36330</v>
      </c>
      <c r="O22" s="156"/>
      <c r="P22" s="149"/>
      <c r="Q22" s="158"/>
      <c r="R22" s="158"/>
      <c r="S22" s="160"/>
      <c r="T22" s="160"/>
      <c r="U22" s="160"/>
      <c r="V22" s="160"/>
      <c r="W22" s="161"/>
      <c r="X22" s="157"/>
    </row>
    <row r="23" spans="1:24">
      <c r="A23" s="143">
        <v>2034</v>
      </c>
      <c r="B23" s="154">
        <f>'T17'!M93</f>
        <v>22350</v>
      </c>
      <c r="C23" s="154"/>
      <c r="D23" s="154"/>
      <c r="E23" s="154">
        <f>'T17'!M107</f>
        <v>25660</v>
      </c>
      <c r="F23" s="154">
        <f>'T17'!M121</f>
        <v>28520</v>
      </c>
      <c r="G23" s="155">
        <f>'T20'!X112</f>
        <v>36675</v>
      </c>
      <c r="H23" s="154">
        <f>'T17'!R93</f>
        <v>12705</v>
      </c>
      <c r="I23" s="154"/>
      <c r="J23" s="154">
        <f>'T17'!R107</f>
        <v>17930</v>
      </c>
      <c r="K23" s="154">
        <f>'T17'!R121</f>
        <v>28520</v>
      </c>
      <c r="L23" s="155">
        <f t="shared" si="3"/>
        <v>36675</v>
      </c>
      <c r="O23" s="148"/>
      <c r="P23" s="149"/>
      <c r="Q23" s="158"/>
      <c r="R23" s="158"/>
      <c r="S23" s="158"/>
      <c r="T23" s="158"/>
      <c r="U23" s="158"/>
      <c r="V23" s="158"/>
      <c r="W23" s="161"/>
    </row>
    <row r="24" spans="1:24">
      <c r="A24" s="143">
        <v>2035</v>
      </c>
      <c r="B24" s="154">
        <f>'T17'!M94</f>
        <v>22380</v>
      </c>
      <c r="C24" s="154"/>
      <c r="D24" s="154"/>
      <c r="E24" s="154">
        <f>'T17'!M108</f>
        <v>25800</v>
      </c>
      <c r="F24" s="154">
        <f>'T17'!M122</f>
        <v>28785</v>
      </c>
      <c r="G24" s="155">
        <f>'T20'!X113</f>
        <v>37040</v>
      </c>
      <c r="H24" s="154">
        <f>'T17'!R94</f>
        <v>12720</v>
      </c>
      <c r="I24" s="154"/>
      <c r="J24" s="154">
        <f>'T17'!R108</f>
        <v>18025</v>
      </c>
      <c r="K24" s="154">
        <f>'T17'!R122</f>
        <v>28785</v>
      </c>
      <c r="L24" s="155">
        <f t="shared" si="3"/>
        <v>37040</v>
      </c>
      <c r="O24" s="156"/>
      <c r="P24" s="149"/>
      <c r="Q24" s="158"/>
      <c r="R24" s="158"/>
      <c r="S24" s="158"/>
      <c r="T24" s="158"/>
      <c r="U24" s="158"/>
      <c r="V24" s="158"/>
      <c r="W24" s="161"/>
      <c r="X24" s="157"/>
    </row>
    <row r="25" spans="1:24">
      <c r="O25" s="156"/>
      <c r="P25" s="149"/>
      <c r="Q25" s="158"/>
      <c r="R25" s="158"/>
      <c r="S25" s="158"/>
      <c r="T25" s="158"/>
      <c r="U25" s="158"/>
      <c r="V25" s="158"/>
      <c r="W25" s="161"/>
      <c r="X25" s="157"/>
    </row>
    <row r="28" spans="1:24">
      <c r="M28" s="162"/>
    </row>
    <row r="33" s="142" customFormat="1"/>
  </sheetData>
  <sheetProtection algorithmName="SHA-512" hashValue="cACk1rWaVaopIfKlNEXnkPuFqKnYjQo4I30syoTHcUcJkfD2APr0hw3b3LysTdod5Z0YC1GTINKBYdZK6h2pMg==" saltValue="zUT53TiXI1BKKL4/0pjw9Q==" spinCount="100000" sheet="1" objects="1" scenarios="1" formatCells="0" formatColumns="0" formatRows="0" insertRows="0" sort="0" autoFilter="0" pivotTables="0"/>
  <mergeCells count="2">
    <mergeCell ref="B3:F3"/>
    <mergeCell ref="H3:K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1FA9B-EF09-4BA4-ACF4-0255BB016ED2}">
  <dimension ref="A1:AH25"/>
  <sheetViews>
    <sheetView zoomScaleNormal="100" workbookViewId="0">
      <selection activeCell="D5" sqref="D5:D13"/>
    </sheetView>
  </sheetViews>
  <sheetFormatPr defaultColWidth="8.85546875" defaultRowHeight="14.65"/>
  <cols>
    <col min="1" max="1" width="9.42578125" customWidth="1"/>
    <col min="2" max="12" width="15" customWidth="1"/>
    <col min="13" max="13" width="13" customWidth="1"/>
  </cols>
  <sheetData>
    <row r="1" spans="1:34">
      <c r="A1" s="1" t="s">
        <v>398</v>
      </c>
    </row>
    <row r="2" spans="1:34">
      <c r="A2" t="s">
        <v>387</v>
      </c>
    </row>
    <row r="3" spans="1:34">
      <c r="B3" s="175" t="s">
        <v>388</v>
      </c>
      <c r="C3" s="175"/>
      <c r="D3" s="175"/>
      <c r="E3" s="175"/>
      <c r="F3" s="175"/>
      <c r="G3" s="23"/>
      <c r="H3" s="23"/>
      <c r="I3" s="175" t="s">
        <v>389</v>
      </c>
      <c r="J3" s="175"/>
      <c r="K3" s="175"/>
      <c r="L3" s="175"/>
      <c r="P3" s="35"/>
      <c r="Q3" s="35"/>
      <c r="R3" s="25"/>
      <c r="S3" s="25"/>
      <c r="T3" s="25"/>
      <c r="U3" s="25"/>
      <c r="V3" s="25"/>
      <c r="W3" s="25"/>
      <c r="X3" s="25"/>
    </row>
    <row r="4" spans="1:34" ht="43.7">
      <c r="A4" s="62" t="s">
        <v>231</v>
      </c>
      <c r="B4" s="15" t="s">
        <v>399</v>
      </c>
      <c r="C4" s="15" t="s">
        <v>400</v>
      </c>
      <c r="D4" s="15" t="s">
        <v>397</v>
      </c>
      <c r="E4" s="15" t="s">
        <v>401</v>
      </c>
      <c r="F4" s="15" t="s">
        <v>402</v>
      </c>
      <c r="G4" s="15" t="s">
        <v>403</v>
      </c>
      <c r="H4" s="15" t="s">
        <v>404</v>
      </c>
      <c r="I4" s="15" t="s">
        <v>405</v>
      </c>
      <c r="J4" s="15" t="s">
        <v>397</v>
      </c>
      <c r="K4" s="15" t="s">
        <v>406</v>
      </c>
      <c r="L4" s="15" t="s">
        <v>407</v>
      </c>
      <c r="M4" s="15" t="s">
        <v>408</v>
      </c>
      <c r="P4" s="33"/>
      <c r="Q4" s="26"/>
      <c r="R4" s="27"/>
      <c r="S4" s="27"/>
      <c r="T4" s="27"/>
      <c r="U4" s="27"/>
      <c r="V4" s="27"/>
      <c r="W4" s="27"/>
      <c r="X4" s="28"/>
      <c r="AA4" s="8"/>
      <c r="AB4" s="7"/>
      <c r="AC4" s="8"/>
      <c r="AD4" s="8"/>
      <c r="AE4" s="8"/>
      <c r="AF4" s="7"/>
      <c r="AG4" s="8"/>
      <c r="AH4" s="8"/>
    </row>
    <row r="5" spans="1:34">
      <c r="A5" s="23">
        <v>2016</v>
      </c>
      <c r="B5" s="56"/>
      <c r="C5" s="56"/>
      <c r="D5" s="56">
        <f>SUM('Source-fte_qualstus_x_servtype'!J8:K8)*'Source-fte_qualstus_x_servtype'!J25</f>
        <v>20294.174999999999</v>
      </c>
      <c r="E5" s="56"/>
      <c r="F5" s="56"/>
      <c r="G5" s="56">
        <f>'T22'!L27</f>
        <v>23475</v>
      </c>
      <c r="H5" s="55">
        <f>'T20'!X131</f>
        <v>33030</v>
      </c>
      <c r="I5" s="56"/>
      <c r="J5" s="56">
        <f>SUM('Source-fte_qualstus_x_servtype'!K8)*'Source-fte_qualstus_x_servtype'!J25</f>
        <v>13200.824999999999</v>
      </c>
      <c r="K5" s="56"/>
      <c r="L5" s="56"/>
      <c r="M5" s="55"/>
      <c r="P5" s="33"/>
      <c r="Q5" s="26"/>
      <c r="R5" s="27"/>
      <c r="S5" s="27"/>
      <c r="T5" s="27"/>
      <c r="U5" s="27"/>
      <c r="V5" s="27"/>
      <c r="W5" s="27"/>
      <c r="X5" s="28"/>
    </row>
    <row r="6" spans="1:34">
      <c r="A6" s="23">
        <v>2017</v>
      </c>
      <c r="B6" s="56"/>
      <c r="C6" s="56"/>
      <c r="D6" s="56">
        <f>SUM('Source-fte_qualstus_x_servtype'!L8:M8)*'Source-fte_qualstus_x_servtype'!J25</f>
        <v>21247.875</v>
      </c>
      <c r="E6" s="56"/>
      <c r="F6" s="56"/>
      <c r="G6" s="56">
        <f>'T22'!L28</f>
        <v>23560</v>
      </c>
      <c r="H6" s="55">
        <f>'T20'!X132</f>
        <v>33550</v>
      </c>
      <c r="I6" s="56"/>
      <c r="J6" s="56">
        <f>SUM('Source-fte_qualstus_x_servtype'!M8)*'Source-fte_qualstus_x_servtype'!J25</f>
        <v>13633.949999999999</v>
      </c>
      <c r="K6" s="56"/>
      <c r="L6" s="56"/>
      <c r="M6" s="55"/>
      <c r="P6" s="34"/>
      <c r="Q6" s="26"/>
      <c r="R6" s="27"/>
      <c r="S6" s="27"/>
      <c r="T6" s="27"/>
      <c r="U6" s="27"/>
      <c r="V6" s="27"/>
      <c r="W6" s="27"/>
      <c r="X6" s="28"/>
      <c r="Y6" s="24"/>
    </row>
    <row r="7" spans="1:34">
      <c r="A7" s="23">
        <v>2018</v>
      </c>
      <c r="B7" s="56"/>
      <c r="C7" s="56"/>
      <c r="D7" s="56">
        <f>SUM('Source-fte_qualstus_x_servtype'!N8:O8)*'Source-fte_qualstus_x_servtype'!J25</f>
        <v>21744.524999999998</v>
      </c>
      <c r="E7" s="56"/>
      <c r="F7" s="56"/>
      <c r="G7" s="56">
        <f>'T22'!L29</f>
        <v>23090</v>
      </c>
      <c r="H7" s="55">
        <f>'T20'!X133</f>
        <v>34445</v>
      </c>
      <c r="I7" s="56"/>
      <c r="J7" s="56">
        <f>SUM('Source-fte_qualstus_x_servtype'!O8)*'Source-fte_qualstus_x_servtype'!J25</f>
        <v>13892.174999999999</v>
      </c>
      <c r="K7" s="56"/>
      <c r="L7" s="56"/>
      <c r="M7" s="55"/>
      <c r="P7" s="33"/>
      <c r="Q7" s="26"/>
      <c r="R7" s="27"/>
      <c r="S7" s="27"/>
      <c r="T7" s="27"/>
      <c r="U7" s="27"/>
      <c r="V7" s="27"/>
      <c r="W7" s="27"/>
      <c r="X7" s="28"/>
    </row>
    <row r="8" spans="1:34">
      <c r="A8" s="23">
        <v>2019</v>
      </c>
      <c r="B8" s="56"/>
      <c r="C8" s="56"/>
      <c r="D8" s="56">
        <f>SUM('Source-fte_qualstus_x_servtype'!P8:Q8)*'Source-fte_qualstus_x_servtype'!L25</f>
        <v>22542.531200000001</v>
      </c>
      <c r="E8" s="56"/>
      <c r="F8" s="56"/>
      <c r="G8" s="56">
        <f>'T22'!L30</f>
        <v>22795</v>
      </c>
      <c r="H8" s="55">
        <f>'T20'!X134</f>
        <v>35505</v>
      </c>
      <c r="I8" s="56"/>
      <c r="J8" s="56">
        <f>SUM('Source-fte_qualstus_x_servtype'!Q8)*'Source-fte_qualstus_x_servtype'!L25</f>
        <v>14223.865599999999</v>
      </c>
      <c r="K8" s="56"/>
      <c r="L8" s="56"/>
      <c r="M8" s="55"/>
      <c r="P8" s="34"/>
      <c r="Q8" s="26"/>
      <c r="R8" s="27"/>
      <c r="S8" s="27"/>
      <c r="T8" s="27"/>
      <c r="U8" s="27"/>
      <c r="V8" s="27"/>
      <c r="W8" s="27"/>
      <c r="X8" s="28"/>
      <c r="Y8" s="24"/>
    </row>
    <row r="9" spans="1:34">
      <c r="A9" s="23">
        <v>2020</v>
      </c>
      <c r="B9" s="56"/>
      <c r="C9" s="56"/>
      <c r="D9" s="56">
        <f>SUM('Source-fte_qualstus_x_servtype'!R8:S8)*'Source-fte_qualstus_x_servtype'!L26</f>
        <v>21231.3</v>
      </c>
      <c r="E9" s="56"/>
      <c r="F9" s="56"/>
      <c r="G9" s="56">
        <f>'T22'!L31</f>
        <v>21600</v>
      </c>
      <c r="H9" s="55">
        <f>'T20'!X135</f>
        <v>35900</v>
      </c>
      <c r="I9" s="56"/>
      <c r="J9" s="56">
        <f>SUM('Source-fte_qualstus_x_servtype'!S8)*'Source-fte_qualstus_x_servtype'!L26</f>
        <v>14275.759599999999</v>
      </c>
      <c r="K9" s="56"/>
      <c r="L9" s="56"/>
      <c r="M9" s="55"/>
      <c r="P9" s="33"/>
      <c r="Q9" s="26"/>
      <c r="R9" s="29"/>
      <c r="S9" s="29"/>
      <c r="T9" s="29"/>
      <c r="U9" s="29"/>
      <c r="V9" s="29"/>
      <c r="W9" s="29"/>
      <c r="X9" s="30"/>
    </row>
    <row r="10" spans="1:34">
      <c r="A10" s="23">
        <v>2021</v>
      </c>
      <c r="B10" s="56"/>
      <c r="C10" s="56"/>
      <c r="D10" s="56">
        <f>SUM('Source-fte_qualstus_x_servtype'!T8:U8)*'Source-fte_qualstus_x_servtype'!L27</f>
        <v>23254.429200000002</v>
      </c>
      <c r="E10" s="56"/>
      <c r="F10" s="56"/>
      <c r="G10" s="56">
        <f>'T22'!L32</f>
        <v>21975</v>
      </c>
      <c r="H10" s="55">
        <f>'T20'!X136</f>
        <v>35905</v>
      </c>
      <c r="I10" s="56"/>
      <c r="J10" s="56">
        <f>SUM('Source-fte_qualstus_x_servtype'!U8)*'Source-fte_qualstus_x_servtype'!L27</f>
        <v>15245.8992</v>
      </c>
      <c r="K10" s="56"/>
      <c r="L10" s="56"/>
      <c r="M10" s="55"/>
      <c r="P10" s="34"/>
      <c r="Q10" s="26"/>
      <c r="R10" s="29"/>
      <c r="S10" s="29"/>
      <c r="T10" s="29"/>
      <c r="U10" s="29"/>
      <c r="V10" s="29"/>
      <c r="W10" s="29"/>
      <c r="X10" s="30"/>
      <c r="Y10" s="24"/>
    </row>
    <row r="11" spans="1:34">
      <c r="A11" s="23">
        <v>2022</v>
      </c>
      <c r="B11" s="56"/>
      <c r="C11" s="56"/>
      <c r="D11" s="56">
        <f>SUM('Source-fte_qualstus_x_servtype'!V8:W8)*'Source-fte_qualstus_x_servtype'!L28</f>
        <v>23183.638600000002</v>
      </c>
      <c r="E11" s="56"/>
      <c r="F11" s="56"/>
      <c r="G11" s="56">
        <f>'T22'!L33</f>
        <v>20300</v>
      </c>
      <c r="H11" s="55">
        <f>'T20'!X137</f>
        <v>35755</v>
      </c>
      <c r="I11" s="56"/>
      <c r="J11" s="56">
        <f>SUM('Source-fte_qualstus_x_servtype'!W8)*'Source-fte_qualstus_x_servtype'!L28</f>
        <v>15046.301600000001</v>
      </c>
      <c r="K11" s="56"/>
      <c r="L11" s="56"/>
      <c r="M11" s="55"/>
      <c r="P11" s="33"/>
      <c r="Q11" s="26"/>
      <c r="R11" s="29"/>
      <c r="S11" s="29"/>
      <c r="T11" s="29"/>
      <c r="U11" s="29"/>
      <c r="V11" s="29"/>
      <c r="W11" s="29"/>
      <c r="X11" s="30"/>
    </row>
    <row r="12" spans="1:34">
      <c r="A12" s="23">
        <v>2023</v>
      </c>
      <c r="B12" s="56"/>
      <c r="C12" s="56"/>
      <c r="D12" s="56">
        <f>SUM('Source-fte_qualstus_x_servtype'!X8:Y8)*'Source-fte_qualstus_x_servtype'!J26</f>
        <v>24259.092000000001</v>
      </c>
      <c r="E12" s="56"/>
      <c r="F12" s="56"/>
      <c r="G12" s="56">
        <f>'T22'!L34</f>
        <v>21355</v>
      </c>
      <c r="H12" s="55">
        <f>'T20'!X138</f>
        <v>34815</v>
      </c>
      <c r="I12" s="56"/>
      <c r="J12" s="56">
        <f>SUM('Source-fte_qualstus_x_servtype'!Y8)*'Source-fte_qualstus_x_servtype'!J26</f>
        <v>15720.343999999999</v>
      </c>
      <c r="K12" s="56"/>
      <c r="L12" s="56"/>
      <c r="M12" s="55"/>
      <c r="P12" s="34"/>
      <c r="Q12" s="26"/>
      <c r="R12" s="29"/>
      <c r="S12" s="29"/>
      <c r="T12" s="29"/>
      <c r="U12" s="29"/>
      <c r="V12" s="29"/>
      <c r="W12" s="29"/>
      <c r="X12" s="30"/>
      <c r="Y12" s="24"/>
    </row>
    <row r="13" spans="1:34">
      <c r="A13" s="23">
        <v>2024</v>
      </c>
      <c r="B13" s="56">
        <f>D13</f>
        <v>23812.158599999999</v>
      </c>
      <c r="C13" s="56"/>
      <c r="D13" s="56">
        <f>SUM('Source-fte_qualstus_x_servtype'!Z8:AA8)*'Source-fte_qualstus_x_servtype'!J31</f>
        <v>23812.158599999999</v>
      </c>
      <c r="E13" s="56">
        <f>D13</f>
        <v>23812.158599999999</v>
      </c>
      <c r="F13" s="56">
        <f>D13</f>
        <v>23812.158599999999</v>
      </c>
      <c r="G13" s="56">
        <f>'T22'!L35</f>
        <v>21610</v>
      </c>
      <c r="H13" s="55">
        <f>'T20'!X139</f>
        <v>34380</v>
      </c>
      <c r="I13" s="56">
        <f>J13</f>
        <v>15994.594800000001</v>
      </c>
      <c r="J13" s="56">
        <f>SUM('Source-fte_qualstus_x_servtype'!AA8)*'Source-fte_qualstus_x_servtype'!J31</f>
        <v>15994.594800000001</v>
      </c>
      <c r="K13" s="56">
        <f>J13</f>
        <v>15994.594800000001</v>
      </c>
      <c r="L13" s="56">
        <f>J13</f>
        <v>15994.594800000001</v>
      </c>
      <c r="M13" s="55"/>
      <c r="P13" s="33"/>
      <c r="Q13" s="26"/>
      <c r="R13" s="29"/>
      <c r="S13" s="29"/>
      <c r="T13" s="29"/>
      <c r="U13" s="29"/>
      <c r="V13" s="29"/>
      <c r="W13" s="29"/>
      <c r="X13" s="30"/>
    </row>
    <row r="14" spans="1:34">
      <c r="A14" s="23">
        <v>2025</v>
      </c>
      <c r="B14" s="56">
        <f>SUM('T17'!G84:I84)</f>
        <v>20345</v>
      </c>
      <c r="C14" s="56"/>
      <c r="D14" s="56"/>
      <c r="E14" s="56">
        <f>SUM('T17'!G98:I98)</f>
        <v>21815</v>
      </c>
      <c r="F14" s="56">
        <f>SUM('T17'!G112:I112)</f>
        <v>22790</v>
      </c>
      <c r="G14" s="56">
        <f>E14</f>
        <v>21815</v>
      </c>
      <c r="H14" s="55">
        <f>'T20'!X140</f>
        <v>34590</v>
      </c>
      <c r="I14" s="56">
        <f>'T17'!P84</f>
        <v>10175</v>
      </c>
      <c r="J14" s="56"/>
      <c r="K14" s="56">
        <f>'T17'!P98</f>
        <v>14200</v>
      </c>
      <c r="L14" s="56">
        <f>'T17'!P112</f>
        <v>22790</v>
      </c>
      <c r="M14" s="55"/>
      <c r="P14" s="34"/>
      <c r="Q14" s="26"/>
      <c r="R14" s="29"/>
      <c r="S14" s="29"/>
      <c r="T14" s="29"/>
      <c r="U14" s="29"/>
      <c r="V14" s="29"/>
      <c r="W14" s="29"/>
      <c r="X14" s="30"/>
      <c r="Y14" s="24"/>
    </row>
    <row r="15" spans="1:34">
      <c r="A15" s="23">
        <v>2026</v>
      </c>
      <c r="B15" s="56">
        <f>SUM('T17'!G85:I85)</f>
        <v>19895</v>
      </c>
      <c r="C15" s="56"/>
      <c r="D15" s="56"/>
      <c r="E15" s="56">
        <f>SUM('T17'!G99:I99)</f>
        <v>21465</v>
      </c>
      <c r="F15" s="56">
        <f>SUM('T17'!G113:I113)</f>
        <v>22555</v>
      </c>
      <c r="G15" s="56"/>
      <c r="H15" s="55">
        <f>'T20'!X104</f>
        <v>34825</v>
      </c>
      <c r="I15" s="56">
        <f>'T17'!P85</f>
        <v>9950</v>
      </c>
      <c r="J15" s="56"/>
      <c r="K15" s="56">
        <f>'T17'!P99</f>
        <v>13975</v>
      </c>
      <c r="L15" s="56">
        <f>'T17'!P113</f>
        <v>22555</v>
      </c>
      <c r="M15" s="55"/>
      <c r="P15" s="33"/>
      <c r="Q15" s="26"/>
      <c r="R15" s="29"/>
      <c r="S15" s="29"/>
      <c r="T15" s="29"/>
      <c r="U15" s="29"/>
      <c r="V15" s="29"/>
      <c r="W15" s="29"/>
      <c r="X15" s="30"/>
    </row>
    <row r="16" spans="1:34">
      <c r="A16" s="23">
        <v>2027</v>
      </c>
      <c r="B16" s="56">
        <f>SUM('T17'!G86:I86)</f>
        <v>19470</v>
      </c>
      <c r="C16" s="56"/>
      <c r="D16" s="56"/>
      <c r="E16" s="56">
        <f>SUM('T17'!G100:I100)</f>
        <v>21185</v>
      </c>
      <c r="F16" s="56">
        <f>SUM('T17'!G114:I114)</f>
        <v>22430</v>
      </c>
      <c r="G16" s="56"/>
      <c r="H16" s="55">
        <f>'T20'!X105</f>
        <v>34915</v>
      </c>
      <c r="I16" s="56">
        <f>'T17'!P86</f>
        <v>9735</v>
      </c>
      <c r="J16" s="56"/>
      <c r="K16" s="56">
        <f>'T17'!P100</f>
        <v>13790</v>
      </c>
      <c r="L16" s="56">
        <f>'T17'!P114</f>
        <v>22430</v>
      </c>
      <c r="M16" s="55"/>
      <c r="P16" s="34"/>
      <c r="Q16" s="26"/>
      <c r="R16" s="29"/>
      <c r="S16" s="29"/>
      <c r="T16" s="29"/>
      <c r="U16" s="29"/>
      <c r="V16" s="29"/>
      <c r="W16" s="29"/>
      <c r="X16" s="30"/>
      <c r="Y16" s="24"/>
    </row>
    <row r="17" spans="1:25">
      <c r="A17" s="23">
        <v>2028</v>
      </c>
      <c r="B17" s="56">
        <f>SUM('T17'!G87:I87)</f>
        <v>19475</v>
      </c>
      <c r="C17" s="56"/>
      <c r="D17" s="56"/>
      <c r="E17" s="56">
        <f>SUM('T17'!G101:I101)</f>
        <v>21400</v>
      </c>
      <c r="F17" s="56">
        <f>SUM('T17'!G115:I115)</f>
        <v>22850</v>
      </c>
      <c r="G17" s="56"/>
      <c r="H17" s="55">
        <f>'T20'!X106</f>
        <v>35060</v>
      </c>
      <c r="I17" s="56">
        <f>'T17'!P87</f>
        <v>9740</v>
      </c>
      <c r="J17" s="56"/>
      <c r="K17" s="56">
        <f>'T17'!P101</f>
        <v>13930</v>
      </c>
      <c r="L17" s="56">
        <f>'T17'!P115</f>
        <v>22850</v>
      </c>
      <c r="M17" s="55"/>
      <c r="P17" s="33"/>
      <c r="Q17" s="26"/>
      <c r="R17" s="29"/>
      <c r="S17" s="29"/>
      <c r="T17" s="29"/>
      <c r="U17" s="29"/>
      <c r="V17" s="29"/>
      <c r="W17" s="29"/>
      <c r="X17" s="30"/>
    </row>
    <row r="18" spans="1:25">
      <c r="A18" s="23">
        <v>2029</v>
      </c>
      <c r="B18" s="56">
        <f>SUM('T17'!G88:I88)</f>
        <v>19475</v>
      </c>
      <c r="C18" s="56"/>
      <c r="D18" s="56"/>
      <c r="E18" s="56">
        <f>SUM('T17'!G102:I102)</f>
        <v>21630</v>
      </c>
      <c r="F18" s="56">
        <f>SUM('T17'!G116:I116)</f>
        <v>23325</v>
      </c>
      <c r="G18" s="56"/>
      <c r="H18" s="55">
        <f>'T20'!X107</f>
        <v>35240</v>
      </c>
      <c r="I18" s="56">
        <f>'T17'!P88</f>
        <v>9740</v>
      </c>
      <c r="J18" s="56"/>
      <c r="K18" s="56">
        <f>'T17'!P102</f>
        <v>14080</v>
      </c>
      <c r="L18" s="56">
        <f>'T17'!P116</f>
        <v>23325</v>
      </c>
      <c r="M18" s="55"/>
      <c r="P18" s="34"/>
      <c r="Q18" s="26"/>
      <c r="R18" s="29"/>
      <c r="S18" s="29"/>
      <c r="T18" s="29"/>
      <c r="U18" s="29"/>
      <c r="V18" s="29"/>
      <c r="W18" s="29"/>
      <c r="X18" s="30"/>
      <c r="Y18" s="24"/>
    </row>
    <row r="19" spans="1:25">
      <c r="A19" s="23">
        <v>2030</v>
      </c>
      <c r="B19" s="56">
        <f>SUM('T17'!G89:I89)</f>
        <v>19425</v>
      </c>
      <c r="C19" s="56"/>
      <c r="D19" s="56"/>
      <c r="E19" s="56">
        <f>SUM('T17'!G103:I103)</f>
        <v>21740</v>
      </c>
      <c r="F19" s="56">
        <f>SUM('T17'!G117:I117)</f>
        <v>23640</v>
      </c>
      <c r="G19" s="56"/>
      <c r="H19" s="55">
        <f>'T20'!X108</f>
        <v>35455</v>
      </c>
      <c r="I19" s="56">
        <f>'T17'!P89</f>
        <v>9715</v>
      </c>
      <c r="J19" s="56"/>
      <c r="K19" s="56">
        <f>'T17'!P103</f>
        <v>14150</v>
      </c>
      <c r="L19" s="56">
        <f>'T17'!P117</f>
        <v>23640</v>
      </c>
      <c r="M19" s="55"/>
      <c r="P19" s="33"/>
      <c r="Q19" s="26"/>
      <c r="R19" s="29"/>
      <c r="S19" s="29"/>
      <c r="T19" s="29"/>
      <c r="U19" s="29"/>
      <c r="V19" s="29"/>
      <c r="W19" s="29"/>
      <c r="X19" s="30"/>
    </row>
    <row r="20" spans="1:25">
      <c r="A20" s="23">
        <v>2031</v>
      </c>
      <c r="B20" s="56">
        <f>SUM('T17'!G90:I90)</f>
        <v>19375</v>
      </c>
      <c r="C20" s="56"/>
      <c r="D20" s="56"/>
      <c r="E20" s="56">
        <f>SUM('T17'!G104:I104)</f>
        <v>21840</v>
      </c>
      <c r="F20" s="56">
        <f>SUM('T17'!G118:I118)</f>
        <v>23875</v>
      </c>
      <c r="G20" s="56"/>
      <c r="H20" s="55">
        <f>'T20'!X109</f>
        <v>35725</v>
      </c>
      <c r="I20" s="56">
        <f>'T17'!P90</f>
        <v>9690</v>
      </c>
      <c r="J20" s="56"/>
      <c r="K20" s="56">
        <f>'T17'!P104</f>
        <v>14215</v>
      </c>
      <c r="L20" s="56">
        <f>'T17'!P118</f>
        <v>23875</v>
      </c>
      <c r="M20" s="55"/>
      <c r="P20" s="34"/>
      <c r="Q20" s="26"/>
      <c r="R20" s="29"/>
      <c r="S20" s="29"/>
      <c r="T20" s="29"/>
      <c r="U20" s="29"/>
      <c r="V20" s="29"/>
      <c r="W20" s="29"/>
      <c r="X20" s="30"/>
      <c r="Y20" s="24"/>
    </row>
    <row r="21" spans="1:25">
      <c r="A21" s="23">
        <v>2032</v>
      </c>
      <c r="B21" s="56">
        <f>SUM('T17'!G91:I91)</f>
        <v>19325</v>
      </c>
      <c r="C21" s="56"/>
      <c r="D21" s="56"/>
      <c r="E21" s="56">
        <f>SUM('T17'!G105:I105)</f>
        <v>21935</v>
      </c>
      <c r="F21" s="56">
        <f>SUM('T17'!G119:I119)</f>
        <v>24145</v>
      </c>
      <c r="G21" s="56"/>
      <c r="H21" s="55">
        <f>'T20'!X110</f>
        <v>36015</v>
      </c>
      <c r="I21" s="56">
        <f>'T17'!P91</f>
        <v>9665</v>
      </c>
      <c r="J21" s="56"/>
      <c r="K21" s="56">
        <f>'T17'!P105</f>
        <v>14280</v>
      </c>
      <c r="L21" s="56">
        <f>'T17'!P119</f>
        <v>24145</v>
      </c>
      <c r="M21" s="55"/>
      <c r="P21" s="33"/>
      <c r="Q21" s="26"/>
      <c r="R21" s="29"/>
      <c r="S21" s="29"/>
      <c r="T21" s="31"/>
      <c r="U21" s="31"/>
      <c r="V21" s="31"/>
      <c r="W21" s="31"/>
      <c r="X21" s="32"/>
    </row>
    <row r="22" spans="1:25">
      <c r="A22" s="23">
        <v>2033</v>
      </c>
      <c r="B22" s="56">
        <f>SUM('T17'!G92:I92)</f>
        <v>19300</v>
      </c>
      <c r="C22" s="56"/>
      <c r="D22" s="56"/>
      <c r="E22" s="56">
        <f>SUM('T17'!G106:I106)</f>
        <v>22035</v>
      </c>
      <c r="F22" s="56">
        <f>SUM('T17'!G120:I120)</f>
        <v>24385</v>
      </c>
      <c r="G22" s="56"/>
      <c r="H22" s="55">
        <f>'T20'!X111</f>
        <v>36330</v>
      </c>
      <c r="I22" s="56">
        <f>'T17'!P92</f>
        <v>9650</v>
      </c>
      <c r="J22" s="56"/>
      <c r="K22" s="56">
        <f>'T17'!P106</f>
        <v>14345</v>
      </c>
      <c r="L22" s="56">
        <f>'T17'!P120</f>
        <v>24385</v>
      </c>
      <c r="M22" s="55"/>
      <c r="P22" s="34"/>
      <c r="Q22" s="26"/>
      <c r="R22" s="29"/>
      <c r="S22" s="29"/>
      <c r="T22" s="31"/>
      <c r="U22" s="31"/>
      <c r="V22" s="31"/>
      <c r="W22" s="31"/>
      <c r="X22" s="32"/>
      <c r="Y22" s="24"/>
    </row>
    <row r="23" spans="1:25">
      <c r="A23" s="23">
        <v>2034</v>
      </c>
      <c r="B23" s="56">
        <f>SUM('T17'!G93:I93)</f>
        <v>19290</v>
      </c>
      <c r="C23" s="56"/>
      <c r="D23" s="56"/>
      <c r="E23" s="56">
        <f>SUM('T17'!G107:I107)</f>
        <v>22145</v>
      </c>
      <c r="F23" s="56">
        <f>SUM('T17'!G121:I121)</f>
        <v>24615</v>
      </c>
      <c r="G23" s="56"/>
      <c r="H23" s="55">
        <f>'T20'!X112</f>
        <v>36675</v>
      </c>
      <c r="I23" s="56">
        <f>'T17'!P93</f>
        <v>9645</v>
      </c>
      <c r="J23" s="56"/>
      <c r="K23" s="56">
        <f>'T17'!P107</f>
        <v>14415</v>
      </c>
      <c r="L23" s="56">
        <f>'T17'!P121</f>
        <v>24615</v>
      </c>
      <c r="M23" s="55"/>
      <c r="P23" s="33"/>
      <c r="Q23" s="26"/>
      <c r="R23" s="29"/>
      <c r="S23" s="29"/>
      <c r="T23" s="29"/>
      <c r="U23" s="29"/>
      <c r="V23" s="29"/>
      <c r="W23" s="29"/>
      <c r="X23" s="32"/>
    </row>
    <row r="24" spans="1:25">
      <c r="A24" s="23">
        <v>2035</v>
      </c>
      <c r="B24" s="56">
        <f>SUM('T17'!G94:I94)</f>
        <v>19320</v>
      </c>
      <c r="C24" s="56"/>
      <c r="D24" s="56"/>
      <c r="E24" s="56">
        <f>SUM('T17'!G108:I108)</f>
        <v>22270</v>
      </c>
      <c r="F24" s="56">
        <f>SUM('T17'!G122:I122)</f>
        <v>24840</v>
      </c>
      <c r="G24" s="56"/>
      <c r="H24" s="55">
        <f>'T20'!X113</f>
        <v>37040</v>
      </c>
      <c r="I24" s="56">
        <f>'T17'!P94</f>
        <v>9660</v>
      </c>
      <c r="J24" s="56"/>
      <c r="K24" s="56">
        <f>'T17'!P108</f>
        <v>14495</v>
      </c>
      <c r="L24" s="56">
        <f>'T17'!P122</f>
        <v>24840</v>
      </c>
      <c r="M24" s="55"/>
      <c r="P24" s="34"/>
      <c r="Q24" s="26"/>
      <c r="R24" s="29"/>
      <c r="S24" s="29"/>
      <c r="T24" s="29"/>
      <c r="U24" s="29"/>
      <c r="V24" s="29"/>
      <c r="W24" s="29"/>
      <c r="X24" s="32"/>
      <c r="Y24" s="24"/>
    </row>
    <row r="25" spans="1:25">
      <c r="P25" s="34"/>
      <c r="Q25" s="26"/>
      <c r="R25" s="29"/>
      <c r="S25" s="29"/>
      <c r="T25" s="29"/>
      <c r="U25" s="29"/>
      <c r="V25" s="29"/>
      <c r="W25" s="29"/>
      <c r="X25" s="32"/>
      <c r="Y25" s="24"/>
    </row>
  </sheetData>
  <sheetProtection algorithmName="SHA-512" hashValue="jUdFIZwRSYR/1enOL+Gw7B2n4UHTD6ULrJg5vlniNydcLtrK50AOKjcqEnd/sJzPc02Hg7W+5jOgmzHvcxQRQA==" saltValue="gLD7h2I4Hs3zlTDUlbenZw==" spinCount="100000" sheet="1" objects="1" scenarios="1" formatCells="0" formatColumns="0" formatRows="0" insertRows="0" sort="0" autoFilter="0" pivotTables="0"/>
  <mergeCells count="2">
    <mergeCell ref="B3:F3"/>
    <mergeCell ref="I3:L3"/>
  </mergeCells>
  <pageMargins left="0.7" right="0.7" top="0.75" bottom="0.75" header="0.3" footer="0.3"/>
  <ignoredErrors>
    <ignoredError sqref="D5:D13" formulaRange="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7084D-2A19-4397-B48A-B0D532C4C8E6}">
  <dimension ref="A1:AN140"/>
  <sheetViews>
    <sheetView workbookViewId="0">
      <pane xSplit="1" ySplit="3" topLeftCell="B43" activePane="bottomRight" state="frozen"/>
      <selection pane="bottomRight" activeCell="K53" sqref="K53"/>
      <selection pane="bottomLeft" activeCell="A4" sqref="A4"/>
      <selection pane="topRight" activeCell="B1" sqref="B1"/>
    </sheetView>
  </sheetViews>
  <sheetFormatPr defaultColWidth="8.85546875" defaultRowHeight="14.65"/>
  <cols>
    <col min="1" max="1" width="8.85546875" style="163"/>
    <col min="2" max="8" width="14" style="163" customWidth="1"/>
    <col min="9" max="9" width="2" style="164" customWidth="1"/>
    <col min="10" max="24" width="14.28515625" style="163" customWidth="1"/>
    <col min="25" max="25" width="2" style="164" customWidth="1"/>
    <col min="26" max="39" width="14.28515625" style="163" customWidth="1"/>
    <col min="40" max="16384" width="8.85546875" style="163"/>
  </cols>
  <sheetData>
    <row r="1" spans="1:40">
      <c r="A1" s="1" t="s">
        <v>409</v>
      </c>
      <c r="B1" s="1"/>
      <c r="C1" s="1"/>
      <c r="D1" s="184"/>
      <c r="E1" s="184"/>
      <c r="F1" s="184"/>
      <c r="G1" s="184"/>
      <c r="H1" s="184"/>
      <c r="I1" s="185"/>
      <c r="J1" s="184"/>
      <c r="K1" s="184"/>
      <c r="L1" s="184"/>
      <c r="M1" s="184"/>
      <c r="N1" s="184"/>
      <c r="O1" s="184"/>
      <c r="P1" s="184"/>
      <c r="Q1" s="184"/>
      <c r="R1" s="184"/>
      <c r="S1" s="184"/>
      <c r="T1" s="184"/>
      <c r="U1" s="184"/>
      <c r="V1" s="184"/>
      <c r="W1" s="184"/>
      <c r="X1" s="184"/>
      <c r="Y1" s="185"/>
      <c r="Z1" s="184"/>
      <c r="AA1" s="184"/>
      <c r="AB1" s="184"/>
      <c r="AC1" s="184"/>
      <c r="AD1" s="184"/>
      <c r="AE1" s="184"/>
      <c r="AF1" s="184"/>
      <c r="AG1" s="184"/>
      <c r="AH1" s="184"/>
      <c r="AI1" s="184"/>
      <c r="AJ1" s="184"/>
      <c r="AK1" s="184"/>
      <c r="AL1" s="184"/>
      <c r="AM1" s="184"/>
      <c r="AN1" s="184"/>
    </row>
    <row r="2" spans="1:40" s="165" customFormat="1" ht="30" customHeight="1">
      <c r="A2" s="186"/>
      <c r="B2" s="187" t="s">
        <v>410</v>
      </c>
      <c r="C2" s="187"/>
      <c r="D2" s="187"/>
      <c r="E2" s="187"/>
      <c r="F2" s="187"/>
      <c r="G2" s="187"/>
      <c r="H2" s="187"/>
      <c r="I2" s="188"/>
      <c r="J2" s="189" t="s">
        <v>411</v>
      </c>
      <c r="K2" s="187"/>
      <c r="L2" s="187"/>
      <c r="M2" s="187"/>
      <c r="N2" s="187"/>
      <c r="O2" s="187"/>
      <c r="P2" s="187"/>
      <c r="Q2" s="189" t="s">
        <v>412</v>
      </c>
      <c r="R2" s="187"/>
      <c r="S2" s="187"/>
      <c r="T2" s="187"/>
      <c r="U2" s="187"/>
      <c r="V2" s="187"/>
      <c r="W2" s="187"/>
      <c r="X2" s="190"/>
      <c r="Y2" s="188"/>
      <c r="Z2" s="189" t="s">
        <v>413</v>
      </c>
      <c r="AA2" s="189"/>
      <c r="AB2" s="189"/>
      <c r="AC2" s="189"/>
      <c r="AD2" s="189"/>
      <c r="AE2" s="189"/>
      <c r="AF2" s="189"/>
      <c r="AG2" s="189" t="s">
        <v>414</v>
      </c>
      <c r="AH2" s="189"/>
      <c r="AI2" s="189"/>
      <c r="AJ2" s="189"/>
      <c r="AK2" s="189"/>
      <c r="AL2" s="189"/>
      <c r="AM2" s="189"/>
      <c r="AN2" s="186"/>
    </row>
    <row r="3" spans="1:40" s="167" customFormat="1" ht="24.95">
      <c r="A3" s="191" t="s">
        <v>231</v>
      </c>
      <c r="B3" s="166" t="s">
        <v>415</v>
      </c>
      <c r="C3" s="166" t="s">
        <v>293</v>
      </c>
      <c r="D3" s="166" t="s">
        <v>376</v>
      </c>
      <c r="E3" s="166" t="s">
        <v>416</v>
      </c>
      <c r="F3" s="166" t="s">
        <v>305</v>
      </c>
      <c r="G3" s="166" t="s">
        <v>298</v>
      </c>
      <c r="H3" s="166" t="s">
        <v>343</v>
      </c>
      <c r="I3" s="192"/>
      <c r="J3" s="166" t="s">
        <v>415</v>
      </c>
      <c r="K3" s="166" t="s">
        <v>293</v>
      </c>
      <c r="L3" s="166" t="s">
        <v>376</v>
      </c>
      <c r="M3" s="166" t="s">
        <v>416</v>
      </c>
      <c r="N3" s="166" t="s">
        <v>305</v>
      </c>
      <c r="O3" s="166" t="s">
        <v>298</v>
      </c>
      <c r="P3" s="166" t="s">
        <v>343</v>
      </c>
      <c r="Q3" s="166" t="s">
        <v>415</v>
      </c>
      <c r="R3" s="166" t="s">
        <v>293</v>
      </c>
      <c r="S3" s="166" t="s">
        <v>376</v>
      </c>
      <c r="T3" s="166" t="s">
        <v>416</v>
      </c>
      <c r="U3" s="166" t="s">
        <v>305</v>
      </c>
      <c r="V3" s="166" t="s">
        <v>298</v>
      </c>
      <c r="W3" s="166" t="s">
        <v>343</v>
      </c>
      <c r="X3" s="166" t="s">
        <v>417</v>
      </c>
      <c r="Y3" s="192"/>
      <c r="Z3" s="166" t="s">
        <v>415</v>
      </c>
      <c r="AA3" s="166" t="s">
        <v>293</v>
      </c>
      <c r="AB3" s="166" t="s">
        <v>376</v>
      </c>
      <c r="AC3" s="166" t="s">
        <v>416</v>
      </c>
      <c r="AD3" s="166" t="s">
        <v>305</v>
      </c>
      <c r="AE3" s="166" t="s">
        <v>298</v>
      </c>
      <c r="AF3" s="166" t="s">
        <v>343</v>
      </c>
      <c r="AG3" s="166" t="s">
        <v>415</v>
      </c>
      <c r="AH3" s="166" t="s">
        <v>293</v>
      </c>
      <c r="AI3" s="166" t="s">
        <v>376</v>
      </c>
      <c r="AJ3" s="166" t="s">
        <v>416</v>
      </c>
      <c r="AK3" s="166" t="s">
        <v>305</v>
      </c>
      <c r="AL3" s="166" t="s">
        <v>298</v>
      </c>
      <c r="AM3" s="166" t="s">
        <v>343</v>
      </c>
      <c r="AN3" s="191"/>
    </row>
    <row r="4" spans="1:40">
      <c r="A4" s="184">
        <v>2015</v>
      </c>
      <c r="B4" s="168">
        <v>298</v>
      </c>
      <c r="C4" s="168">
        <v>113677</v>
      </c>
      <c r="D4" s="168">
        <v>32427</v>
      </c>
      <c r="E4" s="168">
        <v>314</v>
      </c>
      <c r="F4" s="168">
        <v>25240</v>
      </c>
      <c r="G4" s="168">
        <v>11760</v>
      </c>
      <c r="H4" s="168">
        <v>12965</v>
      </c>
      <c r="I4" s="185"/>
      <c r="J4" s="168">
        <f>B4*SUM('T5'!$H$42:$I$42)</f>
        <v>58.624062473976309</v>
      </c>
      <c r="K4" s="168">
        <f>C4*SUM('T5'!$H$42:$I$42)</f>
        <v>22363.112583403374</v>
      </c>
      <c r="L4" s="168">
        <f>D4*SUM('T5'!$H$42:$I$42)</f>
        <v>6379.2029323611741</v>
      </c>
      <c r="M4" s="168">
        <f>E4*SUM('T5'!$H$42:$I$42)</f>
        <v>61.771663143720005</v>
      </c>
      <c r="N4" s="168">
        <f>F4*SUM('T5'!$H$42:$I$42)</f>
        <v>4965.3400565206784</v>
      </c>
      <c r="O4" s="168">
        <f>G4*SUM('T5'!$H$42:$I$42)</f>
        <v>2313.4864922616152</v>
      </c>
      <c r="P4" s="168">
        <f>H4*SUM('T5'!$H$42:$I$42)</f>
        <v>2550.5401677016876</v>
      </c>
      <c r="Q4" s="168">
        <f>B4*SUM('T5'!$J$40:$L$40)</f>
        <v>228.99284618565289</v>
      </c>
      <c r="R4" s="168">
        <f>C4*SUM('T5'!$J$40:$L$40)</f>
        <v>87353.086496129079</v>
      </c>
      <c r="S4" s="168">
        <f>D4*SUM('T5'!$J$40:$L$40)</f>
        <v>24917.956453899889</v>
      </c>
      <c r="T4" s="168">
        <f>E4*SUM('T5'!$J$40:$L$40)</f>
        <v>241.28776410166111</v>
      </c>
      <c r="U4" s="168">
        <f>F4*SUM('T5'!$J$40:$L$40)</f>
        <v>19395.233012502951</v>
      </c>
      <c r="V4" s="168">
        <f>G4*SUM('T5'!$J$40:$L$40)</f>
        <v>9036.7646682660343</v>
      </c>
      <c r="W4" s="168">
        <f>H4*SUM('T5'!$J$40:$L$40)</f>
        <v>9962.7256738154028</v>
      </c>
      <c r="X4" s="168">
        <f>SUM(J4:W4)</f>
        <v>189828.1248727669</v>
      </c>
      <c r="Y4" s="185"/>
      <c r="Z4" s="168">
        <f>B4*'T21'!$E$4</f>
        <v>145.36585365853659</v>
      </c>
      <c r="AA4" s="168">
        <f>C4*'T21'!$E$5</f>
        <v>28466.021774908215</v>
      </c>
      <c r="AB4" s="168">
        <f>D4*'T21'!$E$6</f>
        <v>32052.241733547351</v>
      </c>
      <c r="AC4" s="168">
        <f>E4*'T21'!$E$7</f>
        <v>249.49887133182844</v>
      </c>
      <c r="AD4" s="168">
        <f>F4*'T21'!$E$8</f>
        <v>584.78256042044484</v>
      </c>
      <c r="AE4" s="168">
        <f>G4*'T21'!$E$9</f>
        <v>6505.364548494983</v>
      </c>
      <c r="AF4" s="168">
        <f>H4*'T21'!$E$10</f>
        <v>3923.6612296110416</v>
      </c>
      <c r="AG4" s="168">
        <f>B4*SUM('T21'!$F$4)</f>
        <v>152.63414634146341</v>
      </c>
      <c r="AH4" s="168">
        <f>C4*SUM('T21'!$F$5)</f>
        <v>85210.978225091778</v>
      </c>
      <c r="AI4" s="168">
        <f>D4*SUM('T21'!$F$6)</f>
        <v>374.75826645264851</v>
      </c>
      <c r="AJ4" s="168">
        <f>E4*SUM('T21'!$F$7)</f>
        <v>64.50112866817156</v>
      </c>
      <c r="AK4" s="168">
        <f>F4*SUM('T21'!$F$8)</f>
        <v>24655.217439579556</v>
      </c>
      <c r="AL4" s="168">
        <f>G4*SUM('T21'!$F$9)</f>
        <v>5254.635451505017</v>
      </c>
      <c r="AM4" s="168">
        <f>H4*SUM('T21'!$F$10)</f>
        <v>9041.3387703889584</v>
      </c>
      <c r="AN4" s="193"/>
    </row>
    <row r="5" spans="1:40">
      <c r="A5" s="184">
        <v>2016</v>
      </c>
      <c r="B5" s="168">
        <v>318</v>
      </c>
      <c r="C5" s="168">
        <v>119686</v>
      </c>
      <c r="D5" s="168">
        <v>33933</v>
      </c>
      <c r="E5" s="168">
        <v>332</v>
      </c>
      <c r="F5" s="168">
        <v>25442</v>
      </c>
      <c r="G5" s="168">
        <v>11621</v>
      </c>
      <c r="H5" s="168">
        <v>13039</v>
      </c>
      <c r="I5" s="185"/>
      <c r="J5" s="168">
        <f>B5*SUM('T5'!$H$42:$I$42)</f>
        <v>62.558563311155929</v>
      </c>
      <c r="K5" s="168">
        <f>C5*SUM('T5'!$H$42:$I$42)</f>
        <v>23545.233359933987</v>
      </c>
      <c r="L5" s="168">
        <f>D5*SUM('T5'!$H$42:$I$42)</f>
        <v>6675.4708454007987</v>
      </c>
      <c r="M5" s="168">
        <f>E5*SUM('T5'!$H$42:$I$42)</f>
        <v>65.312713897181666</v>
      </c>
      <c r="N5" s="168">
        <f>F5*SUM('T5'!$H$42:$I$42)</f>
        <v>5005.0785149761923</v>
      </c>
      <c r="O5" s="168">
        <f>G5*SUM('T5'!$H$42:$I$42)</f>
        <v>2286.141711443217</v>
      </c>
      <c r="P5" s="168">
        <f>H5*SUM('T5'!$H$42:$I$42)</f>
        <v>2565.0978207992521</v>
      </c>
      <c r="Q5" s="168">
        <f>B5*SUM('T5'!$J$40:$L$40)</f>
        <v>244.36149358066316</v>
      </c>
      <c r="R5" s="168">
        <f>C5*SUM('T5'!$J$40:$L$40)</f>
        <v>91970.596605959916</v>
      </c>
      <c r="S5" s="168">
        <f>D5*SUM('T5'!$J$40:$L$40)</f>
        <v>26075.21560274416</v>
      </c>
      <c r="T5" s="168">
        <f>E5*SUM('T5'!$J$40:$L$40)</f>
        <v>255.11954675717035</v>
      </c>
      <c r="U5" s="168">
        <f>F5*SUM('T5'!$J$40:$L$40)</f>
        <v>19550.456351192555</v>
      </c>
      <c r="V5" s="168">
        <f>G5*SUM('T5'!$J$40:$L$40)</f>
        <v>8929.9525688707126</v>
      </c>
      <c r="W5" s="168">
        <f>H5*SUM('T5'!$J$40:$L$40)</f>
        <v>10019.589669176939</v>
      </c>
      <c r="X5" s="168">
        <f t="shared" ref="X5:X14" si="0">SUM(J5:W5)</f>
        <v>197250.18536804389</v>
      </c>
      <c r="Y5" s="185"/>
      <c r="Z5" s="168">
        <f>B5*'T21'!$E$4</f>
        <v>155.1219512195122</v>
      </c>
      <c r="AA5" s="168">
        <f>C5*'T21'!$E$5</f>
        <v>29970.744144828459</v>
      </c>
      <c r="AB5" s="168">
        <f>D5*'T21'!$E$6</f>
        <v>33540.83691813804</v>
      </c>
      <c r="AC5" s="168">
        <f>E5*'T21'!$E$7</f>
        <v>263.80135440180584</v>
      </c>
      <c r="AD5" s="168">
        <f>F5*'T21'!$E$8</f>
        <v>589.46267441430109</v>
      </c>
      <c r="AE5" s="168">
        <f>G5*'T21'!$E$9</f>
        <v>6428.4729096989968</v>
      </c>
      <c r="AF5" s="168">
        <f>H5*'T21'!$E$10</f>
        <v>3946.0562107904648</v>
      </c>
      <c r="AG5" s="168">
        <f>B5*SUM('T21'!$F$4)</f>
        <v>162.8780487804878</v>
      </c>
      <c r="AH5" s="168">
        <f>C5*SUM('T21'!$F$5)</f>
        <v>89715.255855171548</v>
      </c>
      <c r="AI5" s="168">
        <f>D5*SUM('T21'!$F$6)</f>
        <v>392.16308186195829</v>
      </c>
      <c r="AJ5" s="168">
        <f>E5*SUM('T21'!$F$7)</f>
        <v>68.198645598194133</v>
      </c>
      <c r="AK5" s="168">
        <f>F5*SUM('T21'!$F$8)</f>
        <v>24852.537325585698</v>
      </c>
      <c r="AL5" s="168">
        <f>G5*SUM('T21'!$F$9)</f>
        <v>5192.5270903010032</v>
      </c>
      <c r="AM5" s="168">
        <f>H5*SUM('T21'!$F$10)</f>
        <v>9092.9437892095357</v>
      </c>
      <c r="AN5" s="184"/>
    </row>
    <row r="6" spans="1:40">
      <c r="A6" s="184">
        <v>2017</v>
      </c>
      <c r="B6" s="168">
        <v>283</v>
      </c>
      <c r="C6" s="168">
        <v>126112</v>
      </c>
      <c r="D6" s="168">
        <v>31879</v>
      </c>
      <c r="E6" s="168">
        <v>386</v>
      </c>
      <c r="F6" s="168">
        <v>25648</v>
      </c>
      <c r="G6" s="168">
        <v>11365</v>
      </c>
      <c r="H6" s="168">
        <v>12763</v>
      </c>
      <c r="I6" s="185"/>
      <c r="J6" s="168">
        <f>B6*SUM('T5'!$H$42:$I$42)</f>
        <v>55.673186846091596</v>
      </c>
      <c r="K6" s="168">
        <f>C6*SUM('T5'!$H$42:$I$42)</f>
        <v>24809.388478919798</v>
      </c>
      <c r="L6" s="168">
        <f>D6*SUM('T5'!$H$42:$I$42)</f>
        <v>6271.3976094224527</v>
      </c>
      <c r="M6" s="168">
        <f>E6*SUM('T5'!$H$42:$I$42)</f>
        <v>75.935866157566622</v>
      </c>
      <c r="N6" s="168">
        <f>F6*SUM('T5'!$H$42:$I$42)</f>
        <v>5045.6038735991424</v>
      </c>
      <c r="O6" s="168">
        <f>G6*SUM('T5'!$H$42:$I$42)</f>
        <v>2235.7801007273179</v>
      </c>
      <c r="P6" s="168">
        <f>H6*SUM('T5'!$H$42:$I$42)</f>
        <v>2510.8017092461732</v>
      </c>
      <c r="Q6" s="168">
        <f>B6*SUM('T5'!$J$40:$L$40)</f>
        <v>217.46636063939522</v>
      </c>
      <c r="R6" s="168">
        <f>C6*SUM('T5'!$J$40:$L$40)</f>
        <v>96908.543013976712</v>
      </c>
      <c r="S6" s="168">
        <f>D6*SUM('T5'!$J$40:$L$40)</f>
        <v>24496.855515276606</v>
      </c>
      <c r="T6" s="168">
        <f>E6*SUM('T5'!$J$40:$L$40)</f>
        <v>296.61489472369806</v>
      </c>
      <c r="U6" s="168">
        <f>F6*SUM('T5'!$J$40:$L$40)</f>
        <v>19708.753419361161</v>
      </c>
      <c r="V6" s="168">
        <f>G6*SUM('T5'!$J$40:$L$40)</f>
        <v>8733.2338822145812</v>
      </c>
      <c r="W6" s="168">
        <f>H6*SUM('T5'!$J$40:$L$40)</f>
        <v>9807.5023351257987</v>
      </c>
      <c r="X6" s="168">
        <f t="shared" si="0"/>
        <v>201173.5502462365</v>
      </c>
      <c r="Y6" s="185"/>
      <c r="Z6" s="168">
        <f>B6*'T21'!$E$4</f>
        <v>138.04878048780486</v>
      </c>
      <c r="AA6" s="168">
        <f>C6*'T21'!$E$5</f>
        <v>31579.888087099633</v>
      </c>
      <c r="AB6" s="168">
        <f>D6*'T21'!$E$6</f>
        <v>31510.574959871588</v>
      </c>
      <c r="AC6" s="168">
        <f>E6*'T21'!$E$7</f>
        <v>306.70880361173812</v>
      </c>
      <c r="AD6" s="168">
        <f>F6*'T21'!$E$8</f>
        <v>594.23546393278809</v>
      </c>
      <c r="AE6" s="168">
        <f>G6*'T21'!$E$9</f>
        <v>6286.8595317725758</v>
      </c>
      <c r="AF6" s="168">
        <f>H6*'T21'!$E$10</f>
        <v>3862.5289836888333</v>
      </c>
      <c r="AG6" s="168">
        <f>B6*SUM('T21'!$F$4)</f>
        <v>144.95121951219514</v>
      </c>
      <c r="AH6" s="168">
        <f>C6*SUM('T21'!$F$5)</f>
        <v>94532.111912900364</v>
      </c>
      <c r="AI6" s="168">
        <f>D6*SUM('T21'!$F$6)</f>
        <v>368.42504012841096</v>
      </c>
      <c r="AJ6" s="168">
        <f>E6*SUM('T21'!$F$7)</f>
        <v>79.291196388261852</v>
      </c>
      <c r="AK6" s="168">
        <f>F6*SUM('T21'!$F$8)</f>
        <v>25053.76453606721</v>
      </c>
      <c r="AL6" s="168">
        <f>G6*SUM('T21'!$F$9)</f>
        <v>5078.1404682274242</v>
      </c>
      <c r="AM6" s="168">
        <f>H6*SUM('T21'!$F$10)</f>
        <v>8900.4710163111667</v>
      </c>
      <c r="AN6" s="184"/>
    </row>
    <row r="7" spans="1:40">
      <c r="A7" s="184">
        <v>2018</v>
      </c>
      <c r="B7" s="168">
        <v>283</v>
      </c>
      <c r="C7" s="168">
        <v>132420</v>
      </c>
      <c r="D7" s="168">
        <v>31676</v>
      </c>
      <c r="E7" s="168">
        <v>386</v>
      </c>
      <c r="F7" s="168">
        <v>25871</v>
      </c>
      <c r="G7" s="168">
        <v>11112</v>
      </c>
      <c r="H7" s="168">
        <v>12706</v>
      </c>
      <c r="I7" s="185"/>
      <c r="J7" s="168">
        <f>B7*SUM('T5'!$H$42:$I$42)</f>
        <v>55.673186846091596</v>
      </c>
      <c r="K7" s="168">
        <f>C7*SUM('T5'!$H$42:$I$42)</f>
        <v>26050.330042966252</v>
      </c>
      <c r="L7" s="168">
        <f>D7*SUM('T5'!$H$42:$I$42)</f>
        <v>6231.4624259250795</v>
      </c>
      <c r="M7" s="168">
        <f>E7*SUM('T5'!$H$42:$I$42)</f>
        <v>75.935866157566622</v>
      </c>
      <c r="N7" s="168">
        <f>F7*SUM('T5'!$H$42:$I$42)</f>
        <v>5089.4735579336948</v>
      </c>
      <c r="O7" s="168">
        <f>G7*SUM('T5'!$H$42:$I$42)</f>
        <v>2186.0086651369957</v>
      </c>
      <c r="P7" s="168">
        <f>H7*SUM('T5'!$H$42:$I$42)</f>
        <v>2499.5883818602115</v>
      </c>
      <c r="Q7" s="168">
        <f>B7*SUM('T5'!$J$40:$L$40)</f>
        <v>217.46636063939522</v>
      </c>
      <c r="R7" s="168">
        <f>C7*SUM('T5'!$J$40:$L$40)</f>
        <v>101755.81440236294</v>
      </c>
      <c r="S7" s="168">
        <f>D7*SUM('T5'!$J$40:$L$40)</f>
        <v>24340.863744217251</v>
      </c>
      <c r="T7" s="168">
        <f>E7*SUM('T5'!$J$40:$L$40)</f>
        <v>296.61489472369806</v>
      </c>
      <c r="U7" s="168">
        <f>F7*SUM('T5'!$J$40:$L$40)</f>
        <v>19880.113837815523</v>
      </c>
      <c r="V7" s="168">
        <f>G7*SUM('T5'!$J$40:$L$40)</f>
        <v>8538.8204926677008</v>
      </c>
      <c r="W7" s="168">
        <f>H7*SUM('T5'!$J$40:$L$40)</f>
        <v>9763.7016900500203</v>
      </c>
      <c r="X7" s="168">
        <f t="shared" si="0"/>
        <v>206981.86754930243</v>
      </c>
      <c r="Y7" s="185"/>
      <c r="Z7" s="168">
        <f>B7*'T21'!$E$4</f>
        <v>138.04878048780486</v>
      </c>
      <c r="AA7" s="168">
        <f>C7*'T21'!$E$5</f>
        <v>33159.483478921386</v>
      </c>
      <c r="AB7" s="168">
        <f>D7*'T21'!$E$6</f>
        <v>31309.921027287317</v>
      </c>
      <c r="AC7" s="168">
        <f>E7*'T21'!$E$7</f>
        <v>306.70880361173812</v>
      </c>
      <c r="AD7" s="168">
        <f>F7*'T21'!$E$8</f>
        <v>599.40212443095595</v>
      </c>
      <c r="AE7" s="168">
        <f>G7*'T21'!$E$9</f>
        <v>6146.905685618729</v>
      </c>
      <c r="AF7" s="168">
        <f>H7*'T21'!$E$10</f>
        <v>3845.2787954830619</v>
      </c>
      <c r="AG7" s="168">
        <f>B7*SUM('T21'!$F$4)</f>
        <v>144.95121951219514</v>
      </c>
      <c r="AH7" s="168">
        <f>C7*SUM('T21'!$F$5)</f>
        <v>99260.516521078622</v>
      </c>
      <c r="AI7" s="168">
        <f>D7*SUM('T21'!$F$6)</f>
        <v>366.07897271268058</v>
      </c>
      <c r="AJ7" s="168">
        <f>E7*SUM('T21'!$F$7)</f>
        <v>79.291196388261852</v>
      </c>
      <c r="AK7" s="168">
        <f>F7*SUM('T21'!$F$8)</f>
        <v>25271.597875569041</v>
      </c>
      <c r="AL7" s="168">
        <f>G7*SUM('T21'!$F$9)</f>
        <v>4965.094314381271</v>
      </c>
      <c r="AM7" s="168">
        <f>H7*SUM('T21'!$F$10)</f>
        <v>8860.7212045169381</v>
      </c>
      <c r="AN7" s="184"/>
    </row>
    <row r="8" spans="1:40">
      <c r="A8" s="184">
        <v>2019</v>
      </c>
      <c r="B8" s="168">
        <v>283</v>
      </c>
      <c r="C8" s="168">
        <v>139241</v>
      </c>
      <c r="D8" s="168">
        <v>30878</v>
      </c>
      <c r="E8" s="168">
        <v>460</v>
      </c>
      <c r="F8" s="168">
        <v>25821</v>
      </c>
      <c r="G8" s="168">
        <v>11018</v>
      </c>
      <c r="H8" s="168">
        <v>12784</v>
      </c>
      <c r="I8" s="185"/>
      <c r="J8" s="168">
        <f>B8*SUM('T5'!$H$42:$I$42)</f>
        <v>55.673186846091596</v>
      </c>
      <c r="K8" s="168">
        <f>C8*SUM('T5'!$H$42:$I$42)</f>
        <v>27392.191553486358</v>
      </c>
      <c r="L8" s="168">
        <f>D8*SUM('T5'!$H$42:$I$42)</f>
        <v>6074.4758425216123</v>
      </c>
      <c r="M8" s="168">
        <f>E8*SUM('T5'!$H$42:$I$42)</f>
        <v>90.493519255131218</v>
      </c>
      <c r="N8" s="168">
        <f>F8*SUM('T5'!$H$42:$I$42)</f>
        <v>5079.6373058407462</v>
      </c>
      <c r="O8" s="168">
        <f>G8*SUM('T5'!$H$42:$I$42)</f>
        <v>2167.5165112022514</v>
      </c>
      <c r="P8" s="168">
        <f>H8*SUM('T5'!$H$42:$I$42)</f>
        <v>2514.9329351252118</v>
      </c>
      <c r="Q8" s="168">
        <f>B8*SUM('T5'!$J$40:$L$40)</f>
        <v>217.46636063939522</v>
      </c>
      <c r="R8" s="168">
        <f>C8*SUM('T5'!$J$40:$L$40)</f>
        <v>106997.2915964312</v>
      </c>
      <c r="S8" s="168">
        <f>D8*SUM('T5'!$J$40:$L$40)</f>
        <v>23727.654713156342</v>
      </c>
      <c r="T8" s="168">
        <f>E8*SUM('T5'!$J$40:$L$40)</f>
        <v>353.478890085236</v>
      </c>
      <c r="U8" s="168">
        <f>F8*SUM('T5'!$J$40:$L$40)</f>
        <v>19841.692219327997</v>
      </c>
      <c r="V8" s="168">
        <f>G8*SUM('T5'!$J$40:$L$40)</f>
        <v>8466.5878499111532</v>
      </c>
      <c r="W8" s="168">
        <f>H8*SUM('T5'!$J$40:$L$40)</f>
        <v>9823.6394148905601</v>
      </c>
      <c r="X8" s="168">
        <f t="shared" si="0"/>
        <v>212802.73189871927</v>
      </c>
      <c r="Y8" s="185"/>
      <c r="Z8" s="168">
        <f>B8*'T21'!$E$4</f>
        <v>138.04878048780486</v>
      </c>
      <c r="AA8" s="168">
        <f>C8*'T21'!$E$5</f>
        <v>34867.539941764779</v>
      </c>
      <c r="AB8" s="168">
        <f>D8*'T21'!$E$6</f>
        <v>30521.143499197431</v>
      </c>
      <c r="AC8" s="168">
        <f>E8*'T21'!$E$7</f>
        <v>365.50790067720089</v>
      </c>
      <c r="AD8" s="168">
        <f>F8*'T21'!$E$8</f>
        <v>598.24368037307079</v>
      </c>
      <c r="AE8" s="168">
        <f>G8*'T21'!$E$9</f>
        <v>6094.9070234113715</v>
      </c>
      <c r="AF8" s="168">
        <f>H8*'T21'!$E$10</f>
        <v>3868.8843161856967</v>
      </c>
      <c r="AG8" s="168">
        <f>B8*SUM('T21'!$F$4)</f>
        <v>144.95121951219514</v>
      </c>
      <c r="AH8" s="168">
        <f>C8*SUM('T21'!$F$5)</f>
        <v>104373.46005823521</v>
      </c>
      <c r="AI8" s="168">
        <f>D8*SUM('T21'!$F$6)</f>
        <v>356.85650080256823</v>
      </c>
      <c r="AJ8" s="168">
        <f>E8*SUM('T21'!$F$7)</f>
        <v>94.492099322799092</v>
      </c>
      <c r="AK8" s="168">
        <f>F8*SUM('T21'!$F$8)</f>
        <v>25222.756319626929</v>
      </c>
      <c r="AL8" s="168">
        <f>G8*SUM('T21'!$F$9)</f>
        <v>4923.0929765886285</v>
      </c>
      <c r="AM8" s="168">
        <f>H8*SUM('T21'!$F$10)</f>
        <v>8915.1156838143033</v>
      </c>
      <c r="AN8" s="184"/>
    </row>
    <row r="9" spans="1:40">
      <c r="A9" s="184">
        <v>2020</v>
      </c>
      <c r="B9" s="168">
        <v>238</v>
      </c>
      <c r="C9" s="168">
        <v>143394</v>
      </c>
      <c r="D9" s="168">
        <v>28719</v>
      </c>
      <c r="E9" s="168">
        <v>457</v>
      </c>
      <c r="F9" s="168">
        <v>25866</v>
      </c>
      <c r="G9" s="168">
        <v>11077</v>
      </c>
      <c r="H9" s="168">
        <v>12856</v>
      </c>
      <c r="I9" s="185"/>
      <c r="J9" s="168">
        <f>B9*SUM('T5'!$H$42:$I$42)</f>
        <v>46.820559962437457</v>
      </c>
      <c r="K9" s="168">
        <f>C9*SUM('T5'!$H$42:$I$42)</f>
        <v>28209.190652326706</v>
      </c>
      <c r="L9" s="168">
        <f>D9*SUM('T5'!$H$42:$I$42)</f>
        <v>5649.7464771480727</v>
      </c>
      <c r="M9" s="168">
        <f>E9*SUM('T5'!$H$42:$I$42)</f>
        <v>89.90334412955427</v>
      </c>
      <c r="N9" s="168">
        <f>F9*SUM('T5'!$H$42:$I$42)</f>
        <v>5088.4899327244002</v>
      </c>
      <c r="O9" s="168">
        <f>G9*SUM('T5'!$H$42:$I$42)</f>
        <v>2179.1232886719313</v>
      </c>
      <c r="P9" s="168">
        <f>H9*SUM('T5'!$H$42:$I$42)</f>
        <v>2529.0971381390586</v>
      </c>
      <c r="Q9" s="168">
        <f>B9*SUM('T5'!$J$40:$L$40)</f>
        <v>182.88690400062211</v>
      </c>
      <c r="R9" s="168">
        <f>C9*SUM('T5'!$J$40:$L$40)</f>
        <v>110188.59122800507</v>
      </c>
      <c r="S9" s="168">
        <f>D9*SUM('T5'!$J$40:$L$40)</f>
        <v>22068.609226864985</v>
      </c>
      <c r="T9" s="168">
        <f>E9*SUM('T5'!$J$40:$L$40)</f>
        <v>351.17359297598449</v>
      </c>
      <c r="U9" s="168">
        <f>F9*SUM('T5'!$J$40:$L$40)</f>
        <v>19876.271675966771</v>
      </c>
      <c r="V9" s="168">
        <f>G9*SUM('T5'!$J$40:$L$40)</f>
        <v>8511.9253597264342</v>
      </c>
      <c r="W9" s="168">
        <f>H9*SUM('T5'!$J$40:$L$40)</f>
        <v>9878.966545512596</v>
      </c>
      <c r="X9" s="168">
        <f t="shared" si="0"/>
        <v>214850.79592615465</v>
      </c>
      <c r="Y9" s="185"/>
      <c r="Z9" s="168">
        <f>B9*'T21'!$E$4</f>
        <v>116.09756097560975</v>
      </c>
      <c r="AA9" s="168">
        <f>C9*'T21'!$E$5</f>
        <v>35907.49867071781</v>
      </c>
      <c r="AB9" s="168">
        <f>D9*'T21'!$E$6</f>
        <v>28387.095024077047</v>
      </c>
      <c r="AC9" s="168">
        <f>E9*'T21'!$E$7</f>
        <v>363.12415349887129</v>
      </c>
      <c r="AD9" s="168">
        <f>F9*'T21'!$E$8</f>
        <v>599.28628002516746</v>
      </c>
      <c r="AE9" s="168">
        <f>G9*'T21'!$E$9</f>
        <v>6127.5444816053514</v>
      </c>
      <c r="AF9" s="168">
        <f>H9*'T21'!$E$10</f>
        <v>3890.6740276035134</v>
      </c>
      <c r="AG9" s="168">
        <f>B9*SUM('T21'!$F$4)</f>
        <v>121.90243902439025</v>
      </c>
      <c r="AH9" s="168">
        <f>C9*SUM('T21'!$F$5)</f>
        <v>107486.50132928218</v>
      </c>
      <c r="AI9" s="168">
        <f>D9*SUM('T21'!$F$6)</f>
        <v>331.9049759229535</v>
      </c>
      <c r="AJ9" s="168">
        <f>E9*SUM('T21'!$F$7)</f>
        <v>93.875846501128663</v>
      </c>
      <c r="AK9" s="168">
        <f>F9*SUM('T21'!$F$8)</f>
        <v>25266.713719974832</v>
      </c>
      <c r="AL9" s="168">
        <f>G9*SUM('T21'!$F$9)</f>
        <v>4949.4555183946486</v>
      </c>
      <c r="AM9" s="168">
        <f>H9*SUM('T21'!$F$10)</f>
        <v>8965.3259723964875</v>
      </c>
      <c r="AN9" s="184"/>
    </row>
    <row r="10" spans="1:40">
      <c r="A10" s="184">
        <v>2021</v>
      </c>
      <c r="B10" s="169">
        <v>189</v>
      </c>
      <c r="C10" s="169">
        <v>146771</v>
      </c>
      <c r="D10" s="169">
        <v>25645</v>
      </c>
      <c r="E10" s="169">
        <v>440</v>
      </c>
      <c r="F10" s="169">
        <v>26309</v>
      </c>
      <c r="G10" s="169">
        <v>10857</v>
      </c>
      <c r="H10" s="169">
        <v>12702</v>
      </c>
      <c r="I10" s="185"/>
      <c r="J10" s="168">
        <f>B10*SUM('T5'!$H$42:$I$42)</f>
        <v>37.181032911347394</v>
      </c>
      <c r="K10" s="168">
        <f>C10*SUM('T5'!$H$42:$I$42)</f>
        <v>28873.531118684485</v>
      </c>
      <c r="L10" s="168">
        <f>D10*SUM('T5'!$H$42:$I$42)</f>
        <v>5045.0136984735655</v>
      </c>
      <c r="M10" s="168">
        <f>E10*SUM('T5'!$H$42:$I$42)</f>
        <v>86.559018417951592</v>
      </c>
      <c r="N10" s="168">
        <f>F10*SUM('T5'!$H$42:$I$42)</f>
        <v>5175.639126267929</v>
      </c>
      <c r="O10" s="168">
        <f>G10*SUM('T5'!$H$42:$I$42)</f>
        <v>2135.8437794629558</v>
      </c>
      <c r="P10" s="168">
        <f>H10*SUM('T5'!$H$42:$I$42)</f>
        <v>2498.8014816927753</v>
      </c>
      <c r="Q10" s="168">
        <f>B10*SUM('T5'!$J$40:$L$40)</f>
        <v>145.23371788284697</v>
      </c>
      <c r="R10" s="168">
        <f>C10*SUM('T5'!$J$40:$L$40)</f>
        <v>112783.58734065256</v>
      </c>
      <c r="S10" s="168">
        <f>D10*SUM('T5'!$J$40:$L$40)</f>
        <v>19706.44812225191</v>
      </c>
      <c r="T10" s="168">
        <f>E10*SUM('T5'!$J$40:$L$40)</f>
        <v>338.11024269022579</v>
      </c>
      <c r="U10" s="168">
        <f>F10*SUM('T5'!$J$40:$L$40)</f>
        <v>20216.687215766247</v>
      </c>
      <c r="V10" s="168">
        <f>G10*SUM('T5'!$J$40:$L$40)</f>
        <v>8342.8702383813215</v>
      </c>
      <c r="W10" s="168">
        <f>H10*SUM('T5'!$J$40:$L$40)</f>
        <v>9760.627960571017</v>
      </c>
      <c r="X10" s="168">
        <f t="shared" si="0"/>
        <v>215146.13409410714</v>
      </c>
      <c r="Y10" s="185"/>
      <c r="Z10" s="168">
        <f>B10*'T21'!$E$4</f>
        <v>92.195121951219505</v>
      </c>
      <c r="AA10" s="168">
        <f>C10*'T21'!$E$5</f>
        <v>36753.138118749208</v>
      </c>
      <c r="AB10" s="168">
        <f>D10*'T21'!$E$6</f>
        <v>25348.621187800964</v>
      </c>
      <c r="AC10" s="168">
        <f>E10*'T21'!$E$7</f>
        <v>349.6162528216704</v>
      </c>
      <c r="AD10" s="168">
        <f>F10*'T21'!$E$8</f>
        <v>609.55009437803028</v>
      </c>
      <c r="AE10" s="168">
        <f>G10*'T21'!$E$9</f>
        <v>6005.845484949833</v>
      </c>
      <c r="AF10" s="168">
        <f>H10*'T21'!$E$10</f>
        <v>3844.0682559598499</v>
      </c>
      <c r="AG10" s="168">
        <f>B10*SUM('T21'!$F$4)</f>
        <v>96.804878048780495</v>
      </c>
      <c r="AH10" s="168">
        <f>C10*SUM('T21'!$F$5)</f>
        <v>110017.86188125079</v>
      </c>
      <c r="AI10" s="168">
        <f>D10*SUM('T21'!$F$6)</f>
        <v>296.37881219903693</v>
      </c>
      <c r="AJ10" s="168">
        <f>E10*SUM('T21'!$F$7)</f>
        <v>90.383747178329571</v>
      </c>
      <c r="AK10" s="168">
        <f>F10*SUM('T21'!$F$8)</f>
        <v>25699.449905621968</v>
      </c>
      <c r="AL10" s="168">
        <f>G10*SUM('T21'!$F$9)</f>
        <v>4851.154515050167</v>
      </c>
      <c r="AM10" s="168">
        <f>H10*SUM('T21'!$F$10)</f>
        <v>8857.9317440401501</v>
      </c>
      <c r="AN10" s="184"/>
    </row>
    <row r="11" spans="1:40">
      <c r="A11" s="184">
        <v>2022</v>
      </c>
      <c r="B11" s="169">
        <v>205</v>
      </c>
      <c r="C11" s="169">
        <v>148785</v>
      </c>
      <c r="D11" s="169">
        <v>22840</v>
      </c>
      <c r="E11" s="169">
        <v>464</v>
      </c>
      <c r="F11" s="169">
        <v>26369</v>
      </c>
      <c r="G11" s="169">
        <v>10681</v>
      </c>
      <c r="H11" s="169">
        <v>12392</v>
      </c>
      <c r="I11" s="185"/>
      <c r="J11" s="168">
        <f>B11*SUM('T5'!$H$42:$I$42)</f>
        <v>40.328633581091083</v>
      </c>
      <c r="K11" s="168">
        <f>C11*SUM('T5'!$H$42:$I$42)</f>
        <v>29269.735352988475</v>
      </c>
      <c r="L11" s="168">
        <f>D11*SUM('T5'!$H$42:$I$42)</f>
        <v>4493.1999560591239</v>
      </c>
      <c r="M11" s="168">
        <f>E11*SUM('T5'!$H$42:$I$42)</f>
        <v>91.280419422567135</v>
      </c>
      <c r="N11" s="168">
        <f>F11*SUM('T5'!$H$42:$I$42)</f>
        <v>5187.4426287794677</v>
      </c>
      <c r="O11" s="168">
        <f>G11*SUM('T5'!$H$42:$I$42)</f>
        <v>2101.2201720957751</v>
      </c>
      <c r="P11" s="168">
        <f>H11*SUM('T5'!$H$42:$I$42)</f>
        <v>2437.8167187164913</v>
      </c>
      <c r="Q11" s="168">
        <f>B11*SUM('T5'!$J$40:$L$40)</f>
        <v>157.52863579885519</v>
      </c>
      <c r="R11" s="168">
        <f>C11*SUM('T5'!$J$40:$L$40)</f>
        <v>114331.2101333301</v>
      </c>
      <c r="S11" s="168">
        <f>D11*SUM('T5'!$J$40:$L$40)</f>
        <v>17550.995325101718</v>
      </c>
      <c r="T11" s="168">
        <f>E11*SUM('T5'!$J$40:$L$40)</f>
        <v>356.55261956423806</v>
      </c>
      <c r="U11" s="168">
        <f>F11*SUM('T5'!$J$40:$L$40)</f>
        <v>20262.793157951281</v>
      </c>
      <c r="V11" s="168">
        <f>G11*SUM('T5'!$J$40:$L$40)</f>
        <v>8207.6261413052307</v>
      </c>
      <c r="W11" s="168">
        <f>H11*SUM('T5'!$J$40:$L$40)</f>
        <v>9522.4139259483582</v>
      </c>
      <c r="X11" s="168">
        <f t="shared" si="0"/>
        <v>214010.14382064273</v>
      </c>
      <c r="Y11" s="185"/>
      <c r="Z11" s="168">
        <f>B11*'T21'!$E$4</f>
        <v>100</v>
      </c>
      <c r="AA11" s="168">
        <f>C11*'T21'!$E$5</f>
        <v>37257.466767945312</v>
      </c>
      <c r="AB11" s="168">
        <f>D11*'T21'!$E$6</f>
        <v>22576.038523274477</v>
      </c>
      <c r="AC11" s="168">
        <f>E11*'T21'!$E$7</f>
        <v>368.68623024830697</v>
      </c>
      <c r="AD11" s="168">
        <f>F11*'T21'!$E$8</f>
        <v>610.94022724749254</v>
      </c>
      <c r="AE11" s="168">
        <f>G11*'T21'!$E$9</f>
        <v>5908.4862876254183</v>
      </c>
      <c r="AF11" s="168">
        <f>H11*'T21'!$E$10</f>
        <v>3750.2514429109165</v>
      </c>
      <c r="AG11" s="168">
        <f>B11*SUM('T21'!$F$4)</f>
        <v>105</v>
      </c>
      <c r="AH11" s="168">
        <f>C11*SUM('T21'!$F$5)</f>
        <v>111527.53323205469</v>
      </c>
      <c r="AI11" s="168">
        <f>D11*SUM('T21'!$F$6)</f>
        <v>263.96147672552166</v>
      </c>
      <c r="AJ11" s="168">
        <f>E11*SUM('T21'!$F$7)</f>
        <v>95.313769751693002</v>
      </c>
      <c r="AK11" s="168">
        <f>F11*SUM('T21'!$F$8)</f>
        <v>25758.059772752506</v>
      </c>
      <c r="AL11" s="168">
        <f>G11*SUM('T21'!$F$9)</f>
        <v>4772.5137123745817</v>
      </c>
      <c r="AM11" s="168">
        <f>H11*SUM('T21'!$F$10)</f>
        <v>8641.748557089084</v>
      </c>
      <c r="AN11" s="184"/>
    </row>
    <row r="12" spans="1:40">
      <c r="A12" s="184">
        <v>2023</v>
      </c>
      <c r="B12" s="169">
        <v>155</v>
      </c>
      <c r="C12" s="169">
        <v>148598</v>
      </c>
      <c r="D12" s="169">
        <v>17315</v>
      </c>
      <c r="E12" s="169">
        <v>464</v>
      </c>
      <c r="F12" s="169">
        <v>26659</v>
      </c>
      <c r="G12" s="169">
        <v>10596</v>
      </c>
      <c r="H12" s="169">
        <v>12511</v>
      </c>
      <c r="I12" s="185"/>
      <c r="J12" s="168">
        <f>B12*SUM('T5'!$H$42:$I$42)</f>
        <v>30.492381488142041</v>
      </c>
      <c r="K12" s="168">
        <f>C12*SUM('T5'!$H$42:$I$42)</f>
        <v>29232.947770160845</v>
      </c>
      <c r="L12" s="168">
        <f>D12*SUM('T5'!$H$42:$I$42)</f>
        <v>3406.2940997882542</v>
      </c>
      <c r="M12" s="168">
        <f>E12*SUM('T5'!$H$42:$I$42)</f>
        <v>91.280419422567135</v>
      </c>
      <c r="N12" s="168">
        <f>F12*SUM('T5'!$H$42:$I$42)</f>
        <v>5244.4928909185719</v>
      </c>
      <c r="O12" s="168">
        <f>G12*SUM('T5'!$H$42:$I$42)</f>
        <v>2084.4985435377616</v>
      </c>
      <c r="P12" s="168">
        <f>H12*SUM('T5'!$H$42:$I$42)</f>
        <v>2461.2269986977099</v>
      </c>
      <c r="Q12" s="168">
        <f>B12*SUM('T5'!$J$40:$L$40)</f>
        <v>119.10701731132953</v>
      </c>
      <c r="R12" s="168">
        <f>C12*SUM('T5'!$J$40:$L$40)</f>
        <v>114187.51328018674</v>
      </c>
      <c r="S12" s="168">
        <f>D12*SUM('T5'!$J$40:$L$40)</f>
        <v>13305.406482230135</v>
      </c>
      <c r="T12" s="168">
        <f>E12*SUM('T5'!$J$40:$L$40)</f>
        <v>356.55261956423806</v>
      </c>
      <c r="U12" s="168">
        <f>F12*SUM('T5'!$J$40:$L$40)</f>
        <v>20485.638545178928</v>
      </c>
      <c r="V12" s="168">
        <f>G12*SUM('T5'!$J$40:$L$40)</f>
        <v>8142.3093898764364</v>
      </c>
      <c r="W12" s="168">
        <f>H12*SUM('T5'!$J$40:$L$40)</f>
        <v>9613.8573779486687</v>
      </c>
      <c r="X12" s="168">
        <f t="shared" si="0"/>
        <v>208761.61781631035</v>
      </c>
      <c r="Y12" s="185"/>
      <c r="Z12" s="168">
        <f>B12*'T21'!$E$4</f>
        <v>75.609756097560975</v>
      </c>
      <c r="AA12" s="168">
        <f>C12*'T21'!$E$5</f>
        <v>37210.639827826308</v>
      </c>
      <c r="AB12" s="168">
        <f>D12*'T21'!$E$6</f>
        <v>17114.89085072231</v>
      </c>
      <c r="AC12" s="168">
        <f>E12*'T21'!$E$7</f>
        <v>368.68623024830697</v>
      </c>
      <c r="AD12" s="168">
        <f>F12*'T21'!$E$8</f>
        <v>617.65920278322665</v>
      </c>
      <c r="AE12" s="168">
        <f>G12*'T21'!$E$9</f>
        <v>5861.466220735786</v>
      </c>
      <c r="AF12" s="168">
        <f>H12*'T21'!$E$10</f>
        <v>3786.2649937264746</v>
      </c>
      <c r="AG12" s="168">
        <f>B12*SUM('T21'!$F$4)</f>
        <v>79.390243902439025</v>
      </c>
      <c r="AH12" s="168">
        <f>C12*SUM('T21'!$F$5)</f>
        <v>111387.36017217369</v>
      </c>
      <c r="AI12" s="168">
        <f>D12*SUM('T21'!$F$6)</f>
        <v>200.10914927768863</v>
      </c>
      <c r="AJ12" s="168">
        <f>E12*SUM('T21'!$F$7)</f>
        <v>95.313769751693002</v>
      </c>
      <c r="AK12" s="168">
        <f>F12*SUM('T21'!$F$8)</f>
        <v>26041.340797216773</v>
      </c>
      <c r="AL12" s="168">
        <f>G12*SUM('T21'!$F$9)</f>
        <v>4734.533779264214</v>
      </c>
      <c r="AM12" s="168">
        <f>H12*SUM('T21'!$F$10)</f>
        <v>8724.7350062735259</v>
      </c>
      <c r="AN12" s="184"/>
    </row>
    <row r="13" spans="1:40">
      <c r="A13" s="184">
        <v>2024</v>
      </c>
      <c r="B13" s="169">
        <v>124</v>
      </c>
      <c r="C13" s="169">
        <v>148433</v>
      </c>
      <c r="D13" s="169">
        <v>15965</v>
      </c>
      <c r="E13" s="169">
        <v>436</v>
      </c>
      <c r="F13" s="169">
        <v>26672</v>
      </c>
      <c r="G13" s="169">
        <v>10523</v>
      </c>
      <c r="H13" s="169">
        <v>11909</v>
      </c>
      <c r="I13" s="185"/>
      <c r="J13" s="168">
        <f>B13*SUM('T5'!$H$42:$I$42)</f>
        <v>24.393905190513632</v>
      </c>
      <c r="K13" s="168">
        <f>C13*SUM('T5'!$H$42:$I$42)</f>
        <v>29200.488138254113</v>
      </c>
      <c r="L13" s="168">
        <f>D13*SUM('T5'!$H$42:$I$42)</f>
        <v>3140.7152932786303</v>
      </c>
      <c r="M13" s="168">
        <f>E13*SUM('T5'!$H$42:$I$42)</f>
        <v>85.772118250515675</v>
      </c>
      <c r="N13" s="168">
        <f>F13*SUM('T5'!$H$42:$I$42)</f>
        <v>5247.0503164627389</v>
      </c>
      <c r="O13" s="168">
        <f>G13*SUM('T5'!$H$42:$I$42)</f>
        <v>2070.1376154820559</v>
      </c>
      <c r="P13" s="168">
        <f>H13*SUM('T5'!$H$42:$I$42)</f>
        <v>2342.7985234986036</v>
      </c>
      <c r="Q13" s="168">
        <f>B13*SUM('T5'!$J$40:$L$40)</f>
        <v>95.285613849063623</v>
      </c>
      <c r="R13" s="168">
        <f>C13*SUM('T5'!$J$40:$L$40)</f>
        <v>114060.72193917791</v>
      </c>
      <c r="S13" s="168">
        <f>D13*SUM('T5'!$J$40:$L$40)</f>
        <v>12268.022783066941</v>
      </c>
      <c r="T13" s="168">
        <f>E13*SUM('T5'!$J$40:$L$40)</f>
        <v>335.03651321122373</v>
      </c>
      <c r="U13" s="168">
        <f>F13*SUM('T5'!$J$40:$L$40)</f>
        <v>20495.628165985687</v>
      </c>
      <c r="V13" s="168">
        <f>G13*SUM('T5'!$J$40:$L$40)</f>
        <v>8086.2138268846493</v>
      </c>
      <c r="W13" s="168">
        <f>H13*SUM('T5'!$J$40:$L$40)</f>
        <v>9151.2610913588596</v>
      </c>
      <c r="X13" s="168">
        <f t="shared" si="0"/>
        <v>206603.52584395153</v>
      </c>
      <c r="Y13" s="185"/>
      <c r="Z13" s="168">
        <f>B13*'T21'!$E$4</f>
        <v>60.487804878048777</v>
      </c>
      <c r="AA13" s="168">
        <f>C13*'T21'!$E$5</f>
        <v>37169.321939486013</v>
      </c>
      <c r="AB13" s="168">
        <f>D13*'T21'!$E$6</f>
        <v>15780.492776886034</v>
      </c>
      <c r="AC13" s="168">
        <f>E13*'T21'!$E$7</f>
        <v>346.43792325056432</v>
      </c>
      <c r="AD13" s="168">
        <f>F13*'T21'!$E$8</f>
        <v>617.96039823827675</v>
      </c>
      <c r="AE13" s="168">
        <f>G13*'T21'!$E$9</f>
        <v>5821.0842809364549</v>
      </c>
      <c r="AF13" s="168">
        <f>H13*'T21'!$E$10</f>
        <v>3604.0787954830616</v>
      </c>
      <c r="AG13" s="168">
        <f>B13*SUM('T21'!$F$4)</f>
        <v>63.512195121951223</v>
      </c>
      <c r="AH13" s="168">
        <f>C13*SUM('T21'!$F$5)</f>
        <v>111263.67806051399</v>
      </c>
      <c r="AI13" s="168">
        <f>D13*SUM('T21'!$F$6)</f>
        <v>184.5072231139647</v>
      </c>
      <c r="AJ13" s="168">
        <f>E13*SUM('T21'!$F$7)</f>
        <v>89.562076749435661</v>
      </c>
      <c r="AK13" s="168">
        <f>F13*SUM('T21'!$F$8)</f>
        <v>26054.03960176172</v>
      </c>
      <c r="AL13" s="168">
        <f>G13*SUM('T21'!$F$9)</f>
        <v>4701.9157190635451</v>
      </c>
      <c r="AM13" s="168">
        <f>H13*SUM('T21'!$F$10)</f>
        <v>8304.9212045169388</v>
      </c>
      <c r="AN13" s="184"/>
    </row>
    <row r="14" spans="1:40">
      <c r="A14" s="184">
        <v>2025</v>
      </c>
      <c r="B14" s="169">
        <v>41</v>
      </c>
      <c r="C14" s="169">
        <f>148710+431+215+293+432</f>
        <v>150081</v>
      </c>
      <c r="D14" s="169">
        <v>15575</v>
      </c>
      <c r="E14" s="169">
        <v>443</v>
      </c>
      <c r="F14" s="169">
        <v>27019</v>
      </c>
      <c r="G14" s="169">
        <v>10465</v>
      </c>
      <c r="H14" s="169">
        <v>11955</v>
      </c>
      <c r="I14" s="185"/>
      <c r="J14" s="168">
        <f>B14*SUM('T5'!$H$42:$I$42)</f>
        <v>8.0657267162182169</v>
      </c>
      <c r="K14" s="168">
        <f>C14*SUM('T5'!$H$42:$I$42)</f>
        <v>29524.691007237714</v>
      </c>
      <c r="L14" s="168">
        <f>D14*SUM('T5'!$H$42:$I$42)</f>
        <v>3063.9925269536275</v>
      </c>
      <c r="M14" s="168">
        <f>E14*SUM('T5'!$H$42:$I$42)</f>
        <v>87.14919354352854</v>
      </c>
      <c r="N14" s="168">
        <f>F14*SUM('T5'!$H$42:$I$42)</f>
        <v>5315.3139059878049</v>
      </c>
      <c r="O14" s="168">
        <f>G14*SUM('T5'!$H$42:$I$42)</f>
        <v>2058.7275630542354</v>
      </c>
      <c r="P14" s="168">
        <f>H14*SUM('T5'!$H$42:$I$42)</f>
        <v>2351.8478754241169</v>
      </c>
      <c r="Q14" s="168">
        <f>B14*SUM('T5'!$J$40:$L$40)</f>
        <v>31.505727159771038</v>
      </c>
      <c r="R14" s="168">
        <f>C14*SUM('T5'!$J$40:$L$40)</f>
        <v>115327.09848452675</v>
      </c>
      <c r="S14" s="168">
        <f>D14*SUM('T5'!$J$40:$L$40)</f>
        <v>11968.334158864242</v>
      </c>
      <c r="T14" s="168">
        <f>E14*SUM('T5'!$J$40:$L$40)</f>
        <v>340.4155397994773</v>
      </c>
      <c r="U14" s="168">
        <f>F14*SUM('T5'!$J$40:$L$40)</f>
        <v>20762.274198289113</v>
      </c>
      <c r="V14" s="168">
        <f>G14*SUM('T5'!$J$40:$L$40)</f>
        <v>8041.6447494391196</v>
      </c>
      <c r="W14" s="168">
        <f>H14*SUM('T5'!$J$40:$L$40)</f>
        <v>9186.608980367384</v>
      </c>
      <c r="X14" s="168">
        <f t="shared" si="0"/>
        <v>208067.66963736314</v>
      </c>
      <c r="Y14" s="185"/>
      <c r="Z14" s="168">
        <f>B14*'T21'!$E$4</f>
        <v>20</v>
      </c>
      <c r="AA14" s="168">
        <f>C14*'T21'!$E$5</f>
        <v>37582</v>
      </c>
      <c r="AB14" s="168">
        <f>D14*'T21'!$E$6</f>
        <v>15395</v>
      </c>
      <c r="AC14" s="168">
        <f>E14*'T21'!$E$7</f>
        <v>352</v>
      </c>
      <c r="AD14" s="168">
        <f>F14*'T21'!$E$8</f>
        <v>626</v>
      </c>
      <c r="AE14" s="168">
        <f>G14*'T21'!$E$9</f>
        <v>5789</v>
      </c>
      <c r="AF14" s="168">
        <f>H14*'T21'!$E$10</f>
        <v>3618.0000000000005</v>
      </c>
      <c r="AG14" s="168">
        <f>B14*SUM('T21'!$F$4)</f>
        <v>21</v>
      </c>
      <c r="AH14" s="168">
        <f>C14*SUM('T21'!$F$5)</f>
        <v>112499</v>
      </c>
      <c r="AI14" s="168">
        <f>D14*SUM('T21'!$F$6)</f>
        <v>180</v>
      </c>
      <c r="AJ14" s="168">
        <f>E14*SUM('T21'!$F$7)</f>
        <v>91</v>
      </c>
      <c r="AK14" s="168">
        <f>F14*SUM('T21'!$F$8)</f>
        <v>26393</v>
      </c>
      <c r="AL14" s="168">
        <f>G14*SUM('T21'!$F$9)</f>
        <v>4676</v>
      </c>
      <c r="AM14" s="168">
        <f>H14*SUM('T21'!$F$10)</f>
        <v>8337</v>
      </c>
      <c r="AN14" s="184"/>
    </row>
    <row r="16" spans="1:40">
      <c r="A16" s="184" t="s">
        <v>242</v>
      </c>
      <c r="B16" s="193">
        <f>MIN(B4:B14)</f>
        <v>41</v>
      </c>
      <c r="C16" s="193">
        <f>MIN(C4:C14)</f>
        <v>113677</v>
      </c>
      <c r="D16" s="193">
        <f t="shared" ref="D16:H16" si="1">MIN(D4:D14)</f>
        <v>15575</v>
      </c>
      <c r="E16" s="193">
        <f t="shared" si="1"/>
        <v>314</v>
      </c>
      <c r="F16" s="193">
        <f t="shared" si="1"/>
        <v>25240</v>
      </c>
      <c r="G16" s="193">
        <f t="shared" si="1"/>
        <v>10465</v>
      </c>
      <c r="H16" s="193">
        <f t="shared" si="1"/>
        <v>11909</v>
      </c>
      <c r="I16" s="185"/>
      <c r="J16" s="193">
        <f>MIN(J4:J14)</f>
        <v>8.0657267162182169</v>
      </c>
      <c r="K16" s="193">
        <f t="shared" ref="K16:W16" si="2">MIN(K4:K14)</f>
        <v>22363.112583403374</v>
      </c>
      <c r="L16" s="193">
        <f t="shared" si="2"/>
        <v>3063.9925269536275</v>
      </c>
      <c r="M16" s="193">
        <f t="shared" si="2"/>
        <v>61.771663143720005</v>
      </c>
      <c r="N16" s="193">
        <f t="shared" si="2"/>
        <v>4965.3400565206784</v>
      </c>
      <c r="O16" s="193">
        <f t="shared" si="2"/>
        <v>2058.7275630542354</v>
      </c>
      <c r="P16" s="193">
        <f t="shared" si="2"/>
        <v>2342.7985234986036</v>
      </c>
      <c r="Q16" s="193">
        <f t="shared" si="2"/>
        <v>31.505727159771038</v>
      </c>
      <c r="R16" s="193">
        <f t="shared" si="2"/>
        <v>87353.086496129079</v>
      </c>
      <c r="S16" s="193">
        <f t="shared" si="2"/>
        <v>11968.334158864242</v>
      </c>
      <c r="T16" s="193">
        <f t="shared" si="2"/>
        <v>241.28776410166111</v>
      </c>
      <c r="U16" s="193">
        <f t="shared" si="2"/>
        <v>19395.233012502951</v>
      </c>
      <c r="V16" s="193">
        <f t="shared" si="2"/>
        <v>8041.6447494391196</v>
      </c>
      <c r="W16" s="193">
        <f t="shared" si="2"/>
        <v>9151.2610913588596</v>
      </c>
      <c r="X16" s="193"/>
      <c r="Y16" s="185"/>
      <c r="Z16" s="193">
        <f>MIN(Z4:Z14)</f>
        <v>20</v>
      </c>
      <c r="AA16" s="193">
        <f t="shared" ref="AA16:AM16" si="3">MIN(AA4:AA14)</f>
        <v>28466.021774908215</v>
      </c>
      <c r="AB16" s="193">
        <f t="shared" si="3"/>
        <v>15395</v>
      </c>
      <c r="AC16" s="193">
        <f t="shared" si="3"/>
        <v>249.49887133182844</v>
      </c>
      <c r="AD16" s="193">
        <f t="shared" si="3"/>
        <v>584.78256042044484</v>
      </c>
      <c r="AE16" s="193">
        <f t="shared" si="3"/>
        <v>5789</v>
      </c>
      <c r="AF16" s="193">
        <f t="shared" si="3"/>
        <v>3604.0787954830616</v>
      </c>
      <c r="AG16" s="193">
        <f t="shared" si="3"/>
        <v>21</v>
      </c>
      <c r="AH16" s="193">
        <f t="shared" si="3"/>
        <v>85210.978225091778</v>
      </c>
      <c r="AI16" s="193">
        <f t="shared" si="3"/>
        <v>180</v>
      </c>
      <c r="AJ16" s="193">
        <f t="shared" si="3"/>
        <v>64.50112866817156</v>
      </c>
      <c r="AK16" s="193">
        <f t="shared" si="3"/>
        <v>24655.217439579556</v>
      </c>
      <c r="AL16" s="193">
        <f t="shared" si="3"/>
        <v>4676</v>
      </c>
      <c r="AM16" s="193">
        <f t="shared" si="3"/>
        <v>8304.9212045169388</v>
      </c>
      <c r="AN16" s="184"/>
    </row>
    <row r="17" spans="1:39">
      <c r="A17" s="184" t="s">
        <v>243</v>
      </c>
      <c r="B17" s="193">
        <f>AVERAGE(B4:B14)</f>
        <v>219.72727272727272</v>
      </c>
      <c r="C17" s="193">
        <f>AVERAGE(C4:C14)</f>
        <v>137927.09090909091</v>
      </c>
      <c r="D17" s="193">
        <f t="shared" ref="D17:H17" si="4">AVERAGE(D4:D14)</f>
        <v>26077.454545454544</v>
      </c>
      <c r="E17" s="193">
        <f t="shared" si="4"/>
        <v>416.54545454545456</v>
      </c>
      <c r="F17" s="193">
        <f t="shared" si="4"/>
        <v>26083.272727272728</v>
      </c>
      <c r="G17" s="193">
        <f t="shared" si="4"/>
        <v>11006.818181818182</v>
      </c>
      <c r="H17" s="193">
        <f t="shared" si="4"/>
        <v>12598.363636363636</v>
      </c>
      <c r="I17" s="185"/>
      <c r="J17" s="193">
        <f>AVERAGE(J4:J14)</f>
        <v>43.225856924832442</v>
      </c>
      <c r="K17" s="193">
        <f t="shared" ref="K17:W17" si="5">AVERAGE(K4:K14)</f>
        <v>27133.712732578373</v>
      </c>
      <c r="L17" s="193">
        <f t="shared" si="5"/>
        <v>5130.0883370302172</v>
      </c>
      <c r="M17" s="193">
        <f t="shared" si="5"/>
        <v>81.944921981622755</v>
      </c>
      <c r="N17" s="193">
        <f t="shared" si="5"/>
        <v>5131.2329190919418</v>
      </c>
      <c r="O17" s="193">
        <f t="shared" si="5"/>
        <v>2165.3167675523737</v>
      </c>
      <c r="P17" s="193">
        <f t="shared" si="5"/>
        <v>2478.4136137182995</v>
      </c>
      <c r="Q17" s="193">
        <f t="shared" si="5"/>
        <v>168.8455488806355</v>
      </c>
      <c r="R17" s="193">
        <f t="shared" si="5"/>
        <v>105987.64132006721</v>
      </c>
      <c r="S17" s="193">
        <f t="shared" si="5"/>
        <v>20038.760193424925</v>
      </c>
      <c r="T17" s="193">
        <f t="shared" si="5"/>
        <v>320.0870107451683</v>
      </c>
      <c r="U17" s="193">
        <f t="shared" si="5"/>
        <v>20043.231072667109</v>
      </c>
      <c r="V17" s="193">
        <f t="shared" si="5"/>
        <v>8457.9953788675793</v>
      </c>
      <c r="W17" s="193">
        <f t="shared" si="5"/>
        <v>9680.9904240695996</v>
      </c>
      <c r="X17" s="193"/>
      <c r="Y17" s="185"/>
      <c r="Z17" s="193">
        <f>AVERAGE(Z4:Z14)</f>
        <v>107.18403547671838</v>
      </c>
      <c r="AA17" s="193">
        <f t="shared" ref="AA17:AM17" si="6">AVERAGE(AA4:AA14)</f>
        <v>34538.522068386104</v>
      </c>
      <c r="AB17" s="193">
        <f t="shared" si="6"/>
        <v>25776.077863709324</v>
      </c>
      <c r="AC17" s="193">
        <f t="shared" si="6"/>
        <v>330.97968397291191</v>
      </c>
      <c r="AD17" s="193">
        <f t="shared" si="6"/>
        <v>604.32024602215949</v>
      </c>
      <c r="AE17" s="193">
        <f t="shared" si="6"/>
        <v>6088.7214958954082</v>
      </c>
      <c r="AF17" s="193">
        <f t="shared" si="6"/>
        <v>3812.7042774039014</v>
      </c>
      <c r="AG17" s="193">
        <f t="shared" si="6"/>
        <v>112.54323725055434</v>
      </c>
      <c r="AH17" s="193">
        <f t="shared" si="6"/>
        <v>103388.56884070481</v>
      </c>
      <c r="AI17" s="193">
        <f t="shared" si="6"/>
        <v>301.37668174522111</v>
      </c>
      <c r="AJ17" s="193">
        <f t="shared" si="6"/>
        <v>85.56577057254259</v>
      </c>
      <c r="AK17" s="193">
        <f t="shared" si="6"/>
        <v>25478.95248125057</v>
      </c>
      <c r="AL17" s="193">
        <f t="shared" si="6"/>
        <v>4918.0966859227738</v>
      </c>
      <c r="AM17" s="193">
        <f t="shared" si="6"/>
        <v>8785.6593589597342</v>
      </c>
    </row>
    <row r="18" spans="1:39">
      <c r="A18" s="184" t="s">
        <v>244</v>
      </c>
      <c r="B18" s="193">
        <f>MEDIAN(B4:B14)</f>
        <v>238</v>
      </c>
      <c r="C18" s="193">
        <f>MEDIAN(C4:C14)</f>
        <v>143394</v>
      </c>
      <c r="D18" s="193">
        <f t="shared" ref="D18:H18" si="7">MEDIAN(D4:D14)</f>
        <v>28719</v>
      </c>
      <c r="E18" s="193">
        <f t="shared" si="7"/>
        <v>440</v>
      </c>
      <c r="F18" s="193">
        <f t="shared" si="7"/>
        <v>25871</v>
      </c>
      <c r="G18" s="193">
        <f t="shared" si="7"/>
        <v>11018</v>
      </c>
      <c r="H18" s="193">
        <f t="shared" si="7"/>
        <v>12706</v>
      </c>
      <c r="I18" s="185"/>
      <c r="J18" s="193">
        <f>MEDIAN(J4:J14)</f>
        <v>46.820559962437457</v>
      </c>
      <c r="K18" s="193">
        <f t="shared" ref="K18:W18" si="8">MEDIAN(K4:K14)</f>
        <v>28209.190652326706</v>
      </c>
      <c r="L18" s="193">
        <f t="shared" si="8"/>
        <v>5649.7464771480727</v>
      </c>
      <c r="M18" s="193">
        <f t="shared" si="8"/>
        <v>86.559018417951592</v>
      </c>
      <c r="N18" s="193">
        <f t="shared" si="8"/>
        <v>5089.4735579336948</v>
      </c>
      <c r="O18" s="193">
        <f t="shared" si="8"/>
        <v>2167.5165112022514</v>
      </c>
      <c r="P18" s="193">
        <f t="shared" si="8"/>
        <v>2499.5883818602115</v>
      </c>
      <c r="Q18" s="193">
        <f t="shared" si="8"/>
        <v>182.88690400062211</v>
      </c>
      <c r="R18" s="193">
        <f t="shared" si="8"/>
        <v>110188.59122800507</v>
      </c>
      <c r="S18" s="193">
        <f t="shared" si="8"/>
        <v>22068.609226864985</v>
      </c>
      <c r="T18" s="193">
        <f t="shared" si="8"/>
        <v>338.11024269022579</v>
      </c>
      <c r="U18" s="193">
        <f t="shared" si="8"/>
        <v>19880.113837815523</v>
      </c>
      <c r="V18" s="193">
        <f t="shared" si="8"/>
        <v>8466.5878499111532</v>
      </c>
      <c r="W18" s="193">
        <f t="shared" si="8"/>
        <v>9763.7016900500203</v>
      </c>
      <c r="X18" s="193"/>
      <c r="Y18" s="185"/>
      <c r="Z18" s="193">
        <f>MEDIAN(Z4:Z14)</f>
        <v>116.09756097560975</v>
      </c>
      <c r="AA18" s="193">
        <f t="shared" ref="AA18:AM18" si="9">MEDIAN(AA4:AA14)</f>
        <v>35907.49867071781</v>
      </c>
      <c r="AB18" s="193">
        <f t="shared" si="9"/>
        <v>28387.095024077047</v>
      </c>
      <c r="AC18" s="193">
        <f t="shared" si="9"/>
        <v>349.6162528216704</v>
      </c>
      <c r="AD18" s="193">
        <f t="shared" si="9"/>
        <v>599.40212443095595</v>
      </c>
      <c r="AE18" s="193">
        <f t="shared" si="9"/>
        <v>6094.9070234113715</v>
      </c>
      <c r="AF18" s="193">
        <f t="shared" si="9"/>
        <v>3845.2787954830619</v>
      </c>
      <c r="AG18" s="193">
        <f t="shared" si="9"/>
        <v>121.90243902439025</v>
      </c>
      <c r="AH18" s="193">
        <f t="shared" si="9"/>
        <v>107486.50132928218</v>
      </c>
      <c r="AI18" s="193">
        <f t="shared" si="9"/>
        <v>331.9049759229535</v>
      </c>
      <c r="AJ18" s="193">
        <f t="shared" si="9"/>
        <v>90.383747178329571</v>
      </c>
      <c r="AK18" s="193">
        <f t="shared" si="9"/>
        <v>25271.597875569041</v>
      </c>
      <c r="AL18" s="193">
        <f t="shared" si="9"/>
        <v>4923.0929765886285</v>
      </c>
      <c r="AM18" s="193">
        <f t="shared" si="9"/>
        <v>8860.7212045169381</v>
      </c>
    </row>
    <row r="19" spans="1:39">
      <c r="A19" s="184" t="s">
        <v>245</v>
      </c>
      <c r="B19" s="193">
        <f>MAX(B4:B14)</f>
        <v>318</v>
      </c>
      <c r="C19" s="193">
        <f>MAX(C4:C14)</f>
        <v>150081</v>
      </c>
      <c r="D19" s="193">
        <f t="shared" ref="D19:H19" si="10">MAX(D4:D14)</f>
        <v>33933</v>
      </c>
      <c r="E19" s="193">
        <f t="shared" si="10"/>
        <v>464</v>
      </c>
      <c r="F19" s="193">
        <f t="shared" si="10"/>
        <v>27019</v>
      </c>
      <c r="G19" s="193">
        <f t="shared" si="10"/>
        <v>11760</v>
      </c>
      <c r="H19" s="193">
        <f t="shared" si="10"/>
        <v>13039</v>
      </c>
      <c r="I19" s="185"/>
      <c r="J19" s="193">
        <f>MAX(J4:J14)</f>
        <v>62.558563311155929</v>
      </c>
      <c r="K19" s="193">
        <f t="shared" ref="K19:W19" si="11">MAX(K4:K14)</f>
        <v>29524.691007237714</v>
      </c>
      <c r="L19" s="193">
        <f t="shared" si="11"/>
        <v>6675.4708454007987</v>
      </c>
      <c r="M19" s="193">
        <f t="shared" si="11"/>
        <v>91.280419422567135</v>
      </c>
      <c r="N19" s="193">
        <f t="shared" si="11"/>
        <v>5315.3139059878049</v>
      </c>
      <c r="O19" s="193">
        <f t="shared" si="11"/>
        <v>2313.4864922616152</v>
      </c>
      <c r="P19" s="193">
        <f t="shared" si="11"/>
        <v>2565.0978207992521</v>
      </c>
      <c r="Q19" s="193">
        <f t="shared" si="11"/>
        <v>244.36149358066316</v>
      </c>
      <c r="R19" s="193">
        <f t="shared" si="11"/>
        <v>115327.09848452675</v>
      </c>
      <c r="S19" s="193">
        <f t="shared" si="11"/>
        <v>26075.21560274416</v>
      </c>
      <c r="T19" s="193">
        <f t="shared" si="11"/>
        <v>356.55261956423806</v>
      </c>
      <c r="U19" s="193">
        <f t="shared" si="11"/>
        <v>20762.274198289113</v>
      </c>
      <c r="V19" s="193">
        <f t="shared" si="11"/>
        <v>9036.7646682660343</v>
      </c>
      <c r="W19" s="193">
        <f t="shared" si="11"/>
        <v>10019.589669176939</v>
      </c>
      <c r="X19" s="193"/>
      <c r="Y19" s="185"/>
      <c r="Z19" s="193">
        <f>MAX(Z4:Z14)</f>
        <v>155.1219512195122</v>
      </c>
      <c r="AA19" s="193">
        <f t="shared" ref="AA19:AM19" si="12">MAX(AA4:AA14)</f>
        <v>37582</v>
      </c>
      <c r="AB19" s="193">
        <f t="shared" si="12"/>
        <v>33540.83691813804</v>
      </c>
      <c r="AC19" s="193">
        <f t="shared" si="12"/>
        <v>368.68623024830697</v>
      </c>
      <c r="AD19" s="193">
        <f t="shared" si="12"/>
        <v>626</v>
      </c>
      <c r="AE19" s="193">
        <f t="shared" si="12"/>
        <v>6505.364548494983</v>
      </c>
      <c r="AF19" s="193">
        <f t="shared" si="12"/>
        <v>3946.0562107904648</v>
      </c>
      <c r="AG19" s="193">
        <f t="shared" si="12"/>
        <v>162.8780487804878</v>
      </c>
      <c r="AH19" s="193">
        <f t="shared" si="12"/>
        <v>112499</v>
      </c>
      <c r="AI19" s="193">
        <f t="shared" si="12"/>
        <v>392.16308186195829</v>
      </c>
      <c r="AJ19" s="193">
        <f t="shared" si="12"/>
        <v>95.313769751693002</v>
      </c>
      <c r="AK19" s="193">
        <f t="shared" si="12"/>
        <v>26393</v>
      </c>
      <c r="AL19" s="193">
        <f t="shared" si="12"/>
        <v>5254.635451505017</v>
      </c>
      <c r="AM19" s="193">
        <f t="shared" si="12"/>
        <v>9092.9437892095357</v>
      </c>
    </row>
    <row r="21" spans="1:39">
      <c r="A21" s="6" t="s">
        <v>418</v>
      </c>
      <c r="B21" s="184"/>
      <c r="C21" s="184"/>
      <c r="D21" s="184"/>
      <c r="E21" s="184"/>
      <c r="F21" s="184"/>
      <c r="G21" s="184"/>
      <c r="H21" s="184"/>
      <c r="I21" s="185"/>
      <c r="J21" s="184"/>
      <c r="K21" s="184"/>
      <c r="L21" s="184"/>
      <c r="M21" s="184"/>
      <c r="N21" s="184"/>
      <c r="O21" s="184"/>
      <c r="P21" s="184"/>
      <c r="Q21" s="184"/>
      <c r="R21" s="184"/>
      <c r="S21" s="184"/>
      <c r="T21" s="184"/>
      <c r="U21" s="184"/>
      <c r="V21" s="184"/>
      <c r="W21" s="184"/>
      <c r="X21" s="184"/>
      <c r="Y21" s="185"/>
      <c r="Z21" s="184"/>
      <c r="AA21" s="184"/>
      <c r="AB21" s="184"/>
      <c r="AC21" s="184"/>
      <c r="AD21" s="184"/>
      <c r="AE21" s="184"/>
      <c r="AF21" s="184"/>
      <c r="AG21" s="184"/>
      <c r="AH21" s="184"/>
      <c r="AI21" s="184"/>
      <c r="AJ21" s="184"/>
      <c r="AK21" s="184"/>
      <c r="AL21" s="184"/>
      <c r="AM21" s="184"/>
    </row>
    <row r="22" spans="1:39">
      <c r="A22" s="1" t="s">
        <v>231</v>
      </c>
      <c r="B22" s="184"/>
      <c r="C22" s="184"/>
      <c r="D22" s="170"/>
      <c r="E22" s="170"/>
      <c r="F22" s="170"/>
      <c r="G22" s="170"/>
      <c r="H22" s="170"/>
      <c r="I22" s="185"/>
      <c r="J22" s="184"/>
      <c r="K22" s="184"/>
      <c r="L22" s="184"/>
      <c r="M22" s="184"/>
      <c r="N22" s="184"/>
      <c r="O22" s="184"/>
      <c r="P22" s="184"/>
      <c r="Q22" s="184"/>
      <c r="R22" s="184"/>
      <c r="S22" s="184"/>
      <c r="T22" s="184"/>
      <c r="U22" s="184"/>
      <c r="V22" s="184"/>
      <c r="W22" s="184"/>
      <c r="X22" s="184"/>
      <c r="Y22" s="185"/>
      <c r="Z22" s="184"/>
      <c r="AA22" s="184"/>
      <c r="AB22" s="184"/>
      <c r="AC22" s="184"/>
      <c r="AD22" s="184"/>
      <c r="AE22" s="184"/>
      <c r="AF22" s="184"/>
      <c r="AG22" s="184"/>
      <c r="AH22" s="184"/>
      <c r="AI22" s="184"/>
      <c r="AJ22" s="184"/>
      <c r="AK22" s="184"/>
      <c r="AL22" s="184"/>
      <c r="AM22" s="184"/>
    </row>
    <row r="23" spans="1:39">
      <c r="A23" s="184">
        <v>2015</v>
      </c>
      <c r="B23" s="184"/>
      <c r="C23" s="184"/>
      <c r="D23" s="184"/>
      <c r="E23" s="168"/>
      <c r="F23" s="168"/>
      <c r="G23" s="168"/>
      <c r="H23" s="168"/>
      <c r="I23" s="185"/>
      <c r="J23" s="184"/>
      <c r="K23" s="184"/>
      <c r="L23" s="184"/>
      <c r="M23" s="168"/>
      <c r="N23" s="168"/>
      <c r="O23" s="168"/>
      <c r="P23" s="168"/>
      <c r="Q23" s="184"/>
      <c r="R23" s="184"/>
      <c r="S23" s="184"/>
      <c r="T23" s="168"/>
      <c r="U23" s="168"/>
      <c r="V23" s="168"/>
      <c r="W23" s="168"/>
      <c r="X23" s="168"/>
      <c r="Y23" s="185"/>
      <c r="Z23" s="184"/>
      <c r="AA23" s="184"/>
      <c r="AB23" s="184"/>
      <c r="AC23" s="168"/>
      <c r="AD23" s="168"/>
      <c r="AE23" s="168"/>
      <c r="AF23" s="168"/>
      <c r="AG23" s="184"/>
      <c r="AH23" s="184"/>
      <c r="AI23" s="184"/>
      <c r="AJ23" s="168"/>
      <c r="AK23" s="168"/>
      <c r="AL23" s="168"/>
      <c r="AM23" s="168"/>
    </row>
    <row r="24" spans="1:39">
      <c r="A24" s="184">
        <v>2016</v>
      </c>
      <c r="B24" s="171">
        <f t="shared" ref="B24:C24" si="13">(B5/B4)-1</f>
        <v>6.7114093959731447E-2</v>
      </c>
      <c r="C24" s="171">
        <f t="shared" si="13"/>
        <v>5.2860297157736325E-2</v>
      </c>
      <c r="D24" s="171">
        <f t="shared" ref="D24:H32" si="14">(D5/D4)-1</f>
        <v>4.6442779165510206E-2</v>
      </c>
      <c r="E24" s="171">
        <f t="shared" si="14"/>
        <v>5.7324840764331197E-2</v>
      </c>
      <c r="F24" s="171">
        <f t="shared" si="14"/>
        <v>8.0031695721076712E-3</v>
      </c>
      <c r="G24" s="171">
        <f t="shared" si="14"/>
        <v>-1.1819727891156484E-2</v>
      </c>
      <c r="H24" s="171">
        <f t="shared" si="14"/>
        <v>5.7076745082915714E-3</v>
      </c>
      <c r="I24" s="185"/>
      <c r="J24" s="171">
        <f t="shared" ref="J24:K24" si="15">(J5/J4)-1</f>
        <v>6.7114093959731669E-2</v>
      </c>
      <c r="K24" s="171">
        <f t="shared" si="15"/>
        <v>5.2860297157736325E-2</v>
      </c>
      <c r="L24" s="171">
        <f t="shared" ref="L24:P32" si="16">(L5/L4)-1</f>
        <v>4.6442779165510206E-2</v>
      </c>
      <c r="M24" s="171">
        <f t="shared" si="16"/>
        <v>5.7324840764331197E-2</v>
      </c>
      <c r="N24" s="171">
        <f t="shared" si="16"/>
        <v>8.0031695721076712E-3</v>
      </c>
      <c r="O24" s="171">
        <f t="shared" si="16"/>
        <v>-1.1819727891156373E-2</v>
      </c>
      <c r="P24" s="171">
        <f t="shared" si="16"/>
        <v>5.7076745082915714E-3</v>
      </c>
      <c r="Q24" s="171">
        <f t="shared" ref="Q24:R24" si="17">(Q5/Q4)-1</f>
        <v>6.7114093959731669E-2</v>
      </c>
      <c r="R24" s="171">
        <f t="shared" si="17"/>
        <v>5.2860297157736325E-2</v>
      </c>
      <c r="S24" s="171">
        <f t="shared" ref="S24:W32" si="18">(S5/S4)-1</f>
        <v>4.6442779165510206E-2</v>
      </c>
      <c r="T24" s="171">
        <f t="shared" si="18"/>
        <v>5.7324840764331197E-2</v>
      </c>
      <c r="U24" s="171">
        <f t="shared" si="18"/>
        <v>8.0031695721078933E-3</v>
      </c>
      <c r="V24" s="171">
        <f t="shared" si="18"/>
        <v>-1.1819727891156484E-2</v>
      </c>
      <c r="W24" s="171">
        <f t="shared" si="18"/>
        <v>5.7076745082913494E-3</v>
      </c>
      <c r="X24" s="171"/>
      <c r="Y24" s="185"/>
      <c r="Z24" s="171">
        <f t="shared" ref="Z24:AA24" si="19">(Z5/Z4)-1</f>
        <v>6.7114093959731447E-2</v>
      </c>
      <c r="AA24" s="171">
        <f t="shared" si="19"/>
        <v>5.2860297157736325E-2</v>
      </c>
      <c r="AB24" s="171">
        <f t="shared" ref="AB24:AF32" si="20">(AB5/AB4)-1</f>
        <v>4.6442779165510206E-2</v>
      </c>
      <c r="AC24" s="171">
        <f t="shared" si="20"/>
        <v>5.7324840764331197E-2</v>
      </c>
      <c r="AD24" s="171">
        <f t="shared" si="20"/>
        <v>8.0031695721078933E-3</v>
      </c>
      <c r="AE24" s="171">
        <f t="shared" si="20"/>
        <v>-1.1819727891156373E-2</v>
      </c>
      <c r="AF24" s="171">
        <f t="shared" si="20"/>
        <v>5.7076745082915714E-3</v>
      </c>
      <c r="AG24" s="171">
        <f t="shared" ref="AG24:AH24" si="21">(AG5/AG4)-1</f>
        <v>6.7114093959731669E-2</v>
      </c>
      <c r="AH24" s="171">
        <f t="shared" si="21"/>
        <v>5.2860297157736547E-2</v>
      </c>
      <c r="AI24" s="171">
        <f t="shared" ref="AI24:AM32" si="22">(AI5/AI4)-1</f>
        <v>4.6442779165510206E-2</v>
      </c>
      <c r="AJ24" s="171">
        <f t="shared" si="22"/>
        <v>5.7324840764331197E-2</v>
      </c>
      <c r="AK24" s="171">
        <f t="shared" si="22"/>
        <v>8.0031695721076712E-3</v>
      </c>
      <c r="AL24" s="171">
        <f t="shared" si="22"/>
        <v>-1.1819727891156595E-2</v>
      </c>
      <c r="AM24" s="171">
        <f t="shared" si="22"/>
        <v>5.7076745082915714E-3</v>
      </c>
    </row>
    <row r="25" spans="1:39">
      <c r="A25" s="184">
        <v>2017</v>
      </c>
      <c r="B25" s="171">
        <f t="shared" ref="B25:C25" si="23">(B6/B5)-1</f>
        <v>-0.11006289308176098</v>
      </c>
      <c r="C25" s="171">
        <f t="shared" si="23"/>
        <v>5.3690490115803069E-2</v>
      </c>
      <c r="D25" s="171">
        <f t="shared" si="14"/>
        <v>-6.0531046473933925E-2</v>
      </c>
      <c r="E25" s="171">
        <f t="shared" si="14"/>
        <v>0.16265060240963858</v>
      </c>
      <c r="F25" s="171">
        <f t="shared" si="14"/>
        <v>8.0968477320966237E-3</v>
      </c>
      <c r="G25" s="171">
        <f t="shared" si="14"/>
        <v>-2.202908527665437E-2</v>
      </c>
      <c r="H25" s="171">
        <f t="shared" si="14"/>
        <v>-2.1167267428483738E-2</v>
      </c>
      <c r="I25" s="185"/>
      <c r="J25" s="171">
        <f t="shared" ref="J25:K25" si="24">(J6/J5)-1</f>
        <v>-0.11006289308176098</v>
      </c>
      <c r="K25" s="171">
        <f t="shared" si="24"/>
        <v>5.3690490115803069E-2</v>
      </c>
      <c r="L25" s="171">
        <f t="shared" si="16"/>
        <v>-6.0531046473933814E-2</v>
      </c>
      <c r="M25" s="171">
        <f t="shared" si="16"/>
        <v>0.16265060240963836</v>
      </c>
      <c r="N25" s="171">
        <f t="shared" si="16"/>
        <v>8.0968477320966237E-3</v>
      </c>
      <c r="O25" s="171">
        <f t="shared" si="16"/>
        <v>-2.202908527665437E-2</v>
      </c>
      <c r="P25" s="171">
        <f t="shared" si="16"/>
        <v>-2.1167267428483849E-2</v>
      </c>
      <c r="Q25" s="171">
        <f t="shared" ref="Q25:R25" si="25">(Q6/Q5)-1</f>
        <v>-0.11006289308176098</v>
      </c>
      <c r="R25" s="171">
        <f t="shared" si="25"/>
        <v>5.3690490115803069E-2</v>
      </c>
      <c r="S25" s="171">
        <f t="shared" si="18"/>
        <v>-6.0531046473933925E-2</v>
      </c>
      <c r="T25" s="171">
        <f t="shared" si="18"/>
        <v>0.16265060240963858</v>
      </c>
      <c r="U25" s="171">
        <f t="shared" si="18"/>
        <v>8.0968477320966237E-3</v>
      </c>
      <c r="V25" s="171">
        <f t="shared" si="18"/>
        <v>-2.202908527665437E-2</v>
      </c>
      <c r="W25" s="171">
        <f t="shared" si="18"/>
        <v>-2.1167267428483738E-2</v>
      </c>
      <c r="X25" s="171"/>
      <c r="Y25" s="185"/>
      <c r="Z25" s="171">
        <f t="shared" ref="Z25:AA25" si="26">(Z6/Z5)-1</f>
        <v>-0.11006289308176109</v>
      </c>
      <c r="AA25" s="171">
        <f t="shared" si="26"/>
        <v>5.3690490115803069E-2</v>
      </c>
      <c r="AB25" s="171">
        <f t="shared" si="20"/>
        <v>-6.0531046473933925E-2</v>
      </c>
      <c r="AC25" s="171">
        <f t="shared" si="20"/>
        <v>0.16265060240963858</v>
      </c>
      <c r="AD25" s="171">
        <f t="shared" si="20"/>
        <v>8.0968477320966237E-3</v>
      </c>
      <c r="AE25" s="171">
        <f t="shared" si="20"/>
        <v>-2.2029085276654259E-2</v>
      </c>
      <c r="AF25" s="171">
        <f t="shared" si="20"/>
        <v>-2.1167267428483849E-2</v>
      </c>
      <c r="AG25" s="171">
        <f t="shared" ref="AG25:AH25" si="27">(AG6/AG5)-1</f>
        <v>-0.11006289308176087</v>
      </c>
      <c r="AH25" s="171">
        <f t="shared" si="27"/>
        <v>5.3690490115802847E-2</v>
      </c>
      <c r="AI25" s="171">
        <f t="shared" si="22"/>
        <v>-6.0531046473933925E-2</v>
      </c>
      <c r="AJ25" s="171">
        <f t="shared" si="22"/>
        <v>0.16265060240963858</v>
      </c>
      <c r="AK25" s="171">
        <f t="shared" si="22"/>
        <v>8.0968477320966237E-3</v>
      </c>
      <c r="AL25" s="171">
        <f t="shared" si="22"/>
        <v>-2.202908527665437E-2</v>
      </c>
      <c r="AM25" s="171">
        <f t="shared" si="22"/>
        <v>-2.1167267428483738E-2</v>
      </c>
    </row>
    <row r="26" spans="1:39">
      <c r="A26" s="184">
        <v>2018</v>
      </c>
      <c r="B26" s="171">
        <f t="shared" ref="B26:C26" si="28">(B7/B6)-1</f>
        <v>0</v>
      </c>
      <c r="C26" s="171">
        <f t="shared" si="28"/>
        <v>5.0019030702867395E-2</v>
      </c>
      <c r="D26" s="171">
        <f t="shared" si="14"/>
        <v>-6.367828350952065E-3</v>
      </c>
      <c r="E26" s="171">
        <f t="shared" si="14"/>
        <v>0</v>
      </c>
      <c r="F26" s="171">
        <f t="shared" si="14"/>
        <v>8.6946350592638222E-3</v>
      </c>
      <c r="G26" s="171">
        <f t="shared" si="14"/>
        <v>-2.2261328640563183E-2</v>
      </c>
      <c r="H26" s="171">
        <f t="shared" si="14"/>
        <v>-4.4660346313563082E-3</v>
      </c>
      <c r="I26" s="185"/>
      <c r="J26" s="171">
        <f t="shared" ref="J26:K26" si="29">(J7/J6)-1</f>
        <v>0</v>
      </c>
      <c r="K26" s="171">
        <f t="shared" si="29"/>
        <v>5.0019030702867395E-2</v>
      </c>
      <c r="L26" s="171">
        <f t="shared" si="16"/>
        <v>-6.367828350952065E-3</v>
      </c>
      <c r="M26" s="171">
        <f t="shared" si="16"/>
        <v>0</v>
      </c>
      <c r="N26" s="171">
        <f t="shared" si="16"/>
        <v>8.6946350592638222E-3</v>
      </c>
      <c r="O26" s="171">
        <f t="shared" si="16"/>
        <v>-2.2261328640563183E-2</v>
      </c>
      <c r="P26" s="171">
        <f t="shared" si="16"/>
        <v>-4.4660346313561972E-3</v>
      </c>
      <c r="Q26" s="171">
        <f t="shared" ref="Q26:R26" si="30">(Q7/Q6)-1</f>
        <v>0</v>
      </c>
      <c r="R26" s="171">
        <f t="shared" si="30"/>
        <v>5.0019030702867173E-2</v>
      </c>
      <c r="S26" s="171">
        <f t="shared" si="18"/>
        <v>-6.367828350952065E-3</v>
      </c>
      <c r="T26" s="171">
        <f t="shared" si="18"/>
        <v>0</v>
      </c>
      <c r="U26" s="171">
        <f t="shared" si="18"/>
        <v>8.6946350592638222E-3</v>
      </c>
      <c r="V26" s="171">
        <f t="shared" si="18"/>
        <v>-2.2261328640563183E-2</v>
      </c>
      <c r="W26" s="171">
        <f t="shared" si="18"/>
        <v>-4.4660346313561972E-3</v>
      </c>
      <c r="X26" s="171"/>
      <c r="Y26" s="185"/>
      <c r="Z26" s="171">
        <f t="shared" ref="Z26:AA26" si="31">(Z7/Z6)-1</f>
        <v>0</v>
      </c>
      <c r="AA26" s="171">
        <f t="shared" si="31"/>
        <v>5.0019030702867395E-2</v>
      </c>
      <c r="AB26" s="171">
        <f t="shared" si="20"/>
        <v>-6.367828350952065E-3</v>
      </c>
      <c r="AC26" s="171">
        <f t="shared" si="20"/>
        <v>0</v>
      </c>
      <c r="AD26" s="171">
        <f t="shared" si="20"/>
        <v>8.6946350592638222E-3</v>
      </c>
      <c r="AE26" s="171">
        <f t="shared" si="20"/>
        <v>-2.2261328640563183E-2</v>
      </c>
      <c r="AF26" s="171">
        <f t="shared" si="20"/>
        <v>-4.4660346313561972E-3</v>
      </c>
      <c r="AG26" s="171">
        <f t="shared" ref="AG26:AH26" si="32">(AG7/AG6)-1</f>
        <v>0</v>
      </c>
      <c r="AH26" s="171">
        <f t="shared" si="32"/>
        <v>5.0019030702867395E-2</v>
      </c>
      <c r="AI26" s="171">
        <f t="shared" si="22"/>
        <v>-6.367828350952176E-3</v>
      </c>
      <c r="AJ26" s="171">
        <f t="shared" si="22"/>
        <v>0</v>
      </c>
      <c r="AK26" s="171">
        <f t="shared" si="22"/>
        <v>8.6946350592638222E-3</v>
      </c>
      <c r="AL26" s="171">
        <f t="shared" si="22"/>
        <v>-2.2261328640562961E-2</v>
      </c>
      <c r="AM26" s="171">
        <f t="shared" si="22"/>
        <v>-4.4660346313563082E-3</v>
      </c>
    </row>
    <row r="27" spans="1:39">
      <c r="A27" s="184">
        <v>2019</v>
      </c>
      <c r="B27" s="171">
        <f t="shared" ref="B27:C27" si="33">(B8/B7)-1</f>
        <v>0</v>
      </c>
      <c r="C27" s="171">
        <f t="shared" si="33"/>
        <v>5.1510345869204111E-2</v>
      </c>
      <c r="D27" s="171">
        <f t="shared" si="14"/>
        <v>-2.5192574820052993E-2</v>
      </c>
      <c r="E27" s="171">
        <f t="shared" si="14"/>
        <v>0.19170984455958551</v>
      </c>
      <c r="F27" s="171">
        <f t="shared" si="14"/>
        <v>-1.9326659193691365E-3</v>
      </c>
      <c r="G27" s="171">
        <f t="shared" si="14"/>
        <v>-8.4593232541396723E-3</v>
      </c>
      <c r="H27" s="171">
        <f t="shared" si="14"/>
        <v>6.1388320478514835E-3</v>
      </c>
      <c r="I27" s="185"/>
      <c r="J27" s="171">
        <f t="shared" ref="J27:K27" si="34">(J8/J7)-1</f>
        <v>0</v>
      </c>
      <c r="K27" s="171">
        <f t="shared" si="34"/>
        <v>5.1510345869203888E-2</v>
      </c>
      <c r="L27" s="171">
        <f t="shared" si="16"/>
        <v>-2.5192574820053104E-2</v>
      </c>
      <c r="M27" s="171">
        <f t="shared" si="16"/>
        <v>0.19170984455958573</v>
      </c>
      <c r="N27" s="171">
        <f t="shared" si="16"/>
        <v>-1.9326659193691365E-3</v>
      </c>
      <c r="O27" s="171">
        <f t="shared" si="16"/>
        <v>-8.4593232541396723E-3</v>
      </c>
      <c r="P27" s="171">
        <f t="shared" si="16"/>
        <v>6.1388320478512615E-3</v>
      </c>
      <c r="Q27" s="171">
        <f t="shared" ref="Q27:R27" si="35">(Q8/Q7)-1</f>
        <v>0</v>
      </c>
      <c r="R27" s="171">
        <f t="shared" si="35"/>
        <v>5.1510345869204111E-2</v>
      </c>
      <c r="S27" s="171">
        <f t="shared" si="18"/>
        <v>-2.5192574820052993E-2</v>
      </c>
      <c r="T27" s="171">
        <f t="shared" si="18"/>
        <v>0.19170984455958551</v>
      </c>
      <c r="U27" s="171">
        <f t="shared" si="18"/>
        <v>-1.9326659193691365E-3</v>
      </c>
      <c r="V27" s="171">
        <f t="shared" si="18"/>
        <v>-8.4593232541395613E-3</v>
      </c>
      <c r="W27" s="171">
        <f t="shared" si="18"/>
        <v>6.1388320478514835E-3</v>
      </c>
      <c r="X27" s="171"/>
      <c r="Y27" s="185"/>
      <c r="Z27" s="171">
        <f t="shared" ref="Z27:AA27" si="36">(Z8/Z7)-1</f>
        <v>0</v>
      </c>
      <c r="AA27" s="171">
        <f t="shared" si="36"/>
        <v>5.1510345869203888E-2</v>
      </c>
      <c r="AB27" s="171">
        <f t="shared" si="20"/>
        <v>-2.5192574820052993E-2</v>
      </c>
      <c r="AC27" s="171">
        <f t="shared" si="20"/>
        <v>0.19170984455958551</v>
      </c>
      <c r="AD27" s="171">
        <f t="shared" si="20"/>
        <v>-1.9326659193691365E-3</v>
      </c>
      <c r="AE27" s="171">
        <f t="shared" si="20"/>
        <v>-8.4593232541395613E-3</v>
      </c>
      <c r="AF27" s="171">
        <f t="shared" si="20"/>
        <v>6.1388320478514835E-3</v>
      </c>
      <c r="AG27" s="171">
        <f t="shared" ref="AG27:AH27" si="37">(AG8/AG7)-1</f>
        <v>0</v>
      </c>
      <c r="AH27" s="171">
        <f t="shared" si="37"/>
        <v>5.1510345869203888E-2</v>
      </c>
      <c r="AI27" s="171">
        <f t="shared" si="22"/>
        <v>-2.5192574820052993E-2</v>
      </c>
      <c r="AJ27" s="171">
        <f t="shared" si="22"/>
        <v>0.19170984455958551</v>
      </c>
      <c r="AK27" s="171">
        <f t="shared" si="22"/>
        <v>-1.9326659193690254E-3</v>
      </c>
      <c r="AL27" s="171">
        <f t="shared" si="22"/>
        <v>-8.4593232541397834E-3</v>
      </c>
      <c r="AM27" s="171">
        <f t="shared" si="22"/>
        <v>6.1388320478514835E-3</v>
      </c>
    </row>
    <row r="28" spans="1:39">
      <c r="A28" s="184">
        <v>2020</v>
      </c>
      <c r="B28" s="171">
        <f t="shared" ref="B28:C28" si="38">(B9/B8)-1</f>
        <v>-0.1590106007067138</v>
      </c>
      <c r="C28" s="171">
        <f t="shared" si="38"/>
        <v>2.9825985162416302E-2</v>
      </c>
      <c r="D28" s="171">
        <f t="shared" si="14"/>
        <v>-6.9920331627696064E-2</v>
      </c>
      <c r="E28" s="171">
        <f t="shared" si="14"/>
        <v>-6.521739130434745E-3</v>
      </c>
      <c r="F28" s="171">
        <f t="shared" si="14"/>
        <v>1.7427675148136146E-3</v>
      </c>
      <c r="G28" s="171">
        <f t="shared" si="14"/>
        <v>5.3548738428026432E-3</v>
      </c>
      <c r="H28" s="171">
        <f t="shared" si="14"/>
        <v>5.632040050062681E-3</v>
      </c>
      <c r="I28" s="185"/>
      <c r="J28" s="171">
        <f t="shared" ref="J28:K28" si="39">(J9/J8)-1</f>
        <v>-0.1590106007067138</v>
      </c>
      <c r="K28" s="171">
        <f t="shared" si="39"/>
        <v>2.9825985162416302E-2</v>
      </c>
      <c r="L28" s="171">
        <f t="shared" si="16"/>
        <v>-6.9920331627696064E-2</v>
      </c>
      <c r="M28" s="171">
        <f t="shared" si="16"/>
        <v>-6.521739130434856E-3</v>
      </c>
      <c r="N28" s="171">
        <f t="shared" si="16"/>
        <v>1.7427675148133925E-3</v>
      </c>
      <c r="O28" s="171">
        <f t="shared" si="16"/>
        <v>5.3548738428026432E-3</v>
      </c>
      <c r="P28" s="171">
        <f t="shared" si="16"/>
        <v>5.632040050062681E-3</v>
      </c>
      <c r="Q28" s="171">
        <f t="shared" ref="Q28:R28" si="40">(Q9/Q8)-1</f>
        <v>-0.15901060070671391</v>
      </c>
      <c r="R28" s="171">
        <f t="shared" si="40"/>
        <v>2.982598516241608E-2</v>
      </c>
      <c r="S28" s="171">
        <f t="shared" si="18"/>
        <v>-6.9920331627696064E-2</v>
      </c>
      <c r="T28" s="171">
        <f t="shared" si="18"/>
        <v>-6.521739130434745E-3</v>
      </c>
      <c r="U28" s="171">
        <f t="shared" si="18"/>
        <v>1.7427675148136146E-3</v>
      </c>
      <c r="V28" s="171">
        <f t="shared" si="18"/>
        <v>5.3548738428028653E-3</v>
      </c>
      <c r="W28" s="171">
        <f t="shared" si="18"/>
        <v>5.632040050062459E-3</v>
      </c>
      <c r="X28" s="171"/>
      <c r="Y28" s="185"/>
      <c r="Z28" s="171">
        <f t="shared" ref="Z28:AA28" si="41">(Z9/Z8)-1</f>
        <v>-0.15901060070671369</v>
      </c>
      <c r="AA28" s="171">
        <f t="shared" si="41"/>
        <v>2.9825985162416302E-2</v>
      </c>
      <c r="AB28" s="171">
        <f t="shared" si="20"/>
        <v>-6.9920331627696064E-2</v>
      </c>
      <c r="AC28" s="171">
        <f t="shared" si="20"/>
        <v>-6.521739130434856E-3</v>
      </c>
      <c r="AD28" s="171">
        <f t="shared" si="20"/>
        <v>1.7427675148136146E-3</v>
      </c>
      <c r="AE28" s="171">
        <f t="shared" si="20"/>
        <v>5.3548738428026432E-3</v>
      </c>
      <c r="AF28" s="171">
        <f t="shared" si="20"/>
        <v>5.632040050062459E-3</v>
      </c>
      <c r="AG28" s="171">
        <f t="shared" ref="AG28:AH28" si="42">(AG9/AG8)-1</f>
        <v>-0.1590106007067138</v>
      </c>
      <c r="AH28" s="171">
        <f t="shared" si="42"/>
        <v>2.9825985162416302E-2</v>
      </c>
      <c r="AI28" s="171">
        <f t="shared" si="22"/>
        <v>-6.9920331627695953E-2</v>
      </c>
      <c r="AJ28" s="171">
        <f t="shared" si="22"/>
        <v>-6.521739130434745E-3</v>
      </c>
      <c r="AK28" s="171">
        <f t="shared" si="22"/>
        <v>1.7427675148136146E-3</v>
      </c>
      <c r="AL28" s="171">
        <f t="shared" si="22"/>
        <v>5.3548738428026432E-3</v>
      </c>
      <c r="AM28" s="171">
        <f t="shared" si="22"/>
        <v>5.632040050062681E-3</v>
      </c>
    </row>
    <row r="29" spans="1:39">
      <c r="A29" s="184">
        <v>2021</v>
      </c>
      <c r="B29" s="171">
        <f t="shared" ref="B29:C29" si="43">(B10/B9)-1</f>
        <v>-0.20588235294117652</v>
      </c>
      <c r="C29" s="171">
        <f t="shared" si="43"/>
        <v>2.3550497231404455E-2</v>
      </c>
      <c r="D29" s="171">
        <f t="shared" si="14"/>
        <v>-0.10703715310421669</v>
      </c>
      <c r="E29" s="171">
        <f t="shared" si="14"/>
        <v>-3.7199124726477018E-2</v>
      </c>
      <c r="F29" s="171">
        <f t="shared" si="14"/>
        <v>1.7126730070362584E-2</v>
      </c>
      <c r="G29" s="171">
        <f t="shared" si="14"/>
        <v>-1.9860973187686204E-2</v>
      </c>
      <c r="H29" s="171">
        <f t="shared" si="14"/>
        <v>-1.1978842563783454E-2</v>
      </c>
      <c r="I29" s="185"/>
      <c r="J29" s="171">
        <f t="shared" ref="J29:K29" si="44">(J10/J9)-1</f>
        <v>-0.20588235294117641</v>
      </c>
      <c r="K29" s="171">
        <f t="shared" si="44"/>
        <v>2.3550497231404455E-2</v>
      </c>
      <c r="L29" s="171">
        <f t="shared" si="16"/>
        <v>-0.10703715310421669</v>
      </c>
      <c r="M29" s="171">
        <f t="shared" si="16"/>
        <v>-3.7199124726477018E-2</v>
      </c>
      <c r="N29" s="171">
        <f t="shared" si="16"/>
        <v>1.7126730070362584E-2</v>
      </c>
      <c r="O29" s="171">
        <f t="shared" si="16"/>
        <v>-1.9860973187686093E-2</v>
      </c>
      <c r="P29" s="171">
        <f t="shared" si="16"/>
        <v>-1.1978842563783565E-2</v>
      </c>
      <c r="Q29" s="171">
        <f t="shared" ref="Q29:R29" si="45">(Q10/Q9)-1</f>
        <v>-0.20588235294117641</v>
      </c>
      <c r="R29" s="171">
        <f t="shared" si="45"/>
        <v>2.3550497231404455E-2</v>
      </c>
      <c r="S29" s="171">
        <f t="shared" si="18"/>
        <v>-0.10703715310421658</v>
      </c>
      <c r="T29" s="171">
        <f t="shared" si="18"/>
        <v>-3.7199124726477018E-2</v>
      </c>
      <c r="U29" s="171">
        <f t="shared" si="18"/>
        <v>1.7126730070362584E-2</v>
      </c>
      <c r="V29" s="171">
        <f t="shared" si="18"/>
        <v>-1.9860973187686204E-2</v>
      </c>
      <c r="W29" s="171">
        <f t="shared" si="18"/>
        <v>-1.1978842563783454E-2</v>
      </c>
      <c r="X29" s="171"/>
      <c r="Y29" s="185"/>
      <c r="Z29" s="171">
        <f t="shared" ref="Z29:AA29" si="46">(Z10/Z9)-1</f>
        <v>-0.20588235294117652</v>
      </c>
      <c r="AA29" s="171">
        <f t="shared" si="46"/>
        <v>2.3550497231404455E-2</v>
      </c>
      <c r="AB29" s="171">
        <f t="shared" si="20"/>
        <v>-0.10703715310421669</v>
      </c>
      <c r="AC29" s="171">
        <f t="shared" si="20"/>
        <v>-3.7199124726477018E-2</v>
      </c>
      <c r="AD29" s="171">
        <f t="shared" si="20"/>
        <v>1.7126730070362584E-2</v>
      </c>
      <c r="AE29" s="171">
        <f t="shared" si="20"/>
        <v>-1.9860973187686204E-2</v>
      </c>
      <c r="AF29" s="171">
        <f t="shared" si="20"/>
        <v>-1.1978842563783343E-2</v>
      </c>
      <c r="AG29" s="171">
        <f t="shared" ref="AG29:AH29" si="47">(AG10/AG9)-1</f>
        <v>-0.20588235294117641</v>
      </c>
      <c r="AH29" s="171">
        <f t="shared" si="47"/>
        <v>2.3550497231404455E-2</v>
      </c>
      <c r="AI29" s="171">
        <f t="shared" si="22"/>
        <v>-0.1070371531042168</v>
      </c>
      <c r="AJ29" s="171">
        <f t="shared" si="22"/>
        <v>-3.7199124726477018E-2</v>
      </c>
      <c r="AK29" s="171">
        <f t="shared" si="22"/>
        <v>1.7126730070362584E-2</v>
      </c>
      <c r="AL29" s="171">
        <f t="shared" si="22"/>
        <v>-1.9860973187686204E-2</v>
      </c>
      <c r="AM29" s="171">
        <f t="shared" si="22"/>
        <v>-1.1978842563783565E-2</v>
      </c>
    </row>
    <row r="30" spans="1:39">
      <c r="A30" s="184">
        <v>2022</v>
      </c>
      <c r="B30" s="171">
        <f t="shared" ref="B30:C30" si="48">(B11/B10)-1</f>
        <v>8.4656084656084651E-2</v>
      </c>
      <c r="C30" s="171">
        <f t="shared" si="48"/>
        <v>1.3722056809587713E-2</v>
      </c>
      <c r="D30" s="171">
        <f t="shared" si="14"/>
        <v>-0.10937804640280757</v>
      </c>
      <c r="E30" s="171">
        <f t="shared" si="14"/>
        <v>5.4545454545454453E-2</v>
      </c>
      <c r="F30" s="171">
        <f t="shared" si="14"/>
        <v>2.2805883918051162E-3</v>
      </c>
      <c r="G30" s="171">
        <f t="shared" si="14"/>
        <v>-1.6210739614994973E-2</v>
      </c>
      <c r="H30" s="171">
        <f t="shared" si="14"/>
        <v>-2.4405605416469855E-2</v>
      </c>
      <c r="I30" s="185"/>
      <c r="J30" s="171">
        <f t="shared" ref="J30:K30" si="49">(J11/J10)-1</f>
        <v>8.4656084656084429E-2</v>
      </c>
      <c r="K30" s="171">
        <f t="shared" si="49"/>
        <v>1.3722056809587713E-2</v>
      </c>
      <c r="L30" s="171">
        <f t="shared" si="16"/>
        <v>-0.10937804640280757</v>
      </c>
      <c r="M30" s="171">
        <f t="shared" si="16"/>
        <v>5.4545454545454675E-2</v>
      </c>
      <c r="N30" s="171">
        <f t="shared" si="16"/>
        <v>2.2805883918051162E-3</v>
      </c>
      <c r="O30" s="171">
        <f t="shared" si="16"/>
        <v>-1.6210739614994973E-2</v>
      </c>
      <c r="P30" s="171">
        <f t="shared" si="16"/>
        <v>-2.4405605416469744E-2</v>
      </c>
      <c r="Q30" s="171">
        <f t="shared" ref="Q30:R30" si="50">(Q11/Q10)-1</f>
        <v>8.4656084656084651E-2</v>
      </c>
      <c r="R30" s="171">
        <f t="shared" si="50"/>
        <v>1.3722056809587713E-2</v>
      </c>
      <c r="S30" s="171">
        <f t="shared" si="18"/>
        <v>-0.10937804640280768</v>
      </c>
      <c r="T30" s="171">
        <f t="shared" si="18"/>
        <v>5.4545454545454453E-2</v>
      </c>
      <c r="U30" s="171">
        <f t="shared" si="18"/>
        <v>2.2805883918051162E-3</v>
      </c>
      <c r="V30" s="171">
        <f t="shared" si="18"/>
        <v>-1.6210739614994973E-2</v>
      </c>
      <c r="W30" s="171">
        <f t="shared" si="18"/>
        <v>-2.4405605416469855E-2</v>
      </c>
      <c r="X30" s="171"/>
      <c r="Y30" s="185"/>
      <c r="Z30" s="171">
        <f t="shared" ref="Z30:AA30" si="51">(Z11/Z10)-1</f>
        <v>8.4656084656084651E-2</v>
      </c>
      <c r="AA30" s="171">
        <f t="shared" si="51"/>
        <v>1.3722056809587713E-2</v>
      </c>
      <c r="AB30" s="171">
        <f t="shared" si="20"/>
        <v>-0.10937804640280757</v>
      </c>
      <c r="AC30" s="171">
        <f t="shared" si="20"/>
        <v>5.4545454545454453E-2</v>
      </c>
      <c r="AD30" s="171">
        <f t="shared" si="20"/>
        <v>2.2805883918051162E-3</v>
      </c>
      <c r="AE30" s="171">
        <f t="shared" si="20"/>
        <v>-1.6210739614994973E-2</v>
      </c>
      <c r="AF30" s="171">
        <f t="shared" si="20"/>
        <v>-2.4405605416469855E-2</v>
      </c>
      <c r="AG30" s="171">
        <f t="shared" ref="AG30:AH30" si="52">(AG11/AG10)-1</f>
        <v>8.4656084656084651E-2</v>
      </c>
      <c r="AH30" s="171">
        <f t="shared" si="52"/>
        <v>1.3722056809587713E-2</v>
      </c>
      <c r="AI30" s="171">
        <f t="shared" si="22"/>
        <v>-0.10937804640280757</v>
      </c>
      <c r="AJ30" s="171">
        <f t="shared" si="22"/>
        <v>5.4545454545454453E-2</v>
      </c>
      <c r="AK30" s="171">
        <f t="shared" si="22"/>
        <v>2.2805883918051162E-3</v>
      </c>
      <c r="AL30" s="171">
        <f t="shared" si="22"/>
        <v>-1.6210739614994973E-2</v>
      </c>
      <c r="AM30" s="171">
        <f t="shared" si="22"/>
        <v>-2.4405605416469855E-2</v>
      </c>
    </row>
    <row r="31" spans="1:39">
      <c r="A31" s="184">
        <v>2023</v>
      </c>
      <c r="B31" s="171">
        <f t="shared" ref="B31:C31" si="53">(B12/B11)-1</f>
        <v>-0.24390243902439024</v>
      </c>
      <c r="C31" s="171">
        <f t="shared" si="53"/>
        <v>-1.2568471284067906E-3</v>
      </c>
      <c r="D31" s="171">
        <f t="shared" si="14"/>
        <v>-0.24190017513134854</v>
      </c>
      <c r="E31" s="171">
        <f t="shared" si="14"/>
        <v>0</v>
      </c>
      <c r="F31" s="171">
        <f t="shared" si="14"/>
        <v>1.0997762524176169E-2</v>
      </c>
      <c r="G31" s="171">
        <f t="shared" si="14"/>
        <v>-7.9580563617638322E-3</v>
      </c>
      <c r="H31" s="171">
        <f t="shared" si="14"/>
        <v>9.6029696578436852E-3</v>
      </c>
      <c r="I31" s="185"/>
      <c r="J31" s="171">
        <f t="shared" ref="J31:K31" si="54">(J12/J11)-1</f>
        <v>-0.24390243902439024</v>
      </c>
      <c r="K31" s="171">
        <f t="shared" si="54"/>
        <v>-1.2568471284067906E-3</v>
      </c>
      <c r="L31" s="171">
        <f t="shared" si="16"/>
        <v>-0.24190017513134854</v>
      </c>
      <c r="M31" s="171">
        <f t="shared" si="16"/>
        <v>0</v>
      </c>
      <c r="N31" s="171">
        <f t="shared" si="16"/>
        <v>1.0997762524176169E-2</v>
      </c>
      <c r="O31" s="171">
        <f t="shared" si="16"/>
        <v>-7.9580563617639433E-3</v>
      </c>
      <c r="P31" s="171">
        <f t="shared" si="16"/>
        <v>9.6029696578436852E-3</v>
      </c>
      <c r="Q31" s="171">
        <f t="shared" ref="Q31:R31" si="55">(Q12/Q11)-1</f>
        <v>-0.24390243902439024</v>
      </c>
      <c r="R31" s="171">
        <f t="shared" si="55"/>
        <v>-1.2568471284067906E-3</v>
      </c>
      <c r="S31" s="171">
        <f t="shared" si="18"/>
        <v>-0.24190017513134843</v>
      </c>
      <c r="T31" s="171">
        <f t="shared" si="18"/>
        <v>0</v>
      </c>
      <c r="U31" s="171">
        <f t="shared" si="18"/>
        <v>1.0997762524176169E-2</v>
      </c>
      <c r="V31" s="171">
        <f t="shared" si="18"/>
        <v>-7.9580563617639433E-3</v>
      </c>
      <c r="W31" s="171">
        <f t="shared" si="18"/>
        <v>9.6029696578436852E-3</v>
      </c>
      <c r="X31" s="171"/>
      <c r="Y31" s="185"/>
      <c r="Z31" s="171">
        <f t="shared" ref="Z31:AA31" si="56">(Z12/Z11)-1</f>
        <v>-0.24390243902439024</v>
      </c>
      <c r="AA31" s="171">
        <f t="shared" si="56"/>
        <v>-1.2568471284067906E-3</v>
      </c>
      <c r="AB31" s="171">
        <f t="shared" si="20"/>
        <v>-0.24190017513134854</v>
      </c>
      <c r="AC31" s="171">
        <f t="shared" si="20"/>
        <v>0</v>
      </c>
      <c r="AD31" s="171">
        <f t="shared" si="20"/>
        <v>1.0997762524176169E-2</v>
      </c>
      <c r="AE31" s="171">
        <f t="shared" si="20"/>
        <v>-7.9580563617639433E-3</v>
      </c>
      <c r="AF31" s="171">
        <f t="shared" si="20"/>
        <v>9.6029696578436852E-3</v>
      </c>
      <c r="AG31" s="171">
        <f t="shared" ref="AG31:AH31" si="57">(AG12/AG11)-1</f>
        <v>-0.24390243902439024</v>
      </c>
      <c r="AH31" s="171">
        <f t="shared" si="57"/>
        <v>-1.2568471284067906E-3</v>
      </c>
      <c r="AI31" s="171">
        <f t="shared" si="22"/>
        <v>-0.24190017513134843</v>
      </c>
      <c r="AJ31" s="171">
        <f t="shared" si="22"/>
        <v>0</v>
      </c>
      <c r="AK31" s="171">
        <f t="shared" si="22"/>
        <v>1.0997762524176169E-2</v>
      </c>
      <c r="AL31" s="171">
        <f t="shared" si="22"/>
        <v>-7.9580563617638322E-3</v>
      </c>
      <c r="AM31" s="171">
        <f t="shared" si="22"/>
        <v>9.6029696578439072E-3</v>
      </c>
    </row>
    <row r="32" spans="1:39">
      <c r="A32" s="184">
        <v>2024</v>
      </c>
      <c r="B32" s="171">
        <f t="shared" ref="B32:C32" si="58">(B13/B12)-1</f>
        <v>-0.19999999999999996</v>
      </c>
      <c r="C32" s="171">
        <f t="shared" si="58"/>
        <v>-1.1103783361822162E-3</v>
      </c>
      <c r="D32" s="171">
        <f t="shared" si="14"/>
        <v>-7.7967080565983227E-2</v>
      </c>
      <c r="E32" s="171">
        <f t="shared" si="14"/>
        <v>-6.0344827586206851E-2</v>
      </c>
      <c r="F32" s="171">
        <f t="shared" si="14"/>
        <v>4.8764019655656021E-4</v>
      </c>
      <c r="G32" s="171">
        <f t="shared" si="14"/>
        <v>-6.8893922234805061E-3</v>
      </c>
      <c r="H32" s="171">
        <f t="shared" si="14"/>
        <v>-4.8117656462313141E-2</v>
      </c>
      <c r="I32" s="185"/>
      <c r="J32" s="171">
        <f t="shared" ref="J32:K32" si="59">(J13/J12)-1</f>
        <v>-0.20000000000000007</v>
      </c>
      <c r="K32" s="171">
        <f t="shared" si="59"/>
        <v>-1.1103783361822162E-3</v>
      </c>
      <c r="L32" s="171">
        <f t="shared" si="16"/>
        <v>-7.7967080565983227E-2</v>
      </c>
      <c r="M32" s="171">
        <f t="shared" si="16"/>
        <v>-6.0344827586206851E-2</v>
      </c>
      <c r="N32" s="171">
        <f t="shared" si="16"/>
        <v>4.8764019655656021E-4</v>
      </c>
      <c r="O32" s="171">
        <f t="shared" si="16"/>
        <v>-6.8893922234806171E-3</v>
      </c>
      <c r="P32" s="171">
        <f t="shared" si="16"/>
        <v>-4.811765646231303E-2</v>
      </c>
      <c r="Q32" s="171">
        <f t="shared" ref="Q32:R32" si="60">(Q13/Q12)-1</f>
        <v>-0.19999999999999996</v>
      </c>
      <c r="R32" s="171">
        <f t="shared" si="60"/>
        <v>-1.1103783361822162E-3</v>
      </c>
      <c r="S32" s="171">
        <f t="shared" si="18"/>
        <v>-7.7967080565983338E-2</v>
      </c>
      <c r="T32" s="171">
        <f t="shared" si="18"/>
        <v>-6.034482758620674E-2</v>
      </c>
      <c r="U32" s="171">
        <f t="shared" si="18"/>
        <v>4.8764019655656021E-4</v>
      </c>
      <c r="V32" s="171">
        <f t="shared" si="18"/>
        <v>-6.8893922234805061E-3</v>
      </c>
      <c r="W32" s="171">
        <f t="shared" si="18"/>
        <v>-4.8117656462313141E-2</v>
      </c>
      <c r="X32" s="171"/>
      <c r="Y32" s="185"/>
      <c r="Z32" s="171">
        <f t="shared" ref="Z32:AA32" si="61">(Z13/Z12)-1</f>
        <v>-0.20000000000000007</v>
      </c>
      <c r="AA32" s="171">
        <f t="shared" si="61"/>
        <v>-1.1103783361821051E-3</v>
      </c>
      <c r="AB32" s="171">
        <f t="shared" si="20"/>
        <v>-7.7967080565983227E-2</v>
      </c>
      <c r="AC32" s="171">
        <f t="shared" si="20"/>
        <v>-6.0344827586206851E-2</v>
      </c>
      <c r="AD32" s="171">
        <f t="shared" si="20"/>
        <v>4.8764019655633817E-4</v>
      </c>
      <c r="AE32" s="171">
        <f t="shared" si="20"/>
        <v>-6.8893922234806171E-3</v>
      </c>
      <c r="AF32" s="171">
        <f t="shared" si="20"/>
        <v>-4.8117656462313252E-2</v>
      </c>
      <c r="AG32" s="171">
        <f t="shared" ref="AG32:AH32" si="62">(AG13/AG12)-1</f>
        <v>-0.19999999999999996</v>
      </c>
      <c r="AH32" s="171">
        <f t="shared" si="62"/>
        <v>-1.1103783361821051E-3</v>
      </c>
      <c r="AI32" s="171">
        <f t="shared" si="22"/>
        <v>-7.7967080565983338E-2</v>
      </c>
      <c r="AJ32" s="171">
        <f t="shared" si="22"/>
        <v>-6.0344827586206962E-2</v>
      </c>
      <c r="AK32" s="171">
        <f t="shared" si="22"/>
        <v>4.8764019655633817E-4</v>
      </c>
      <c r="AL32" s="171">
        <f t="shared" si="22"/>
        <v>-6.8893922234805061E-3</v>
      </c>
      <c r="AM32" s="171">
        <f t="shared" si="22"/>
        <v>-4.8117656462313141E-2</v>
      </c>
    </row>
    <row r="34" spans="1:39">
      <c r="A34" s="6" t="s">
        <v>419</v>
      </c>
      <c r="B34" s="184"/>
      <c r="C34" s="184"/>
      <c r="D34" s="184"/>
      <c r="E34" s="184"/>
      <c r="F34" s="184"/>
      <c r="G34" s="184"/>
      <c r="H34" s="184"/>
      <c r="I34" s="185"/>
      <c r="J34" s="184"/>
      <c r="K34" s="184"/>
      <c r="L34" s="184"/>
      <c r="M34" s="184"/>
      <c r="N34" s="184"/>
      <c r="O34" s="184"/>
      <c r="P34" s="184"/>
      <c r="Q34" s="184"/>
      <c r="R34" s="184"/>
      <c r="S34" s="184"/>
      <c r="T34" s="184"/>
      <c r="U34" s="184"/>
      <c r="V34" s="184"/>
      <c r="W34" s="184"/>
      <c r="X34" s="184"/>
      <c r="Y34" s="185"/>
      <c r="Z34" s="184"/>
      <c r="AA34" s="184"/>
      <c r="AB34" s="184"/>
      <c r="AC34" s="184"/>
      <c r="AD34" s="184"/>
      <c r="AE34" s="184"/>
      <c r="AF34" s="184"/>
      <c r="AG34" s="184"/>
      <c r="AH34" s="184"/>
      <c r="AI34" s="184"/>
      <c r="AJ34" s="184"/>
      <c r="AK34" s="184"/>
      <c r="AL34" s="184"/>
      <c r="AM34" s="184"/>
    </row>
    <row r="35" spans="1:39">
      <c r="A35" s="1" t="s">
        <v>242</v>
      </c>
      <c r="B35" s="194">
        <f t="shared" ref="B35:C35" si="63">MIN(B23:B32)</f>
        <v>-0.24390243902439024</v>
      </c>
      <c r="C35" s="194">
        <f t="shared" si="63"/>
        <v>-1.2568471284067906E-3</v>
      </c>
      <c r="D35" s="194">
        <f>MIN(D23:D32)</f>
        <v>-0.24190017513134854</v>
      </c>
      <c r="E35" s="194">
        <f t="shared" ref="E35:H35" si="64">MIN(E23:E32)</f>
        <v>-6.0344827586206851E-2</v>
      </c>
      <c r="F35" s="194">
        <f t="shared" si="64"/>
        <v>-1.9326659193691365E-3</v>
      </c>
      <c r="G35" s="194">
        <f t="shared" si="64"/>
        <v>-2.2261328640563183E-2</v>
      </c>
      <c r="H35" s="194">
        <f t="shared" si="64"/>
        <v>-4.8117656462313141E-2</v>
      </c>
      <c r="I35" s="185"/>
      <c r="J35" s="194">
        <f t="shared" ref="J35:K35" si="65">MIN(J23:J32)</f>
        <v>-0.24390243902439024</v>
      </c>
      <c r="K35" s="194">
        <f t="shared" si="65"/>
        <v>-1.2568471284067906E-3</v>
      </c>
      <c r="L35" s="194">
        <f>MIN(L23:L32)</f>
        <v>-0.24190017513134854</v>
      </c>
      <c r="M35" s="194">
        <f t="shared" ref="M35:R35" si="66">MIN(M23:M32)</f>
        <v>-6.0344827586206851E-2</v>
      </c>
      <c r="N35" s="194">
        <f t="shared" si="66"/>
        <v>-1.9326659193691365E-3</v>
      </c>
      <c r="O35" s="194">
        <f t="shared" si="66"/>
        <v>-2.2261328640563183E-2</v>
      </c>
      <c r="P35" s="194">
        <f t="shared" si="66"/>
        <v>-4.811765646231303E-2</v>
      </c>
      <c r="Q35" s="194">
        <f t="shared" si="66"/>
        <v>-0.24390243902439024</v>
      </c>
      <c r="R35" s="194">
        <f t="shared" si="66"/>
        <v>-1.2568471284067906E-3</v>
      </c>
      <c r="S35" s="194">
        <f>MIN(S23:S32)</f>
        <v>-0.24190017513134843</v>
      </c>
      <c r="T35" s="194">
        <f t="shared" ref="T35:W35" si="67">MIN(T23:T32)</f>
        <v>-6.034482758620674E-2</v>
      </c>
      <c r="U35" s="194">
        <f t="shared" si="67"/>
        <v>-1.9326659193691365E-3</v>
      </c>
      <c r="V35" s="194">
        <f t="shared" si="67"/>
        <v>-2.2261328640563183E-2</v>
      </c>
      <c r="W35" s="194">
        <f t="shared" si="67"/>
        <v>-4.8117656462313141E-2</v>
      </c>
      <c r="X35" s="194"/>
      <c r="Y35" s="185"/>
      <c r="Z35" s="194">
        <f t="shared" ref="Z35:AA35" si="68">MIN(Z23:Z32)</f>
        <v>-0.24390243902439024</v>
      </c>
      <c r="AA35" s="194">
        <f t="shared" si="68"/>
        <v>-1.2568471284067906E-3</v>
      </c>
      <c r="AB35" s="194">
        <f>MIN(AB23:AB32)</f>
        <v>-0.24190017513134854</v>
      </c>
      <c r="AC35" s="194">
        <f t="shared" ref="AC35:AH35" si="69">MIN(AC23:AC32)</f>
        <v>-6.0344827586206851E-2</v>
      </c>
      <c r="AD35" s="194">
        <f t="shared" si="69"/>
        <v>-1.9326659193691365E-3</v>
      </c>
      <c r="AE35" s="194">
        <f t="shared" si="69"/>
        <v>-2.2261328640563183E-2</v>
      </c>
      <c r="AF35" s="194">
        <f t="shared" si="69"/>
        <v>-4.8117656462313252E-2</v>
      </c>
      <c r="AG35" s="194">
        <f t="shared" si="69"/>
        <v>-0.24390243902439024</v>
      </c>
      <c r="AH35" s="194">
        <f t="shared" si="69"/>
        <v>-1.2568471284067906E-3</v>
      </c>
      <c r="AI35" s="194">
        <f>MIN(AI23:AI32)</f>
        <v>-0.24190017513134843</v>
      </c>
      <c r="AJ35" s="194">
        <f t="shared" ref="AJ35:AM35" si="70">MIN(AJ23:AJ32)</f>
        <v>-6.0344827586206962E-2</v>
      </c>
      <c r="AK35" s="194">
        <f t="shared" si="70"/>
        <v>-1.9326659193690254E-3</v>
      </c>
      <c r="AL35" s="194">
        <f t="shared" si="70"/>
        <v>-2.2261328640562961E-2</v>
      </c>
      <c r="AM35" s="194">
        <f t="shared" si="70"/>
        <v>-4.8117656462313141E-2</v>
      </c>
    </row>
    <row r="36" spans="1:39">
      <c r="A36" s="1" t="s">
        <v>243</v>
      </c>
      <c r="B36" s="194">
        <f t="shared" ref="B36:C36" si="71">AVERAGE(B23:B32)</f>
        <v>-8.5232011904247271E-2</v>
      </c>
      <c r="C36" s="194">
        <f t="shared" si="71"/>
        <v>3.0312386398270039E-2</v>
      </c>
      <c r="D36" s="194">
        <f>AVERAGE(D23:D32)</f>
        <v>-7.2427939701275645E-2</v>
      </c>
      <c r="E36" s="194">
        <f t="shared" ref="E36:H36" si="72">AVERAGE(E23:E32)</f>
        <v>4.0240561203987904E-2</v>
      </c>
      <c r="F36" s="194">
        <f t="shared" si="72"/>
        <v>6.1663861268681135E-3</v>
      </c>
      <c r="G36" s="194">
        <f t="shared" si="72"/>
        <v>-1.2237083623070731E-2</v>
      </c>
      <c r="H36" s="194">
        <f t="shared" si="72"/>
        <v>-9.2282100264841193E-3</v>
      </c>
      <c r="I36" s="185"/>
      <c r="J36" s="194">
        <f t="shared" ref="J36:K36" si="73">AVERAGE(J23:J32)</f>
        <v>-8.5232011904247271E-2</v>
      </c>
      <c r="K36" s="194">
        <f t="shared" si="73"/>
        <v>3.0312386398270014E-2</v>
      </c>
      <c r="L36" s="194">
        <f>AVERAGE(L23:L32)</f>
        <v>-7.2427939701275645E-2</v>
      </c>
      <c r="M36" s="194">
        <f t="shared" ref="M36:R36" si="74">AVERAGE(M23:M32)</f>
        <v>4.0240561203987918E-2</v>
      </c>
      <c r="N36" s="194">
        <f t="shared" si="74"/>
        <v>6.1663861268680892E-3</v>
      </c>
      <c r="O36" s="194">
        <f t="shared" si="74"/>
        <v>-1.2237083623070731E-2</v>
      </c>
      <c r="P36" s="194">
        <f t="shared" si="74"/>
        <v>-9.2282100264841314E-3</v>
      </c>
      <c r="Q36" s="194">
        <f t="shared" si="74"/>
        <v>-8.5232011904247243E-2</v>
      </c>
      <c r="R36" s="194">
        <f t="shared" si="74"/>
        <v>3.031238639826999E-2</v>
      </c>
      <c r="S36" s="194">
        <f>AVERAGE(S23:S32)</f>
        <v>-7.2427939701275645E-2</v>
      </c>
      <c r="T36" s="194">
        <f t="shared" ref="T36:W36" si="75">AVERAGE(T23:T32)</f>
        <v>4.0240561203987918E-2</v>
      </c>
      <c r="U36" s="194">
        <f t="shared" si="75"/>
        <v>6.1663861268681387E-3</v>
      </c>
      <c r="V36" s="194">
        <f t="shared" si="75"/>
        <v>-1.2237083623070707E-2</v>
      </c>
      <c r="W36" s="194">
        <f t="shared" si="75"/>
        <v>-9.2282100264841557E-3</v>
      </c>
      <c r="X36" s="194"/>
      <c r="Y36" s="185"/>
      <c r="Z36" s="194">
        <f t="shared" ref="Z36:AA36" si="76">AVERAGE(Z23:Z32)</f>
        <v>-8.5232011904247285E-2</v>
      </c>
      <c r="AA36" s="194">
        <f t="shared" si="76"/>
        <v>3.0312386398270028E-2</v>
      </c>
      <c r="AB36" s="194">
        <f>AVERAGE(AB23:AB32)</f>
        <v>-7.2427939701275645E-2</v>
      </c>
      <c r="AC36" s="194">
        <f t="shared" ref="AC36:AH36" si="77">AVERAGE(AC23:AC32)</f>
        <v>4.024056120398789E-2</v>
      </c>
      <c r="AD36" s="194">
        <f t="shared" si="77"/>
        <v>6.1663861268681135E-3</v>
      </c>
      <c r="AE36" s="194">
        <f t="shared" si="77"/>
        <v>-1.2237083623070719E-2</v>
      </c>
      <c r="AF36" s="194">
        <f t="shared" si="77"/>
        <v>-9.2282100264841436E-3</v>
      </c>
      <c r="AG36" s="194">
        <f t="shared" si="77"/>
        <v>-8.5232011904247215E-2</v>
      </c>
      <c r="AH36" s="194">
        <f t="shared" si="77"/>
        <v>3.0312386398270028E-2</v>
      </c>
      <c r="AI36" s="194">
        <f>AVERAGE(AI23:AI32)</f>
        <v>-7.2427939701275659E-2</v>
      </c>
      <c r="AJ36" s="194">
        <f t="shared" ref="AJ36:AM36" si="78">AVERAGE(AJ23:AJ32)</f>
        <v>4.024056120398789E-2</v>
      </c>
      <c r="AK36" s="194">
        <f t="shared" si="78"/>
        <v>6.1663861268681014E-3</v>
      </c>
      <c r="AL36" s="194">
        <f t="shared" si="78"/>
        <v>-1.2237083623070731E-2</v>
      </c>
      <c r="AM36" s="194">
        <f t="shared" si="78"/>
        <v>-9.2282100264841072E-3</v>
      </c>
    </row>
    <row r="37" spans="1:39">
      <c r="A37" s="1" t="s">
        <v>244</v>
      </c>
      <c r="B37" s="194">
        <f t="shared" ref="B37:C37" si="79">MEDIAN(B23:B32)</f>
        <v>-0.11006289308176098</v>
      </c>
      <c r="C37" s="194">
        <f t="shared" si="79"/>
        <v>2.9825985162416302E-2</v>
      </c>
      <c r="D37" s="194">
        <f>MEDIAN(D23:D32)</f>
        <v>-6.9920331627696064E-2</v>
      </c>
      <c r="E37" s="194">
        <f t="shared" ref="E37:H37" si="80">MEDIAN(E23:E32)</f>
        <v>0</v>
      </c>
      <c r="F37" s="194">
        <f t="shared" si="80"/>
        <v>8.0031695721076712E-3</v>
      </c>
      <c r="G37" s="194">
        <f t="shared" si="80"/>
        <v>-1.1819727891156484E-2</v>
      </c>
      <c r="H37" s="194">
        <f t="shared" si="80"/>
        <v>-4.4660346313563082E-3</v>
      </c>
      <c r="I37" s="185"/>
      <c r="J37" s="194">
        <f t="shared" ref="J37:K37" si="81">MEDIAN(J23:J32)</f>
        <v>-0.11006289308176098</v>
      </c>
      <c r="K37" s="194">
        <f t="shared" si="81"/>
        <v>2.9825985162416302E-2</v>
      </c>
      <c r="L37" s="194">
        <f>MEDIAN(L23:L32)</f>
        <v>-6.9920331627696064E-2</v>
      </c>
      <c r="M37" s="194">
        <f t="shared" ref="M37:R37" si="82">MEDIAN(M23:M32)</f>
        <v>0</v>
      </c>
      <c r="N37" s="194">
        <f t="shared" si="82"/>
        <v>8.0031695721076712E-3</v>
      </c>
      <c r="O37" s="194">
        <f t="shared" si="82"/>
        <v>-1.1819727891156373E-2</v>
      </c>
      <c r="P37" s="194">
        <f t="shared" si="82"/>
        <v>-4.4660346313561972E-3</v>
      </c>
      <c r="Q37" s="194">
        <f t="shared" si="82"/>
        <v>-0.11006289308176098</v>
      </c>
      <c r="R37" s="194">
        <f t="shared" si="82"/>
        <v>2.982598516241608E-2</v>
      </c>
      <c r="S37" s="194">
        <f>MEDIAN(S23:S32)</f>
        <v>-6.9920331627696064E-2</v>
      </c>
      <c r="T37" s="194">
        <f t="shared" ref="T37:W37" si="83">MEDIAN(T23:T32)</f>
        <v>0</v>
      </c>
      <c r="U37" s="194">
        <f t="shared" si="83"/>
        <v>8.0031695721078933E-3</v>
      </c>
      <c r="V37" s="194">
        <f t="shared" si="83"/>
        <v>-1.1819727891156484E-2</v>
      </c>
      <c r="W37" s="194">
        <f t="shared" si="83"/>
        <v>-4.4660346313561972E-3</v>
      </c>
      <c r="X37" s="194"/>
      <c r="Y37" s="185"/>
      <c r="Z37" s="194">
        <f t="shared" ref="Z37:AA37" si="84">MEDIAN(Z23:Z32)</f>
        <v>-0.11006289308176109</v>
      </c>
      <c r="AA37" s="194">
        <f t="shared" si="84"/>
        <v>2.9825985162416302E-2</v>
      </c>
      <c r="AB37" s="194">
        <f>MEDIAN(AB23:AB32)</f>
        <v>-6.9920331627696064E-2</v>
      </c>
      <c r="AC37" s="194">
        <f t="shared" ref="AC37:AH37" si="85">MEDIAN(AC23:AC32)</f>
        <v>0</v>
      </c>
      <c r="AD37" s="194">
        <f t="shared" si="85"/>
        <v>8.0031695721078933E-3</v>
      </c>
      <c r="AE37" s="194">
        <f t="shared" si="85"/>
        <v>-1.1819727891156373E-2</v>
      </c>
      <c r="AF37" s="194">
        <f t="shared" si="85"/>
        <v>-4.4660346313561972E-3</v>
      </c>
      <c r="AG37" s="194">
        <f t="shared" si="85"/>
        <v>-0.11006289308176087</v>
      </c>
      <c r="AH37" s="194">
        <f t="shared" si="85"/>
        <v>2.9825985162416302E-2</v>
      </c>
      <c r="AI37" s="194">
        <f>MEDIAN(AI23:AI32)</f>
        <v>-6.9920331627695953E-2</v>
      </c>
      <c r="AJ37" s="194">
        <f t="shared" ref="AJ37:AM37" si="86">MEDIAN(AJ23:AJ32)</f>
        <v>0</v>
      </c>
      <c r="AK37" s="194">
        <f t="shared" si="86"/>
        <v>8.0031695721076712E-3</v>
      </c>
      <c r="AL37" s="194">
        <f t="shared" si="86"/>
        <v>-1.1819727891156595E-2</v>
      </c>
      <c r="AM37" s="194">
        <f t="shared" si="86"/>
        <v>-4.4660346313563082E-3</v>
      </c>
    </row>
    <row r="38" spans="1:39">
      <c r="A38" s="1" t="s">
        <v>245</v>
      </c>
      <c r="B38" s="194">
        <f t="shared" ref="B38:C38" si="87">MAX(B23:B32)</f>
        <v>8.4656084656084651E-2</v>
      </c>
      <c r="C38" s="194">
        <f t="shared" si="87"/>
        <v>5.3690490115803069E-2</v>
      </c>
      <c r="D38" s="194">
        <f>MAX(D23:D32)</f>
        <v>4.6442779165510206E-2</v>
      </c>
      <c r="E38" s="194">
        <f t="shared" ref="E38:H38" si="88">MAX(E23:E32)</f>
        <v>0.19170984455958551</v>
      </c>
      <c r="F38" s="194">
        <f t="shared" si="88"/>
        <v>1.7126730070362584E-2</v>
      </c>
      <c r="G38" s="194">
        <f t="shared" si="88"/>
        <v>5.3548738428026432E-3</v>
      </c>
      <c r="H38" s="194">
        <f t="shared" si="88"/>
        <v>9.6029696578436852E-3</v>
      </c>
      <c r="I38" s="185"/>
      <c r="J38" s="194">
        <f t="shared" ref="J38:K38" si="89">MAX(J23:J32)</f>
        <v>8.4656084656084429E-2</v>
      </c>
      <c r="K38" s="194">
        <f t="shared" si="89"/>
        <v>5.3690490115803069E-2</v>
      </c>
      <c r="L38" s="194">
        <f>MAX(L23:L32)</f>
        <v>4.6442779165510206E-2</v>
      </c>
      <c r="M38" s="194">
        <f t="shared" ref="M38:R38" si="90">MAX(M23:M32)</f>
        <v>0.19170984455958573</v>
      </c>
      <c r="N38" s="194">
        <f t="shared" si="90"/>
        <v>1.7126730070362584E-2</v>
      </c>
      <c r="O38" s="194">
        <f t="shared" si="90"/>
        <v>5.3548738428026432E-3</v>
      </c>
      <c r="P38" s="194">
        <f t="shared" si="90"/>
        <v>9.6029696578436852E-3</v>
      </c>
      <c r="Q38" s="194">
        <f t="shared" si="90"/>
        <v>8.4656084656084651E-2</v>
      </c>
      <c r="R38" s="194">
        <f t="shared" si="90"/>
        <v>5.3690490115803069E-2</v>
      </c>
      <c r="S38" s="194">
        <f>MAX(S23:S32)</f>
        <v>4.6442779165510206E-2</v>
      </c>
      <c r="T38" s="194">
        <f t="shared" ref="T38:W38" si="91">MAX(T23:T32)</f>
        <v>0.19170984455958551</v>
      </c>
      <c r="U38" s="194">
        <f t="shared" si="91"/>
        <v>1.7126730070362584E-2</v>
      </c>
      <c r="V38" s="194">
        <f t="shared" si="91"/>
        <v>5.3548738428028653E-3</v>
      </c>
      <c r="W38" s="194">
        <f t="shared" si="91"/>
        <v>9.6029696578436852E-3</v>
      </c>
      <c r="X38" s="194"/>
      <c r="Y38" s="185"/>
      <c r="Z38" s="194">
        <f t="shared" ref="Z38:AA38" si="92">MAX(Z23:Z32)</f>
        <v>8.4656084656084651E-2</v>
      </c>
      <c r="AA38" s="194">
        <f t="shared" si="92"/>
        <v>5.3690490115803069E-2</v>
      </c>
      <c r="AB38" s="194">
        <f>MAX(AB23:AB32)</f>
        <v>4.6442779165510206E-2</v>
      </c>
      <c r="AC38" s="194">
        <f t="shared" ref="AC38:AH38" si="93">MAX(AC23:AC32)</f>
        <v>0.19170984455958551</v>
      </c>
      <c r="AD38" s="194">
        <f t="shared" si="93"/>
        <v>1.7126730070362584E-2</v>
      </c>
      <c r="AE38" s="194">
        <f t="shared" si="93"/>
        <v>5.3548738428026432E-3</v>
      </c>
      <c r="AF38" s="194">
        <f t="shared" si="93"/>
        <v>9.6029696578436852E-3</v>
      </c>
      <c r="AG38" s="194">
        <f t="shared" si="93"/>
        <v>8.4656084656084651E-2</v>
      </c>
      <c r="AH38" s="194">
        <f t="shared" si="93"/>
        <v>5.3690490115802847E-2</v>
      </c>
      <c r="AI38" s="194">
        <f>MAX(AI23:AI32)</f>
        <v>4.6442779165510206E-2</v>
      </c>
      <c r="AJ38" s="194">
        <f t="shared" ref="AJ38:AM38" si="94">MAX(AJ23:AJ32)</f>
        <v>0.19170984455958551</v>
      </c>
      <c r="AK38" s="194">
        <f t="shared" si="94"/>
        <v>1.7126730070362584E-2</v>
      </c>
      <c r="AL38" s="194">
        <f t="shared" si="94"/>
        <v>5.3548738428026432E-3</v>
      </c>
      <c r="AM38" s="194">
        <f t="shared" si="94"/>
        <v>9.6029696578439072E-3</v>
      </c>
    </row>
    <row r="40" spans="1:39">
      <c r="A40" s="6" t="s">
        <v>420</v>
      </c>
      <c r="B40" s="184"/>
      <c r="C40" s="184"/>
      <c r="D40" s="184"/>
      <c r="E40" s="184"/>
      <c r="F40" s="184"/>
      <c r="G40" s="184"/>
      <c r="H40" s="184"/>
      <c r="I40" s="185"/>
      <c r="J40" s="184"/>
      <c r="K40" s="184"/>
      <c r="L40" s="184"/>
      <c r="M40" s="184"/>
      <c r="N40" s="184"/>
      <c r="O40" s="184"/>
      <c r="P40" s="184"/>
      <c r="Q40" s="184"/>
      <c r="R40" s="184"/>
      <c r="S40" s="184"/>
      <c r="T40" s="184"/>
      <c r="U40" s="184"/>
      <c r="V40" s="184"/>
      <c r="W40" s="184"/>
      <c r="X40" s="184"/>
      <c r="Y40" s="185"/>
      <c r="Z40" s="184"/>
      <c r="AA40" s="184"/>
      <c r="AB40" s="184"/>
      <c r="AC40" s="184"/>
      <c r="AD40" s="184"/>
      <c r="AE40" s="184"/>
      <c r="AF40" s="184"/>
      <c r="AG40" s="184"/>
      <c r="AH40" s="184"/>
      <c r="AI40" s="184"/>
      <c r="AJ40" s="184"/>
      <c r="AK40" s="184"/>
      <c r="AL40" s="184"/>
      <c r="AM40" s="184"/>
    </row>
    <row r="41" spans="1:39">
      <c r="A41" s="1" t="s">
        <v>242</v>
      </c>
      <c r="B41" s="195">
        <f>MIN(B28:B32)</f>
        <v>-0.24390243902439024</v>
      </c>
      <c r="C41" s="195">
        <f t="shared" ref="C41:H41" si="95">MIN(C28:C32)</f>
        <v>-1.2568471284067906E-3</v>
      </c>
      <c r="D41" s="195">
        <f t="shared" si="95"/>
        <v>-0.24190017513134854</v>
      </c>
      <c r="E41" s="195">
        <f t="shared" si="95"/>
        <v>-6.0344827586206851E-2</v>
      </c>
      <c r="F41" s="195">
        <f t="shared" si="95"/>
        <v>4.8764019655656021E-4</v>
      </c>
      <c r="G41" s="195">
        <f t="shared" si="95"/>
        <v>-1.9860973187686204E-2</v>
      </c>
      <c r="H41" s="195">
        <f t="shared" si="95"/>
        <v>-4.8117656462313141E-2</v>
      </c>
      <c r="I41" s="185"/>
      <c r="J41" s="195">
        <f>MIN(J28:J32)</f>
        <v>-0.24390243902439024</v>
      </c>
      <c r="K41" s="195">
        <f t="shared" ref="K41:P41" si="96">MIN(K28:K32)</f>
        <v>-1.2568471284067906E-3</v>
      </c>
      <c r="L41" s="195">
        <f t="shared" si="96"/>
        <v>-0.24190017513134854</v>
      </c>
      <c r="M41" s="195">
        <f t="shared" si="96"/>
        <v>-6.0344827586206851E-2</v>
      </c>
      <c r="N41" s="195">
        <f t="shared" si="96"/>
        <v>4.8764019655656021E-4</v>
      </c>
      <c r="O41" s="195">
        <f t="shared" si="96"/>
        <v>-1.9860973187686093E-2</v>
      </c>
      <c r="P41" s="195">
        <f t="shared" si="96"/>
        <v>-4.811765646231303E-2</v>
      </c>
      <c r="Q41" s="195">
        <f>MIN(Q28:Q32)</f>
        <v>-0.24390243902439024</v>
      </c>
      <c r="R41" s="195">
        <f t="shared" ref="R41:W41" si="97">MIN(R28:R32)</f>
        <v>-1.2568471284067906E-3</v>
      </c>
      <c r="S41" s="195">
        <f t="shared" si="97"/>
        <v>-0.24190017513134843</v>
      </c>
      <c r="T41" s="195">
        <f t="shared" si="97"/>
        <v>-6.034482758620674E-2</v>
      </c>
      <c r="U41" s="195">
        <f t="shared" si="97"/>
        <v>4.8764019655656021E-4</v>
      </c>
      <c r="V41" s="195">
        <f t="shared" si="97"/>
        <v>-1.9860973187686204E-2</v>
      </c>
      <c r="W41" s="195">
        <f t="shared" si="97"/>
        <v>-4.8117656462313141E-2</v>
      </c>
      <c r="X41" s="195"/>
      <c r="Y41" s="185"/>
      <c r="Z41" s="195">
        <f>MIN(Z28:Z32)</f>
        <v>-0.24390243902439024</v>
      </c>
      <c r="AA41" s="195">
        <f t="shared" ref="AA41:AF41" si="98">MIN(AA28:AA32)</f>
        <v>-1.2568471284067906E-3</v>
      </c>
      <c r="AB41" s="195">
        <f t="shared" si="98"/>
        <v>-0.24190017513134854</v>
      </c>
      <c r="AC41" s="195">
        <f t="shared" si="98"/>
        <v>-6.0344827586206851E-2</v>
      </c>
      <c r="AD41" s="195">
        <f t="shared" si="98"/>
        <v>4.8764019655633817E-4</v>
      </c>
      <c r="AE41" s="195">
        <f t="shared" si="98"/>
        <v>-1.9860973187686204E-2</v>
      </c>
      <c r="AF41" s="195">
        <f t="shared" si="98"/>
        <v>-4.8117656462313252E-2</v>
      </c>
      <c r="AG41" s="195">
        <f>MIN(AG28:AG32)</f>
        <v>-0.24390243902439024</v>
      </c>
      <c r="AH41" s="195">
        <f t="shared" ref="AH41:AM41" si="99">MIN(AH28:AH32)</f>
        <v>-1.2568471284067906E-3</v>
      </c>
      <c r="AI41" s="195">
        <f t="shared" si="99"/>
        <v>-0.24190017513134843</v>
      </c>
      <c r="AJ41" s="195">
        <f t="shared" si="99"/>
        <v>-6.0344827586206962E-2</v>
      </c>
      <c r="AK41" s="195">
        <f t="shared" si="99"/>
        <v>4.8764019655633817E-4</v>
      </c>
      <c r="AL41" s="195">
        <f t="shared" si="99"/>
        <v>-1.9860973187686204E-2</v>
      </c>
      <c r="AM41" s="195">
        <f t="shared" si="99"/>
        <v>-4.8117656462313141E-2</v>
      </c>
    </row>
    <row r="42" spans="1:39">
      <c r="A42" s="1" t="s">
        <v>243</v>
      </c>
      <c r="B42" s="195">
        <f>AVERAGE(B28:B32)</f>
        <v>-0.14482786160323918</v>
      </c>
      <c r="C42" s="195">
        <f t="shared" ref="C42:H42" si="100">AVERAGE(C28:C32)</f>
        <v>1.2946262747763893E-2</v>
      </c>
      <c r="D42" s="195">
        <f t="shared" si="100"/>
        <v>-0.12124055736641041</v>
      </c>
      <c r="E42" s="195">
        <f t="shared" si="100"/>
        <v>-9.9040473795328314E-3</v>
      </c>
      <c r="F42" s="195">
        <f t="shared" si="100"/>
        <v>6.5270977395428089E-3</v>
      </c>
      <c r="G42" s="195">
        <f t="shared" si="100"/>
        <v>-9.1128575090245745E-3</v>
      </c>
      <c r="H42" s="195">
        <f t="shared" si="100"/>
        <v>-1.3853418946932016E-2</v>
      </c>
      <c r="I42" s="185"/>
      <c r="J42" s="195">
        <f>AVERAGE(J28:J32)</f>
        <v>-0.14482786160323921</v>
      </c>
      <c r="K42" s="195">
        <f t="shared" ref="K42:P42" si="101">AVERAGE(K28:K32)</f>
        <v>1.2946262747763893E-2</v>
      </c>
      <c r="L42" s="195">
        <f t="shared" si="101"/>
        <v>-0.12124055736641041</v>
      </c>
      <c r="M42" s="195">
        <f t="shared" si="101"/>
        <v>-9.9040473795328106E-3</v>
      </c>
      <c r="N42" s="195">
        <f t="shared" si="101"/>
        <v>6.5270977395427646E-3</v>
      </c>
      <c r="O42" s="195">
        <f t="shared" si="101"/>
        <v>-9.112857509024597E-3</v>
      </c>
      <c r="P42" s="195">
        <f t="shared" si="101"/>
        <v>-1.3853418946931994E-2</v>
      </c>
      <c r="Q42" s="195">
        <f>AVERAGE(Q28:Q32)</f>
        <v>-0.14482786160323918</v>
      </c>
      <c r="R42" s="195">
        <f t="shared" ref="R42:W42" si="102">AVERAGE(R28:R32)</f>
        <v>1.2946262747763847E-2</v>
      </c>
      <c r="S42" s="195">
        <f t="shared" si="102"/>
        <v>-0.12124055736641041</v>
      </c>
      <c r="T42" s="195">
        <f t="shared" si="102"/>
        <v>-9.9040473795328106E-3</v>
      </c>
      <c r="U42" s="195">
        <f t="shared" si="102"/>
        <v>6.5270977395428089E-3</v>
      </c>
      <c r="V42" s="195">
        <f t="shared" si="102"/>
        <v>-9.1128575090245519E-3</v>
      </c>
      <c r="W42" s="195">
        <f t="shared" si="102"/>
        <v>-1.3853418946932062E-2</v>
      </c>
      <c r="X42" s="195"/>
      <c r="Y42" s="185"/>
      <c r="Z42" s="195">
        <f>AVERAGE(Z28:Z32)</f>
        <v>-0.14482786160323918</v>
      </c>
      <c r="AA42" s="195">
        <f t="shared" ref="AA42:AF42" si="103">AVERAGE(AA28:AA32)</f>
        <v>1.2946262747763915E-2</v>
      </c>
      <c r="AB42" s="195">
        <f t="shared" si="103"/>
        <v>-0.12124055736641041</v>
      </c>
      <c r="AC42" s="195">
        <f t="shared" si="103"/>
        <v>-9.904047379532854E-3</v>
      </c>
      <c r="AD42" s="195">
        <f t="shared" si="103"/>
        <v>6.5270977395427646E-3</v>
      </c>
      <c r="AE42" s="195">
        <f t="shared" si="103"/>
        <v>-9.1128575090246196E-3</v>
      </c>
      <c r="AF42" s="195">
        <f t="shared" si="103"/>
        <v>-1.3853418946932062E-2</v>
      </c>
      <c r="AG42" s="195">
        <f>AVERAGE(AG28:AG32)</f>
        <v>-0.14482786160323916</v>
      </c>
      <c r="AH42" s="195">
        <f t="shared" ref="AH42:AM42" si="104">AVERAGE(AH28:AH32)</f>
        <v>1.2946262747763915E-2</v>
      </c>
      <c r="AI42" s="195">
        <f t="shared" si="104"/>
        <v>-0.12124055736641041</v>
      </c>
      <c r="AJ42" s="195">
        <f t="shared" si="104"/>
        <v>-9.904047379532854E-3</v>
      </c>
      <c r="AK42" s="195">
        <f t="shared" si="104"/>
        <v>6.5270977395427646E-3</v>
      </c>
      <c r="AL42" s="195">
        <f t="shared" si="104"/>
        <v>-9.1128575090245745E-3</v>
      </c>
      <c r="AM42" s="195">
        <f t="shared" si="104"/>
        <v>-1.3853418946931994E-2</v>
      </c>
    </row>
    <row r="43" spans="1:39">
      <c r="A43" s="1" t="s">
        <v>244</v>
      </c>
      <c r="B43" s="195">
        <f>MEDIAN(B28:B32)</f>
        <v>-0.19999999999999996</v>
      </c>
      <c r="C43" s="195">
        <f t="shared" ref="C43:H43" si="105">MEDIAN(C28:C32)</f>
        <v>1.3722056809587713E-2</v>
      </c>
      <c r="D43" s="195">
        <f t="shared" si="105"/>
        <v>-0.10703715310421669</v>
      </c>
      <c r="E43" s="195">
        <f t="shared" si="105"/>
        <v>-6.521739130434745E-3</v>
      </c>
      <c r="F43" s="195">
        <f t="shared" si="105"/>
        <v>2.2805883918051162E-3</v>
      </c>
      <c r="G43" s="195">
        <f t="shared" si="105"/>
        <v>-7.9580563617638322E-3</v>
      </c>
      <c r="H43" s="195">
        <f t="shared" si="105"/>
        <v>-1.1978842563783454E-2</v>
      </c>
      <c r="I43" s="185"/>
      <c r="J43" s="195">
        <f>MEDIAN(J28:J32)</f>
        <v>-0.20000000000000007</v>
      </c>
      <c r="K43" s="195">
        <f t="shared" ref="K43:P43" si="106">MEDIAN(K28:K32)</f>
        <v>1.3722056809587713E-2</v>
      </c>
      <c r="L43" s="195">
        <f t="shared" si="106"/>
        <v>-0.10703715310421669</v>
      </c>
      <c r="M43" s="195">
        <f t="shared" si="106"/>
        <v>-6.521739130434856E-3</v>
      </c>
      <c r="N43" s="195">
        <f t="shared" si="106"/>
        <v>2.2805883918051162E-3</v>
      </c>
      <c r="O43" s="195">
        <f t="shared" si="106"/>
        <v>-7.9580563617639433E-3</v>
      </c>
      <c r="P43" s="195">
        <f t="shared" si="106"/>
        <v>-1.1978842563783565E-2</v>
      </c>
      <c r="Q43" s="195">
        <f>MEDIAN(Q28:Q32)</f>
        <v>-0.19999999999999996</v>
      </c>
      <c r="R43" s="195">
        <f t="shared" ref="R43:W43" si="107">MEDIAN(R28:R32)</f>
        <v>1.3722056809587713E-2</v>
      </c>
      <c r="S43" s="195">
        <f t="shared" si="107"/>
        <v>-0.10703715310421658</v>
      </c>
      <c r="T43" s="195">
        <f t="shared" si="107"/>
        <v>-6.521739130434745E-3</v>
      </c>
      <c r="U43" s="195">
        <f t="shared" si="107"/>
        <v>2.2805883918051162E-3</v>
      </c>
      <c r="V43" s="195">
        <f t="shared" si="107"/>
        <v>-7.9580563617639433E-3</v>
      </c>
      <c r="W43" s="195">
        <f t="shared" si="107"/>
        <v>-1.1978842563783454E-2</v>
      </c>
      <c r="X43" s="195"/>
      <c r="Y43" s="185"/>
      <c r="Z43" s="195">
        <f>MEDIAN(Z28:Z32)</f>
        <v>-0.20000000000000007</v>
      </c>
      <c r="AA43" s="195">
        <f t="shared" ref="AA43:AF43" si="108">MEDIAN(AA28:AA32)</f>
        <v>1.3722056809587713E-2</v>
      </c>
      <c r="AB43" s="195">
        <f t="shared" si="108"/>
        <v>-0.10703715310421669</v>
      </c>
      <c r="AC43" s="195">
        <f t="shared" si="108"/>
        <v>-6.521739130434856E-3</v>
      </c>
      <c r="AD43" s="195">
        <f t="shared" si="108"/>
        <v>2.2805883918051162E-3</v>
      </c>
      <c r="AE43" s="195">
        <f t="shared" si="108"/>
        <v>-7.9580563617639433E-3</v>
      </c>
      <c r="AF43" s="195">
        <f t="shared" si="108"/>
        <v>-1.1978842563783343E-2</v>
      </c>
      <c r="AG43" s="195">
        <f>MEDIAN(AG28:AG32)</f>
        <v>-0.19999999999999996</v>
      </c>
      <c r="AH43" s="195">
        <f t="shared" ref="AH43:AM43" si="109">MEDIAN(AH28:AH32)</f>
        <v>1.3722056809587713E-2</v>
      </c>
      <c r="AI43" s="195">
        <f t="shared" si="109"/>
        <v>-0.1070371531042168</v>
      </c>
      <c r="AJ43" s="195">
        <f t="shared" si="109"/>
        <v>-6.521739130434745E-3</v>
      </c>
      <c r="AK43" s="195">
        <f t="shared" si="109"/>
        <v>2.2805883918051162E-3</v>
      </c>
      <c r="AL43" s="195">
        <f t="shared" si="109"/>
        <v>-7.9580563617638322E-3</v>
      </c>
      <c r="AM43" s="195">
        <f t="shared" si="109"/>
        <v>-1.1978842563783565E-2</v>
      </c>
    </row>
    <row r="44" spans="1:39">
      <c r="A44" s="1" t="s">
        <v>245</v>
      </c>
      <c r="B44" s="195">
        <f>MAX(B28:B32)</f>
        <v>8.4656084656084651E-2</v>
      </c>
      <c r="C44" s="195">
        <f t="shared" ref="C44:H44" si="110">MAX(C28:C32)</f>
        <v>2.9825985162416302E-2</v>
      </c>
      <c r="D44" s="195">
        <f t="shared" si="110"/>
        <v>-6.9920331627696064E-2</v>
      </c>
      <c r="E44" s="195">
        <f t="shared" si="110"/>
        <v>5.4545454545454453E-2</v>
      </c>
      <c r="F44" s="195">
        <f t="shared" si="110"/>
        <v>1.7126730070362584E-2</v>
      </c>
      <c r="G44" s="195">
        <f t="shared" si="110"/>
        <v>5.3548738428026432E-3</v>
      </c>
      <c r="H44" s="195">
        <f t="shared" si="110"/>
        <v>9.6029696578436852E-3</v>
      </c>
      <c r="I44" s="185"/>
      <c r="J44" s="195">
        <f>MAX(J28:J32)</f>
        <v>8.4656084656084429E-2</v>
      </c>
      <c r="K44" s="195">
        <f t="shared" ref="K44:P44" si="111">MAX(K28:K32)</f>
        <v>2.9825985162416302E-2</v>
      </c>
      <c r="L44" s="195">
        <f t="shared" si="111"/>
        <v>-6.9920331627696064E-2</v>
      </c>
      <c r="M44" s="195">
        <f t="shared" si="111"/>
        <v>5.4545454545454675E-2</v>
      </c>
      <c r="N44" s="195">
        <f t="shared" si="111"/>
        <v>1.7126730070362584E-2</v>
      </c>
      <c r="O44" s="195">
        <f t="shared" si="111"/>
        <v>5.3548738428026432E-3</v>
      </c>
      <c r="P44" s="195">
        <f t="shared" si="111"/>
        <v>9.6029696578436852E-3</v>
      </c>
      <c r="Q44" s="195">
        <f>MAX(Q28:Q32)</f>
        <v>8.4656084656084651E-2</v>
      </c>
      <c r="R44" s="195">
        <f t="shared" ref="R44:W44" si="112">MAX(R28:R32)</f>
        <v>2.982598516241608E-2</v>
      </c>
      <c r="S44" s="195">
        <f t="shared" si="112"/>
        <v>-6.9920331627696064E-2</v>
      </c>
      <c r="T44" s="195">
        <f t="shared" si="112"/>
        <v>5.4545454545454453E-2</v>
      </c>
      <c r="U44" s="195">
        <f t="shared" si="112"/>
        <v>1.7126730070362584E-2</v>
      </c>
      <c r="V44" s="195">
        <f t="shared" si="112"/>
        <v>5.3548738428028653E-3</v>
      </c>
      <c r="W44" s="195">
        <f t="shared" si="112"/>
        <v>9.6029696578436852E-3</v>
      </c>
      <c r="X44" s="195"/>
      <c r="Y44" s="185"/>
      <c r="Z44" s="195">
        <f>MAX(Z28:Z32)</f>
        <v>8.4656084656084651E-2</v>
      </c>
      <c r="AA44" s="195">
        <f t="shared" ref="AA44:AF44" si="113">MAX(AA28:AA32)</f>
        <v>2.9825985162416302E-2</v>
      </c>
      <c r="AB44" s="195">
        <f t="shared" si="113"/>
        <v>-6.9920331627696064E-2</v>
      </c>
      <c r="AC44" s="195">
        <f t="shared" si="113"/>
        <v>5.4545454545454453E-2</v>
      </c>
      <c r="AD44" s="195">
        <f t="shared" si="113"/>
        <v>1.7126730070362584E-2</v>
      </c>
      <c r="AE44" s="195">
        <f t="shared" si="113"/>
        <v>5.3548738428026432E-3</v>
      </c>
      <c r="AF44" s="195">
        <f t="shared" si="113"/>
        <v>9.6029696578436852E-3</v>
      </c>
      <c r="AG44" s="195">
        <f>MAX(AG28:AG32)</f>
        <v>8.4656084656084651E-2</v>
      </c>
      <c r="AH44" s="195">
        <f t="shared" ref="AH44:AM44" si="114">MAX(AH28:AH32)</f>
        <v>2.9825985162416302E-2</v>
      </c>
      <c r="AI44" s="195">
        <f t="shared" si="114"/>
        <v>-6.9920331627695953E-2</v>
      </c>
      <c r="AJ44" s="195">
        <f t="shared" si="114"/>
        <v>5.4545454545454453E-2</v>
      </c>
      <c r="AK44" s="195">
        <f t="shared" si="114"/>
        <v>1.7126730070362584E-2</v>
      </c>
      <c r="AL44" s="195">
        <f t="shared" si="114"/>
        <v>5.3548738428026432E-3</v>
      </c>
      <c r="AM44" s="195">
        <f t="shared" si="114"/>
        <v>9.6029696578439072E-3</v>
      </c>
    </row>
    <row r="46" spans="1:39">
      <c r="A46" s="6" t="s">
        <v>421</v>
      </c>
      <c r="B46" s="184"/>
      <c r="C46" s="184"/>
      <c r="D46" s="184"/>
      <c r="E46" s="184"/>
      <c r="F46" s="184"/>
      <c r="G46" s="184"/>
      <c r="H46" s="184"/>
      <c r="I46" s="185"/>
      <c r="J46" s="184"/>
      <c r="K46" s="184"/>
      <c r="L46" s="184"/>
      <c r="M46" s="184"/>
      <c r="N46" s="184"/>
      <c r="O46" s="184"/>
      <c r="P46" s="184"/>
      <c r="Q46" s="184"/>
      <c r="R46" s="184"/>
      <c r="S46" s="184"/>
      <c r="T46" s="184"/>
      <c r="U46" s="184"/>
      <c r="V46" s="184"/>
      <c r="W46" s="184"/>
      <c r="X46" s="184"/>
      <c r="Y46" s="185"/>
      <c r="Z46" s="184"/>
      <c r="AA46" s="184"/>
      <c r="AB46" s="184"/>
      <c r="AC46" s="184"/>
      <c r="AD46" s="184"/>
      <c r="AE46" s="184"/>
      <c r="AF46" s="184"/>
      <c r="AG46" s="184"/>
      <c r="AH46" s="184"/>
      <c r="AI46" s="184"/>
      <c r="AJ46" s="184"/>
      <c r="AK46" s="184"/>
      <c r="AL46" s="184"/>
      <c r="AM46" s="184"/>
    </row>
    <row r="47" spans="1:39">
      <c r="A47" s="1" t="s">
        <v>242</v>
      </c>
      <c r="B47" s="195">
        <f>MIN(B30:B32)</f>
        <v>-0.24390243902439024</v>
      </c>
      <c r="C47" s="195">
        <f t="shared" ref="C47:H47" si="115">MIN(C30:C32)</f>
        <v>-1.2568471284067906E-3</v>
      </c>
      <c r="D47" s="195">
        <f t="shared" si="115"/>
        <v>-0.24190017513134854</v>
      </c>
      <c r="E47" s="195">
        <f t="shared" si="115"/>
        <v>-6.0344827586206851E-2</v>
      </c>
      <c r="F47" s="195">
        <f t="shared" si="115"/>
        <v>4.8764019655656021E-4</v>
      </c>
      <c r="G47" s="195">
        <f t="shared" si="115"/>
        <v>-1.6210739614994973E-2</v>
      </c>
      <c r="H47" s="195">
        <f t="shared" si="115"/>
        <v>-4.8117656462313141E-2</v>
      </c>
      <c r="I47" s="185"/>
      <c r="J47" s="195">
        <f>MIN(J30:J32)</f>
        <v>-0.24390243902439024</v>
      </c>
      <c r="K47" s="195">
        <f t="shared" ref="K47:P47" si="116">MIN(K30:K32)</f>
        <v>-1.2568471284067906E-3</v>
      </c>
      <c r="L47" s="195">
        <f t="shared" si="116"/>
        <v>-0.24190017513134854</v>
      </c>
      <c r="M47" s="195">
        <f t="shared" si="116"/>
        <v>-6.0344827586206851E-2</v>
      </c>
      <c r="N47" s="195">
        <f t="shared" si="116"/>
        <v>4.8764019655656021E-4</v>
      </c>
      <c r="O47" s="195">
        <f t="shared" si="116"/>
        <v>-1.6210739614994973E-2</v>
      </c>
      <c r="P47" s="195">
        <f t="shared" si="116"/>
        <v>-4.811765646231303E-2</v>
      </c>
      <c r="Q47" s="195">
        <f>MIN(Q30:Q32)</f>
        <v>-0.24390243902439024</v>
      </c>
      <c r="R47" s="195">
        <f t="shared" ref="R47:W47" si="117">MIN(R30:R32)</f>
        <v>-1.2568471284067906E-3</v>
      </c>
      <c r="S47" s="195">
        <f t="shared" si="117"/>
        <v>-0.24190017513134843</v>
      </c>
      <c r="T47" s="195">
        <f t="shared" si="117"/>
        <v>-6.034482758620674E-2</v>
      </c>
      <c r="U47" s="195">
        <f t="shared" si="117"/>
        <v>4.8764019655656021E-4</v>
      </c>
      <c r="V47" s="195">
        <f t="shared" si="117"/>
        <v>-1.6210739614994973E-2</v>
      </c>
      <c r="W47" s="195">
        <f t="shared" si="117"/>
        <v>-4.8117656462313141E-2</v>
      </c>
      <c r="X47" s="195"/>
      <c r="Y47" s="185"/>
      <c r="Z47" s="195">
        <f>MIN(Z30:Z32)</f>
        <v>-0.24390243902439024</v>
      </c>
      <c r="AA47" s="195">
        <f t="shared" ref="AA47:AF47" si="118">MIN(AA30:AA32)</f>
        <v>-1.2568471284067906E-3</v>
      </c>
      <c r="AB47" s="195">
        <f t="shared" si="118"/>
        <v>-0.24190017513134854</v>
      </c>
      <c r="AC47" s="195">
        <f t="shared" si="118"/>
        <v>-6.0344827586206851E-2</v>
      </c>
      <c r="AD47" s="195">
        <f t="shared" si="118"/>
        <v>4.8764019655633817E-4</v>
      </c>
      <c r="AE47" s="195">
        <f t="shared" si="118"/>
        <v>-1.6210739614994973E-2</v>
      </c>
      <c r="AF47" s="195">
        <f t="shared" si="118"/>
        <v>-4.8117656462313252E-2</v>
      </c>
      <c r="AG47" s="195">
        <f>MIN(AG30:AG32)</f>
        <v>-0.24390243902439024</v>
      </c>
      <c r="AH47" s="195">
        <f t="shared" ref="AH47:AM47" si="119">MIN(AH30:AH32)</f>
        <v>-1.2568471284067906E-3</v>
      </c>
      <c r="AI47" s="195">
        <f t="shared" si="119"/>
        <v>-0.24190017513134843</v>
      </c>
      <c r="AJ47" s="195">
        <f t="shared" si="119"/>
        <v>-6.0344827586206962E-2</v>
      </c>
      <c r="AK47" s="195">
        <f t="shared" si="119"/>
        <v>4.8764019655633817E-4</v>
      </c>
      <c r="AL47" s="195">
        <f t="shared" si="119"/>
        <v>-1.6210739614994973E-2</v>
      </c>
      <c r="AM47" s="195">
        <f t="shared" si="119"/>
        <v>-4.8117656462313141E-2</v>
      </c>
    </row>
    <row r="48" spans="1:39">
      <c r="A48" s="1" t="s">
        <v>243</v>
      </c>
      <c r="B48" s="195">
        <f>AVERAGE(B30:B32)</f>
        <v>-0.11974878478943518</v>
      </c>
      <c r="C48" s="195">
        <f t="shared" ref="C48:H48" si="120">AVERAGE(C30:C32)</f>
        <v>3.7849437816662355E-3</v>
      </c>
      <c r="D48" s="195">
        <f t="shared" si="120"/>
        <v>-0.1430817673667131</v>
      </c>
      <c r="E48" s="195">
        <f t="shared" si="120"/>
        <v>-1.9331243469174659E-3</v>
      </c>
      <c r="F48" s="195">
        <f t="shared" si="120"/>
        <v>4.5886637041792815E-3</v>
      </c>
      <c r="G48" s="195">
        <f t="shared" si="120"/>
        <v>-1.0352729400079771E-2</v>
      </c>
      <c r="H48" s="195">
        <f t="shared" si="120"/>
        <v>-2.0973430740313104E-2</v>
      </c>
      <c r="I48" s="185"/>
      <c r="J48" s="195">
        <f>AVERAGE(J30:J32)</f>
        <v>-0.11974878478943529</v>
      </c>
      <c r="K48" s="195">
        <f t="shared" ref="K48:P48" si="121">AVERAGE(K30:K32)</f>
        <v>3.7849437816662355E-3</v>
      </c>
      <c r="L48" s="195">
        <f t="shared" si="121"/>
        <v>-0.1430817673667131</v>
      </c>
      <c r="M48" s="195">
        <f t="shared" si="121"/>
        <v>-1.933124346917392E-3</v>
      </c>
      <c r="N48" s="195">
        <f t="shared" si="121"/>
        <v>4.5886637041792815E-3</v>
      </c>
      <c r="O48" s="195">
        <f t="shared" si="121"/>
        <v>-1.0352729400079844E-2</v>
      </c>
      <c r="P48" s="195">
        <f t="shared" si="121"/>
        <v>-2.0973430740313031E-2</v>
      </c>
      <c r="Q48" s="195">
        <f>AVERAGE(Q30:Q32)</f>
        <v>-0.11974878478943518</v>
      </c>
      <c r="R48" s="195">
        <f t="shared" ref="R48:W48" si="122">AVERAGE(R30:R32)</f>
        <v>3.7849437816662355E-3</v>
      </c>
      <c r="S48" s="195">
        <f t="shared" si="122"/>
        <v>-0.14308176736671316</v>
      </c>
      <c r="T48" s="195">
        <f t="shared" si="122"/>
        <v>-1.9331243469174291E-3</v>
      </c>
      <c r="U48" s="195">
        <f t="shared" si="122"/>
        <v>4.5886637041792815E-3</v>
      </c>
      <c r="V48" s="195">
        <f t="shared" si="122"/>
        <v>-1.0352729400079808E-2</v>
      </c>
      <c r="W48" s="195">
        <f t="shared" si="122"/>
        <v>-2.0973430740313104E-2</v>
      </c>
      <c r="X48" s="195"/>
      <c r="Y48" s="185"/>
      <c r="Z48" s="195">
        <f>AVERAGE(Z30:Z32)</f>
        <v>-0.11974878478943522</v>
      </c>
      <c r="AA48" s="195">
        <f t="shared" ref="AA48:AF48" si="123">AVERAGE(AA30:AA32)</f>
        <v>3.7849437816662723E-3</v>
      </c>
      <c r="AB48" s="195">
        <f t="shared" si="123"/>
        <v>-0.1430817673667131</v>
      </c>
      <c r="AC48" s="195">
        <f t="shared" si="123"/>
        <v>-1.9331243469174659E-3</v>
      </c>
      <c r="AD48" s="195">
        <f t="shared" si="123"/>
        <v>4.5886637041792078E-3</v>
      </c>
      <c r="AE48" s="195">
        <f t="shared" si="123"/>
        <v>-1.0352729400079844E-2</v>
      </c>
      <c r="AF48" s="195">
        <f t="shared" si="123"/>
        <v>-2.0973430740313142E-2</v>
      </c>
      <c r="AG48" s="195">
        <f>AVERAGE(AG30:AG32)</f>
        <v>-0.11974878478943518</v>
      </c>
      <c r="AH48" s="195">
        <f t="shared" ref="AH48:AM48" si="124">AVERAGE(AH30:AH32)</f>
        <v>3.7849437816662723E-3</v>
      </c>
      <c r="AI48" s="195">
        <f t="shared" si="124"/>
        <v>-0.1430817673667131</v>
      </c>
      <c r="AJ48" s="195">
        <f t="shared" si="124"/>
        <v>-1.933124346917503E-3</v>
      </c>
      <c r="AK48" s="195">
        <f t="shared" si="124"/>
        <v>4.5886637041792078E-3</v>
      </c>
      <c r="AL48" s="195">
        <f t="shared" si="124"/>
        <v>-1.0352729400079771E-2</v>
      </c>
      <c r="AM48" s="195">
        <f t="shared" si="124"/>
        <v>-2.0973430740313031E-2</v>
      </c>
    </row>
    <row r="49" spans="1:39">
      <c r="A49" s="1" t="s">
        <v>245</v>
      </c>
      <c r="B49" s="195">
        <f>MAX(B30:B32)</f>
        <v>8.4656084656084651E-2</v>
      </c>
      <c r="C49" s="195">
        <f t="shared" ref="C49:H49" si="125">MAX(C30:C32)</f>
        <v>1.3722056809587713E-2</v>
      </c>
      <c r="D49" s="195">
        <f t="shared" si="125"/>
        <v>-7.7967080565983227E-2</v>
      </c>
      <c r="E49" s="195">
        <f t="shared" si="125"/>
        <v>5.4545454545454453E-2</v>
      </c>
      <c r="F49" s="195">
        <f t="shared" si="125"/>
        <v>1.0997762524176169E-2</v>
      </c>
      <c r="G49" s="195">
        <f t="shared" si="125"/>
        <v>-6.8893922234805061E-3</v>
      </c>
      <c r="H49" s="195">
        <f t="shared" si="125"/>
        <v>9.6029696578436852E-3</v>
      </c>
      <c r="I49" s="185"/>
      <c r="J49" s="195">
        <f>MAX(J30:J32)</f>
        <v>8.4656084656084429E-2</v>
      </c>
      <c r="K49" s="195">
        <f t="shared" ref="K49:P49" si="126">MAX(K30:K32)</f>
        <v>1.3722056809587713E-2</v>
      </c>
      <c r="L49" s="195">
        <f t="shared" si="126"/>
        <v>-7.7967080565983227E-2</v>
      </c>
      <c r="M49" s="195">
        <f t="shared" si="126"/>
        <v>5.4545454545454675E-2</v>
      </c>
      <c r="N49" s="195">
        <f t="shared" si="126"/>
        <v>1.0997762524176169E-2</v>
      </c>
      <c r="O49" s="195">
        <f t="shared" si="126"/>
        <v>-6.8893922234806171E-3</v>
      </c>
      <c r="P49" s="195">
        <f t="shared" si="126"/>
        <v>9.6029696578436852E-3</v>
      </c>
      <c r="Q49" s="195">
        <f>MAX(Q30:Q32)</f>
        <v>8.4656084656084651E-2</v>
      </c>
      <c r="R49" s="195">
        <f t="shared" ref="R49:W49" si="127">MAX(R30:R32)</f>
        <v>1.3722056809587713E-2</v>
      </c>
      <c r="S49" s="195">
        <f t="shared" si="127"/>
        <v>-7.7967080565983338E-2</v>
      </c>
      <c r="T49" s="195">
        <f t="shared" si="127"/>
        <v>5.4545454545454453E-2</v>
      </c>
      <c r="U49" s="195">
        <f t="shared" si="127"/>
        <v>1.0997762524176169E-2</v>
      </c>
      <c r="V49" s="195">
        <f t="shared" si="127"/>
        <v>-6.8893922234805061E-3</v>
      </c>
      <c r="W49" s="195">
        <f t="shared" si="127"/>
        <v>9.6029696578436852E-3</v>
      </c>
      <c r="X49" s="195"/>
      <c r="Y49" s="185"/>
      <c r="Z49" s="195">
        <f>MAX(Z30:Z32)</f>
        <v>8.4656084656084651E-2</v>
      </c>
      <c r="AA49" s="195">
        <f t="shared" ref="AA49:AF49" si="128">MAX(AA30:AA32)</f>
        <v>1.3722056809587713E-2</v>
      </c>
      <c r="AB49" s="195">
        <f t="shared" si="128"/>
        <v>-7.7967080565983227E-2</v>
      </c>
      <c r="AC49" s="195">
        <f t="shared" si="128"/>
        <v>5.4545454545454453E-2</v>
      </c>
      <c r="AD49" s="195">
        <f t="shared" si="128"/>
        <v>1.0997762524176169E-2</v>
      </c>
      <c r="AE49" s="195">
        <f t="shared" si="128"/>
        <v>-6.8893922234806171E-3</v>
      </c>
      <c r="AF49" s="195">
        <f t="shared" si="128"/>
        <v>9.6029696578436852E-3</v>
      </c>
      <c r="AG49" s="195">
        <f>MAX(AG30:AG32)</f>
        <v>8.4656084656084651E-2</v>
      </c>
      <c r="AH49" s="195">
        <f t="shared" ref="AH49:AM49" si="129">MAX(AH30:AH32)</f>
        <v>1.3722056809587713E-2</v>
      </c>
      <c r="AI49" s="195">
        <f t="shared" si="129"/>
        <v>-7.7967080565983338E-2</v>
      </c>
      <c r="AJ49" s="195">
        <f t="shared" si="129"/>
        <v>5.4545454545454453E-2</v>
      </c>
      <c r="AK49" s="195">
        <f t="shared" si="129"/>
        <v>1.0997762524176169E-2</v>
      </c>
      <c r="AL49" s="195">
        <f t="shared" si="129"/>
        <v>-6.8893922234805061E-3</v>
      </c>
      <c r="AM49" s="195">
        <f t="shared" si="129"/>
        <v>9.6029696578439072E-3</v>
      </c>
    </row>
    <row r="52" spans="1:39">
      <c r="A52" s="184"/>
      <c r="B52" s="175" t="s">
        <v>422</v>
      </c>
      <c r="C52" s="175"/>
      <c r="D52" s="175"/>
      <c r="E52" s="175"/>
      <c r="F52" s="175"/>
      <c r="G52" s="175"/>
      <c r="H52" s="175"/>
      <c r="I52" s="185"/>
      <c r="J52" s="184"/>
      <c r="K52" s="184"/>
      <c r="L52" s="184"/>
      <c r="M52" s="184"/>
      <c r="N52" s="184"/>
      <c r="O52" s="184"/>
      <c r="P52" s="184"/>
      <c r="Q52" s="184"/>
      <c r="R52" s="184"/>
      <c r="S52" s="184"/>
      <c r="T52" s="184"/>
      <c r="U52" s="184"/>
      <c r="V52" s="184"/>
      <c r="W52" s="184"/>
      <c r="X52" s="184"/>
      <c r="Y52" s="185"/>
      <c r="Z52" s="184"/>
      <c r="AA52" s="184"/>
      <c r="AB52" s="184"/>
      <c r="AC52" s="184"/>
      <c r="AD52" s="184"/>
      <c r="AE52" s="184"/>
      <c r="AF52" s="184"/>
      <c r="AG52" s="184"/>
      <c r="AH52" s="184"/>
      <c r="AI52" s="184"/>
      <c r="AJ52" s="184"/>
      <c r="AK52" s="184"/>
      <c r="AL52" s="184"/>
      <c r="AM52" s="184"/>
    </row>
    <row r="53" spans="1:39">
      <c r="A53" s="184">
        <v>2026</v>
      </c>
      <c r="B53" s="184">
        <f t="shared" ref="B53:H53" si="130">IF(B$41&gt;0,MROUND(B14+(B14*B$41),5),MROUND(B14-(B14*ABS(B$41)),5))</f>
        <v>30</v>
      </c>
      <c r="C53" s="184">
        <f t="shared" si="130"/>
        <v>149890</v>
      </c>
      <c r="D53" s="184">
        <f t="shared" si="130"/>
        <v>11805</v>
      </c>
      <c r="E53" s="184">
        <f t="shared" si="130"/>
        <v>415</v>
      </c>
      <c r="F53" s="184">
        <f t="shared" si="130"/>
        <v>27030</v>
      </c>
      <c r="G53" s="184">
        <f t="shared" si="130"/>
        <v>10255</v>
      </c>
      <c r="H53" s="184">
        <f t="shared" si="130"/>
        <v>11380</v>
      </c>
      <c r="I53" s="185"/>
      <c r="J53" s="168">
        <f>B53*SUM('T5'!$H$42:$I$42)</f>
        <v>5.9017512557694269</v>
      </c>
      <c r="K53" s="168">
        <f>C53*SUM('T5'!$H$42:$I$42)</f>
        <v>29487.116524242647</v>
      </c>
      <c r="L53" s="168">
        <f>D53*SUM('T5'!$H$42:$I$42)</f>
        <v>2322.3391191452697</v>
      </c>
      <c r="M53" s="168">
        <f>E53*SUM('T5'!$H$42:$I$42)</f>
        <v>81.640892371477079</v>
      </c>
      <c r="N53" s="168">
        <f>F53*SUM('T5'!$H$42:$I$42)</f>
        <v>5317.4778814482543</v>
      </c>
      <c r="O53" s="168">
        <f>G53*SUM('T5'!$H$42:$I$42)</f>
        <v>2017.4153042638491</v>
      </c>
      <c r="P53" s="168">
        <f>H53*SUM('T5'!$H$42:$I$42)</f>
        <v>2238.7309763552025</v>
      </c>
      <c r="Q53" s="168">
        <f>B53*SUM('T5'!$J$40:$L$40)</f>
        <v>23.052971092515392</v>
      </c>
      <c r="R53" s="168">
        <f>C53*SUM('T5'!$J$40:$L$40)</f>
        <v>115180.32790190441</v>
      </c>
      <c r="S53" s="168">
        <f>D53*SUM('T5'!$J$40:$L$40)</f>
        <v>9071.3441249048064</v>
      </c>
      <c r="T53" s="168">
        <f>E53*SUM('T5'!$J$40:$L$40)</f>
        <v>318.89943344646292</v>
      </c>
      <c r="U53" s="168">
        <f>F53*SUM('T5'!$J$40:$L$40)</f>
        <v>20770.726954356371</v>
      </c>
      <c r="V53" s="168">
        <f>G53*SUM('T5'!$J$40:$L$40)</f>
        <v>7880.2739517915115</v>
      </c>
      <c r="W53" s="168">
        <f>H53*SUM('T5'!$J$40:$L$40)</f>
        <v>8744.7603677608386</v>
      </c>
      <c r="X53" s="168"/>
      <c r="Y53" s="185"/>
      <c r="Z53" s="168">
        <f>B53*'T21'!$E$4</f>
        <v>14.634146341463413</v>
      </c>
      <c r="AA53" s="168">
        <f>C53*'T21'!$E$5</f>
        <v>37534.171414103053</v>
      </c>
      <c r="AB53" s="168">
        <f>D53*'T21'!$E$6</f>
        <v>11668.569823434991</v>
      </c>
      <c r="AC53" s="168">
        <f>E53*'T21'!$E$7</f>
        <v>329.7516930022573</v>
      </c>
      <c r="AD53" s="168">
        <f>F53*'T21'!$E$8</f>
        <v>626.25485769273473</v>
      </c>
      <c r="AE53" s="168">
        <f>G53*'T21'!$E$9</f>
        <v>5672.8327759197327</v>
      </c>
      <c r="AF53" s="168">
        <f>H53*'T21'!$E$10</f>
        <v>3443.9849435382689</v>
      </c>
      <c r="AG53" s="168">
        <f>B53*SUM('T21'!$F$4)</f>
        <v>15.365853658536587</v>
      </c>
      <c r="AH53" s="168">
        <f>C53*SUM('T21'!$F$5)</f>
        <v>112355.82858589695</v>
      </c>
      <c r="AI53" s="168">
        <f>D53*SUM('T21'!$F$6)</f>
        <v>136.43017656500803</v>
      </c>
      <c r="AJ53" s="168">
        <f>E53*SUM('T21'!$F$7)</f>
        <v>85.24830699774266</v>
      </c>
      <c r="AK53" s="168">
        <f>F53*SUM('T21'!$F$8)</f>
        <v>26403.745142307263</v>
      </c>
      <c r="AL53" s="168">
        <f>G53*SUM('T21'!$F$9)</f>
        <v>4582.1672240802673</v>
      </c>
      <c r="AM53" s="168">
        <f>H53*SUM('T21'!$F$10)</f>
        <v>7936.0150564617315</v>
      </c>
    </row>
    <row r="54" spans="1:39">
      <c r="A54" s="184">
        <v>2027</v>
      </c>
      <c r="B54" s="184">
        <f t="shared" ref="B54:B62" si="131">IF(B$41&gt;0,MROUND(B53+(B53*B$41),5),MROUND(B53-(B53*ABS(B$41)),5))</f>
        <v>25</v>
      </c>
      <c r="C54" s="184">
        <f t="shared" ref="C54:C62" si="132">IF(C$41&gt;0,MROUND(C53+(C53*C$41),5),MROUND(C53-(C53*ABS(C$41)),5))</f>
        <v>149700</v>
      </c>
      <c r="D54" s="184">
        <f t="shared" ref="D54:D62" si="133">IF(D$41&gt;0,MROUND(D53+(D53*D$41),5),MROUND(D53-(D53*ABS(D$41)),5))</f>
        <v>8950</v>
      </c>
      <c r="E54" s="184">
        <f t="shared" ref="E54:E62" si="134">IF(E$41&gt;0,MROUND(E53+(E53*E$41),5),MROUND(E53-(E53*ABS(E$41)),5))</f>
        <v>390</v>
      </c>
      <c r="F54" s="184">
        <f t="shared" ref="F54:F62" si="135">IF(F$41&gt;0,MROUND(F53+(F53*F$41),5),MROUND(F53-(F53*ABS(F$41)),5))</f>
        <v>27045</v>
      </c>
      <c r="G54" s="184">
        <f t="shared" ref="G54:G62" si="136">IF(G$41&gt;0,MROUND(G53+(G53*G$41),5),MROUND(G53-(G53*ABS(G$41)),5))</f>
        <v>10050</v>
      </c>
      <c r="H54" s="184">
        <f t="shared" ref="H54:H62" si="137">IF(H$41&gt;0,MROUND(H53+(H53*H$41),5),MROUND(H53-(H53*ABS(H$41)),5))</f>
        <v>10830</v>
      </c>
      <c r="I54" s="185"/>
      <c r="J54" s="168">
        <f>B54*SUM('T5'!$H$42:$I$42)</f>
        <v>4.9181260464745229</v>
      </c>
      <c r="K54" s="168">
        <f>C54*SUM('T5'!$H$42:$I$42)</f>
        <v>29449.73876628944</v>
      </c>
      <c r="L54" s="168">
        <f>D54*SUM('T5'!$H$42:$I$42)</f>
        <v>1760.6891246378791</v>
      </c>
      <c r="M54" s="168">
        <f>E54*SUM('T5'!$H$42:$I$42)</f>
        <v>76.722766325002553</v>
      </c>
      <c r="N54" s="168">
        <f>F54*SUM('T5'!$H$42:$I$42)</f>
        <v>5320.4287570761389</v>
      </c>
      <c r="O54" s="168">
        <f>G54*SUM('T5'!$H$42:$I$42)</f>
        <v>1977.086670682758</v>
      </c>
      <c r="P54" s="168">
        <f>H54*SUM('T5'!$H$42:$I$42)</f>
        <v>2130.5322033327634</v>
      </c>
      <c r="Q54" s="168">
        <f>B54*SUM('T5'!$J$40:$L$40)</f>
        <v>19.210809243762828</v>
      </c>
      <c r="R54" s="168">
        <f>C54*SUM('T5'!$J$40:$L$40)</f>
        <v>115034.32575165181</v>
      </c>
      <c r="S54" s="168">
        <f>D54*SUM('T5'!$J$40:$L$40)</f>
        <v>6877.4697092670922</v>
      </c>
      <c r="T54" s="168">
        <f>E54*SUM('T5'!$J$40:$L$40)</f>
        <v>299.68862420270011</v>
      </c>
      <c r="U54" s="168">
        <f>F54*SUM('T5'!$J$40:$L$40)</f>
        <v>20782.253439902626</v>
      </c>
      <c r="V54" s="168">
        <f>G54*SUM('T5'!$J$40:$L$40)</f>
        <v>7722.7453159926563</v>
      </c>
      <c r="W54" s="168">
        <f>H54*SUM('T5'!$J$40:$L$40)</f>
        <v>8322.1225643980561</v>
      </c>
      <c r="X54" s="168"/>
      <c r="Y54" s="185"/>
      <c r="Z54" s="168">
        <f>B54*'T21'!$E$4</f>
        <v>12.195121951219512</v>
      </c>
      <c r="AA54" s="168">
        <f>C54*'T21'!$E$5</f>
        <v>37486.593239650589</v>
      </c>
      <c r="AB54" s="168">
        <f>D54*'T21'!$E$6</f>
        <v>8846.5650080256819</v>
      </c>
      <c r="AC54" s="168">
        <f>E54*'T21'!$E$7</f>
        <v>309.8871331828442</v>
      </c>
      <c r="AD54" s="168">
        <f>F54*'T21'!$E$8</f>
        <v>626.60239091010033</v>
      </c>
      <c r="AE54" s="168">
        <f>G54*'T21'!$E$9</f>
        <v>5559.4314381270906</v>
      </c>
      <c r="AF54" s="168">
        <f>H54*'T21'!$E$10</f>
        <v>3277.5357590966128</v>
      </c>
      <c r="AG54" s="168">
        <f>B54*SUM('T21'!$F$4)</f>
        <v>12.804878048780488</v>
      </c>
      <c r="AH54" s="168">
        <f>C54*SUM('T21'!$F$5)</f>
        <v>112213.40676034942</v>
      </c>
      <c r="AI54" s="168">
        <f>D54*SUM('T21'!$F$6)</f>
        <v>103.43499197431782</v>
      </c>
      <c r="AJ54" s="168">
        <f>E54*SUM('T21'!$F$7)</f>
        <v>80.112866817155762</v>
      </c>
      <c r="AK54" s="168">
        <f>F54*SUM('T21'!$F$8)</f>
        <v>26418.397609089898</v>
      </c>
      <c r="AL54" s="168">
        <f>G54*SUM('T21'!$F$9)</f>
        <v>4490.5685618729094</v>
      </c>
      <c r="AM54" s="168">
        <f>H54*SUM('T21'!$F$10)</f>
        <v>7552.4642409033877</v>
      </c>
    </row>
    <row r="55" spans="1:39">
      <c r="A55" s="184">
        <v>2028</v>
      </c>
      <c r="B55" s="184">
        <f t="shared" si="131"/>
        <v>20</v>
      </c>
      <c r="C55" s="184">
        <f t="shared" si="132"/>
        <v>149510</v>
      </c>
      <c r="D55" s="184">
        <f t="shared" si="133"/>
        <v>6785</v>
      </c>
      <c r="E55" s="184">
        <f t="shared" si="134"/>
        <v>365</v>
      </c>
      <c r="F55" s="184">
        <f t="shared" si="135"/>
        <v>27060</v>
      </c>
      <c r="G55" s="184">
        <f t="shared" si="136"/>
        <v>9850</v>
      </c>
      <c r="H55" s="184">
        <f t="shared" si="137"/>
        <v>10310</v>
      </c>
      <c r="I55" s="185"/>
      <c r="J55" s="168">
        <f>B55*SUM('T5'!$H$42:$I$42)</f>
        <v>3.934500837179618</v>
      </c>
      <c r="K55" s="168">
        <f>C55*SUM('T5'!$H$42:$I$42)</f>
        <v>29412.361008336236</v>
      </c>
      <c r="L55" s="168">
        <f>D55*SUM('T5'!$H$42:$I$42)</f>
        <v>1334.7794090131854</v>
      </c>
      <c r="M55" s="168">
        <f>E55*SUM('T5'!$H$42:$I$42)</f>
        <v>71.804640278528026</v>
      </c>
      <c r="N55" s="168">
        <f>F55*SUM('T5'!$H$42:$I$42)</f>
        <v>5323.3796327040236</v>
      </c>
      <c r="O55" s="168">
        <f>G55*SUM('T5'!$H$42:$I$42)</f>
        <v>1937.7416623109618</v>
      </c>
      <c r="P55" s="168">
        <f>H55*SUM('T5'!$H$42:$I$42)</f>
        <v>2028.2351815660932</v>
      </c>
      <c r="Q55" s="168">
        <f>B55*SUM('T5'!$J$40:$L$40)</f>
        <v>15.368647395010262</v>
      </c>
      <c r="R55" s="168">
        <f>C55*SUM('T5'!$J$40:$L$40)</f>
        <v>114888.32360139921</v>
      </c>
      <c r="S55" s="168">
        <f>D55*SUM('T5'!$J$40:$L$40)</f>
        <v>5213.8136287572315</v>
      </c>
      <c r="T55" s="168">
        <f>E55*SUM('T5'!$J$40:$L$40)</f>
        <v>280.4778149589373</v>
      </c>
      <c r="U55" s="168">
        <f>F55*SUM('T5'!$J$40:$L$40)</f>
        <v>20793.779925448885</v>
      </c>
      <c r="V55" s="168">
        <f>G55*SUM('T5'!$J$40:$L$40)</f>
        <v>7569.0588420425538</v>
      </c>
      <c r="W55" s="168">
        <f>H55*SUM('T5'!$J$40:$L$40)</f>
        <v>7922.5377321277902</v>
      </c>
      <c r="X55" s="168"/>
      <c r="Y55" s="185"/>
      <c r="Z55" s="168">
        <f>B55*'T21'!$E$4</f>
        <v>9.7560975609756095</v>
      </c>
      <c r="AA55" s="168">
        <f>C55*'T21'!$E$5</f>
        <v>37439.015065198124</v>
      </c>
      <c r="AB55" s="168">
        <f>D55*'T21'!$E$6</f>
        <v>6706.585874799358</v>
      </c>
      <c r="AC55" s="168">
        <f>E55*'T21'!$E$7</f>
        <v>290.02257336343115</v>
      </c>
      <c r="AD55" s="168">
        <f>F55*'T21'!$E$8</f>
        <v>626.94992412746592</v>
      </c>
      <c r="AE55" s="168">
        <f>G55*'T21'!$E$9</f>
        <v>5448.7959866220735</v>
      </c>
      <c r="AF55" s="168">
        <f>H55*'T21'!$E$10</f>
        <v>3120.1656210790466</v>
      </c>
      <c r="AG55" s="168">
        <f>B55*SUM('T21'!$F$4)</f>
        <v>10.24390243902439</v>
      </c>
      <c r="AH55" s="168">
        <f>C55*SUM('T21'!$F$5)</f>
        <v>112070.98493480188</v>
      </c>
      <c r="AI55" s="168">
        <f>D55*SUM('T21'!$F$6)</f>
        <v>78.414125200642061</v>
      </c>
      <c r="AJ55" s="168">
        <f>E55*SUM('T21'!$F$7)</f>
        <v>74.97742663656885</v>
      </c>
      <c r="AK55" s="168">
        <f>F55*SUM('T21'!$F$8)</f>
        <v>26433.050075872532</v>
      </c>
      <c r="AL55" s="168">
        <f>G55*SUM('T21'!$F$9)</f>
        <v>4401.2040133779265</v>
      </c>
      <c r="AM55" s="168">
        <f>H55*SUM('T21'!$F$10)</f>
        <v>7189.8343789209539</v>
      </c>
    </row>
    <row r="56" spans="1:39">
      <c r="A56" s="184">
        <v>2029</v>
      </c>
      <c r="B56" s="184">
        <f t="shared" si="131"/>
        <v>15</v>
      </c>
      <c r="C56" s="184">
        <f t="shared" si="132"/>
        <v>149320</v>
      </c>
      <c r="D56" s="184">
        <f t="shared" si="133"/>
        <v>5145</v>
      </c>
      <c r="E56" s="184">
        <f t="shared" si="134"/>
        <v>345</v>
      </c>
      <c r="F56" s="184">
        <f t="shared" si="135"/>
        <v>27075</v>
      </c>
      <c r="G56" s="184">
        <f t="shared" si="136"/>
        <v>9655</v>
      </c>
      <c r="H56" s="184">
        <f t="shared" si="137"/>
        <v>9815</v>
      </c>
      <c r="I56" s="185"/>
      <c r="J56" s="168">
        <f>B56*SUM('T5'!$H$42:$I$42)</f>
        <v>2.9508756278847135</v>
      </c>
      <c r="K56" s="168">
        <f>C56*SUM('T5'!$H$42:$I$42)</f>
        <v>29374.983250383029</v>
      </c>
      <c r="L56" s="168">
        <f>D56*SUM('T5'!$H$42:$I$42)</f>
        <v>1012.1503403644567</v>
      </c>
      <c r="M56" s="168">
        <f>E56*SUM('T5'!$H$42:$I$42)</f>
        <v>67.870139441348414</v>
      </c>
      <c r="N56" s="168">
        <f>F56*SUM('T5'!$H$42:$I$42)</f>
        <v>5326.3305083319083</v>
      </c>
      <c r="O56" s="168">
        <f>G56*SUM('T5'!$H$42:$I$42)</f>
        <v>1899.3802791484607</v>
      </c>
      <c r="P56" s="168">
        <f>H56*SUM('T5'!$H$42:$I$42)</f>
        <v>1930.8562858458977</v>
      </c>
      <c r="Q56" s="168">
        <f>B56*SUM('T5'!$J$40:$L$40)</f>
        <v>11.526485546257696</v>
      </c>
      <c r="R56" s="168">
        <f>C56*SUM('T5'!$J$40:$L$40)</f>
        <v>114742.32145114662</v>
      </c>
      <c r="S56" s="168">
        <f>D56*SUM('T5'!$J$40:$L$40)</f>
        <v>3953.58454236639</v>
      </c>
      <c r="T56" s="168">
        <f>E56*SUM('T5'!$J$40:$L$40)</f>
        <v>265.10916756392703</v>
      </c>
      <c r="U56" s="168">
        <f>F56*SUM('T5'!$J$40:$L$40)</f>
        <v>20805.306410995141</v>
      </c>
      <c r="V56" s="168">
        <f>G56*SUM('T5'!$J$40:$L$40)</f>
        <v>7419.2145299412041</v>
      </c>
      <c r="W56" s="168">
        <f>H56*SUM('T5'!$J$40:$L$40)</f>
        <v>7542.1637091012863</v>
      </c>
      <c r="X56" s="168"/>
      <c r="Y56" s="185"/>
      <c r="Z56" s="168">
        <f>B56*'T21'!$E$4</f>
        <v>7.3170731707317067</v>
      </c>
      <c r="AA56" s="168">
        <f>C56*'T21'!$E$5</f>
        <v>37391.436890745666</v>
      </c>
      <c r="AB56" s="168">
        <f>D56*'T21'!$E$6</f>
        <v>5085.5393258426966</v>
      </c>
      <c r="AC56" s="168">
        <f>E56*'T21'!$E$7</f>
        <v>274.13092550790066</v>
      </c>
      <c r="AD56" s="168">
        <f>F56*'T21'!$E$8</f>
        <v>627.2974573448314</v>
      </c>
      <c r="AE56" s="168">
        <f>G56*'T21'!$E$9</f>
        <v>5340.9264214046825</v>
      </c>
      <c r="AF56" s="168">
        <f>H56*'T21'!$E$10</f>
        <v>2970.3613550815562</v>
      </c>
      <c r="AG56" s="168">
        <f>B56*SUM('T21'!$F$4)</f>
        <v>7.6829268292682933</v>
      </c>
      <c r="AH56" s="168">
        <f>C56*SUM('T21'!$F$5)</f>
        <v>111928.56310925433</v>
      </c>
      <c r="AI56" s="168">
        <f>D56*SUM('T21'!$F$6)</f>
        <v>59.460674157303373</v>
      </c>
      <c r="AJ56" s="168">
        <f>E56*SUM('T21'!$F$7)</f>
        <v>70.869074492099315</v>
      </c>
      <c r="AK56" s="168">
        <f>F56*SUM('T21'!$F$8)</f>
        <v>26447.702542655166</v>
      </c>
      <c r="AL56" s="168">
        <f>G56*SUM('T21'!$F$9)</f>
        <v>4314.0735785953175</v>
      </c>
      <c r="AM56" s="168">
        <f>H56*SUM('T21'!$F$10)</f>
        <v>6844.6386449184447</v>
      </c>
    </row>
    <row r="57" spans="1:39">
      <c r="A57" s="184">
        <v>2030</v>
      </c>
      <c r="B57" s="184">
        <f t="shared" si="131"/>
        <v>10</v>
      </c>
      <c r="C57" s="184">
        <f t="shared" si="132"/>
        <v>149130</v>
      </c>
      <c r="D57" s="184">
        <f t="shared" si="133"/>
        <v>3900</v>
      </c>
      <c r="E57" s="184">
        <f t="shared" si="134"/>
        <v>325</v>
      </c>
      <c r="F57" s="184">
        <f t="shared" si="135"/>
        <v>27090</v>
      </c>
      <c r="G57" s="184">
        <f t="shared" si="136"/>
        <v>9465</v>
      </c>
      <c r="H57" s="184">
        <f t="shared" si="137"/>
        <v>9345</v>
      </c>
      <c r="I57" s="185"/>
      <c r="J57" s="168">
        <f>B57*SUM('T5'!$H$42:$I$42)</f>
        <v>1.967250418589809</v>
      </c>
      <c r="K57" s="168">
        <f>C57*SUM('T5'!$H$42:$I$42)</f>
        <v>29337.605492429822</v>
      </c>
      <c r="L57" s="168">
        <f>D57*SUM('T5'!$H$42:$I$42)</f>
        <v>767.22766325002556</v>
      </c>
      <c r="M57" s="168">
        <f>E57*SUM('T5'!$H$42:$I$42)</f>
        <v>63.935638604168794</v>
      </c>
      <c r="N57" s="168">
        <f>F57*SUM('T5'!$H$42:$I$42)</f>
        <v>5329.2813839597929</v>
      </c>
      <c r="O57" s="168">
        <f>G57*SUM('T5'!$H$42:$I$42)</f>
        <v>1862.0025211952543</v>
      </c>
      <c r="P57" s="168">
        <f>H57*SUM('T5'!$H$42:$I$42)</f>
        <v>1838.3955161721765</v>
      </c>
      <c r="Q57" s="168">
        <f>B57*SUM('T5'!$J$40:$L$40)</f>
        <v>7.684323697505131</v>
      </c>
      <c r="R57" s="168">
        <f>C57*SUM('T5'!$J$40:$L$40)</f>
        <v>114596.31930089401</v>
      </c>
      <c r="S57" s="168">
        <f>D57*SUM('T5'!$J$40:$L$40)</f>
        <v>2996.8862420270011</v>
      </c>
      <c r="T57" s="168">
        <f>E57*SUM('T5'!$J$40:$L$40)</f>
        <v>249.74052016891676</v>
      </c>
      <c r="U57" s="168">
        <f>F57*SUM('T5'!$J$40:$L$40)</f>
        <v>20816.8328965414</v>
      </c>
      <c r="V57" s="168">
        <f>G57*SUM('T5'!$J$40:$L$40)</f>
        <v>7273.2123796886062</v>
      </c>
      <c r="W57" s="168">
        <f>H57*SUM('T5'!$J$40:$L$40)</f>
        <v>7181.0004953185453</v>
      </c>
      <c r="X57" s="168"/>
      <c r="Y57" s="185"/>
      <c r="Z57" s="168">
        <f>B57*'T21'!$E$4</f>
        <v>4.8780487804878048</v>
      </c>
      <c r="AA57" s="168">
        <f>C57*'T21'!$E$5</f>
        <v>37343.858716293202</v>
      </c>
      <c r="AB57" s="168">
        <f>D57*'T21'!$E$6</f>
        <v>3854.9277688603529</v>
      </c>
      <c r="AC57" s="168">
        <f>E57*'T21'!$E$7</f>
        <v>258.23927765237016</v>
      </c>
      <c r="AD57" s="168">
        <f>F57*'T21'!$E$8</f>
        <v>627.64499056219699</v>
      </c>
      <c r="AE57" s="168">
        <f>G57*'T21'!$E$9</f>
        <v>5235.8227424749166</v>
      </c>
      <c r="AF57" s="168">
        <f>H57*'T21'!$E$10</f>
        <v>2828.1229611041408</v>
      </c>
      <c r="AG57" s="168">
        <f>B57*SUM('T21'!$F$4)</f>
        <v>5.1219512195121952</v>
      </c>
      <c r="AH57" s="168">
        <f>C57*SUM('T21'!$F$5)</f>
        <v>111786.14128370681</v>
      </c>
      <c r="AI57" s="168">
        <f>D57*SUM('T21'!$F$6)</f>
        <v>45.072231139646874</v>
      </c>
      <c r="AJ57" s="168">
        <f>E57*SUM('T21'!$F$7)</f>
        <v>66.760722347629795</v>
      </c>
      <c r="AK57" s="168">
        <f>F57*SUM('T21'!$F$8)</f>
        <v>26462.355009437801</v>
      </c>
      <c r="AL57" s="168">
        <f>G57*SUM('T21'!$F$9)</f>
        <v>4229.1772575250834</v>
      </c>
      <c r="AM57" s="168">
        <f>H57*SUM('T21'!$F$10)</f>
        <v>6516.8770388958601</v>
      </c>
    </row>
    <row r="58" spans="1:39">
      <c r="A58" s="184">
        <v>2031</v>
      </c>
      <c r="B58" s="184">
        <f t="shared" si="131"/>
        <v>10</v>
      </c>
      <c r="C58" s="184">
        <f t="shared" si="132"/>
        <v>148945</v>
      </c>
      <c r="D58" s="184">
        <f t="shared" si="133"/>
        <v>2955</v>
      </c>
      <c r="E58" s="184">
        <f t="shared" si="134"/>
        <v>305</v>
      </c>
      <c r="F58" s="184">
        <f t="shared" si="135"/>
        <v>27105</v>
      </c>
      <c r="G58" s="184">
        <f t="shared" si="136"/>
        <v>9275</v>
      </c>
      <c r="H58" s="184">
        <f t="shared" si="137"/>
        <v>8895</v>
      </c>
      <c r="I58" s="185"/>
      <c r="J58" s="168">
        <f>B58*SUM('T5'!$H$42:$I$42)</f>
        <v>1.967250418589809</v>
      </c>
      <c r="K58" s="168">
        <f>C58*SUM('T5'!$H$42:$I$42)</f>
        <v>29301.211359685909</v>
      </c>
      <c r="L58" s="168">
        <f>D58*SUM('T5'!$H$42:$I$42)</f>
        <v>581.32249869328859</v>
      </c>
      <c r="M58" s="168">
        <f>E58*SUM('T5'!$H$42:$I$42)</f>
        <v>60.001137766989174</v>
      </c>
      <c r="N58" s="168">
        <f>F58*SUM('T5'!$H$42:$I$42)</f>
        <v>5332.2322595876776</v>
      </c>
      <c r="O58" s="168">
        <f>G58*SUM('T5'!$H$42:$I$42)</f>
        <v>1824.6247632420479</v>
      </c>
      <c r="P58" s="168">
        <f>H58*SUM('T5'!$H$42:$I$42)</f>
        <v>1749.8692473356352</v>
      </c>
      <c r="Q58" s="168">
        <f>B58*SUM('T5'!$J$40:$L$40)</f>
        <v>7.684323697505131</v>
      </c>
      <c r="R58" s="168">
        <f>C58*SUM('T5'!$J$40:$L$40)</f>
        <v>114454.15931249017</v>
      </c>
      <c r="S58" s="168">
        <f>D58*SUM('T5'!$J$40:$L$40)</f>
        <v>2270.7176526127664</v>
      </c>
      <c r="T58" s="168">
        <f>E58*SUM('T5'!$J$40:$L$40)</f>
        <v>234.37187277390649</v>
      </c>
      <c r="U58" s="168">
        <f>F58*SUM('T5'!$J$40:$L$40)</f>
        <v>20828.359382087656</v>
      </c>
      <c r="V58" s="168">
        <f>G58*SUM('T5'!$J$40:$L$40)</f>
        <v>7127.2102294360093</v>
      </c>
      <c r="W58" s="168">
        <f>H58*SUM('T5'!$J$40:$L$40)</f>
        <v>6835.2059289308145</v>
      </c>
      <c r="X58" s="168"/>
      <c r="Y58" s="185"/>
      <c r="Z58" s="168">
        <f>B58*'T21'!$E$4</f>
        <v>4.8780487804878048</v>
      </c>
      <c r="AA58" s="168">
        <f>C58*'T21'!$E$5</f>
        <v>37297.532599063175</v>
      </c>
      <c r="AB58" s="168">
        <f>D58*'T21'!$E$6</f>
        <v>2920.8491171749597</v>
      </c>
      <c r="AC58" s="168">
        <f>E58*'T21'!$E$7</f>
        <v>242.34762979683973</v>
      </c>
      <c r="AD58" s="168">
        <f>F58*'T21'!$E$8</f>
        <v>627.99252377956259</v>
      </c>
      <c r="AE58" s="168">
        <f>G58*'T21'!$E$9</f>
        <v>5130.7190635451507</v>
      </c>
      <c r="AF58" s="168">
        <f>H58*'T21'!$E$10</f>
        <v>2691.9372647427858</v>
      </c>
      <c r="AG58" s="168">
        <f>B58*SUM('T21'!$F$4)</f>
        <v>5.1219512195121952</v>
      </c>
      <c r="AH58" s="168">
        <f>C58*SUM('T21'!$F$5)</f>
        <v>111647.46740093683</v>
      </c>
      <c r="AI58" s="168">
        <f>D58*SUM('T21'!$F$6)</f>
        <v>34.150882825040128</v>
      </c>
      <c r="AJ58" s="168">
        <f>E58*SUM('T21'!$F$7)</f>
        <v>62.652370203160267</v>
      </c>
      <c r="AK58" s="168">
        <f>F58*SUM('T21'!$F$8)</f>
        <v>26477.007476220435</v>
      </c>
      <c r="AL58" s="168">
        <f>G58*SUM('T21'!$F$9)</f>
        <v>4144.2809364548493</v>
      </c>
      <c r="AM58" s="168">
        <f>H58*SUM('T21'!$F$10)</f>
        <v>6203.0627352572146</v>
      </c>
    </row>
    <row r="59" spans="1:39">
      <c r="A59" s="184">
        <v>2032</v>
      </c>
      <c r="B59" s="184">
        <f t="shared" si="131"/>
        <v>10</v>
      </c>
      <c r="C59" s="184">
        <f t="shared" si="132"/>
        <v>148760</v>
      </c>
      <c r="D59" s="184">
        <f t="shared" si="133"/>
        <v>2240</v>
      </c>
      <c r="E59" s="184">
        <f t="shared" si="134"/>
        <v>285</v>
      </c>
      <c r="F59" s="184">
        <f t="shared" si="135"/>
        <v>27120</v>
      </c>
      <c r="G59" s="184">
        <f t="shared" si="136"/>
        <v>9090</v>
      </c>
      <c r="H59" s="184">
        <f t="shared" si="137"/>
        <v>8465</v>
      </c>
      <c r="I59" s="185"/>
      <c r="J59" s="168">
        <f>B59*SUM('T5'!$H$42:$I$42)</f>
        <v>1.967250418589809</v>
      </c>
      <c r="K59" s="168">
        <f>C59*SUM('T5'!$H$42:$I$42)</f>
        <v>29264.817226941999</v>
      </c>
      <c r="L59" s="168">
        <f>D59*SUM('T5'!$H$42:$I$42)</f>
        <v>440.66409376411724</v>
      </c>
      <c r="M59" s="168">
        <f>E59*SUM('T5'!$H$42:$I$42)</f>
        <v>56.066636929809555</v>
      </c>
      <c r="N59" s="168">
        <f>F59*SUM('T5'!$H$42:$I$42)</f>
        <v>5335.1831352155623</v>
      </c>
      <c r="O59" s="168">
        <f>G59*SUM('T5'!$H$42:$I$42)</f>
        <v>1788.2306304981364</v>
      </c>
      <c r="P59" s="168">
        <f>H59*SUM('T5'!$H$42:$I$42)</f>
        <v>1665.2774793362732</v>
      </c>
      <c r="Q59" s="168">
        <f>B59*SUM('T5'!$J$40:$L$40)</f>
        <v>7.684323697505131</v>
      </c>
      <c r="R59" s="168">
        <f>C59*SUM('T5'!$J$40:$L$40)</f>
        <v>114311.99932408633</v>
      </c>
      <c r="S59" s="168">
        <f>D59*SUM('T5'!$J$40:$L$40)</f>
        <v>1721.2885082411494</v>
      </c>
      <c r="T59" s="168">
        <f>E59*SUM('T5'!$J$40:$L$40)</f>
        <v>219.00322537889625</v>
      </c>
      <c r="U59" s="168">
        <f>F59*SUM('T5'!$J$40:$L$40)</f>
        <v>20839.885867633915</v>
      </c>
      <c r="V59" s="168">
        <f>G59*SUM('T5'!$J$40:$L$40)</f>
        <v>6985.0502410321642</v>
      </c>
      <c r="W59" s="168">
        <f>H59*SUM('T5'!$J$40:$L$40)</f>
        <v>6504.7800099380938</v>
      </c>
      <c r="X59" s="168"/>
      <c r="Y59" s="185"/>
      <c r="Z59" s="168">
        <f>B59*'T21'!$E$4</f>
        <v>4.8780487804878048</v>
      </c>
      <c r="AA59" s="168">
        <f>C59*'T21'!$E$5</f>
        <v>37251.206481833142</v>
      </c>
      <c r="AB59" s="168">
        <f>D59*'T21'!$E$6</f>
        <v>2214.1123595505619</v>
      </c>
      <c r="AC59" s="168">
        <f>E59*'T21'!$E$7</f>
        <v>226.45598194130923</v>
      </c>
      <c r="AD59" s="168">
        <f>F59*'T21'!$E$8</f>
        <v>628.34005699692807</v>
      </c>
      <c r="AE59" s="168">
        <f>G59*'T21'!$E$9</f>
        <v>5028.3812709030099</v>
      </c>
      <c r="AF59" s="168">
        <f>H59*'T21'!$E$10</f>
        <v>2561.8042659974908</v>
      </c>
      <c r="AG59" s="168">
        <f>B59*SUM('T21'!$F$4)</f>
        <v>5.1219512195121952</v>
      </c>
      <c r="AH59" s="168">
        <f>C59*SUM('T21'!$F$5)</f>
        <v>111508.79351816686</v>
      </c>
      <c r="AI59" s="168">
        <f>D59*SUM('T21'!$F$6)</f>
        <v>25.887640449438205</v>
      </c>
      <c r="AJ59" s="168">
        <f>E59*SUM('T21'!$F$7)</f>
        <v>58.544018058690746</v>
      </c>
      <c r="AK59" s="168">
        <f>F59*SUM('T21'!$F$8)</f>
        <v>26491.659943003069</v>
      </c>
      <c r="AL59" s="168">
        <f>G59*SUM('T21'!$F$9)</f>
        <v>4061.6187290969897</v>
      </c>
      <c r="AM59" s="168">
        <f>H59*SUM('T21'!$F$10)</f>
        <v>5903.1957340025101</v>
      </c>
    </row>
    <row r="60" spans="1:39">
      <c r="A60" s="184">
        <v>2033</v>
      </c>
      <c r="B60" s="184">
        <f t="shared" si="131"/>
        <v>10</v>
      </c>
      <c r="C60" s="184">
        <f t="shared" si="132"/>
        <v>148575</v>
      </c>
      <c r="D60" s="184">
        <f t="shared" si="133"/>
        <v>1700</v>
      </c>
      <c r="E60" s="184">
        <f t="shared" si="134"/>
        <v>270</v>
      </c>
      <c r="F60" s="184">
        <f t="shared" si="135"/>
        <v>27135</v>
      </c>
      <c r="G60" s="184">
        <f t="shared" si="136"/>
        <v>8910</v>
      </c>
      <c r="H60" s="184">
        <f t="shared" si="137"/>
        <v>8060</v>
      </c>
      <c r="I60" s="185"/>
      <c r="J60" s="168">
        <f>B60*SUM('T5'!$H$42:$I$42)</f>
        <v>1.967250418589809</v>
      </c>
      <c r="K60" s="168">
        <f>C60*SUM('T5'!$H$42:$I$42)</f>
        <v>29228.42309419809</v>
      </c>
      <c r="L60" s="168">
        <f>D60*SUM('T5'!$H$42:$I$42)</f>
        <v>334.43257116026751</v>
      </c>
      <c r="M60" s="168">
        <f>E60*SUM('T5'!$H$42:$I$42)</f>
        <v>53.115761301924842</v>
      </c>
      <c r="N60" s="168">
        <f>F60*SUM('T5'!$H$42:$I$42)</f>
        <v>5338.134010843447</v>
      </c>
      <c r="O60" s="168">
        <f>G60*SUM('T5'!$H$42:$I$42)</f>
        <v>1752.8201229635199</v>
      </c>
      <c r="P60" s="168">
        <f>H60*SUM('T5'!$H$42:$I$42)</f>
        <v>1585.603837383386</v>
      </c>
      <c r="Q60" s="168">
        <f>B60*SUM('T5'!$J$40:$L$40)</f>
        <v>7.684323697505131</v>
      </c>
      <c r="R60" s="168">
        <f>C60*SUM('T5'!$J$40:$L$40)</f>
        <v>114169.83933568248</v>
      </c>
      <c r="S60" s="168">
        <f>D60*SUM('T5'!$J$40:$L$40)</f>
        <v>1306.3350285758722</v>
      </c>
      <c r="T60" s="168">
        <f>E60*SUM('T5'!$J$40:$L$40)</f>
        <v>207.47673983263854</v>
      </c>
      <c r="U60" s="168">
        <f>F60*SUM('T5'!$J$40:$L$40)</f>
        <v>20851.412353180174</v>
      </c>
      <c r="V60" s="168">
        <f>G60*SUM('T5'!$J$40:$L$40)</f>
        <v>6846.7324144770719</v>
      </c>
      <c r="W60" s="168">
        <f>H60*SUM('T5'!$J$40:$L$40)</f>
        <v>6193.5649001891352</v>
      </c>
      <c r="X60" s="168"/>
      <c r="Y60" s="185"/>
      <c r="Z60" s="168">
        <f>B60*'T21'!$E$4</f>
        <v>4.8780487804878048</v>
      </c>
      <c r="AA60" s="168">
        <f>C60*'T21'!$E$5</f>
        <v>37204.880364603116</v>
      </c>
      <c r="AB60" s="168">
        <f>D60*'T21'!$E$6</f>
        <v>1680.3531300160514</v>
      </c>
      <c r="AC60" s="168">
        <f>E60*'T21'!$E$7</f>
        <v>214.53724604966138</v>
      </c>
      <c r="AD60" s="168">
        <f>F60*'T21'!$E$8</f>
        <v>628.68759021429366</v>
      </c>
      <c r="AE60" s="168">
        <f>G60*'T21'!$E$9</f>
        <v>4928.8093645484951</v>
      </c>
      <c r="AF60" s="168">
        <f>H60*'T21'!$E$10</f>
        <v>2439.2371392722712</v>
      </c>
      <c r="AG60" s="168">
        <f>B60*SUM('T21'!$F$4)</f>
        <v>5.1219512195121952</v>
      </c>
      <c r="AH60" s="168">
        <f>C60*SUM('T21'!$F$5)</f>
        <v>111370.11963539688</v>
      </c>
      <c r="AI60" s="168">
        <f>D60*SUM('T21'!$F$6)</f>
        <v>19.646869983948637</v>
      </c>
      <c r="AJ60" s="168">
        <f>E60*SUM('T21'!$F$7)</f>
        <v>55.462753950338602</v>
      </c>
      <c r="AK60" s="168">
        <f>F60*SUM('T21'!$F$8)</f>
        <v>26506.312409785703</v>
      </c>
      <c r="AL60" s="168">
        <f>G60*SUM('T21'!$F$9)</f>
        <v>3981.1906354515049</v>
      </c>
      <c r="AM60" s="168">
        <f>H60*SUM('T21'!$F$10)</f>
        <v>5620.7628607277293</v>
      </c>
    </row>
    <row r="61" spans="1:39">
      <c r="A61" s="184">
        <v>2034</v>
      </c>
      <c r="B61" s="184">
        <f t="shared" si="131"/>
        <v>10</v>
      </c>
      <c r="C61" s="184">
        <f t="shared" si="132"/>
        <v>148390</v>
      </c>
      <c r="D61" s="184">
        <f t="shared" si="133"/>
        <v>1290</v>
      </c>
      <c r="E61" s="184">
        <f t="shared" si="134"/>
        <v>255</v>
      </c>
      <c r="F61" s="184">
        <f t="shared" si="135"/>
        <v>27150</v>
      </c>
      <c r="G61" s="184">
        <f t="shared" si="136"/>
        <v>8735</v>
      </c>
      <c r="H61" s="184">
        <f t="shared" si="137"/>
        <v>7670</v>
      </c>
      <c r="I61" s="185"/>
      <c r="J61" s="168">
        <f>B61*SUM('T5'!$H$42:$I$42)</f>
        <v>1.967250418589809</v>
      </c>
      <c r="K61" s="168">
        <f>C61*SUM('T5'!$H$42:$I$42)</f>
        <v>29192.028961454176</v>
      </c>
      <c r="L61" s="168">
        <f>D61*SUM('T5'!$H$42:$I$42)</f>
        <v>253.77530399808538</v>
      </c>
      <c r="M61" s="168">
        <f>E61*SUM('T5'!$H$42:$I$42)</f>
        <v>50.164885674040129</v>
      </c>
      <c r="N61" s="168">
        <f>F61*SUM('T5'!$H$42:$I$42)</f>
        <v>5341.0848864713316</v>
      </c>
      <c r="O61" s="168">
        <f>G61*SUM('T5'!$H$42:$I$42)</f>
        <v>1718.3932406381982</v>
      </c>
      <c r="P61" s="168">
        <f>H61*SUM('T5'!$H$42:$I$42)</f>
        <v>1508.8810710583834</v>
      </c>
      <c r="Q61" s="168">
        <f>B61*SUM('T5'!$J$40:$L$40)</f>
        <v>7.684323697505131</v>
      </c>
      <c r="R61" s="168">
        <f>C61*SUM('T5'!$J$40:$L$40)</f>
        <v>114027.67934727864</v>
      </c>
      <c r="S61" s="168">
        <f>D61*SUM('T5'!$J$40:$L$40)</f>
        <v>991.27775697816185</v>
      </c>
      <c r="T61" s="168">
        <f>E61*SUM('T5'!$J$40:$L$40)</f>
        <v>195.95025428638084</v>
      </c>
      <c r="U61" s="168">
        <f>F61*SUM('T5'!$J$40:$L$40)</f>
        <v>20862.93883872643</v>
      </c>
      <c r="V61" s="168">
        <f>G61*SUM('T5'!$J$40:$L$40)</f>
        <v>6712.2567497707323</v>
      </c>
      <c r="W61" s="168">
        <f>H61*SUM('T5'!$J$40:$L$40)</f>
        <v>5893.8762759864358</v>
      </c>
      <c r="X61" s="168"/>
      <c r="Y61" s="185"/>
      <c r="Z61" s="168">
        <f>B61*'T21'!$E$4</f>
        <v>4.8780487804878048</v>
      </c>
      <c r="AA61" s="168">
        <f>C61*'T21'!$E$5</f>
        <v>37158.554247373082</v>
      </c>
      <c r="AB61" s="168">
        <f>D61*'T21'!$E$6</f>
        <v>1275.0914927768861</v>
      </c>
      <c r="AC61" s="168">
        <f>E61*'T21'!$E$7</f>
        <v>202.61851015801352</v>
      </c>
      <c r="AD61" s="168">
        <f>F61*'T21'!$E$8</f>
        <v>629.03512343165926</v>
      </c>
      <c r="AE61" s="168">
        <f>G61*'T21'!$E$9</f>
        <v>4832.0033444816054</v>
      </c>
      <c r="AF61" s="168">
        <f>H61*'T21'!$E$10</f>
        <v>2321.209535759097</v>
      </c>
      <c r="AG61" s="168">
        <f>B61*SUM('T21'!$F$4)</f>
        <v>5.1219512195121952</v>
      </c>
      <c r="AH61" s="168">
        <f>C61*SUM('T21'!$F$5)</f>
        <v>111231.44575262691</v>
      </c>
      <c r="AI61" s="168">
        <f>D61*SUM('T21'!$F$6)</f>
        <v>14.908507223113965</v>
      </c>
      <c r="AJ61" s="168">
        <f>E61*SUM('T21'!$F$7)</f>
        <v>52.381489841986458</v>
      </c>
      <c r="AK61" s="168">
        <f>F61*SUM('T21'!$F$8)</f>
        <v>26520.964876568341</v>
      </c>
      <c r="AL61" s="168">
        <f>G61*SUM('T21'!$F$9)</f>
        <v>3902.9966555183946</v>
      </c>
      <c r="AM61" s="168">
        <f>H61*SUM('T21'!$F$10)</f>
        <v>5348.7904642409039</v>
      </c>
    </row>
    <row r="62" spans="1:39">
      <c r="A62" s="184">
        <v>2035</v>
      </c>
      <c r="B62" s="184">
        <f t="shared" si="131"/>
        <v>10</v>
      </c>
      <c r="C62" s="184">
        <f t="shared" si="132"/>
        <v>148205</v>
      </c>
      <c r="D62" s="184">
        <f t="shared" si="133"/>
        <v>980</v>
      </c>
      <c r="E62" s="184">
        <f t="shared" si="134"/>
        <v>240</v>
      </c>
      <c r="F62" s="184">
        <f t="shared" si="135"/>
        <v>27165</v>
      </c>
      <c r="G62" s="184">
        <f t="shared" si="136"/>
        <v>8560</v>
      </c>
      <c r="H62" s="184">
        <f t="shared" si="137"/>
        <v>7300</v>
      </c>
      <c r="I62" s="185"/>
      <c r="J62" s="168">
        <f>B62*SUM('T5'!$H$42:$I$42)</f>
        <v>1.967250418589809</v>
      </c>
      <c r="K62" s="168">
        <f>C62*SUM('T5'!$H$42:$I$42)</f>
        <v>29155.634828710266</v>
      </c>
      <c r="L62" s="168">
        <f>D62*SUM('T5'!$H$42:$I$42)</f>
        <v>192.79054102180129</v>
      </c>
      <c r="M62" s="168">
        <f>E62*SUM('T5'!$H$42:$I$42)</f>
        <v>47.214010046155416</v>
      </c>
      <c r="N62" s="168">
        <f>F62*SUM('T5'!$H$42:$I$42)</f>
        <v>5344.0357620992163</v>
      </c>
      <c r="O62" s="168">
        <f>G62*SUM('T5'!$H$42:$I$42)</f>
        <v>1683.9663583128765</v>
      </c>
      <c r="P62" s="168">
        <f>H62*SUM('T5'!$H$42:$I$42)</f>
        <v>1436.0928055705606</v>
      </c>
      <c r="Q62" s="168">
        <f>B62*SUM('T5'!$J$40:$L$40)</f>
        <v>7.684323697505131</v>
      </c>
      <c r="R62" s="168">
        <f>C62*SUM('T5'!$J$40:$L$40)</f>
        <v>113885.51935887479</v>
      </c>
      <c r="S62" s="168">
        <f>D62*SUM('T5'!$J$40:$L$40)</f>
        <v>753.06372235550282</v>
      </c>
      <c r="T62" s="168">
        <f>E62*SUM('T5'!$J$40:$L$40)</f>
        <v>184.42376874012314</v>
      </c>
      <c r="U62" s="168">
        <f>F62*SUM('T5'!$J$40:$L$40)</f>
        <v>20874.465324272689</v>
      </c>
      <c r="V62" s="168">
        <f>G62*SUM('T5'!$J$40:$L$40)</f>
        <v>6577.7810850643918</v>
      </c>
      <c r="W62" s="168">
        <f>H62*SUM('T5'!$J$40:$L$40)</f>
        <v>5609.5562991787456</v>
      </c>
      <c r="X62" s="168"/>
      <c r="Y62" s="185"/>
      <c r="Z62" s="168">
        <f>B62*'T21'!$E$4</f>
        <v>4.8780487804878048</v>
      </c>
      <c r="AA62" s="168">
        <f>C62*'T21'!$E$5</f>
        <v>37112.228130143056</v>
      </c>
      <c r="AB62" s="168">
        <f>D62*'T21'!$E$6</f>
        <v>968.67415730337075</v>
      </c>
      <c r="AC62" s="168">
        <f>E62*'T21'!$E$7</f>
        <v>190.69977426636567</v>
      </c>
      <c r="AD62" s="168">
        <f>F62*'T21'!$E$8</f>
        <v>629.38265664902474</v>
      </c>
      <c r="AE62" s="168">
        <f>G62*'T21'!$E$9</f>
        <v>4735.1973244147157</v>
      </c>
      <c r="AF62" s="168">
        <f>H62*'T21'!$E$10</f>
        <v>2209.2346298619827</v>
      </c>
      <c r="AG62" s="168">
        <f>B62*SUM('T21'!$F$4)</f>
        <v>5.1219512195121952</v>
      </c>
      <c r="AH62" s="168">
        <f>C62*SUM('T21'!$F$5)</f>
        <v>111092.77186985695</v>
      </c>
      <c r="AI62" s="168">
        <f>D62*SUM('T21'!$F$6)</f>
        <v>11.325842696629215</v>
      </c>
      <c r="AJ62" s="168">
        <f>E62*SUM('T21'!$F$7)</f>
        <v>49.300225733634313</v>
      </c>
      <c r="AK62" s="168">
        <f>F62*SUM('T21'!$F$8)</f>
        <v>26535.617343350976</v>
      </c>
      <c r="AL62" s="168">
        <f>G62*SUM('T21'!$F$9)</f>
        <v>3824.8026755852843</v>
      </c>
      <c r="AM62" s="168">
        <f>H62*SUM('T21'!$F$10)</f>
        <v>5090.7653701380177</v>
      </c>
    </row>
    <row r="63" spans="1:39">
      <c r="A63" s="184"/>
      <c r="B63" s="184"/>
      <c r="C63" s="184"/>
      <c r="D63" s="184"/>
      <c r="E63" s="184"/>
      <c r="F63" s="184"/>
      <c r="G63" s="184"/>
      <c r="H63" s="184"/>
      <c r="I63" s="185"/>
      <c r="J63" s="168"/>
      <c r="K63" s="168"/>
      <c r="L63" s="168"/>
      <c r="M63" s="168"/>
      <c r="N63" s="168"/>
      <c r="O63" s="168"/>
      <c r="P63" s="168"/>
      <c r="Q63" s="168"/>
      <c r="R63" s="168"/>
      <c r="S63" s="168"/>
      <c r="T63" s="168"/>
      <c r="U63" s="168"/>
      <c r="V63" s="168"/>
      <c r="W63" s="168"/>
      <c r="X63" s="168"/>
      <c r="Y63" s="185"/>
      <c r="Z63" s="168"/>
      <c r="AA63" s="168"/>
      <c r="AB63" s="168"/>
      <c r="AC63" s="168"/>
      <c r="AD63" s="168"/>
      <c r="AE63" s="168"/>
      <c r="AF63" s="168"/>
      <c r="AG63" s="168"/>
      <c r="AH63" s="168"/>
      <c r="AI63" s="168"/>
      <c r="AJ63" s="168"/>
      <c r="AK63" s="168"/>
      <c r="AL63" s="168"/>
      <c r="AM63" s="168"/>
    </row>
    <row r="64" spans="1:39">
      <c r="A64" s="184"/>
      <c r="B64" s="175" t="s">
        <v>423</v>
      </c>
      <c r="C64" s="175"/>
      <c r="D64" s="175"/>
      <c r="E64" s="175"/>
      <c r="F64" s="175"/>
      <c r="G64" s="175"/>
      <c r="H64" s="175"/>
      <c r="I64" s="185"/>
      <c r="J64" s="184"/>
      <c r="K64" s="184"/>
      <c r="L64" s="184"/>
      <c r="M64" s="184"/>
      <c r="N64" s="184"/>
      <c r="O64" s="184"/>
      <c r="P64" s="184"/>
      <c r="Q64" s="184"/>
      <c r="R64" s="184"/>
      <c r="S64" s="184"/>
      <c r="T64" s="184"/>
      <c r="U64" s="184"/>
      <c r="V64" s="184"/>
      <c r="W64" s="184"/>
      <c r="X64" s="184"/>
      <c r="Y64" s="185"/>
      <c r="Z64" s="184"/>
      <c r="AA64" s="184"/>
      <c r="AB64" s="184"/>
      <c r="AC64" s="184"/>
      <c r="AD64" s="184"/>
      <c r="AE64" s="184"/>
      <c r="AF64" s="184"/>
      <c r="AG64" s="184"/>
      <c r="AH64" s="184"/>
      <c r="AI64" s="184"/>
      <c r="AJ64" s="184"/>
      <c r="AK64" s="184"/>
      <c r="AL64" s="184"/>
      <c r="AM64" s="184"/>
    </row>
    <row r="65" spans="1:39">
      <c r="A65" s="184">
        <v>2026</v>
      </c>
      <c r="B65" s="184">
        <f t="shared" ref="B65:H65" si="138">IF(B$42&gt;0,MROUND(B14+(B$14*B$42),5),MROUND(B$14-(B$14*ABS(B$42)),5))</f>
        <v>35</v>
      </c>
      <c r="C65" s="184">
        <f t="shared" si="138"/>
        <v>152025</v>
      </c>
      <c r="D65" s="184">
        <f t="shared" si="138"/>
        <v>13685</v>
      </c>
      <c r="E65" s="184">
        <f t="shared" si="138"/>
        <v>440</v>
      </c>
      <c r="F65" s="184">
        <f t="shared" si="138"/>
        <v>27195</v>
      </c>
      <c r="G65" s="184">
        <f t="shared" si="138"/>
        <v>10370</v>
      </c>
      <c r="H65" s="184">
        <f t="shared" si="138"/>
        <v>11790</v>
      </c>
      <c r="I65" s="185"/>
      <c r="J65" s="168">
        <f>B65*SUM('T5'!$H$42:$I$42)</f>
        <v>6.8853764650643319</v>
      </c>
      <c r="K65" s="168">
        <f>C65*SUM('T5'!$H$42:$I$42)</f>
        <v>29907.124488611571</v>
      </c>
      <c r="L65" s="168">
        <f>D65*SUM('T5'!$H$42:$I$42)</f>
        <v>2692.1821978401535</v>
      </c>
      <c r="M65" s="168">
        <f>E65*SUM('T5'!$H$42:$I$42)</f>
        <v>86.559018417951592</v>
      </c>
      <c r="N65" s="168">
        <f>F65*SUM('T5'!$H$42:$I$42)</f>
        <v>5349.9375133549856</v>
      </c>
      <c r="O65" s="168">
        <f>G65*SUM('T5'!$H$42:$I$42)</f>
        <v>2040.0386840776321</v>
      </c>
      <c r="P65" s="168">
        <f>H65*SUM('T5'!$H$42:$I$42)</f>
        <v>2319.388243517385</v>
      </c>
      <c r="Q65" s="168">
        <f>B65*SUM('T5'!$J$40:$L$40)</f>
        <v>26.89513294126796</v>
      </c>
      <c r="R65" s="168">
        <f>C65*SUM('T5'!$J$40:$L$40)</f>
        <v>116820.93101132175</v>
      </c>
      <c r="S65" s="168">
        <f>D65*SUM('T5'!$J$40:$L$40)</f>
        <v>10515.996980035772</v>
      </c>
      <c r="T65" s="168">
        <f>E65*SUM('T5'!$J$40:$L$40)</f>
        <v>338.11024269022579</v>
      </c>
      <c r="U65" s="168">
        <f>F65*SUM('T5'!$J$40:$L$40)</f>
        <v>20897.518295365204</v>
      </c>
      <c r="V65" s="168">
        <f>G65*SUM('T5'!$J$40:$L$40)</f>
        <v>7968.6436743128206</v>
      </c>
      <c r="W65" s="168">
        <f>H65*SUM('T5'!$J$40:$L$40)</f>
        <v>9059.8176393585491</v>
      </c>
      <c r="X65" s="168"/>
      <c r="Y65" s="185"/>
      <c r="Z65" s="168">
        <f>B65*'T21'!$E$4</f>
        <v>17.073170731707318</v>
      </c>
      <c r="AA65" s="168">
        <f>C65*'T21'!$E$5</f>
        <v>38068.799848082032</v>
      </c>
      <c r="AB65" s="168">
        <f>D65*'T21'!$E$6</f>
        <v>13526.842696629214</v>
      </c>
      <c r="AC65" s="168">
        <f>E65*'T21'!$E$7</f>
        <v>349.6162528216704</v>
      </c>
      <c r="AD65" s="168">
        <f>F65*'T21'!$E$8</f>
        <v>630.07772308375593</v>
      </c>
      <c r="AE65" s="168">
        <f>G65*'T21'!$E$9</f>
        <v>5736.4481605351175</v>
      </c>
      <c r="AF65" s="168">
        <f>H65*'T21'!$E$10</f>
        <v>3568.0652446675035</v>
      </c>
      <c r="AG65" s="168">
        <f>B65*SUM('T21'!$F$4)</f>
        <v>17.926829268292682</v>
      </c>
      <c r="AH65" s="168">
        <f>C65*SUM('T21'!$F$5)</f>
        <v>113956.20015191796</v>
      </c>
      <c r="AI65" s="168">
        <f>D65*SUM('T21'!$F$6)</f>
        <v>158.15730337078654</v>
      </c>
      <c r="AJ65" s="168">
        <f>E65*SUM('T21'!$F$7)</f>
        <v>90.383747178329571</v>
      </c>
      <c r="AK65" s="168">
        <f>F65*SUM('T21'!$F$8)</f>
        <v>26564.922276916244</v>
      </c>
      <c r="AL65" s="168">
        <f>G65*SUM('T21'!$F$9)</f>
        <v>4633.5518394648825</v>
      </c>
      <c r="AM65" s="168">
        <f>H65*SUM('T21'!$F$10)</f>
        <v>8221.9347553324969</v>
      </c>
    </row>
    <row r="66" spans="1:39">
      <c r="A66" s="184">
        <v>2027</v>
      </c>
      <c r="B66" s="184">
        <f t="shared" ref="B66:B74" si="139">IF(B$42&gt;0,MROUND(B65+(B65*B$42),5),MROUND(B65-(B65*ABS(B$42)),5))</f>
        <v>30</v>
      </c>
      <c r="C66" s="184">
        <f t="shared" ref="C66:C74" si="140">IF(C$42&gt;0,MROUND(C65+(C65*C$42),5),MROUND(C65-(C65*ABS(C$42)),5))</f>
        <v>153995</v>
      </c>
      <c r="D66" s="184">
        <f t="shared" ref="D66:D74" si="141">IF(D$42&gt;0,MROUND(D65+(D65*D$42),5),MROUND(D65-(D65*ABS(D$42)),5))</f>
        <v>12025</v>
      </c>
      <c r="E66" s="184">
        <f t="shared" ref="E66:E74" si="142">IF(E$42&gt;0,MROUND(E65+(E65*E$42),5),MROUND(E65-(E65*ABS(E$42)),5))</f>
        <v>435</v>
      </c>
      <c r="F66" s="184">
        <f t="shared" ref="F66:F74" si="143">IF(F$42&gt;0,MROUND(F65+(F65*F$42),5),MROUND(F65-(F65*ABS(F$42)),5))</f>
        <v>27375</v>
      </c>
      <c r="G66" s="184">
        <f t="shared" ref="G66:G74" si="144">IF(G$42&gt;0,MROUND(G65+(G65*G$42),5),MROUND(G65-(G65*ABS(G$42)),5))</f>
        <v>10275</v>
      </c>
      <c r="H66" s="184">
        <f t="shared" ref="H66:H74" si="145">IF(H$42&gt;0,MROUND(H65+(H65*H$42),5),MROUND(H65-(H65*ABS(H$42)),5))</f>
        <v>11625</v>
      </c>
      <c r="I66" s="185"/>
      <c r="J66" s="168">
        <f>B66*SUM('T5'!$H$42:$I$42)</f>
        <v>5.9017512557694269</v>
      </c>
      <c r="K66" s="168">
        <f>C66*SUM('T5'!$H$42:$I$42)</f>
        <v>30294.672821073764</v>
      </c>
      <c r="L66" s="168">
        <f>D66*SUM('T5'!$H$42:$I$42)</f>
        <v>2365.6186283542452</v>
      </c>
      <c r="M66" s="168">
        <f>E66*SUM('T5'!$H$42:$I$42)</f>
        <v>85.575393208656692</v>
      </c>
      <c r="N66" s="168">
        <f>F66*SUM('T5'!$H$42:$I$42)</f>
        <v>5385.3480208896026</v>
      </c>
      <c r="O66" s="168">
        <f>G66*SUM('T5'!$H$42:$I$42)</f>
        <v>2021.3498051010288</v>
      </c>
      <c r="P66" s="168">
        <f>H66*SUM('T5'!$H$42:$I$42)</f>
        <v>2286.9286116106532</v>
      </c>
      <c r="Q66" s="168">
        <f>B66*SUM('T5'!$J$40:$L$40)</f>
        <v>23.052971092515392</v>
      </c>
      <c r="R66" s="168">
        <f>C66*SUM('T5'!$J$40:$L$40)</f>
        <v>118334.74277973027</v>
      </c>
      <c r="S66" s="168">
        <f>D66*SUM('T5'!$J$40:$L$40)</f>
        <v>9240.3992462499209</v>
      </c>
      <c r="T66" s="168">
        <f>E66*SUM('T5'!$J$40:$L$40)</f>
        <v>334.26808084147319</v>
      </c>
      <c r="U66" s="168">
        <f>F66*SUM('T5'!$J$40:$L$40)</f>
        <v>21035.836121920296</v>
      </c>
      <c r="V66" s="168">
        <f>G66*SUM('T5'!$J$40:$L$40)</f>
        <v>7895.6425991865217</v>
      </c>
      <c r="W66" s="168">
        <f>H66*SUM('T5'!$J$40:$L$40)</f>
        <v>8933.0262983497141</v>
      </c>
      <c r="X66" s="168"/>
      <c r="Y66" s="185"/>
      <c r="Z66" s="168">
        <f>B66*'T21'!$E$4</f>
        <v>14.634146341463413</v>
      </c>
      <c r="AA66" s="168">
        <f>C66*'T21'!$E$5</f>
        <v>38562.110393720723</v>
      </c>
      <c r="AB66" s="168">
        <f>D66*'T21'!$E$6</f>
        <v>11886.027287319423</v>
      </c>
      <c r="AC66" s="168">
        <f>E66*'T21'!$E$7</f>
        <v>345.64334085778779</v>
      </c>
      <c r="AD66" s="168">
        <f>F66*'T21'!$E$8</f>
        <v>634.2481216921426</v>
      </c>
      <c r="AE66" s="168">
        <f>G66*'T21'!$E$9</f>
        <v>5683.8963210702341</v>
      </c>
      <c r="AF66" s="168">
        <f>H66*'T21'!$E$10</f>
        <v>3518.1304893350066</v>
      </c>
      <c r="AG66" s="168">
        <f>B66*SUM('T21'!$F$4)</f>
        <v>15.365853658536587</v>
      </c>
      <c r="AH66" s="168">
        <f>C66*SUM('T21'!$F$5)</f>
        <v>115432.88960627928</v>
      </c>
      <c r="AI66" s="168">
        <f>D66*SUM('T21'!$F$6)</f>
        <v>138.97271268057787</v>
      </c>
      <c r="AJ66" s="168">
        <f>E66*SUM('T21'!$F$7)</f>
        <v>89.356659142212195</v>
      </c>
      <c r="AK66" s="168">
        <f>F66*SUM('T21'!$F$8)</f>
        <v>26740.751878307856</v>
      </c>
      <c r="AL66" s="168">
        <f>G66*SUM('T21'!$F$9)</f>
        <v>4591.1036789297659</v>
      </c>
      <c r="AM66" s="168">
        <f>H66*SUM('T21'!$F$10)</f>
        <v>8106.8695106649939</v>
      </c>
    </row>
    <row r="67" spans="1:39">
      <c r="A67" s="184">
        <v>2028</v>
      </c>
      <c r="B67" s="184">
        <f t="shared" si="139"/>
        <v>25</v>
      </c>
      <c r="C67" s="184">
        <f t="shared" si="140"/>
        <v>155990</v>
      </c>
      <c r="D67" s="184">
        <f t="shared" si="141"/>
        <v>10565</v>
      </c>
      <c r="E67" s="184">
        <f t="shared" si="142"/>
        <v>430</v>
      </c>
      <c r="F67" s="184">
        <f t="shared" si="143"/>
        <v>27555</v>
      </c>
      <c r="G67" s="184">
        <f t="shared" si="144"/>
        <v>10180</v>
      </c>
      <c r="H67" s="184">
        <f t="shared" si="145"/>
        <v>11465</v>
      </c>
      <c r="I67" s="185"/>
      <c r="J67" s="168">
        <f>B67*SUM('T5'!$H$42:$I$42)</f>
        <v>4.9181260464745229</v>
      </c>
      <c r="K67" s="168">
        <f>C67*SUM('T5'!$H$42:$I$42)</f>
        <v>30687.139279582432</v>
      </c>
      <c r="L67" s="168">
        <f>D67*SUM('T5'!$H$42:$I$42)</f>
        <v>2078.4000672401335</v>
      </c>
      <c r="M67" s="168">
        <f>E67*SUM('T5'!$H$42:$I$42)</f>
        <v>84.591767999361792</v>
      </c>
      <c r="N67" s="168">
        <f>F67*SUM('T5'!$H$42:$I$42)</f>
        <v>5420.7585284242186</v>
      </c>
      <c r="O67" s="168">
        <f>G67*SUM('T5'!$H$42:$I$42)</f>
        <v>2002.6609261244255</v>
      </c>
      <c r="P67" s="168">
        <f>H67*SUM('T5'!$H$42:$I$42)</f>
        <v>2255.452604913216</v>
      </c>
      <c r="Q67" s="168">
        <f>B67*SUM('T5'!$J$40:$L$40)</f>
        <v>19.210809243762828</v>
      </c>
      <c r="R67" s="168">
        <f>C67*SUM('T5'!$J$40:$L$40)</f>
        <v>119867.76535738254</v>
      </c>
      <c r="S67" s="168">
        <f>D67*SUM('T5'!$J$40:$L$40)</f>
        <v>8118.4879864141712</v>
      </c>
      <c r="T67" s="168">
        <f>E67*SUM('T5'!$J$40:$L$40)</f>
        <v>330.42591899272065</v>
      </c>
      <c r="U67" s="168">
        <f>F67*SUM('T5'!$J$40:$L$40)</f>
        <v>21174.153948475388</v>
      </c>
      <c r="V67" s="168">
        <f>G67*SUM('T5'!$J$40:$L$40)</f>
        <v>7822.6415240602237</v>
      </c>
      <c r="W67" s="168">
        <f>H67*SUM('T5'!$J$40:$L$40)</f>
        <v>8810.0771191896329</v>
      </c>
      <c r="X67" s="168"/>
      <c r="Y67" s="185"/>
      <c r="Z67" s="168">
        <f>B67*'T21'!$E$4</f>
        <v>12.195121951219512</v>
      </c>
      <c r="AA67" s="168">
        <f>C67*'T21'!$E$5</f>
        <v>39061.681225471577</v>
      </c>
      <c r="AB67" s="168">
        <f>D67*'T21'!$E$6</f>
        <v>10442.90048154093</v>
      </c>
      <c r="AC67" s="168">
        <f>E67*'T21'!$E$7</f>
        <v>341.67042889390518</v>
      </c>
      <c r="AD67" s="168">
        <f>F67*'T21'!$E$8</f>
        <v>638.41852030052928</v>
      </c>
      <c r="AE67" s="168">
        <f>G67*'T21'!$E$9</f>
        <v>5631.3444816053516</v>
      </c>
      <c r="AF67" s="168">
        <f>H67*'T21'!$E$10</f>
        <v>3469.7089084065246</v>
      </c>
      <c r="AG67" s="168">
        <f>B67*SUM('T21'!$F$4)</f>
        <v>12.804878048780488</v>
      </c>
      <c r="AH67" s="168">
        <f>C67*SUM('T21'!$F$5)</f>
        <v>116928.31877452842</v>
      </c>
      <c r="AI67" s="168">
        <f>D67*SUM('T21'!$F$6)</f>
        <v>122.09951845906903</v>
      </c>
      <c r="AJ67" s="168">
        <f>E67*SUM('T21'!$F$7)</f>
        <v>88.329571106094804</v>
      </c>
      <c r="AK67" s="168">
        <f>F67*SUM('T21'!$F$8)</f>
        <v>26916.581479699471</v>
      </c>
      <c r="AL67" s="168">
        <f>G67*SUM('T21'!$F$9)</f>
        <v>4548.6555183946484</v>
      </c>
      <c r="AM67" s="168">
        <f>H67*SUM('T21'!$F$10)</f>
        <v>7995.2910915934763</v>
      </c>
    </row>
    <row r="68" spans="1:39">
      <c r="A68" s="184">
        <v>2029</v>
      </c>
      <c r="B68" s="184">
        <f t="shared" si="139"/>
        <v>20</v>
      </c>
      <c r="C68" s="184">
        <f t="shared" si="140"/>
        <v>158010</v>
      </c>
      <c r="D68" s="184">
        <f t="shared" si="141"/>
        <v>9285</v>
      </c>
      <c r="E68" s="184">
        <f t="shared" si="142"/>
        <v>425</v>
      </c>
      <c r="F68" s="184">
        <f t="shared" si="143"/>
        <v>27735</v>
      </c>
      <c r="G68" s="184">
        <f t="shared" si="144"/>
        <v>10085</v>
      </c>
      <c r="H68" s="184">
        <f t="shared" si="145"/>
        <v>11305</v>
      </c>
      <c r="I68" s="185"/>
      <c r="J68" s="168">
        <f>B68*SUM('T5'!$H$42:$I$42)</f>
        <v>3.934500837179618</v>
      </c>
      <c r="K68" s="168">
        <f>C68*SUM('T5'!$H$42:$I$42)</f>
        <v>31084.523864137573</v>
      </c>
      <c r="L68" s="168">
        <f>D68*SUM('T5'!$H$42:$I$42)</f>
        <v>1826.5920136606376</v>
      </c>
      <c r="M68" s="168">
        <f>E68*SUM('T5'!$H$42:$I$42)</f>
        <v>83.608142790066879</v>
      </c>
      <c r="N68" s="168">
        <f>F68*SUM('T5'!$H$42:$I$42)</f>
        <v>5456.1690359588356</v>
      </c>
      <c r="O68" s="168">
        <f>G68*SUM('T5'!$H$42:$I$42)</f>
        <v>1983.9720471478224</v>
      </c>
      <c r="P68" s="168">
        <f>H68*SUM('T5'!$H$42:$I$42)</f>
        <v>2223.9765982157792</v>
      </c>
      <c r="Q68" s="168">
        <f>B68*SUM('T5'!$J$40:$L$40)</f>
        <v>15.368647395010262</v>
      </c>
      <c r="R68" s="168">
        <f>C68*SUM('T5'!$J$40:$L$40)</f>
        <v>121419.99874427858</v>
      </c>
      <c r="S68" s="168">
        <f>D68*SUM('T5'!$J$40:$L$40)</f>
        <v>7134.8945531335139</v>
      </c>
      <c r="T68" s="168">
        <f>E68*SUM('T5'!$J$40:$L$40)</f>
        <v>326.58375714396806</v>
      </c>
      <c r="U68" s="168">
        <f>F68*SUM('T5'!$J$40:$L$40)</f>
        <v>21312.471775030481</v>
      </c>
      <c r="V68" s="168">
        <f>G68*SUM('T5'!$J$40:$L$40)</f>
        <v>7749.6404489339247</v>
      </c>
      <c r="W68" s="168">
        <f>H68*SUM('T5'!$J$40:$L$40)</f>
        <v>8687.1279400295498</v>
      </c>
      <c r="X68" s="168"/>
      <c r="Y68" s="185"/>
      <c r="Z68" s="168">
        <f>B68*'T21'!$E$4</f>
        <v>9.7560975609756095</v>
      </c>
      <c r="AA68" s="168">
        <f>C68*'T21'!$E$5</f>
        <v>39567.512343334602</v>
      </c>
      <c r="AB68" s="168">
        <f>D68*'T21'!$E$6</f>
        <v>9177.6934189406093</v>
      </c>
      <c r="AC68" s="168">
        <f>E68*'T21'!$E$7</f>
        <v>337.69751693002257</v>
      </c>
      <c r="AD68" s="168">
        <f>F68*'T21'!$E$8</f>
        <v>642.58891890891596</v>
      </c>
      <c r="AE68" s="168">
        <f>G68*'T21'!$E$9</f>
        <v>5578.7926421404682</v>
      </c>
      <c r="AF68" s="168">
        <f>H68*'T21'!$E$10</f>
        <v>3421.2873274780432</v>
      </c>
      <c r="AG68" s="168">
        <f>B68*SUM('T21'!$F$4)</f>
        <v>10.24390243902439</v>
      </c>
      <c r="AH68" s="168">
        <f>C68*SUM('T21'!$F$5)</f>
        <v>118442.4876566654</v>
      </c>
      <c r="AI68" s="168">
        <f>D68*SUM('T21'!$F$6)</f>
        <v>107.30658105939006</v>
      </c>
      <c r="AJ68" s="168">
        <f>E68*SUM('T21'!$F$7)</f>
        <v>87.302483069977427</v>
      </c>
      <c r="AK68" s="168">
        <f>F68*SUM('T21'!$F$8)</f>
        <v>27092.411081091082</v>
      </c>
      <c r="AL68" s="168">
        <f>G68*SUM('T21'!$F$9)</f>
        <v>4506.2073578595318</v>
      </c>
      <c r="AM68" s="168">
        <f>H68*SUM('T21'!$F$10)</f>
        <v>7883.7126725219578</v>
      </c>
    </row>
    <row r="69" spans="1:39">
      <c r="A69" s="184">
        <v>2030</v>
      </c>
      <c r="B69" s="184">
        <f t="shared" si="139"/>
        <v>15</v>
      </c>
      <c r="C69" s="184">
        <f t="shared" si="140"/>
        <v>160055</v>
      </c>
      <c r="D69" s="184">
        <f t="shared" si="141"/>
        <v>8160</v>
      </c>
      <c r="E69" s="184">
        <f t="shared" si="142"/>
        <v>420</v>
      </c>
      <c r="F69" s="184">
        <f t="shared" si="143"/>
        <v>27915</v>
      </c>
      <c r="G69" s="184">
        <f t="shared" si="144"/>
        <v>9995</v>
      </c>
      <c r="H69" s="184">
        <f t="shared" si="145"/>
        <v>11150</v>
      </c>
      <c r="I69" s="185"/>
      <c r="J69" s="168">
        <f>B69*SUM('T5'!$H$42:$I$42)</f>
        <v>2.9508756278847135</v>
      </c>
      <c r="K69" s="168">
        <f>C69*SUM('T5'!$H$42:$I$42)</f>
        <v>31486.826574739189</v>
      </c>
      <c r="L69" s="168">
        <f>D69*SUM('T5'!$H$42:$I$42)</f>
        <v>1605.2763415692841</v>
      </c>
      <c r="M69" s="168">
        <f>E69*SUM('T5'!$H$42:$I$42)</f>
        <v>82.624517580771979</v>
      </c>
      <c r="N69" s="168">
        <f>F69*SUM('T5'!$H$42:$I$42)</f>
        <v>5491.5795434934516</v>
      </c>
      <c r="O69" s="168">
        <f>G69*SUM('T5'!$H$42:$I$42)</f>
        <v>1966.2667933805142</v>
      </c>
      <c r="P69" s="168">
        <f>H69*SUM('T5'!$H$42:$I$42)</f>
        <v>2193.484216727637</v>
      </c>
      <c r="Q69" s="168">
        <f>B69*SUM('T5'!$J$40:$L$40)</f>
        <v>11.526485546257696</v>
      </c>
      <c r="R69" s="168">
        <f>C69*SUM('T5'!$J$40:$L$40)</f>
        <v>122991.44294041838</v>
      </c>
      <c r="S69" s="168">
        <f>D69*SUM('T5'!$J$40:$L$40)</f>
        <v>6270.4081371641869</v>
      </c>
      <c r="T69" s="168">
        <f>E69*SUM('T5'!$J$40:$L$40)</f>
        <v>322.74159529521552</v>
      </c>
      <c r="U69" s="168">
        <f>F69*SUM('T5'!$J$40:$L$40)</f>
        <v>21450.789601585573</v>
      </c>
      <c r="V69" s="168">
        <f>G69*SUM('T5'!$J$40:$L$40)</f>
        <v>7680.4815356563786</v>
      </c>
      <c r="W69" s="168">
        <f>H69*SUM('T5'!$J$40:$L$40)</f>
        <v>8568.0209227182204</v>
      </c>
      <c r="X69" s="168"/>
      <c r="Y69" s="185"/>
      <c r="Z69" s="168">
        <f>B69*'T21'!$E$4</f>
        <v>7.3170731707317067</v>
      </c>
      <c r="AA69" s="168">
        <f>C69*'T21'!$E$5</f>
        <v>40079.603747309782</v>
      </c>
      <c r="AB69" s="168">
        <f>D69*'T21'!$E$6</f>
        <v>8065.6950240770466</v>
      </c>
      <c r="AC69" s="168">
        <f>E69*'T21'!$E$7</f>
        <v>333.72460496613991</v>
      </c>
      <c r="AD69" s="168">
        <f>F69*'T21'!$E$8</f>
        <v>646.75931751730263</v>
      </c>
      <c r="AE69" s="168">
        <f>G69*'T21'!$E$9</f>
        <v>5529.0066889632108</v>
      </c>
      <c r="AF69" s="168">
        <f>H69*'T21'!$E$10</f>
        <v>3374.3789209535762</v>
      </c>
      <c r="AG69" s="168">
        <f>B69*SUM('T21'!$F$4)</f>
        <v>7.6829268292682933</v>
      </c>
      <c r="AH69" s="168">
        <f>C69*SUM('T21'!$F$5)</f>
        <v>119975.39625269022</v>
      </c>
      <c r="AI69" s="168">
        <f>D69*SUM('T21'!$F$6)</f>
        <v>94.30497592295346</v>
      </c>
      <c r="AJ69" s="168">
        <f>E69*SUM('T21'!$F$7)</f>
        <v>86.27539503386005</v>
      </c>
      <c r="AK69" s="168">
        <f>F69*SUM('T21'!$F$8)</f>
        <v>27268.240682482698</v>
      </c>
      <c r="AL69" s="168">
        <f>G69*SUM('T21'!$F$9)</f>
        <v>4465.9933110367892</v>
      </c>
      <c r="AM69" s="168">
        <f>H69*SUM('T21'!$F$10)</f>
        <v>7775.6210790464247</v>
      </c>
    </row>
    <row r="70" spans="1:39">
      <c r="A70" s="184">
        <v>2031</v>
      </c>
      <c r="B70" s="184">
        <f t="shared" si="139"/>
        <v>15</v>
      </c>
      <c r="C70" s="184">
        <f t="shared" si="140"/>
        <v>162125</v>
      </c>
      <c r="D70" s="184">
        <f t="shared" si="141"/>
        <v>7170</v>
      </c>
      <c r="E70" s="184">
        <f t="shared" si="142"/>
        <v>415</v>
      </c>
      <c r="F70" s="184">
        <f t="shared" si="143"/>
        <v>28095</v>
      </c>
      <c r="G70" s="184">
        <f t="shared" si="144"/>
        <v>9905</v>
      </c>
      <c r="H70" s="184">
        <f t="shared" si="145"/>
        <v>10995</v>
      </c>
      <c r="I70" s="185"/>
      <c r="J70" s="168">
        <f>B70*SUM('T5'!$H$42:$I$42)</f>
        <v>2.9508756278847135</v>
      </c>
      <c r="K70" s="168">
        <f>C70*SUM('T5'!$H$42:$I$42)</f>
        <v>31894.047411387281</v>
      </c>
      <c r="L70" s="168">
        <f>D70*SUM('T5'!$H$42:$I$42)</f>
        <v>1410.5185501288931</v>
      </c>
      <c r="M70" s="168">
        <f>E70*SUM('T5'!$H$42:$I$42)</f>
        <v>81.640892371477079</v>
      </c>
      <c r="N70" s="168">
        <f>F70*SUM('T5'!$H$42:$I$42)</f>
        <v>5526.9900510280686</v>
      </c>
      <c r="O70" s="168">
        <f>G70*SUM('T5'!$H$42:$I$42)</f>
        <v>1948.5615396132059</v>
      </c>
      <c r="P70" s="168">
        <f>H70*SUM('T5'!$H$42:$I$42)</f>
        <v>2162.9918352394952</v>
      </c>
      <c r="Q70" s="168">
        <f>B70*SUM('T5'!$J$40:$L$40)</f>
        <v>11.526485546257696</v>
      </c>
      <c r="R70" s="168">
        <f>C70*SUM('T5'!$J$40:$L$40)</f>
        <v>124582.09794580194</v>
      </c>
      <c r="S70" s="168">
        <f>D70*SUM('T5'!$J$40:$L$40)</f>
        <v>5509.6600911111791</v>
      </c>
      <c r="T70" s="168">
        <f>E70*SUM('T5'!$J$40:$L$40)</f>
        <v>318.89943344646292</v>
      </c>
      <c r="U70" s="168">
        <f>F70*SUM('T5'!$J$40:$L$40)</f>
        <v>21589.107428140665</v>
      </c>
      <c r="V70" s="168">
        <f>G70*SUM('T5'!$J$40:$L$40)</f>
        <v>7611.3226223788324</v>
      </c>
      <c r="W70" s="168">
        <f>H70*SUM('T5'!$J$40:$L$40)</f>
        <v>8448.913905406891</v>
      </c>
      <c r="X70" s="168"/>
      <c r="Y70" s="185"/>
      <c r="Z70" s="168">
        <f>B70*'T21'!$E$4</f>
        <v>7.3170731707317067</v>
      </c>
      <c r="AA70" s="168">
        <f>C70*'T21'!$E$5</f>
        <v>40597.95543739714</v>
      </c>
      <c r="AB70" s="168">
        <f>D70*'T21'!$E$6</f>
        <v>7087.1364365971103</v>
      </c>
      <c r="AC70" s="168">
        <f>E70*'T21'!$E$7</f>
        <v>329.7516930022573</v>
      </c>
      <c r="AD70" s="168">
        <f>F70*'T21'!$E$8</f>
        <v>650.92971612568931</v>
      </c>
      <c r="AE70" s="168">
        <f>G70*'T21'!$E$9</f>
        <v>5479.2207357859534</v>
      </c>
      <c r="AF70" s="168">
        <f>H70*'T21'!$E$10</f>
        <v>3327.4705144291092</v>
      </c>
      <c r="AG70" s="168">
        <f>B70*SUM('T21'!$F$4)</f>
        <v>7.6829268292682933</v>
      </c>
      <c r="AH70" s="168">
        <f>C70*SUM('T21'!$F$5)</f>
        <v>121527.04456260287</v>
      </c>
      <c r="AI70" s="168">
        <f>D70*SUM('T21'!$F$6)</f>
        <v>82.863563402889255</v>
      </c>
      <c r="AJ70" s="168">
        <f>E70*SUM('T21'!$F$7)</f>
        <v>85.24830699774266</v>
      </c>
      <c r="AK70" s="168">
        <f>F70*SUM('T21'!$F$8)</f>
        <v>27444.070283874309</v>
      </c>
      <c r="AL70" s="168">
        <f>G70*SUM('T21'!$F$9)</f>
        <v>4425.7792642140466</v>
      </c>
      <c r="AM70" s="168">
        <f>H70*SUM('T21'!$F$10)</f>
        <v>7667.5294855708908</v>
      </c>
    </row>
    <row r="71" spans="1:39">
      <c r="A71" s="184">
        <v>2032</v>
      </c>
      <c r="B71" s="184">
        <f t="shared" si="139"/>
        <v>15</v>
      </c>
      <c r="C71" s="184">
        <f t="shared" si="140"/>
        <v>164225</v>
      </c>
      <c r="D71" s="184">
        <f t="shared" si="141"/>
        <v>6300</v>
      </c>
      <c r="E71" s="184">
        <f t="shared" si="142"/>
        <v>410</v>
      </c>
      <c r="F71" s="184">
        <f t="shared" si="143"/>
        <v>28280</v>
      </c>
      <c r="G71" s="184">
        <f t="shared" si="144"/>
        <v>9815</v>
      </c>
      <c r="H71" s="184">
        <f t="shared" si="145"/>
        <v>10845</v>
      </c>
      <c r="I71" s="185"/>
      <c r="J71" s="168">
        <f>B71*SUM('T5'!$H$42:$I$42)</f>
        <v>2.9508756278847135</v>
      </c>
      <c r="K71" s="168">
        <f>C71*SUM('T5'!$H$42:$I$42)</f>
        <v>32307.169999291138</v>
      </c>
      <c r="L71" s="168">
        <f>D71*SUM('T5'!$H$42:$I$42)</f>
        <v>1239.3677637115798</v>
      </c>
      <c r="M71" s="168">
        <f>E71*SUM('T5'!$H$42:$I$42)</f>
        <v>80.657267162182166</v>
      </c>
      <c r="N71" s="168">
        <f>F71*SUM('T5'!$H$42:$I$42)</f>
        <v>5563.3841837719801</v>
      </c>
      <c r="O71" s="168">
        <f>G71*SUM('T5'!$H$42:$I$42)</f>
        <v>1930.8562858458977</v>
      </c>
      <c r="P71" s="168">
        <f>H71*SUM('T5'!$H$42:$I$42)</f>
        <v>2133.4830789606481</v>
      </c>
      <c r="Q71" s="168">
        <f>B71*SUM('T5'!$J$40:$L$40)</f>
        <v>11.526485546257696</v>
      </c>
      <c r="R71" s="168">
        <f>C71*SUM('T5'!$J$40:$L$40)</f>
        <v>126195.80592227801</v>
      </c>
      <c r="S71" s="168">
        <f>D71*SUM('T5'!$J$40:$L$40)</f>
        <v>4841.1239294282323</v>
      </c>
      <c r="T71" s="168">
        <f>E71*SUM('T5'!$J$40:$L$40)</f>
        <v>315.05727159771038</v>
      </c>
      <c r="U71" s="168">
        <f>F71*SUM('T5'!$J$40:$L$40)</f>
        <v>21731.26741654451</v>
      </c>
      <c r="V71" s="168">
        <f>G71*SUM('T5'!$J$40:$L$40)</f>
        <v>7542.1637091012863</v>
      </c>
      <c r="W71" s="168">
        <f>H71*SUM('T5'!$J$40:$L$40)</f>
        <v>8333.6490499443153</v>
      </c>
      <c r="X71" s="168"/>
      <c r="Y71" s="185"/>
      <c r="Z71" s="168">
        <f>B71*'T21'!$E$4</f>
        <v>7.3170731707317067</v>
      </c>
      <c r="AA71" s="168">
        <f>C71*'T21'!$E$5</f>
        <v>41123.819470819093</v>
      </c>
      <c r="AB71" s="168">
        <f>D71*'T21'!$E$6</f>
        <v>6227.1910112359546</v>
      </c>
      <c r="AC71" s="168">
        <f>E71*'T21'!$E$7</f>
        <v>325.77878103837469</v>
      </c>
      <c r="AD71" s="168">
        <f>F71*'T21'!$E$8</f>
        <v>655.21595913986459</v>
      </c>
      <c r="AE71" s="168">
        <f>G71*'T21'!$E$9</f>
        <v>5429.434782608696</v>
      </c>
      <c r="AF71" s="168">
        <f>H71*'T21'!$E$10</f>
        <v>3282.0752823086577</v>
      </c>
      <c r="AG71" s="168">
        <f>B71*SUM('T21'!$F$4)</f>
        <v>7.6829268292682933</v>
      </c>
      <c r="AH71" s="168">
        <f>C71*SUM('T21'!$F$5)</f>
        <v>123101.18052918091</v>
      </c>
      <c r="AI71" s="168">
        <f>D71*SUM('T21'!$F$6)</f>
        <v>72.808988764044955</v>
      </c>
      <c r="AJ71" s="168">
        <f>E71*SUM('T21'!$F$7)</f>
        <v>84.221218961625283</v>
      </c>
      <c r="AK71" s="168">
        <f>F71*SUM('T21'!$F$8)</f>
        <v>27624.784040860133</v>
      </c>
      <c r="AL71" s="168">
        <f>G71*SUM('T21'!$F$9)</f>
        <v>4385.565217391304</v>
      </c>
      <c r="AM71" s="168">
        <f>H71*SUM('T21'!$F$10)</f>
        <v>7562.9247176913432</v>
      </c>
    </row>
    <row r="72" spans="1:39">
      <c r="A72" s="184">
        <v>2033</v>
      </c>
      <c r="B72" s="184">
        <f t="shared" si="139"/>
        <v>15</v>
      </c>
      <c r="C72" s="184">
        <f t="shared" si="140"/>
        <v>166350</v>
      </c>
      <c r="D72" s="184">
        <f t="shared" si="141"/>
        <v>5535</v>
      </c>
      <c r="E72" s="184">
        <f t="shared" si="142"/>
        <v>405</v>
      </c>
      <c r="F72" s="184">
        <f t="shared" si="143"/>
        <v>28465</v>
      </c>
      <c r="G72" s="184">
        <f t="shared" si="144"/>
        <v>9725</v>
      </c>
      <c r="H72" s="184">
        <f t="shared" si="145"/>
        <v>10695</v>
      </c>
      <c r="I72" s="185"/>
      <c r="J72" s="168">
        <f>B72*SUM('T5'!$H$42:$I$42)</f>
        <v>2.9508756278847135</v>
      </c>
      <c r="K72" s="168">
        <f>C72*SUM('T5'!$H$42:$I$42)</f>
        <v>32725.210713241475</v>
      </c>
      <c r="L72" s="168">
        <f>D72*SUM('T5'!$H$42:$I$42)</f>
        <v>1088.8731066894593</v>
      </c>
      <c r="M72" s="168">
        <f>E72*SUM('T5'!$H$42:$I$42)</f>
        <v>79.673641952887266</v>
      </c>
      <c r="N72" s="168">
        <f>F72*SUM('T5'!$H$42:$I$42)</f>
        <v>5599.7783165158917</v>
      </c>
      <c r="O72" s="168">
        <f>G72*SUM('T5'!$H$42:$I$42)</f>
        <v>1913.1510320785892</v>
      </c>
      <c r="P72" s="168">
        <f>H72*SUM('T5'!$H$42:$I$42)</f>
        <v>2103.9743226818009</v>
      </c>
      <c r="Q72" s="168">
        <f>B72*SUM('T5'!$J$40:$L$40)</f>
        <v>11.526485546257696</v>
      </c>
      <c r="R72" s="168">
        <f>C72*SUM('T5'!$J$40:$L$40)</f>
        <v>127828.72470799786</v>
      </c>
      <c r="S72" s="168">
        <f>D72*SUM('T5'!$J$40:$L$40)</f>
        <v>4253.2731665690899</v>
      </c>
      <c r="T72" s="168">
        <f>E72*SUM('T5'!$J$40:$L$40)</f>
        <v>311.21510974895779</v>
      </c>
      <c r="U72" s="168">
        <f>F72*SUM('T5'!$J$40:$L$40)</f>
        <v>21873.427404948354</v>
      </c>
      <c r="V72" s="168">
        <f>G72*SUM('T5'!$J$40:$L$40)</f>
        <v>7473.0047958237401</v>
      </c>
      <c r="W72" s="168">
        <f>H72*SUM('T5'!$J$40:$L$40)</f>
        <v>8218.3841944817377</v>
      </c>
      <c r="X72" s="168"/>
      <c r="Y72" s="185"/>
      <c r="Z72" s="168">
        <f>B72*'T21'!$E$4</f>
        <v>7.3170731707317067</v>
      </c>
      <c r="AA72" s="168">
        <f>C72*'T21'!$E$5</f>
        <v>41655.943790353209</v>
      </c>
      <c r="AB72" s="168">
        <f>D72*'T21'!$E$6</f>
        <v>5471.0321027287318</v>
      </c>
      <c r="AC72" s="168">
        <f>E72*'T21'!$E$7</f>
        <v>321.80586907449208</v>
      </c>
      <c r="AD72" s="168">
        <f>F72*'T21'!$E$8</f>
        <v>659.50220215403976</v>
      </c>
      <c r="AE72" s="168">
        <f>G72*'T21'!$E$9</f>
        <v>5379.6488294314386</v>
      </c>
      <c r="AF72" s="168">
        <f>H72*'T21'!$E$10</f>
        <v>3236.6800501882062</v>
      </c>
      <c r="AG72" s="168">
        <f>B72*SUM('T21'!$F$4)</f>
        <v>7.6829268292682933</v>
      </c>
      <c r="AH72" s="168">
        <f>C72*SUM('T21'!$F$5)</f>
        <v>124694.05620964679</v>
      </c>
      <c r="AI72" s="168">
        <f>D72*SUM('T21'!$F$6)</f>
        <v>63.967897271268065</v>
      </c>
      <c r="AJ72" s="168">
        <f>E72*SUM('T21'!$F$7)</f>
        <v>83.194130925507906</v>
      </c>
      <c r="AK72" s="168">
        <f>F72*SUM('T21'!$F$8)</f>
        <v>27805.497797845957</v>
      </c>
      <c r="AL72" s="168">
        <f>G72*SUM('T21'!$F$9)</f>
        <v>4345.3511705685614</v>
      </c>
      <c r="AM72" s="168">
        <f>H72*SUM('T21'!$F$10)</f>
        <v>7458.3199498117947</v>
      </c>
    </row>
    <row r="73" spans="1:39">
      <c r="A73" s="184">
        <v>2034</v>
      </c>
      <c r="B73" s="184">
        <f t="shared" si="139"/>
        <v>15</v>
      </c>
      <c r="C73" s="184">
        <f t="shared" si="140"/>
        <v>168505</v>
      </c>
      <c r="D73" s="184">
        <f t="shared" si="141"/>
        <v>4865</v>
      </c>
      <c r="E73" s="184">
        <f t="shared" si="142"/>
        <v>400</v>
      </c>
      <c r="F73" s="184">
        <f t="shared" si="143"/>
        <v>28650</v>
      </c>
      <c r="G73" s="184">
        <f t="shared" si="144"/>
        <v>9635</v>
      </c>
      <c r="H73" s="184">
        <f t="shared" si="145"/>
        <v>10545</v>
      </c>
      <c r="I73" s="185"/>
      <c r="J73" s="168">
        <f>B73*SUM('T5'!$H$42:$I$42)</f>
        <v>2.9508756278847135</v>
      </c>
      <c r="K73" s="168">
        <f>C73*SUM('T5'!$H$42:$I$42)</f>
        <v>33149.153178447574</v>
      </c>
      <c r="L73" s="168">
        <f>D73*SUM('T5'!$H$42:$I$42)</f>
        <v>957.06732864394212</v>
      </c>
      <c r="M73" s="168">
        <f>E73*SUM('T5'!$H$42:$I$42)</f>
        <v>78.690016743592366</v>
      </c>
      <c r="N73" s="168">
        <f>F73*SUM('T5'!$H$42:$I$42)</f>
        <v>5636.1724492598032</v>
      </c>
      <c r="O73" s="168">
        <f>G73*SUM('T5'!$H$42:$I$42)</f>
        <v>1895.4457783112809</v>
      </c>
      <c r="P73" s="168">
        <f>H73*SUM('T5'!$H$42:$I$42)</f>
        <v>2074.4655664029538</v>
      </c>
      <c r="Q73" s="168">
        <f>B73*SUM('T5'!$J$40:$L$40)</f>
        <v>11.526485546257696</v>
      </c>
      <c r="R73" s="168">
        <f>C73*SUM('T5'!$J$40:$L$40)</f>
        <v>129484.69646481021</v>
      </c>
      <c r="S73" s="168">
        <f>D73*SUM('T5'!$J$40:$L$40)</f>
        <v>3738.4234788362464</v>
      </c>
      <c r="T73" s="168">
        <f>E73*SUM('T5'!$J$40:$L$40)</f>
        <v>307.37294790020525</v>
      </c>
      <c r="U73" s="168">
        <f>F73*SUM('T5'!$J$40:$L$40)</f>
        <v>22015.587393352202</v>
      </c>
      <c r="V73" s="168">
        <f>G73*SUM('T5'!$J$40:$L$40)</f>
        <v>7403.8458825461939</v>
      </c>
      <c r="W73" s="168">
        <f>H73*SUM('T5'!$J$40:$L$40)</f>
        <v>8103.1193390191611</v>
      </c>
      <c r="X73" s="168"/>
      <c r="Y73" s="185"/>
      <c r="Z73" s="168">
        <f>B73*'T21'!$E$4</f>
        <v>7.3170731707317067</v>
      </c>
      <c r="AA73" s="168">
        <f>C73*'T21'!$E$5</f>
        <v>42195.580453221926</v>
      </c>
      <c r="AB73" s="168">
        <f>D73*'T21'!$E$6</f>
        <v>4808.7752808988762</v>
      </c>
      <c r="AC73" s="168">
        <f>E73*'T21'!$E$7</f>
        <v>317.83295711060947</v>
      </c>
      <c r="AD73" s="168">
        <f>F73*'T21'!$E$8</f>
        <v>663.78844516821493</v>
      </c>
      <c r="AE73" s="168">
        <f>G73*'T21'!$E$9</f>
        <v>5329.8628762541803</v>
      </c>
      <c r="AF73" s="168">
        <f>H73*'T21'!$E$10</f>
        <v>3191.2848180677543</v>
      </c>
      <c r="AG73" s="168">
        <f>B73*SUM('T21'!$F$4)</f>
        <v>7.6829268292682933</v>
      </c>
      <c r="AH73" s="168">
        <f>C73*SUM('T21'!$F$5)</f>
        <v>126309.41954677808</v>
      </c>
      <c r="AI73" s="168">
        <f>D73*SUM('T21'!$F$6)</f>
        <v>56.224719101123597</v>
      </c>
      <c r="AJ73" s="168">
        <f>E73*SUM('T21'!$F$7)</f>
        <v>82.167042889390515</v>
      </c>
      <c r="AK73" s="168">
        <f>F73*SUM('T21'!$F$8)</f>
        <v>27986.211554831785</v>
      </c>
      <c r="AL73" s="168">
        <f>G73*SUM('T21'!$F$9)</f>
        <v>4305.1371237458197</v>
      </c>
      <c r="AM73" s="168">
        <f>H73*SUM('T21'!$F$10)</f>
        <v>7353.7151819322462</v>
      </c>
    </row>
    <row r="74" spans="1:39">
      <c r="A74" s="184">
        <v>2035</v>
      </c>
      <c r="B74" s="184">
        <f t="shared" si="139"/>
        <v>15</v>
      </c>
      <c r="C74" s="184">
        <f t="shared" si="140"/>
        <v>170685</v>
      </c>
      <c r="D74" s="184">
        <f t="shared" si="141"/>
        <v>4275</v>
      </c>
      <c r="E74" s="184">
        <f t="shared" si="142"/>
        <v>395</v>
      </c>
      <c r="F74" s="184">
        <f t="shared" si="143"/>
        <v>28835</v>
      </c>
      <c r="G74" s="184">
        <f t="shared" si="144"/>
        <v>9545</v>
      </c>
      <c r="H74" s="184">
        <f t="shared" si="145"/>
        <v>10400</v>
      </c>
      <c r="I74" s="185"/>
      <c r="J74" s="168">
        <f>B74*SUM('T5'!$H$42:$I$42)</f>
        <v>2.9508756278847135</v>
      </c>
      <c r="K74" s="168">
        <f>C74*SUM('T5'!$H$42:$I$42)</f>
        <v>33578.013769700156</v>
      </c>
      <c r="L74" s="168">
        <f>D74*SUM('T5'!$H$42:$I$42)</f>
        <v>840.99955394714334</v>
      </c>
      <c r="M74" s="168">
        <f>E74*SUM('T5'!$H$42:$I$42)</f>
        <v>77.706391534297452</v>
      </c>
      <c r="N74" s="168">
        <f>F74*SUM('T5'!$H$42:$I$42)</f>
        <v>5672.5665820037148</v>
      </c>
      <c r="O74" s="168">
        <f>G74*SUM('T5'!$H$42:$I$42)</f>
        <v>1877.7405245439727</v>
      </c>
      <c r="P74" s="168">
        <f>H74*SUM('T5'!$H$42:$I$42)</f>
        <v>2045.9404353334014</v>
      </c>
      <c r="Q74" s="168">
        <f>B74*SUM('T5'!$J$40:$L$40)</f>
        <v>11.526485546257696</v>
      </c>
      <c r="R74" s="168">
        <f>C74*SUM('T5'!$J$40:$L$40)</f>
        <v>131159.87903086632</v>
      </c>
      <c r="S74" s="168">
        <f>D74*SUM('T5'!$J$40:$L$40)</f>
        <v>3285.0483806834436</v>
      </c>
      <c r="T74" s="168">
        <f>E74*SUM('T5'!$J$40:$L$40)</f>
        <v>303.53078605145265</v>
      </c>
      <c r="U74" s="168">
        <f>F74*SUM('T5'!$J$40:$L$40)</f>
        <v>22157.747381756046</v>
      </c>
      <c r="V74" s="168">
        <f>G74*SUM('T5'!$J$40:$L$40)</f>
        <v>7334.6869692686478</v>
      </c>
      <c r="W74" s="168">
        <f>H74*SUM('T5'!$J$40:$L$40)</f>
        <v>7991.6966454053363</v>
      </c>
      <c r="X74" s="168"/>
      <c r="Y74" s="185"/>
      <c r="Z74" s="168">
        <f>B74*'T21'!$E$4</f>
        <v>7.3170731707317067</v>
      </c>
      <c r="AA74" s="168">
        <f>C74*'T21'!$E$5</f>
        <v>42741.477402202807</v>
      </c>
      <c r="AB74" s="168">
        <f>D74*'T21'!$E$6</f>
        <v>4225.5939004815409</v>
      </c>
      <c r="AC74" s="168">
        <f>E74*'T21'!$E$7</f>
        <v>313.86004514672686</v>
      </c>
      <c r="AD74" s="168">
        <f>F74*'T21'!$E$8</f>
        <v>668.07468818239022</v>
      </c>
      <c r="AE74" s="168">
        <f>G74*'T21'!$E$9</f>
        <v>5280.0769230769229</v>
      </c>
      <c r="AF74" s="168">
        <f>H74*'T21'!$E$10</f>
        <v>3147.4027603513177</v>
      </c>
      <c r="AG74" s="168">
        <f>B74*SUM('T21'!$F$4)</f>
        <v>7.6829268292682933</v>
      </c>
      <c r="AH74" s="168">
        <f>C74*SUM('T21'!$F$5)</f>
        <v>127943.52259779719</v>
      </c>
      <c r="AI74" s="168">
        <f>D74*SUM('T21'!$F$6)</f>
        <v>49.406099518459072</v>
      </c>
      <c r="AJ74" s="168">
        <f>E74*SUM('T21'!$F$7)</f>
        <v>81.139954853273139</v>
      </c>
      <c r="AK74" s="168">
        <f>F74*SUM('T21'!$F$8)</f>
        <v>28166.925311817609</v>
      </c>
      <c r="AL74" s="168">
        <f>G74*SUM('T21'!$F$9)</f>
        <v>4264.9230769230771</v>
      </c>
      <c r="AM74" s="168">
        <f>H74*SUM('T21'!$F$10)</f>
        <v>7252.5972396486832</v>
      </c>
    </row>
    <row r="76" spans="1:39">
      <c r="A76" s="184"/>
      <c r="B76" s="175" t="s">
        <v>424</v>
      </c>
      <c r="C76" s="175"/>
      <c r="D76" s="175"/>
      <c r="E76" s="175"/>
      <c r="F76" s="175"/>
      <c r="G76" s="175"/>
      <c r="H76" s="175"/>
      <c r="I76" s="185"/>
      <c r="J76" s="184"/>
      <c r="K76" s="184"/>
      <c r="L76" s="184"/>
      <c r="M76" s="184"/>
      <c r="N76" s="184"/>
      <c r="O76" s="184"/>
      <c r="P76" s="184"/>
      <c r="Q76" s="184"/>
      <c r="R76" s="184"/>
      <c r="S76" s="184"/>
      <c r="T76" s="184"/>
      <c r="U76" s="184"/>
      <c r="V76" s="184"/>
      <c r="W76" s="184"/>
      <c r="X76" s="184"/>
      <c r="Y76" s="185"/>
      <c r="Z76" s="184"/>
      <c r="AA76" s="184"/>
      <c r="AB76" s="184"/>
      <c r="AC76" s="184"/>
      <c r="AD76" s="184"/>
      <c r="AE76" s="184"/>
      <c r="AF76" s="184"/>
      <c r="AG76" s="184"/>
      <c r="AH76" s="184"/>
      <c r="AI76" s="184"/>
      <c r="AJ76" s="184"/>
      <c r="AK76" s="184"/>
      <c r="AL76" s="184"/>
      <c r="AM76" s="184"/>
    </row>
    <row r="77" spans="1:39">
      <c r="A77" s="184">
        <v>2026</v>
      </c>
      <c r="B77" s="184">
        <f t="shared" ref="B77:H77" si="146">IF(B$44&gt;0,MROUND(B14+(B$14*B$44),5),MROUND(B$14-(B$14*ABS(B$44)),5))</f>
        <v>45</v>
      </c>
      <c r="C77" s="184">
        <f t="shared" si="146"/>
        <v>154555</v>
      </c>
      <c r="D77" s="184">
        <f t="shared" si="146"/>
        <v>14485</v>
      </c>
      <c r="E77" s="184">
        <f t="shared" si="146"/>
        <v>465</v>
      </c>
      <c r="F77" s="184">
        <f t="shared" si="146"/>
        <v>27480</v>
      </c>
      <c r="G77" s="184">
        <f t="shared" si="146"/>
        <v>10520</v>
      </c>
      <c r="H77" s="184">
        <f t="shared" si="146"/>
        <v>12070</v>
      </c>
      <c r="I77" s="185"/>
      <c r="J77" s="168">
        <f>B77*SUM('T5'!$H$42:$I$42)</f>
        <v>8.8526268836541409</v>
      </c>
      <c r="K77" s="168">
        <f>C77*SUM('T5'!$H$42:$I$42)</f>
        <v>30404.838844514794</v>
      </c>
      <c r="L77" s="168">
        <f>D77*SUM('T5'!$H$42:$I$42)</f>
        <v>2849.5622313273384</v>
      </c>
      <c r="M77" s="168">
        <f>E77*SUM('T5'!$H$42:$I$42)</f>
        <v>91.477144464426118</v>
      </c>
      <c r="N77" s="168">
        <f>F77*SUM('T5'!$H$42:$I$42)</f>
        <v>5406.0041502847953</v>
      </c>
      <c r="O77" s="168">
        <f>G77*SUM('T5'!$H$42:$I$42)</f>
        <v>2069.547440356479</v>
      </c>
      <c r="P77" s="168">
        <f>H77*SUM('T5'!$H$42:$I$42)</f>
        <v>2374.4712552378996</v>
      </c>
      <c r="Q77" s="168">
        <f>B77*SUM('T5'!$J$40:$L$40)</f>
        <v>34.579456638773088</v>
      </c>
      <c r="R77" s="168">
        <f>C77*SUM('T5'!$J$40:$L$40)</f>
        <v>118765.06490679055</v>
      </c>
      <c r="S77" s="168">
        <f>D77*SUM('T5'!$J$40:$L$40)</f>
        <v>11130.742875836182</v>
      </c>
      <c r="T77" s="168">
        <f>E77*SUM('T5'!$J$40:$L$40)</f>
        <v>357.3210519339886</v>
      </c>
      <c r="U77" s="168">
        <f>F77*SUM('T5'!$J$40:$L$40)</f>
        <v>21116.5215207441</v>
      </c>
      <c r="V77" s="168">
        <f>G77*SUM('T5'!$J$40:$L$40)</f>
        <v>8083.9085297753982</v>
      </c>
      <c r="W77" s="168">
        <f>H77*SUM('T5'!$J$40:$L$40)</f>
        <v>9274.9787028886931</v>
      </c>
      <c r="X77" s="168"/>
      <c r="Y77" s="185"/>
      <c r="Z77" s="168">
        <f>B77*'T21'!$E$4</f>
        <v>21.95121951219512</v>
      </c>
      <c r="AA77" s="168">
        <f>C77*'T21'!$E$5</f>
        <v>38702.340802633247</v>
      </c>
      <c r="AB77" s="168">
        <f>D77*'T21'!$E$6</f>
        <v>14317.597110754414</v>
      </c>
      <c r="AC77" s="168">
        <f>E77*'T21'!$E$7</f>
        <v>369.4808126410835</v>
      </c>
      <c r="AD77" s="168">
        <f>F77*'T21'!$E$8</f>
        <v>636.68085421370142</v>
      </c>
      <c r="AE77" s="168">
        <f>G77*'T21'!$E$9</f>
        <v>5819.4247491638798</v>
      </c>
      <c r="AF77" s="168">
        <f>H77*'T21'!$E$10</f>
        <v>3652.8030112923466</v>
      </c>
      <c r="AG77" s="168">
        <f>B77*SUM('T21'!$F$4)</f>
        <v>23.04878048780488</v>
      </c>
      <c r="AH77" s="168">
        <f>C77*SUM('T21'!$F$5)</f>
        <v>115852.65919736675</v>
      </c>
      <c r="AI77" s="168">
        <f>D77*SUM('T21'!$F$6)</f>
        <v>167.4028892455859</v>
      </c>
      <c r="AJ77" s="168">
        <f>E77*SUM('T21'!$F$7)</f>
        <v>95.519187358916483</v>
      </c>
      <c r="AK77" s="168">
        <f>F77*SUM('T21'!$F$8)</f>
        <v>26843.319145786296</v>
      </c>
      <c r="AL77" s="168">
        <f>G77*SUM('T21'!$F$9)</f>
        <v>4700.5752508361202</v>
      </c>
      <c r="AM77" s="168">
        <f>H77*SUM('T21'!$F$10)</f>
        <v>8417.1969887076539</v>
      </c>
    </row>
    <row r="78" spans="1:39">
      <c r="A78" s="184">
        <v>2027</v>
      </c>
      <c r="B78" s="184">
        <f t="shared" ref="B78:B86" si="147">IF(B$44&gt;0,MROUND(B77+(B77*B$44),5),MROUND(B77-(B77*ABS(B$44)),5))</f>
        <v>50</v>
      </c>
      <c r="C78" s="184">
        <f t="shared" ref="C78:C86" si="148">IF(C$44&gt;0,MROUND(C77+(C77*C$44),5),MROUND(C77-(C77*ABS(C$44)),5))</f>
        <v>159165</v>
      </c>
      <c r="D78" s="184">
        <f t="shared" ref="D78:D86" si="149">IF(D$44&gt;0,MROUND(D77+(D77*D$44),5),MROUND(D77-(D77*ABS(D$44)),5))</f>
        <v>13470</v>
      </c>
      <c r="E78" s="184">
        <f t="shared" ref="E78:E86" si="150">IF(E$44&gt;0,MROUND(E77+(E77*E$44),5),MROUND(E77-(E77*ABS(E$44)),5))</f>
        <v>490</v>
      </c>
      <c r="F78" s="184">
        <f t="shared" ref="F78:F86" si="151">IF(F$44&gt;0,MROUND(F77+(F77*F$44),5),MROUND(F77-(F77*ABS(F$44)),5))</f>
        <v>27950</v>
      </c>
      <c r="G78" s="184">
        <f t="shared" ref="G78:G86" si="152">IF(G$44&gt;0,MROUND(G77+(G77*G$44),5),MROUND(G77-(G77*ABS(G$44)),5))</f>
        <v>10575</v>
      </c>
      <c r="H78" s="184">
        <f t="shared" ref="H78:H86" si="153">IF(H$44&gt;0,MROUND(H77+(H77*H$44),5),MROUND(H77-(H77*ABS(H$44)),5))</f>
        <v>12185</v>
      </c>
      <c r="I78" s="185"/>
      <c r="J78" s="168">
        <f>B78*SUM('T5'!$H$42:$I$42)</f>
        <v>9.8362520929490458</v>
      </c>
      <c r="K78" s="168">
        <f>C78*SUM('T5'!$H$42:$I$42)</f>
        <v>31311.741287484696</v>
      </c>
      <c r="L78" s="168">
        <f>D78*SUM('T5'!$H$42:$I$42)</f>
        <v>2649.8863138404727</v>
      </c>
      <c r="M78" s="168">
        <f>E78*SUM('T5'!$H$42:$I$42)</f>
        <v>96.395270510900644</v>
      </c>
      <c r="N78" s="168">
        <f>F78*SUM('T5'!$H$42:$I$42)</f>
        <v>5498.4649199585165</v>
      </c>
      <c r="O78" s="168">
        <f>G78*SUM('T5'!$H$42:$I$42)</f>
        <v>2080.3673176587231</v>
      </c>
      <c r="P78" s="168">
        <f>H78*SUM('T5'!$H$42:$I$42)</f>
        <v>2397.0946350516824</v>
      </c>
      <c r="Q78" s="168">
        <f>B78*SUM('T5'!$J$40:$L$40)</f>
        <v>38.421618487525656</v>
      </c>
      <c r="R78" s="168">
        <f>C78*SUM('T5'!$J$40:$L$40)</f>
        <v>122307.53813134042</v>
      </c>
      <c r="S78" s="168">
        <f>D78*SUM('T5'!$J$40:$L$40)</f>
        <v>10350.784020539411</v>
      </c>
      <c r="T78" s="168">
        <f>E78*SUM('T5'!$J$40:$L$40)</f>
        <v>376.53186117775141</v>
      </c>
      <c r="U78" s="168">
        <f>F78*SUM('T5'!$J$40:$L$40)</f>
        <v>21477.68473452684</v>
      </c>
      <c r="V78" s="168">
        <f>G78*SUM('T5'!$J$40:$L$40)</f>
        <v>8126.1723101116759</v>
      </c>
      <c r="W78" s="168">
        <f>H78*SUM('T5'!$J$40:$L$40)</f>
        <v>9363.3484254100022</v>
      </c>
      <c r="X78" s="168"/>
      <c r="Y78" s="185"/>
      <c r="Z78" s="168">
        <f>B78*'T21'!$E$4</f>
        <v>24.390243902439025</v>
      </c>
      <c r="AA78" s="168">
        <f>C78*'T21'!$E$5</f>
        <v>39856.737561716669</v>
      </c>
      <c r="AB78" s="168">
        <f>D78*'T21'!$E$6</f>
        <v>13314.327447833066</v>
      </c>
      <c r="AC78" s="168">
        <f>E78*'T21'!$E$7</f>
        <v>389.34537246049661</v>
      </c>
      <c r="AD78" s="168">
        <f>F78*'T21'!$E$8</f>
        <v>647.57022835782232</v>
      </c>
      <c r="AE78" s="168">
        <f>G78*'T21'!$E$9</f>
        <v>5849.8494983277596</v>
      </c>
      <c r="AF78" s="168">
        <f>H78*'T21'!$E$10</f>
        <v>3687.6060225846927</v>
      </c>
      <c r="AG78" s="168">
        <f>B78*SUM('T21'!$F$4)</f>
        <v>25.609756097560975</v>
      </c>
      <c r="AH78" s="168">
        <f>C78*SUM('T21'!$F$5)</f>
        <v>119308.26243828333</v>
      </c>
      <c r="AI78" s="168">
        <f>D78*SUM('T21'!$F$6)</f>
        <v>155.6725521669342</v>
      </c>
      <c r="AJ78" s="168">
        <f>E78*SUM('T21'!$F$7)</f>
        <v>100.65462753950338</v>
      </c>
      <c r="AK78" s="168">
        <f>F78*SUM('T21'!$F$8)</f>
        <v>27302.429771642175</v>
      </c>
      <c r="AL78" s="168">
        <f>G78*SUM('T21'!$F$9)</f>
        <v>4725.1505016722404</v>
      </c>
      <c r="AM78" s="168">
        <f>H78*SUM('T21'!$F$10)</f>
        <v>8497.3939774153077</v>
      </c>
    </row>
    <row r="79" spans="1:39">
      <c r="A79" s="184">
        <v>2028</v>
      </c>
      <c r="B79" s="184">
        <f t="shared" si="147"/>
        <v>55</v>
      </c>
      <c r="C79" s="184">
        <f t="shared" si="148"/>
        <v>163910</v>
      </c>
      <c r="D79" s="184">
        <f t="shared" si="149"/>
        <v>12530</v>
      </c>
      <c r="E79" s="184">
        <f t="shared" si="150"/>
        <v>515</v>
      </c>
      <c r="F79" s="184">
        <f t="shared" si="151"/>
        <v>28430</v>
      </c>
      <c r="G79" s="184">
        <f t="shared" si="152"/>
        <v>10630</v>
      </c>
      <c r="H79" s="184">
        <f t="shared" si="153"/>
        <v>12300</v>
      </c>
      <c r="I79" s="185"/>
      <c r="J79" s="168">
        <f>B79*SUM('T5'!$H$42:$I$42)</f>
        <v>10.819877302243949</v>
      </c>
      <c r="K79" s="168">
        <f>C79*SUM('T5'!$H$42:$I$42)</f>
        <v>32245.20161110556</v>
      </c>
      <c r="L79" s="168">
        <f>D79*SUM('T5'!$H$42:$I$42)</f>
        <v>2464.9647744930307</v>
      </c>
      <c r="M79" s="168">
        <f>E79*SUM('T5'!$H$42:$I$42)</f>
        <v>101.31339655737517</v>
      </c>
      <c r="N79" s="168">
        <f>F79*SUM('T5'!$H$42:$I$42)</f>
        <v>5592.8929400508268</v>
      </c>
      <c r="O79" s="168">
        <f>G79*SUM('T5'!$H$42:$I$42)</f>
        <v>2091.1871949609672</v>
      </c>
      <c r="P79" s="168">
        <f>H79*SUM('T5'!$H$42:$I$42)</f>
        <v>2419.7180148654652</v>
      </c>
      <c r="Q79" s="168">
        <f>B79*SUM('T5'!$J$40:$L$40)</f>
        <v>42.263780336278224</v>
      </c>
      <c r="R79" s="168">
        <f>C79*SUM('T5'!$J$40:$L$40)</f>
        <v>125953.7497258066</v>
      </c>
      <c r="S79" s="168">
        <f>D79*SUM('T5'!$J$40:$L$40)</f>
        <v>9628.4575929739294</v>
      </c>
      <c r="T79" s="168">
        <f>E79*SUM('T5'!$J$40:$L$40)</f>
        <v>395.74267042151422</v>
      </c>
      <c r="U79" s="168">
        <f>F79*SUM('T5'!$J$40:$L$40)</f>
        <v>21846.532272007087</v>
      </c>
      <c r="V79" s="168">
        <f>G79*SUM('T5'!$J$40:$L$40)</f>
        <v>8168.4360904479545</v>
      </c>
      <c r="W79" s="168">
        <f>H79*SUM('T5'!$J$40:$L$40)</f>
        <v>9451.7181479313113</v>
      </c>
      <c r="X79" s="168"/>
      <c r="Y79" s="185"/>
      <c r="Z79" s="168">
        <f>B79*'T21'!$E$4</f>
        <v>26.829268292682926</v>
      </c>
      <c r="AA79" s="168">
        <f>C79*'T21'!$E$5</f>
        <v>41044.939865805798</v>
      </c>
      <c r="AB79" s="168">
        <f>D79*'T21'!$E$6</f>
        <v>12385.191011235955</v>
      </c>
      <c r="AC79" s="168">
        <f>E79*'T21'!$E$7</f>
        <v>409.20993227990965</v>
      </c>
      <c r="AD79" s="168">
        <f>F79*'T21'!$E$8</f>
        <v>658.69129131352008</v>
      </c>
      <c r="AE79" s="168">
        <f>G79*'T21'!$E$9</f>
        <v>5880.2742474916386</v>
      </c>
      <c r="AF79" s="168">
        <f>H79*'T21'!$E$10</f>
        <v>3722.4090338770393</v>
      </c>
      <c r="AG79" s="168">
        <f>B79*SUM('T21'!$F$4)</f>
        <v>28.170731707317074</v>
      </c>
      <c r="AH79" s="168">
        <f>C79*SUM('T21'!$F$5)</f>
        <v>122865.06013419421</v>
      </c>
      <c r="AI79" s="168">
        <f>D79*SUM('T21'!$F$6)</f>
        <v>144.80898876404495</v>
      </c>
      <c r="AJ79" s="168">
        <f>E79*SUM('T21'!$F$7)</f>
        <v>105.79006772009029</v>
      </c>
      <c r="AK79" s="168">
        <f>F79*SUM('T21'!$F$8)</f>
        <v>27771.30870868648</v>
      </c>
      <c r="AL79" s="168">
        <f>G79*SUM('T21'!$F$9)</f>
        <v>4749.7257525083614</v>
      </c>
      <c r="AM79" s="168">
        <f>H79*SUM('T21'!$F$10)</f>
        <v>8577.5909661229616</v>
      </c>
    </row>
    <row r="80" spans="1:39">
      <c r="A80" s="184">
        <v>2029</v>
      </c>
      <c r="B80" s="184">
        <f t="shared" si="147"/>
        <v>60</v>
      </c>
      <c r="C80" s="184">
        <f t="shared" si="148"/>
        <v>168800</v>
      </c>
      <c r="D80" s="184">
        <f t="shared" si="149"/>
        <v>11655</v>
      </c>
      <c r="E80" s="184">
        <f t="shared" si="150"/>
        <v>545</v>
      </c>
      <c r="F80" s="184">
        <f t="shared" si="151"/>
        <v>28915</v>
      </c>
      <c r="G80" s="184">
        <f t="shared" si="152"/>
        <v>10685</v>
      </c>
      <c r="H80" s="184">
        <f t="shared" si="153"/>
        <v>12420</v>
      </c>
      <c r="I80" s="185"/>
      <c r="J80" s="168">
        <f>B80*SUM('T5'!$H$42:$I$42)</f>
        <v>11.803502511538854</v>
      </c>
      <c r="K80" s="168">
        <f>C80*SUM('T5'!$H$42:$I$42)</f>
        <v>33207.187065795973</v>
      </c>
      <c r="L80" s="168">
        <f>D80*SUM('T5'!$H$42:$I$42)</f>
        <v>2292.8303628664225</v>
      </c>
      <c r="M80" s="168">
        <f>E80*SUM('T5'!$H$42:$I$42)</f>
        <v>107.2151478131446</v>
      </c>
      <c r="N80" s="168">
        <f>F80*SUM('T5'!$H$42:$I$42)</f>
        <v>5688.3045853524327</v>
      </c>
      <c r="O80" s="168">
        <f>G80*SUM('T5'!$H$42:$I$42)</f>
        <v>2102.0070722632108</v>
      </c>
      <c r="P80" s="168">
        <f>H80*SUM('T5'!$H$42:$I$42)</f>
        <v>2443.325019888543</v>
      </c>
      <c r="Q80" s="168">
        <f>B80*SUM('T5'!$J$40:$L$40)</f>
        <v>46.105942185030784</v>
      </c>
      <c r="R80" s="168">
        <f>C80*SUM('T5'!$J$40:$L$40)</f>
        <v>129711.38401388661</v>
      </c>
      <c r="S80" s="168">
        <f>D80*SUM('T5'!$J$40:$L$40)</f>
        <v>8956.0792694422307</v>
      </c>
      <c r="T80" s="168">
        <f>E80*SUM('T5'!$J$40:$L$40)</f>
        <v>418.79564151402963</v>
      </c>
      <c r="U80" s="168">
        <f>F80*SUM('T5'!$J$40:$L$40)</f>
        <v>22219.221971336086</v>
      </c>
      <c r="V80" s="168">
        <f>G80*SUM('T5'!$J$40:$L$40)</f>
        <v>8210.6998707842322</v>
      </c>
      <c r="W80" s="168">
        <f>H80*SUM('T5'!$J$40:$L$40)</f>
        <v>9543.9300323013722</v>
      </c>
      <c r="X80" s="168"/>
      <c r="Y80" s="185"/>
      <c r="Z80" s="168">
        <f>B80*'T21'!$E$4</f>
        <v>29.268292682926827</v>
      </c>
      <c r="AA80" s="168">
        <f>C80*'T21'!$E$5</f>
        <v>42269.451829345489</v>
      </c>
      <c r="AB80" s="168">
        <f>D80*'T21'!$E$6</f>
        <v>11520.303370786516</v>
      </c>
      <c r="AC80" s="168">
        <f>E80*'T21'!$E$7</f>
        <v>433.04740406320536</v>
      </c>
      <c r="AD80" s="168">
        <f>F80*'T21'!$E$8</f>
        <v>669.92819867500646</v>
      </c>
      <c r="AE80" s="168">
        <f>G80*'T21'!$E$9</f>
        <v>5910.6989966555184</v>
      </c>
      <c r="AF80" s="168">
        <f>H80*'T21'!$E$10</f>
        <v>3758.7252195734004</v>
      </c>
      <c r="AG80" s="168">
        <f>B80*SUM('T21'!$F$4)</f>
        <v>30.731707317073173</v>
      </c>
      <c r="AH80" s="168">
        <f>C80*SUM('T21'!$F$5)</f>
        <v>126530.54817065451</v>
      </c>
      <c r="AI80" s="168">
        <f>D80*SUM('T21'!$F$6)</f>
        <v>134.69662921348316</v>
      </c>
      <c r="AJ80" s="168">
        <f>E80*SUM('T21'!$F$7)</f>
        <v>111.95259593679458</v>
      </c>
      <c r="AK80" s="168">
        <f>F80*SUM('T21'!$F$8)</f>
        <v>28245.071801324993</v>
      </c>
      <c r="AL80" s="168">
        <f>G80*SUM('T21'!$F$9)</f>
        <v>4774.3010033444816</v>
      </c>
      <c r="AM80" s="168">
        <f>H80*SUM('T21'!$F$10)</f>
        <v>8661.2747804266</v>
      </c>
    </row>
    <row r="81" spans="1:40">
      <c r="A81" s="184">
        <v>2030</v>
      </c>
      <c r="B81" s="184">
        <f t="shared" si="147"/>
        <v>65</v>
      </c>
      <c r="C81" s="184">
        <f t="shared" si="148"/>
        <v>173835</v>
      </c>
      <c r="D81" s="184">
        <f t="shared" si="149"/>
        <v>10840</v>
      </c>
      <c r="E81" s="184">
        <f t="shared" si="150"/>
        <v>575</v>
      </c>
      <c r="F81" s="184">
        <f t="shared" si="151"/>
        <v>29410</v>
      </c>
      <c r="G81" s="184">
        <f t="shared" si="152"/>
        <v>10740</v>
      </c>
      <c r="H81" s="184">
        <f t="shared" si="153"/>
        <v>12540</v>
      </c>
      <c r="I81" s="185"/>
      <c r="J81" s="168">
        <f>B81*SUM('T5'!$H$42:$I$42)</f>
        <v>12.787127720833759</v>
      </c>
      <c r="K81" s="168">
        <f>C81*SUM('T5'!$H$42:$I$42)</f>
        <v>34197.697651555944</v>
      </c>
      <c r="L81" s="168">
        <f>D81*SUM('T5'!$H$42:$I$42)</f>
        <v>2132.499453751353</v>
      </c>
      <c r="M81" s="168">
        <f>E81*SUM('T5'!$H$42:$I$42)</f>
        <v>113.11689906891402</v>
      </c>
      <c r="N81" s="168">
        <f>F81*SUM('T5'!$H$42:$I$42)</f>
        <v>5785.6834810726286</v>
      </c>
      <c r="O81" s="168">
        <f>G81*SUM('T5'!$H$42:$I$42)</f>
        <v>2112.8269495654549</v>
      </c>
      <c r="P81" s="168">
        <f>H81*SUM('T5'!$H$42:$I$42)</f>
        <v>2466.9320249116204</v>
      </c>
      <c r="Q81" s="168">
        <f>B81*SUM('T5'!$J$40:$L$40)</f>
        <v>49.948104033783352</v>
      </c>
      <c r="R81" s="168">
        <f>C81*SUM('T5'!$J$40:$L$40)</f>
        <v>133580.44099558046</v>
      </c>
      <c r="S81" s="168">
        <f>D81*SUM('T5'!$J$40:$L$40)</f>
        <v>8329.8068880955616</v>
      </c>
      <c r="T81" s="168">
        <f>E81*SUM('T5'!$J$40:$L$40)</f>
        <v>441.84861260654503</v>
      </c>
      <c r="U81" s="168">
        <f>F81*SUM('T5'!$J$40:$L$40)</f>
        <v>22599.595994362589</v>
      </c>
      <c r="V81" s="168">
        <f>G81*SUM('T5'!$J$40:$L$40)</f>
        <v>8252.9636511205099</v>
      </c>
      <c r="W81" s="168">
        <f>H81*SUM('T5'!$J$40:$L$40)</f>
        <v>9636.141916671435</v>
      </c>
      <c r="X81" s="168"/>
      <c r="Y81" s="185"/>
      <c r="Z81" s="168">
        <f>B81*'T21'!$E$4</f>
        <v>31.707317073170731</v>
      </c>
      <c r="AA81" s="168">
        <f>C81*'T21'!$E$5</f>
        <v>43530.273452335736</v>
      </c>
      <c r="AB81" s="168">
        <f>D81*'T21'!$E$6</f>
        <v>10714.722311396468</v>
      </c>
      <c r="AC81" s="168">
        <f>E81*'T21'!$E$7</f>
        <v>456.88487584650107</v>
      </c>
      <c r="AD81" s="168">
        <f>F81*'T21'!$E$8</f>
        <v>681.39679484806993</v>
      </c>
      <c r="AE81" s="168">
        <f>G81*'T21'!$E$9</f>
        <v>5941.1237458193982</v>
      </c>
      <c r="AF81" s="168">
        <f>H81*'T21'!$E$10</f>
        <v>3795.041405269762</v>
      </c>
      <c r="AG81" s="168">
        <f>B81*SUM('T21'!$F$4)</f>
        <v>33.292682926829272</v>
      </c>
      <c r="AH81" s="168">
        <f>C81*SUM('T21'!$F$5)</f>
        <v>130304.72654766426</v>
      </c>
      <c r="AI81" s="168">
        <f>D81*SUM('T21'!$F$6)</f>
        <v>125.2776886035313</v>
      </c>
      <c r="AJ81" s="168">
        <f>E81*SUM('T21'!$F$7)</f>
        <v>118.11512415349887</v>
      </c>
      <c r="AK81" s="168">
        <f>F81*SUM('T21'!$F$8)</f>
        <v>28728.603205151929</v>
      </c>
      <c r="AL81" s="168">
        <f>G81*SUM('T21'!$F$9)</f>
        <v>4798.8762541806018</v>
      </c>
      <c r="AM81" s="168">
        <f>H81*SUM('T21'!$F$10)</f>
        <v>8744.9585947302385</v>
      </c>
      <c r="AN81" s="184"/>
    </row>
    <row r="82" spans="1:40">
      <c r="A82" s="184">
        <v>2031</v>
      </c>
      <c r="B82" s="184">
        <f t="shared" si="147"/>
        <v>70</v>
      </c>
      <c r="C82" s="184">
        <f t="shared" si="148"/>
        <v>179020</v>
      </c>
      <c r="D82" s="184">
        <f t="shared" si="149"/>
        <v>10080</v>
      </c>
      <c r="E82" s="184">
        <f t="shared" si="150"/>
        <v>605</v>
      </c>
      <c r="F82" s="184">
        <f t="shared" si="151"/>
        <v>29915</v>
      </c>
      <c r="G82" s="184">
        <f t="shared" si="152"/>
        <v>10800</v>
      </c>
      <c r="H82" s="184">
        <f t="shared" si="153"/>
        <v>12660</v>
      </c>
      <c r="I82" s="185"/>
      <c r="J82" s="168">
        <f>B82*SUM('T5'!$H$42:$I$42)</f>
        <v>13.770752930128664</v>
      </c>
      <c r="K82" s="168">
        <f>C82*SUM('T5'!$H$42:$I$42)</f>
        <v>35217.71699359476</v>
      </c>
      <c r="L82" s="168">
        <f>D82*SUM('T5'!$H$42:$I$42)</f>
        <v>1982.9884219385276</v>
      </c>
      <c r="M82" s="168">
        <f>E82*SUM('T5'!$H$42:$I$42)</f>
        <v>119.01865032468345</v>
      </c>
      <c r="N82" s="168">
        <f>F82*SUM('T5'!$H$42:$I$42)</f>
        <v>5885.0296272114138</v>
      </c>
      <c r="O82" s="168">
        <f>G82*SUM('T5'!$H$42:$I$42)</f>
        <v>2124.6304520769936</v>
      </c>
      <c r="P82" s="168">
        <f>H82*SUM('T5'!$H$42:$I$42)</f>
        <v>2490.5390299346982</v>
      </c>
      <c r="Q82" s="168">
        <f>B82*SUM('T5'!$J$40:$L$40)</f>
        <v>53.79026588253592</v>
      </c>
      <c r="R82" s="168">
        <f>C82*SUM('T5'!$J$40:$L$40)</f>
        <v>137564.76283273686</v>
      </c>
      <c r="S82" s="168">
        <f>D82*SUM('T5'!$J$40:$L$40)</f>
        <v>7745.798287085172</v>
      </c>
      <c r="T82" s="168">
        <f>E82*SUM('T5'!$J$40:$L$40)</f>
        <v>464.90158369906044</v>
      </c>
      <c r="U82" s="168">
        <f>F82*SUM('T5'!$J$40:$L$40)</f>
        <v>22987.6543410866</v>
      </c>
      <c r="V82" s="168">
        <f>G82*SUM('T5'!$J$40:$L$40)</f>
        <v>8299.0695933055413</v>
      </c>
      <c r="W82" s="168">
        <f>H82*SUM('T5'!$J$40:$L$40)</f>
        <v>9728.3538010414959</v>
      </c>
      <c r="X82" s="168"/>
      <c r="Y82" s="185"/>
      <c r="Z82" s="168">
        <f>B82*'T21'!$E$4</f>
        <v>34.146341463414636</v>
      </c>
      <c r="AA82" s="168">
        <f>C82*'T21'!$E$5</f>
        <v>44828.656791998983</v>
      </c>
      <c r="AB82" s="168">
        <f>D82*'T21'!$E$6</f>
        <v>9963.5056179775274</v>
      </c>
      <c r="AC82" s="168">
        <f>E82*'T21'!$E$7</f>
        <v>480.72234762979679</v>
      </c>
      <c r="AD82" s="168">
        <f>F82*'T21'!$E$8</f>
        <v>693.09707983271028</v>
      </c>
      <c r="AE82" s="168">
        <f>G82*'T21'!$E$9</f>
        <v>5974.3143812709031</v>
      </c>
      <c r="AF82" s="168">
        <f>H82*'T21'!$E$10</f>
        <v>3831.3575909661231</v>
      </c>
      <c r="AG82" s="168">
        <f>B82*SUM('T21'!$F$4)</f>
        <v>35.853658536585364</v>
      </c>
      <c r="AH82" s="168">
        <f>C82*SUM('T21'!$F$5)</f>
        <v>134191.34320800102</v>
      </c>
      <c r="AI82" s="168">
        <f>D82*SUM('T21'!$F$6)</f>
        <v>116.49438202247192</v>
      </c>
      <c r="AJ82" s="168">
        <f>E82*SUM('T21'!$F$7)</f>
        <v>124.27765237020316</v>
      </c>
      <c r="AK82" s="168">
        <f>F82*SUM('T21'!$F$8)</f>
        <v>29221.902920167289</v>
      </c>
      <c r="AL82" s="168">
        <f>G82*SUM('T21'!$F$9)</f>
        <v>4825.6856187290969</v>
      </c>
      <c r="AM82" s="168">
        <f>H82*SUM('T21'!$F$10)</f>
        <v>8828.6424090338769</v>
      </c>
      <c r="AN82" s="184"/>
    </row>
    <row r="83" spans="1:40">
      <c r="A83" s="184">
        <v>2032</v>
      </c>
      <c r="B83" s="184">
        <f t="shared" si="147"/>
        <v>75</v>
      </c>
      <c r="C83" s="184">
        <f t="shared" si="148"/>
        <v>184360</v>
      </c>
      <c r="D83" s="184">
        <f t="shared" si="149"/>
        <v>9375</v>
      </c>
      <c r="E83" s="184">
        <f t="shared" si="150"/>
        <v>640</v>
      </c>
      <c r="F83" s="184">
        <f t="shared" si="151"/>
        <v>30425</v>
      </c>
      <c r="G83" s="184">
        <f t="shared" si="152"/>
        <v>10860</v>
      </c>
      <c r="H83" s="184">
        <f t="shared" si="153"/>
        <v>12780</v>
      </c>
      <c r="I83" s="185"/>
      <c r="J83" s="168">
        <f>B83*SUM('T5'!$H$42:$I$42)</f>
        <v>14.754378139423567</v>
      </c>
      <c r="K83" s="168">
        <f>C83*SUM('T5'!$H$42:$I$42)</f>
        <v>36268.228717121718</v>
      </c>
      <c r="L83" s="168">
        <f>D83*SUM('T5'!$H$42:$I$42)</f>
        <v>1844.2972674279461</v>
      </c>
      <c r="M83" s="168">
        <f>E83*SUM('T5'!$H$42:$I$42)</f>
        <v>125.90402678974777</v>
      </c>
      <c r="N83" s="168">
        <f>F83*SUM('T5'!$H$42:$I$42)</f>
        <v>5985.3593985594944</v>
      </c>
      <c r="O83" s="168">
        <f>G83*SUM('T5'!$H$42:$I$42)</f>
        <v>2136.4339545885327</v>
      </c>
      <c r="P83" s="168">
        <f>H83*SUM('T5'!$H$42:$I$42)</f>
        <v>2514.146034957776</v>
      </c>
      <c r="Q83" s="168">
        <f>B83*SUM('T5'!$J$40:$L$40)</f>
        <v>57.63242773128848</v>
      </c>
      <c r="R83" s="168">
        <f>C83*SUM('T5'!$J$40:$L$40)</f>
        <v>141668.19168720458</v>
      </c>
      <c r="S83" s="168">
        <f>D83*SUM('T5'!$J$40:$L$40)</f>
        <v>7204.0534664110601</v>
      </c>
      <c r="T83" s="168">
        <f>E83*SUM('T5'!$J$40:$L$40)</f>
        <v>491.79671664032838</v>
      </c>
      <c r="U83" s="168">
        <f>F83*SUM('T5'!$J$40:$L$40)</f>
        <v>23379.554849659362</v>
      </c>
      <c r="V83" s="168">
        <f>G83*SUM('T5'!$J$40:$L$40)</f>
        <v>8345.1755354905727</v>
      </c>
      <c r="W83" s="168">
        <f>H83*SUM('T5'!$J$40:$L$40)</f>
        <v>9820.5656854115568</v>
      </c>
      <c r="X83" s="168"/>
      <c r="Y83" s="185"/>
      <c r="Z83" s="168">
        <f>B83*'T21'!$E$4</f>
        <v>36.585365853658537</v>
      </c>
      <c r="AA83" s="168">
        <f>C83*'T21'!$E$5</f>
        <v>46165.853905557662</v>
      </c>
      <c r="AB83" s="168">
        <f>D83*'T21'!$E$6</f>
        <v>9266.6532905296954</v>
      </c>
      <c r="AC83" s="168">
        <f>E83*'T21'!$E$7</f>
        <v>508.53273137697511</v>
      </c>
      <c r="AD83" s="168">
        <f>F83*'T21'!$E$8</f>
        <v>704.91320922313923</v>
      </c>
      <c r="AE83" s="168">
        <f>G83*'T21'!$E$9</f>
        <v>6007.5050167224081</v>
      </c>
      <c r="AF83" s="168">
        <f>H83*'T21'!$E$10</f>
        <v>3867.6737766624847</v>
      </c>
      <c r="AG83" s="168">
        <f>B83*SUM('T21'!$F$4)</f>
        <v>38.414634146341463</v>
      </c>
      <c r="AH83" s="168">
        <f>C83*SUM('T21'!$F$5)</f>
        <v>138194.14609444235</v>
      </c>
      <c r="AI83" s="168">
        <f>D83*SUM('T21'!$F$6)</f>
        <v>108.34670947030499</v>
      </c>
      <c r="AJ83" s="168">
        <f>E83*SUM('T21'!$F$7)</f>
        <v>131.46726862302484</v>
      </c>
      <c r="AK83" s="168">
        <f>F83*SUM('T21'!$F$8)</f>
        <v>29720.086790776859</v>
      </c>
      <c r="AL83" s="168">
        <f>G83*SUM('T21'!$F$9)</f>
        <v>4852.4949832775919</v>
      </c>
      <c r="AM83" s="168">
        <f>H83*SUM('T21'!$F$10)</f>
        <v>8912.3262233375153</v>
      </c>
      <c r="AN83" s="184"/>
    </row>
    <row r="84" spans="1:40">
      <c r="A84" s="184">
        <v>2033</v>
      </c>
      <c r="B84" s="184">
        <f t="shared" si="147"/>
        <v>80</v>
      </c>
      <c r="C84" s="184">
        <f t="shared" si="148"/>
        <v>189860</v>
      </c>
      <c r="D84" s="184">
        <f t="shared" si="149"/>
        <v>8720</v>
      </c>
      <c r="E84" s="184">
        <f t="shared" si="150"/>
        <v>675</v>
      </c>
      <c r="F84" s="184">
        <f t="shared" si="151"/>
        <v>30945</v>
      </c>
      <c r="G84" s="184">
        <f t="shared" si="152"/>
        <v>10920</v>
      </c>
      <c r="H84" s="184">
        <f t="shared" si="153"/>
        <v>12905</v>
      </c>
      <c r="I84" s="185"/>
      <c r="J84" s="168">
        <f>B84*SUM('T5'!$H$42:$I$42)</f>
        <v>15.738003348718472</v>
      </c>
      <c r="K84" s="168">
        <f>C84*SUM('T5'!$H$42:$I$42)</f>
        <v>37350.216447346116</v>
      </c>
      <c r="L84" s="168">
        <f>D84*SUM('T5'!$H$42:$I$42)</f>
        <v>1715.4423650103136</v>
      </c>
      <c r="M84" s="168">
        <f>E84*SUM('T5'!$H$42:$I$42)</f>
        <v>132.7894032548121</v>
      </c>
      <c r="N84" s="168">
        <f>F84*SUM('T5'!$H$42:$I$42)</f>
        <v>6087.6564203261642</v>
      </c>
      <c r="O84" s="168">
        <f>G84*SUM('T5'!$H$42:$I$42)</f>
        <v>2148.2374571000714</v>
      </c>
      <c r="P84" s="168">
        <f>H84*SUM('T5'!$H$42:$I$42)</f>
        <v>2538.7366651901484</v>
      </c>
      <c r="Q84" s="168">
        <f>B84*SUM('T5'!$J$40:$L$40)</f>
        <v>61.474589580041048</v>
      </c>
      <c r="R84" s="168">
        <f>C84*SUM('T5'!$J$40:$L$40)</f>
        <v>145894.56972083243</v>
      </c>
      <c r="S84" s="168">
        <f>D84*SUM('T5'!$J$40:$L$40)</f>
        <v>6700.730264224474</v>
      </c>
      <c r="T84" s="168">
        <f>E84*SUM('T5'!$J$40:$L$40)</f>
        <v>518.69184958159633</v>
      </c>
      <c r="U84" s="168">
        <f>F84*SUM('T5'!$J$40:$L$40)</f>
        <v>23779.139681929628</v>
      </c>
      <c r="V84" s="168">
        <f>G84*SUM('T5'!$J$40:$L$40)</f>
        <v>8391.2814776756022</v>
      </c>
      <c r="W84" s="168">
        <f>H84*SUM('T5'!$J$40:$L$40)</f>
        <v>9916.6197316303715</v>
      </c>
      <c r="X84" s="168"/>
      <c r="Y84" s="185"/>
      <c r="Z84" s="168">
        <f>B84*'T21'!$E$4</f>
        <v>39.024390243902438</v>
      </c>
      <c r="AA84" s="168">
        <f>C84*'T21'!$E$5</f>
        <v>47543.116850234204</v>
      </c>
      <c r="AB84" s="168">
        <f>D84*'T21'!$E$6</f>
        <v>8619.2231139646865</v>
      </c>
      <c r="AC84" s="168">
        <f>E84*'T21'!$E$7</f>
        <v>536.34311512415343</v>
      </c>
      <c r="AD84" s="168">
        <f>F84*'T21'!$E$8</f>
        <v>716.96102742514529</v>
      </c>
      <c r="AE84" s="168">
        <f>G84*'T21'!$E$9</f>
        <v>6040.695652173913</v>
      </c>
      <c r="AF84" s="168">
        <f>H84*'T21'!$E$10</f>
        <v>3905.5031367628612</v>
      </c>
      <c r="AG84" s="168">
        <f>B84*SUM('T21'!$F$4)</f>
        <v>40.975609756097562</v>
      </c>
      <c r="AH84" s="168">
        <f>C84*SUM('T21'!$F$5)</f>
        <v>142316.88314976578</v>
      </c>
      <c r="AI84" s="168">
        <f>D84*SUM('T21'!$F$6)</f>
        <v>100.77688603531301</v>
      </c>
      <c r="AJ84" s="168">
        <f>E84*SUM('T21'!$F$7)</f>
        <v>138.65688487584649</v>
      </c>
      <c r="AK84" s="168">
        <f>F84*SUM('T21'!$F$8)</f>
        <v>30228.038972574854</v>
      </c>
      <c r="AL84" s="168">
        <f>G84*SUM('T21'!$F$9)</f>
        <v>4879.304347826087</v>
      </c>
      <c r="AM84" s="168">
        <f>H84*SUM('T21'!$F$10)</f>
        <v>8999.4968632371401</v>
      </c>
      <c r="AN84" s="184"/>
    </row>
    <row r="85" spans="1:40">
      <c r="A85" s="184">
        <v>2034</v>
      </c>
      <c r="B85" s="184">
        <f t="shared" si="147"/>
        <v>85</v>
      </c>
      <c r="C85" s="184">
        <f t="shared" si="148"/>
        <v>195525</v>
      </c>
      <c r="D85" s="184">
        <f t="shared" si="149"/>
        <v>8110</v>
      </c>
      <c r="E85" s="184">
        <f t="shared" si="150"/>
        <v>710</v>
      </c>
      <c r="F85" s="184">
        <f t="shared" si="151"/>
        <v>31475</v>
      </c>
      <c r="G85" s="184">
        <f t="shared" si="152"/>
        <v>10980</v>
      </c>
      <c r="H85" s="184">
        <f t="shared" si="153"/>
        <v>13030</v>
      </c>
      <c r="I85" s="185"/>
      <c r="J85" s="168">
        <f>B85*SUM('T5'!$H$42:$I$42)</f>
        <v>16.721628558013379</v>
      </c>
      <c r="K85" s="168">
        <f>C85*SUM('T5'!$H$42:$I$42)</f>
        <v>38464.663809477242</v>
      </c>
      <c r="L85" s="168">
        <f>D85*SUM('T5'!$H$42:$I$42)</f>
        <v>1595.4400894763351</v>
      </c>
      <c r="M85" s="168">
        <f>E85*SUM('T5'!$H$42:$I$42)</f>
        <v>139.67477971987645</v>
      </c>
      <c r="N85" s="168">
        <f>F85*SUM('T5'!$H$42:$I$42)</f>
        <v>6191.920692511424</v>
      </c>
      <c r="O85" s="168">
        <f>G85*SUM('T5'!$H$42:$I$42)</f>
        <v>2160.0409596116101</v>
      </c>
      <c r="P85" s="168">
        <f>H85*SUM('T5'!$H$42:$I$42)</f>
        <v>2563.3272954225213</v>
      </c>
      <c r="Q85" s="168">
        <f>B85*SUM('T5'!$J$40:$L$40)</f>
        <v>65.316751428793609</v>
      </c>
      <c r="R85" s="168">
        <f>C85*SUM('T5'!$J$40:$L$40)</f>
        <v>150247.73909546906</v>
      </c>
      <c r="S85" s="168">
        <f>D85*SUM('T5'!$J$40:$L$40)</f>
        <v>6231.986518676661</v>
      </c>
      <c r="T85" s="168">
        <f>E85*SUM('T5'!$J$40:$L$40)</f>
        <v>545.58698252286433</v>
      </c>
      <c r="U85" s="168">
        <f>F85*SUM('T5'!$J$40:$L$40)</f>
        <v>24186.408837897401</v>
      </c>
      <c r="V85" s="168">
        <f>G85*SUM('T5'!$J$40:$L$40)</f>
        <v>8437.3874198606336</v>
      </c>
      <c r="W85" s="168">
        <f>H85*SUM('T5'!$J$40:$L$40)</f>
        <v>10012.673777849186</v>
      </c>
      <c r="X85" s="168"/>
      <c r="Y85" s="185"/>
      <c r="Z85" s="168">
        <f>B85*'T21'!$E$4</f>
        <v>41.463414634146339</v>
      </c>
      <c r="AA85" s="168">
        <f>C85*'T21'!$E$5</f>
        <v>48961.697683251041</v>
      </c>
      <c r="AB85" s="168">
        <f>D85*'T21'!$E$6</f>
        <v>8016.2728731942216</v>
      </c>
      <c r="AC85" s="168">
        <f>E85*'T21'!$E$7</f>
        <v>564.15349887133175</v>
      </c>
      <c r="AD85" s="168">
        <f>F85*'T21'!$E$8</f>
        <v>729.24053443872833</v>
      </c>
      <c r="AE85" s="168">
        <f>G85*'T21'!$E$9</f>
        <v>6073.8862876254179</v>
      </c>
      <c r="AF85" s="168">
        <f>H85*'T21'!$E$10</f>
        <v>3943.3324968632373</v>
      </c>
      <c r="AG85" s="168">
        <f>B85*SUM('T21'!$F$4)</f>
        <v>43.536585365853661</v>
      </c>
      <c r="AH85" s="168">
        <f>C85*SUM('T21'!$F$5)</f>
        <v>146563.30231674894</v>
      </c>
      <c r="AI85" s="168">
        <f>D85*SUM('T21'!$F$6)</f>
        <v>93.727126805778497</v>
      </c>
      <c r="AJ85" s="168">
        <f>E85*SUM('T21'!$F$7)</f>
        <v>145.84650112866817</v>
      </c>
      <c r="AK85" s="168">
        <f>F85*SUM('T21'!$F$8)</f>
        <v>30745.75946556127</v>
      </c>
      <c r="AL85" s="168">
        <f>G85*SUM('T21'!$F$9)</f>
        <v>4906.1137123745821</v>
      </c>
      <c r="AM85" s="168">
        <f>H85*SUM('T21'!$F$10)</f>
        <v>9086.6675031367631</v>
      </c>
      <c r="AN85" s="184"/>
    </row>
    <row r="86" spans="1:40">
      <c r="A86" s="184">
        <v>2035</v>
      </c>
      <c r="B86" s="184">
        <f t="shared" si="147"/>
        <v>90</v>
      </c>
      <c r="C86" s="184">
        <f t="shared" si="148"/>
        <v>201355</v>
      </c>
      <c r="D86" s="184">
        <f t="shared" si="149"/>
        <v>7545</v>
      </c>
      <c r="E86" s="184">
        <f t="shared" si="150"/>
        <v>750</v>
      </c>
      <c r="F86" s="184">
        <f t="shared" si="151"/>
        <v>32015</v>
      </c>
      <c r="G86" s="184">
        <f t="shared" si="152"/>
        <v>11040</v>
      </c>
      <c r="H86" s="184">
        <f t="shared" si="153"/>
        <v>13155</v>
      </c>
      <c r="I86" s="185"/>
      <c r="J86" s="168">
        <f>B86*SUM('T5'!$H$42:$I$42)</f>
        <v>17.705253767308282</v>
      </c>
      <c r="K86" s="168">
        <f>C86*SUM('T5'!$H$42:$I$42)</f>
        <v>39611.570803515096</v>
      </c>
      <c r="L86" s="168">
        <f>D86*SUM('T5'!$H$42:$I$42)</f>
        <v>1484.2904408260108</v>
      </c>
      <c r="M86" s="168">
        <f>E86*SUM('T5'!$H$42:$I$42)</f>
        <v>147.54378139423568</v>
      </c>
      <c r="N86" s="168">
        <f>F86*SUM('T5'!$H$42:$I$42)</f>
        <v>6298.152215115274</v>
      </c>
      <c r="O86" s="168">
        <f>G86*SUM('T5'!$H$42:$I$42)</f>
        <v>2171.8444621231492</v>
      </c>
      <c r="P86" s="168">
        <f>H86*SUM('T5'!$H$42:$I$42)</f>
        <v>2587.9179256548937</v>
      </c>
      <c r="Q86" s="168">
        <f>B86*SUM('T5'!$J$40:$L$40)</f>
        <v>69.158913277546176</v>
      </c>
      <c r="R86" s="168">
        <f>C86*SUM('T5'!$J$40:$L$40)</f>
        <v>154727.69981111455</v>
      </c>
      <c r="S86" s="168">
        <f>D86*SUM('T5'!$J$40:$L$40)</f>
        <v>5797.8222297676211</v>
      </c>
      <c r="T86" s="168">
        <f>E86*SUM('T5'!$J$40:$L$40)</f>
        <v>576.32427731288487</v>
      </c>
      <c r="U86" s="168">
        <f>F86*SUM('T5'!$J$40:$L$40)</f>
        <v>24601.362317562678</v>
      </c>
      <c r="V86" s="168">
        <f>G86*SUM('T5'!$J$40:$L$40)</f>
        <v>8483.493362045665</v>
      </c>
      <c r="W86" s="168">
        <f>H86*SUM('T5'!$J$40:$L$40)</f>
        <v>10108.727824068001</v>
      </c>
      <c r="X86" s="168"/>
      <c r="Y86" s="185"/>
      <c r="Z86" s="168">
        <f>B86*'T21'!$E$4</f>
        <v>43.90243902439024</v>
      </c>
      <c r="AA86" s="168">
        <f>C86*'T21'!$E$5</f>
        <v>50421.596404608179</v>
      </c>
      <c r="AB86" s="168">
        <f>D86*'T21'!$E$6</f>
        <v>7457.8025682182988</v>
      </c>
      <c r="AC86" s="168">
        <f>E86*'T21'!$E$7</f>
        <v>595.93679458239274</v>
      </c>
      <c r="AD86" s="168">
        <f>F86*'T21'!$E$8</f>
        <v>741.75173026388836</v>
      </c>
      <c r="AE86" s="168">
        <f>G86*'T21'!$E$9</f>
        <v>6107.0769230769229</v>
      </c>
      <c r="AF86" s="168">
        <f>H86*'T21'!$E$10</f>
        <v>3981.1618569636139</v>
      </c>
      <c r="AG86" s="168">
        <f>B86*SUM('T21'!$F$4)</f>
        <v>46.09756097560976</v>
      </c>
      <c r="AH86" s="168">
        <f>C86*SUM('T21'!$F$5)</f>
        <v>150933.40359539184</v>
      </c>
      <c r="AI86" s="168">
        <f>D86*SUM('T21'!$F$6)</f>
        <v>87.197431781701454</v>
      </c>
      <c r="AJ86" s="168">
        <f>E86*SUM('T21'!$F$7)</f>
        <v>154.06320541760721</v>
      </c>
      <c r="AK86" s="168">
        <f>F86*SUM('T21'!$F$8)</f>
        <v>31273.248269736112</v>
      </c>
      <c r="AL86" s="168">
        <f>G86*SUM('T21'!$F$9)</f>
        <v>4932.9230769230771</v>
      </c>
      <c r="AM86" s="168">
        <f>H86*SUM('T21'!$F$10)</f>
        <v>9173.8381430363861</v>
      </c>
      <c r="AN86" s="184"/>
    </row>
    <row r="87" spans="1:40">
      <c r="A87" s="184"/>
      <c r="B87" s="184"/>
      <c r="C87" s="184"/>
      <c r="D87" s="184"/>
      <c r="E87" s="184"/>
      <c r="F87" s="184"/>
      <c r="G87" s="184"/>
      <c r="H87" s="184"/>
      <c r="I87" s="185"/>
      <c r="J87" s="168"/>
      <c r="K87" s="168"/>
      <c r="L87" s="168"/>
      <c r="M87" s="168"/>
      <c r="N87" s="168"/>
      <c r="O87" s="168"/>
      <c r="P87" s="168"/>
      <c r="Q87" s="168"/>
      <c r="R87" s="168"/>
      <c r="S87" s="168"/>
      <c r="T87" s="168"/>
      <c r="U87" s="168"/>
      <c r="V87" s="168"/>
      <c r="W87" s="168"/>
      <c r="X87" s="168"/>
      <c r="Y87" s="185"/>
      <c r="Z87" s="168"/>
      <c r="AA87" s="168"/>
      <c r="AB87" s="168"/>
      <c r="AC87" s="168"/>
      <c r="AD87" s="168"/>
      <c r="AE87" s="168"/>
      <c r="AF87" s="168"/>
      <c r="AG87" s="168"/>
      <c r="AH87" s="168"/>
      <c r="AI87" s="168"/>
      <c r="AJ87" s="168"/>
      <c r="AK87" s="168"/>
      <c r="AL87" s="168"/>
      <c r="AM87" s="168"/>
      <c r="AN87" s="184"/>
    </row>
    <row r="88" spans="1:40">
      <c r="A88" s="6" t="s">
        <v>425</v>
      </c>
      <c r="B88" s="184"/>
      <c r="C88" s="184"/>
      <c r="D88" s="184"/>
      <c r="E88" s="184"/>
      <c r="F88" s="184"/>
      <c r="G88" s="184"/>
      <c r="H88" s="184"/>
      <c r="I88" s="185"/>
      <c r="J88" s="184"/>
      <c r="K88" s="184"/>
      <c r="L88" s="184"/>
      <c r="M88" s="184"/>
      <c r="N88" s="184"/>
      <c r="O88" s="184"/>
      <c r="P88" s="184"/>
      <c r="Q88" s="184"/>
      <c r="R88" s="184"/>
      <c r="S88" s="184"/>
      <c r="T88" s="184"/>
      <c r="U88" s="184"/>
      <c r="V88" s="184"/>
      <c r="W88" s="184"/>
      <c r="X88" s="184"/>
      <c r="Y88" s="185"/>
      <c r="Z88" s="184"/>
      <c r="AA88" s="184"/>
      <c r="AB88" s="184"/>
      <c r="AC88" s="184"/>
      <c r="AD88" s="184"/>
      <c r="AE88" s="184"/>
      <c r="AF88" s="184"/>
      <c r="AG88" s="184"/>
      <c r="AH88" s="184"/>
      <c r="AI88" s="184"/>
      <c r="AJ88" s="184"/>
      <c r="AK88" s="184"/>
      <c r="AL88" s="184"/>
      <c r="AM88" s="184"/>
      <c r="AN88" s="184"/>
    </row>
    <row r="89" spans="1:40">
      <c r="A89" s="184"/>
      <c r="B89" s="184"/>
      <c r="C89" s="184"/>
      <c r="D89" s="184"/>
      <c r="E89" s="184"/>
      <c r="F89" s="184"/>
      <c r="G89" s="184"/>
      <c r="H89" s="184"/>
      <c r="I89" s="185"/>
      <c r="J89" s="175" t="s">
        <v>426</v>
      </c>
      <c r="K89" s="175"/>
      <c r="L89" s="175"/>
      <c r="M89" s="175"/>
      <c r="N89" s="175"/>
      <c r="O89" s="175"/>
      <c r="P89" s="175"/>
      <c r="Q89" s="175"/>
      <c r="R89" s="175"/>
      <c r="S89" s="175"/>
      <c r="T89" s="175"/>
      <c r="U89" s="175"/>
      <c r="V89" s="175"/>
      <c r="W89" s="175"/>
      <c r="X89" s="23" t="s">
        <v>427</v>
      </c>
      <c r="Y89" s="185"/>
      <c r="Z89" s="175" t="s">
        <v>428</v>
      </c>
      <c r="AA89" s="175"/>
      <c r="AB89" s="175"/>
      <c r="AC89" s="175"/>
      <c r="AD89" s="175"/>
      <c r="AE89" s="175"/>
      <c r="AF89" s="175"/>
      <c r="AG89" s="175"/>
      <c r="AH89" s="175"/>
      <c r="AI89" s="175"/>
      <c r="AJ89" s="175"/>
      <c r="AK89" s="175"/>
      <c r="AL89" s="175"/>
      <c r="AM89" s="175"/>
      <c r="AN89" s="1" t="s">
        <v>427</v>
      </c>
    </row>
    <row r="90" spans="1:40">
      <c r="A90" s="184">
        <v>2025</v>
      </c>
      <c r="B90" s="184"/>
      <c r="C90" s="184"/>
      <c r="D90" s="184"/>
      <c r="E90" s="184"/>
      <c r="F90" s="184"/>
      <c r="G90" s="184"/>
      <c r="H90" s="184"/>
      <c r="I90" s="185"/>
      <c r="J90" s="184">
        <f>MROUND((J14*'T16'!$D$3)*'Source-fte_qualstus_x_servtype'!J32,1)</f>
        <v>1</v>
      </c>
      <c r="K90" s="184">
        <f>MROUND((K14*'T16'!$D$5)*'Source-fte_qualstus_x_servtype'!J32,5)</f>
        <v>5030</v>
      </c>
      <c r="L90" s="184">
        <f>MROUND((L14*'T16'!$D$7)*'Source-fte_qualstus_x_servtype'!J32,5)</f>
        <v>650</v>
      </c>
      <c r="M90" s="184">
        <f>MROUND((M14*'T16'!$D$5)*'Source-fte_qualstus_x_servtype'!J32,5)</f>
        <v>15</v>
      </c>
      <c r="N90" s="184">
        <f>MROUND((N14*'T16'!$D$3)*'Source-fte_qualstus_x_servtype'!J32,5)</f>
        <v>905</v>
      </c>
      <c r="O90" s="184">
        <f>MROUND((O14*'T16'!$D$10)*'Source-fte_qualstus_x_servtype'!J32,5)</f>
        <v>350</v>
      </c>
      <c r="P90" s="184">
        <f>MROUND((P14*'T16'!$D$11)*'Source-fte_qualstus_x_servtype'!J32,5)</f>
        <v>500</v>
      </c>
      <c r="Q90" s="184">
        <f>MROUND((Q14*'T16'!$D$6)*'Source-fte_qualstus_x_servtype'!J32,1)</f>
        <v>3</v>
      </c>
      <c r="R90" s="184">
        <f>MROUND((R14*'T16'!$D$6)*'Source-fte_qualstus_x_servtype'!J32,5)</f>
        <v>9820</v>
      </c>
      <c r="S90" s="184">
        <f>MROUND((S14*'T16'!$D$7)*'Source-fte_qualstus_x_servtype'!J32,5)</f>
        <v>2550</v>
      </c>
      <c r="T90" s="184">
        <f>MROUND((T14*'T16'!$D$9)*'Source-fte_qualstus_x_servtype'!J32,5)</f>
        <v>60</v>
      </c>
      <c r="U90" s="184">
        <f>MROUND((U14*'T16'!$D$4)*'Source-fte_qualstus_x_servtype'!J32,5)</f>
        <v>1770</v>
      </c>
      <c r="V90" s="184">
        <f>MROUND((V14*'T16'!$D$10)*'Source-fte_qualstus_x_servtype'!J32,5)</f>
        <v>1370</v>
      </c>
      <c r="W90" s="184">
        <f>MROUND((W14*'T16'!$D$11)*'Source-fte_qualstus_x_servtype'!J32,5)</f>
        <v>1955</v>
      </c>
      <c r="X90" s="184">
        <f>MROUND(SUM(J90:W90)*0.844,5)</f>
        <v>21080</v>
      </c>
      <c r="Y90" s="185"/>
      <c r="Z90" s="184">
        <f>IF(MROUND((Z14*'T16'!$D$3)*0.844,1)&lt;1,1,MROUND((Z14*'T16'!$D$3)*0.844,1))</f>
        <v>3</v>
      </c>
      <c r="AA90" s="184">
        <f>MROUND((AA14*'T16'!$D$3)*0.844,1)</f>
        <v>6344</v>
      </c>
      <c r="AB90" s="184">
        <f>MROUND((AB14*'T16'!$D$7)*0.844,5)</f>
        <v>3250</v>
      </c>
      <c r="AC90" s="184">
        <f>MROUND((AC14*'T16'!$D$5)*0.844,5)</f>
        <v>60</v>
      </c>
      <c r="AD90" s="184">
        <f>MROUND((AD14*'T16'!$D$3)*0.844,5)</f>
        <v>105</v>
      </c>
      <c r="AE90" s="184">
        <f>MROUND((AE14*'T16'!$D$10)*0.844,5)</f>
        <v>975</v>
      </c>
      <c r="AF90" s="184">
        <f>MROUND((AF14*'T16'!$D$11)*0.844,5)</f>
        <v>765</v>
      </c>
      <c r="AG90" s="184">
        <f>IF(MROUND((AG14*'T16'!$D$6)*0.844,1)&lt;1,1,MROUND((AG14*'T16'!$D$6)*0.844,1))</f>
        <v>2</v>
      </c>
      <c r="AH90" s="184">
        <f>IF(MROUND((AH14*'T16'!$D$6)*0.844,5)&lt;1,1,MROUND((AH14*'T16'!$D$6)*0.844,5))</f>
        <v>9495</v>
      </c>
      <c r="AI90" s="184">
        <f>MROUND((AI14*'T16'!$D$7)*0.844,5)</f>
        <v>40</v>
      </c>
      <c r="AJ90" s="184">
        <f>MROUND((AJ14*'T16'!$D$6)*0.844,5)</f>
        <v>10</v>
      </c>
      <c r="AK90" s="184">
        <f>MROUND((AK14*'T16'!$D$4)*0.844,5)</f>
        <v>2230</v>
      </c>
      <c r="AL90" s="184">
        <f>MROUND((AL14*'T16'!$D$10)*0.844,5)</f>
        <v>790</v>
      </c>
      <c r="AM90" s="184">
        <f>MROUND((AM14*'T16'!$D$12)*0.844,5)</f>
        <v>1175</v>
      </c>
      <c r="AN90" s="184">
        <f>MROUND(SUM(Z90:AM90),5)</f>
        <v>25245</v>
      </c>
    </row>
    <row r="91" spans="1:40">
      <c r="A91" s="184">
        <v>2026</v>
      </c>
      <c r="B91" s="184"/>
      <c r="C91" s="184"/>
      <c r="D91" s="184"/>
      <c r="E91" s="184"/>
      <c r="F91" s="184"/>
      <c r="G91" s="184"/>
      <c r="H91" s="184"/>
      <c r="I91" s="185"/>
      <c r="J91" s="184">
        <f>IF(AND(MROUND(J53*'T16'!$D$3,1)&lt;1,J66&gt;0),1,MROUND(J53*'T16'!$D$3,1))</f>
        <v>1</v>
      </c>
      <c r="K91" s="184">
        <f>MROUND((K53*'T16'!$D$5)*'Source-fte_qualstus_x_servtype'!J33,5)</f>
        <v>5045</v>
      </c>
      <c r="L91" s="184">
        <f>MROUND((L65*'T16'!$D$7)*'Source-fte_qualstus_x_servtype'!J33,5)</f>
        <v>575</v>
      </c>
      <c r="M91" s="184">
        <f>MROUND((M53*'T16'!$D$5)*'Source-fte_qualstus_x_servtype'!J33,5)</f>
        <v>15</v>
      </c>
      <c r="N91" s="184">
        <f>MROUND((N53*'T16'!$D$3)*'Source-fte_qualstus_x_servtype'!J33,5)</f>
        <v>910</v>
      </c>
      <c r="O91" s="184">
        <f>MROUND((O53*'T16'!$D$10)*'Source-fte_qualstus_x_servtype'!J33,5)</f>
        <v>345</v>
      </c>
      <c r="P91" s="184">
        <f>MROUND((P53*'T16'!$D$11)*'Source-fte_qualstus_x_servtype'!J33,5)</f>
        <v>480</v>
      </c>
      <c r="Q91" s="184">
        <f>MROUND((Q53*'T16'!$D$6)*'Source-fte_qualstus_x_servtype'!J33,1)</f>
        <v>2</v>
      </c>
      <c r="R91" s="184">
        <f>MROUND((R53*'T16'!$D$6)*'Source-fte_qualstus_x_servtype'!J33,5)</f>
        <v>9855</v>
      </c>
      <c r="S91" s="184">
        <f>MROUND((S65*'T16'!$D$7)*'Source-fte_qualstus_x_servtype'!J33,5)</f>
        <v>2250</v>
      </c>
      <c r="T91" s="184">
        <f>MROUND((T53*'T16'!$D$9)*'Source-fte_qualstus_x_servtype'!J33,5)</f>
        <v>55</v>
      </c>
      <c r="U91" s="184">
        <f>MROUND((U53*'T16'!$D$4)*'Source-fte_qualstus_x_servtype'!J33,5)</f>
        <v>1775</v>
      </c>
      <c r="V91" s="184">
        <f>MROUND((V53*'T16'!$D$10)*'Source-fte_qualstus_x_servtype'!J33,5)</f>
        <v>1350</v>
      </c>
      <c r="W91" s="184">
        <f>MROUND((W53*'T16'!$D$11)*'Source-fte_qualstus_x_servtype'!J33,5)</f>
        <v>1870</v>
      </c>
      <c r="X91" s="184">
        <f t="shared" ref="X91:X100" si="154">MROUND(SUM(J91:W91)*0.844,5)</f>
        <v>20700</v>
      </c>
      <c r="Y91" s="185"/>
      <c r="Z91" s="184">
        <f>IF( MROUND( (Z53*'T16'!$D$3) * 0.844, 1) &lt;1, 1, MROUND( (Z53*'T16'!$D$3) * 0.844, 1 ) )</f>
        <v>2</v>
      </c>
      <c r="AA91" s="184">
        <f>MROUND((AA53*'T16'!$D$3)*0.844,1)</f>
        <v>6336</v>
      </c>
      <c r="AB91" s="184">
        <f>MROUND((AB53*'T16'!$D$7)*0.844,5)</f>
        <v>2460</v>
      </c>
      <c r="AC91" s="184">
        <f>MROUND((AC53*'T16'!$D$5)*0.844,5)</f>
        <v>55</v>
      </c>
      <c r="AD91" s="184">
        <f>MROUND((AD53*'T16'!$D$3)*0.844,5)</f>
        <v>105</v>
      </c>
      <c r="AE91" s="184">
        <f>MROUND((AE53*'T16'!$D$10)*0.844,5)</f>
        <v>960</v>
      </c>
      <c r="AF91" s="184">
        <f>MROUND((AF53*'T16'!$D$11)*0.844,5)</f>
        <v>725</v>
      </c>
      <c r="AG91" s="184">
        <f>IF(MROUND((AG53*'T16'!$D$6)*0.844,1)&lt;1,1,MROUND((AG53*'T16'!$D$6)*0.844,1))</f>
        <v>1</v>
      </c>
      <c r="AH91" s="184">
        <f>IF(MROUND((AH53*'T16'!$D$6)*0.844,5)&lt;1,1,MROUND((AH53*'T16'!$D$6)*0.844,5))</f>
        <v>9485</v>
      </c>
      <c r="AI91" s="184">
        <f>MROUND((AI53*'T16'!$D$7)*0.844,5)</f>
        <v>30</v>
      </c>
      <c r="AJ91" s="184">
        <f>MROUND((AJ53*'T16'!$D$6)*0.844,5)</f>
        <v>5</v>
      </c>
      <c r="AK91" s="184">
        <f>MROUND((AK53*'T16'!$D$4)*0.844,5)</f>
        <v>2230</v>
      </c>
      <c r="AL91" s="184">
        <f>MROUND((AL53*'T16'!$D$10)*0.844,5)</f>
        <v>775</v>
      </c>
      <c r="AM91" s="184">
        <f>MROUND((AM53*'T16'!$D$12)*0.844,5)</f>
        <v>1115</v>
      </c>
      <c r="AN91" s="184">
        <f t="shared" ref="AN91:AN100" si="155">MROUND(SUM(Z91:AM91),5)</f>
        <v>24285</v>
      </c>
    </row>
    <row r="92" spans="1:40">
      <c r="A92" s="184">
        <v>2027</v>
      </c>
      <c r="B92" s="184"/>
      <c r="C92" s="184"/>
      <c r="D92" s="184"/>
      <c r="E92" s="184"/>
      <c r="F92" s="184"/>
      <c r="G92" s="184"/>
      <c r="H92" s="184"/>
      <c r="I92" s="185"/>
      <c r="J92" s="184">
        <f>IF(AND(MROUND(J54*'T16'!$D$3,1)&lt;1,J67&gt;0),1,MROUND(J54*'T16'!$D$3,1))</f>
        <v>1</v>
      </c>
      <c r="K92" s="184">
        <f>MROUND((K54*'T16'!$D$5)*'Source-fte_qualstus_x_servtype'!J34,5)</f>
        <v>5060</v>
      </c>
      <c r="L92" s="184">
        <f>MROUND((L66*'T16'!$D$7)*'Source-fte_qualstus_x_servtype'!J34,5)</f>
        <v>510</v>
      </c>
      <c r="M92" s="184">
        <f>MROUND((M54*'T16'!$D$5)*'Source-fte_qualstus_x_servtype'!J34,5)</f>
        <v>15</v>
      </c>
      <c r="N92" s="184">
        <f>MROUND((N54*'T16'!$D$3)*'Source-fte_qualstus_x_servtype'!J34,5)</f>
        <v>915</v>
      </c>
      <c r="O92" s="184">
        <f>MROUND((O54*'T16'!$D$10)*'Source-fte_qualstus_x_servtype'!J34,5)</f>
        <v>340</v>
      </c>
      <c r="P92" s="184">
        <f>MROUND((P54*'T16'!$D$11)*'Source-fte_qualstus_x_servtype'!J34,5)</f>
        <v>460</v>
      </c>
      <c r="Q92" s="184">
        <f>MROUND((Q54*'T16'!$D$6)*'Source-fte_qualstus_x_servtype'!J34,1)</f>
        <v>2</v>
      </c>
      <c r="R92" s="184">
        <f>MROUND((R54*'T16'!$D$6)*'Source-fte_qualstus_x_servtype'!J34,5)</f>
        <v>9885</v>
      </c>
      <c r="S92" s="184">
        <f>MROUND((S66*'T16'!$D$7)*'Source-fte_qualstus_x_servtype'!J34,5)</f>
        <v>1985</v>
      </c>
      <c r="T92" s="184">
        <f>MROUND((T54*'T16'!$D$9)*'Source-fte_qualstus_x_servtype'!J34,5)</f>
        <v>50</v>
      </c>
      <c r="U92" s="184">
        <f>MROUND((U54*'T16'!$D$4)*'Source-fte_qualstus_x_servtype'!J34,5)</f>
        <v>1785</v>
      </c>
      <c r="V92" s="184">
        <f>MROUND((V54*'T16'!$D$10)*'Source-fte_qualstus_x_servtype'!J34,5)</f>
        <v>1325</v>
      </c>
      <c r="W92" s="184">
        <f>MROUND((W54*'T16'!$D$11)*'Source-fte_qualstus_x_servtype'!J34,5)</f>
        <v>1790</v>
      </c>
      <c r="X92" s="184">
        <f t="shared" si="154"/>
        <v>20360</v>
      </c>
      <c r="Y92" s="185"/>
      <c r="Z92" s="184">
        <f>IF( MROUND( (Z54*'T16'!$D$3) * 0.844, 1) &lt;1, 1, MROUND( (Z54*'T16'!$D$3) * 0.844, 1 ) )</f>
        <v>2</v>
      </c>
      <c r="AA92" s="184">
        <f>MROUND((AA54*'T16'!$D$3)*0.844,1)</f>
        <v>6328</v>
      </c>
      <c r="AB92" s="184">
        <f>MROUND((AB54*'T16'!$D$7)*0.844,5)</f>
        <v>1865</v>
      </c>
      <c r="AC92" s="184">
        <f>MROUND((AC54*'T16'!$D$5)*0.844,5)</f>
        <v>50</v>
      </c>
      <c r="AD92" s="184">
        <f>MROUND((AD54*'T16'!$D$3)*0.844,5)</f>
        <v>105</v>
      </c>
      <c r="AE92" s="184">
        <f>MROUND((AE54*'T16'!$D$10)*0.844,5)</f>
        <v>940</v>
      </c>
      <c r="AF92" s="184">
        <f>MROUND((AF54*'T16'!$D$11)*0.844,5)</f>
        <v>690</v>
      </c>
      <c r="AG92" s="184">
        <f>IF(MROUND((AG54*'T16'!$D$6)*0.844,1)&lt;1,1,MROUND((AG54*'T16'!$D$6)*0.844,1))</f>
        <v>1</v>
      </c>
      <c r="AH92" s="184">
        <f>IF(MROUND((AH54*'T16'!$D$6)*0.844,5)&lt;1,1,MROUND((AH54*'T16'!$D$6)*0.844,5))</f>
        <v>9470</v>
      </c>
      <c r="AI92" s="184">
        <f>MROUND((AI54*'T16'!$D$7)*0.844,5)</f>
        <v>20</v>
      </c>
      <c r="AJ92" s="184">
        <f>MROUND((AJ54*'T16'!$D$6)*0.844,5)</f>
        <v>5</v>
      </c>
      <c r="AK92" s="184">
        <f>MROUND((AK54*'T16'!$D$4)*0.844,5)</f>
        <v>2230</v>
      </c>
      <c r="AL92" s="184">
        <f>MROUND((AL54*'T16'!$D$10)*0.844,5)</f>
        <v>760</v>
      </c>
      <c r="AM92" s="184">
        <f>MROUND((AM54*'T16'!$D$12)*0.844,5)</f>
        <v>1060</v>
      </c>
      <c r="AN92" s="184">
        <f t="shared" si="155"/>
        <v>23525</v>
      </c>
    </row>
    <row r="93" spans="1:40">
      <c r="A93" s="184">
        <v>2028</v>
      </c>
      <c r="B93" s="184"/>
      <c r="C93" s="184"/>
      <c r="D93" s="184"/>
      <c r="E93" s="184"/>
      <c r="F93" s="184"/>
      <c r="G93" s="184"/>
      <c r="H93" s="184"/>
      <c r="I93" s="185"/>
      <c r="J93" s="184">
        <f>IF(AND(MROUND(J55*'T16'!$D$3,1)&lt;1,J68&gt;0),1,MROUND(J55*'T16'!$D$3,1))</f>
        <v>1</v>
      </c>
      <c r="K93" s="184">
        <f>MROUND((K55*'T16'!$D$5)*'Source-fte_qualstus_x_servtype'!J35,5)</f>
        <v>5075</v>
      </c>
      <c r="L93" s="184">
        <f>MROUND((L67*'T16'!$D$7)*'Source-fte_qualstus_x_servtype'!J35,5)</f>
        <v>450</v>
      </c>
      <c r="M93" s="184">
        <f>MROUND((M55*'T16'!$D$5)*'Source-fte_qualstus_x_servtype'!J35,5)</f>
        <v>10</v>
      </c>
      <c r="N93" s="184">
        <f>MROUND((N55*'T16'!$D$3)*'Source-fte_qualstus_x_servtype'!J35,5)</f>
        <v>920</v>
      </c>
      <c r="O93" s="184">
        <f>MROUND((O55*'T16'!$D$10)*'Source-fte_qualstus_x_servtype'!J35,5)</f>
        <v>335</v>
      </c>
      <c r="P93" s="184">
        <f>MROUND((P55*'T16'!$D$11)*'Source-fte_qualstus_x_servtype'!J35,5)</f>
        <v>440</v>
      </c>
      <c r="Q93" s="184">
        <f>MROUND((Q55*'T16'!$D$6)*'Source-fte_qualstus_x_servtype'!J35,1)</f>
        <v>1</v>
      </c>
      <c r="R93" s="184">
        <f>MROUND((R55*'T16'!$D$6)*'Source-fte_qualstus_x_servtype'!J35,5)</f>
        <v>9915</v>
      </c>
      <c r="S93" s="184">
        <f>MROUND((S67*'T16'!$D$7)*'Source-fte_qualstus_x_servtype'!J35,5)</f>
        <v>1750</v>
      </c>
      <c r="T93" s="184">
        <f>MROUND((T55*'T16'!$D$9)*'Source-fte_qualstus_x_servtype'!J35,5)</f>
        <v>50</v>
      </c>
      <c r="U93" s="184">
        <f>MROUND((U55*'T16'!$D$4)*'Source-fte_qualstus_x_servtype'!J35,5)</f>
        <v>1795</v>
      </c>
      <c r="V93" s="184">
        <f>MROUND((V55*'T16'!$D$10)*'Source-fte_qualstus_x_servtype'!J35,5)</f>
        <v>1305</v>
      </c>
      <c r="W93" s="184">
        <f>MROUND((W55*'T16'!$D$11)*'Source-fte_qualstus_x_servtype'!J35,5)</f>
        <v>1710</v>
      </c>
      <c r="X93" s="184">
        <f t="shared" si="154"/>
        <v>20050</v>
      </c>
      <c r="Y93" s="185"/>
      <c r="Z93" s="184">
        <f>IF( MROUND( (Z55*'T16'!$D$3) * 0.844, 1) &lt;1, 1, MROUND( (Z55*'T16'!$D$3) * 0.844, 1 ) )</f>
        <v>2</v>
      </c>
      <c r="AA93" s="184">
        <f>MROUND((AA55*'T16'!$D$3)*0.844,1)</f>
        <v>6320</v>
      </c>
      <c r="AB93" s="184">
        <f>MROUND((AB55*'T16'!$D$7)*0.844,5)</f>
        <v>1415</v>
      </c>
      <c r="AC93" s="184">
        <f>MROUND((AC55*'T16'!$D$5)*0.844,5)</f>
        <v>50</v>
      </c>
      <c r="AD93" s="184">
        <f>MROUND((AD55*'T16'!$D$3)*0.844,5)</f>
        <v>105</v>
      </c>
      <c r="AE93" s="184">
        <f>MROUND((AE55*'T16'!$D$10)*0.844,5)</f>
        <v>920</v>
      </c>
      <c r="AF93" s="184">
        <f>MROUND((AF55*'T16'!$D$11)*0.844,5)</f>
        <v>660</v>
      </c>
      <c r="AG93" s="184">
        <f>IF(MROUND((AG55*'T16'!$D$6)*0.844,1)&lt;1,1,MROUND((AG55*'T16'!$D$6)*0.844,1))</f>
        <v>1</v>
      </c>
      <c r="AH93" s="184">
        <f>IF(MROUND((AH55*'T16'!$D$6)*0.844,5)&lt;1,1,MROUND((AH55*'T16'!$D$6)*0.844,5))</f>
        <v>9460</v>
      </c>
      <c r="AI93" s="184">
        <f>MROUND((AI55*'T16'!$D$7)*0.844,5)</f>
        <v>15</v>
      </c>
      <c r="AJ93" s="184">
        <f>MROUND((AJ55*'T16'!$D$6)*0.844,5)</f>
        <v>5</v>
      </c>
      <c r="AK93" s="184">
        <f>MROUND((AK55*'T16'!$D$4)*0.844,5)</f>
        <v>2230</v>
      </c>
      <c r="AL93" s="184">
        <f>MROUND((AL55*'T16'!$D$10)*0.844,5)</f>
        <v>745</v>
      </c>
      <c r="AM93" s="184">
        <f>MROUND((AM55*'T16'!$D$12)*0.844,5)</f>
        <v>1010</v>
      </c>
      <c r="AN93" s="184">
        <f t="shared" si="155"/>
        <v>22940</v>
      </c>
    </row>
    <row r="94" spans="1:40">
      <c r="A94" s="184">
        <v>2029</v>
      </c>
      <c r="B94" s="184"/>
      <c r="C94" s="184"/>
      <c r="D94" s="184"/>
      <c r="E94" s="184"/>
      <c r="F94" s="184"/>
      <c r="G94" s="184"/>
      <c r="H94" s="184"/>
      <c r="I94" s="185"/>
      <c r="J94" s="184">
        <f>IF(AND(MROUND(J56*'T16'!$D$3,1)&lt;1,J69&gt;0),1,MROUND(J56*'T16'!$D$3,1))</f>
        <v>1</v>
      </c>
      <c r="K94" s="184">
        <f>MROUND((K56*'T16'!$D$5)*'Source-fte_qualstus_x_servtype'!J36,5)</f>
        <v>5090</v>
      </c>
      <c r="L94" s="184">
        <f>MROUND((L68*'T16'!$D$7)*'Source-fte_qualstus_x_servtype'!J36,5)</f>
        <v>395</v>
      </c>
      <c r="M94" s="184">
        <f>MROUND((M56*'T16'!$D$5)*'Source-fte_qualstus_x_servtype'!J36,5)</f>
        <v>10</v>
      </c>
      <c r="N94" s="184">
        <f>MROUND((N56*'T16'!$D$3)*'Source-fte_qualstus_x_servtype'!J36,5)</f>
        <v>925</v>
      </c>
      <c r="O94" s="184">
        <f>MROUND((O56*'T16'!$D$10)*'Source-fte_qualstus_x_servtype'!J36,5)</f>
        <v>330</v>
      </c>
      <c r="P94" s="184">
        <f>MROUND((P56*'T16'!$D$11)*'Source-fte_qualstus_x_servtype'!J36,5)</f>
        <v>420</v>
      </c>
      <c r="Q94" s="184">
        <f>MROUND((Q56*'T16'!$D$6)*'Source-fte_qualstus_x_servtype'!J36,1)</f>
        <v>1</v>
      </c>
      <c r="R94" s="184">
        <f>MROUND((R56*'T16'!$D$6)*'Source-fte_qualstus_x_servtype'!J36,5)</f>
        <v>9945</v>
      </c>
      <c r="S94" s="184">
        <f>MROUND((S68*'T16'!$D$7)*'Source-fte_qualstus_x_servtype'!J36,5)</f>
        <v>1545</v>
      </c>
      <c r="T94" s="184">
        <f>MROUND((T56*'T16'!$D$9)*'Source-fte_qualstus_x_servtype'!J36,5)</f>
        <v>45</v>
      </c>
      <c r="U94" s="184">
        <f>MROUND((U56*'T16'!$D$4)*'Source-fte_qualstus_x_servtype'!J36,5)</f>
        <v>1805</v>
      </c>
      <c r="V94" s="184">
        <f>MROUND((V56*'T16'!$D$10)*'Source-fte_qualstus_x_servtype'!J36,5)</f>
        <v>1285</v>
      </c>
      <c r="W94" s="184">
        <f>MROUND((W56*'T16'!$D$11)*'Source-fte_qualstus_x_servtype'!J36,5)</f>
        <v>1635</v>
      </c>
      <c r="X94" s="184">
        <f t="shared" si="154"/>
        <v>19775</v>
      </c>
      <c r="Y94" s="185"/>
      <c r="Z94" s="184">
        <f>IF( MROUND( (Z56*'T16'!$D$3) * 0.844, 1) &lt;1, 1, MROUND( (Z56*'T16'!$D$3) * 0.844, 1 ) )</f>
        <v>1</v>
      </c>
      <c r="AA94" s="184">
        <f>MROUND((AA56*'T16'!$D$3)*0.844,1)</f>
        <v>6312</v>
      </c>
      <c r="AB94" s="184">
        <f>MROUND((AB56*'T16'!$D$7)*0.844,5)</f>
        <v>1075</v>
      </c>
      <c r="AC94" s="184">
        <f>MROUND((AC56*'T16'!$D$5)*0.844,5)</f>
        <v>45</v>
      </c>
      <c r="AD94" s="184">
        <f>MROUND((AD56*'T16'!$D$3)*0.844,5)</f>
        <v>105</v>
      </c>
      <c r="AE94" s="184">
        <f>MROUND((AE56*'T16'!$D$10)*0.844,5)</f>
        <v>900</v>
      </c>
      <c r="AF94" s="184">
        <f>MROUND((AF56*'T16'!$D$11)*0.844,5)</f>
        <v>625</v>
      </c>
      <c r="AG94" s="184">
        <f>IF(MROUND((AG56*'T16'!$D$6)*0.844,1)&lt;1,1,MROUND((AG56*'T16'!$D$6)*0.844,1))</f>
        <v>1</v>
      </c>
      <c r="AH94" s="184">
        <f>IF(MROUND((AH56*'T16'!$D$6)*0.844,5)&lt;1,1,MROUND((AH56*'T16'!$D$6)*0.844,5))</f>
        <v>9445</v>
      </c>
      <c r="AI94" s="184">
        <f>MROUND((AI56*'T16'!$D$7)*0.844,5)</f>
        <v>15</v>
      </c>
      <c r="AJ94" s="184">
        <f>MROUND((AJ56*'T16'!$D$6)*0.844,5)</f>
        <v>5</v>
      </c>
      <c r="AK94" s="184">
        <f>MROUND((AK56*'T16'!$D$4)*0.844,5)</f>
        <v>2230</v>
      </c>
      <c r="AL94" s="184">
        <f>MROUND((AL56*'T16'!$D$10)*0.844,5)</f>
        <v>730</v>
      </c>
      <c r="AM94" s="184">
        <f>MROUND((AM56*'T16'!$D$12)*0.844,5)</f>
        <v>965</v>
      </c>
      <c r="AN94" s="184">
        <f t="shared" si="155"/>
        <v>22455</v>
      </c>
    </row>
    <row r="95" spans="1:40">
      <c r="A95" s="184">
        <v>2030</v>
      </c>
      <c r="B95" s="184"/>
      <c r="C95" s="184"/>
      <c r="D95" s="184"/>
      <c r="E95" s="184"/>
      <c r="F95" s="184"/>
      <c r="G95" s="184"/>
      <c r="H95" s="184"/>
      <c r="I95" s="185"/>
      <c r="J95" s="184">
        <f>IF(AND(MROUND(J57*'T16'!$D$3,1)&lt;1,J70&gt;0),1,MROUND(J57*'T16'!$D$3,1))</f>
        <v>1</v>
      </c>
      <c r="K95" s="184">
        <f>MROUND((K57*'T16'!$D$5)*'Source-fte_qualstus_x_servtype'!J37,5)</f>
        <v>5110</v>
      </c>
      <c r="L95" s="184">
        <f>MROUND((L69*'T16'!$D$7)*'Source-fte_qualstus_x_servtype'!J37,5)</f>
        <v>350</v>
      </c>
      <c r="M95" s="184">
        <f>MROUND((M57*'T16'!$D$5)*'Source-fte_qualstus_x_servtype'!J37,5)</f>
        <v>10</v>
      </c>
      <c r="N95" s="184">
        <f>MROUND((N57*'T16'!$D$3)*'Source-fte_qualstus_x_servtype'!J37,5)</f>
        <v>930</v>
      </c>
      <c r="O95" s="184">
        <f>MROUND((O57*'T16'!$D$10)*'Source-fte_qualstus_x_servtype'!J37,5)</f>
        <v>325</v>
      </c>
      <c r="P95" s="184">
        <f>MROUND((P57*'T16'!$D$11)*'Source-fte_qualstus_x_servtype'!J37,5)</f>
        <v>400</v>
      </c>
      <c r="Q95" s="184">
        <f>MROUND((Q57*'T16'!$D$6)*'Source-fte_qualstus_x_servtype'!J37,1)</f>
        <v>1</v>
      </c>
      <c r="R95" s="184">
        <f>MROUND((R57*'T16'!$D$6)*'Source-fte_qualstus_x_servtype'!J37,5)</f>
        <v>9975</v>
      </c>
      <c r="S95" s="184">
        <f>MROUND((S69*'T16'!$D$7)*'Source-fte_qualstus_x_servtype'!J37,5)</f>
        <v>1365</v>
      </c>
      <c r="T95" s="184">
        <f>MROUND((T57*'T16'!$D$9)*'Source-fte_qualstus_x_servtype'!J37,5)</f>
        <v>45</v>
      </c>
      <c r="U95" s="184">
        <f>MROUND((U57*'T16'!$D$4)*'Source-fte_qualstus_x_servtype'!J37,5)</f>
        <v>1810</v>
      </c>
      <c r="V95" s="184">
        <f>MROUND((V57*'T16'!$D$10)*'Source-fte_qualstus_x_servtype'!J37,5)</f>
        <v>1265</v>
      </c>
      <c r="W95" s="184">
        <f>MROUND((W57*'T16'!$D$11)*'Source-fte_qualstus_x_servtype'!J37,5)</f>
        <v>1565</v>
      </c>
      <c r="X95" s="184">
        <f t="shared" si="154"/>
        <v>19540</v>
      </c>
      <c r="Y95" s="185"/>
      <c r="Z95" s="184">
        <f>IF( MROUND( (Z57*'T16'!$D$3) * 0.844, 1) &lt;1, 1, MROUND( (Z57*'T16'!$D$3) * 0.844, 1 ) )</f>
        <v>1</v>
      </c>
      <c r="AA95" s="184">
        <f>MROUND((AA57*'T16'!$D$3)*0.844,1)</f>
        <v>6304</v>
      </c>
      <c r="AB95" s="184">
        <f>MROUND((AB57*'T16'!$D$7)*0.844,5)</f>
        <v>815</v>
      </c>
      <c r="AC95" s="184">
        <f>MROUND((AC57*'T16'!$D$5)*0.844,5)</f>
        <v>45</v>
      </c>
      <c r="AD95" s="184">
        <f>MROUND((AD57*'T16'!$D$3)*0.844,5)</f>
        <v>105</v>
      </c>
      <c r="AE95" s="184">
        <f>MROUND((AE57*'T16'!$D$10)*0.844,5)</f>
        <v>885</v>
      </c>
      <c r="AF95" s="184">
        <f>MROUND((AF57*'T16'!$D$11)*0.844,5)</f>
        <v>595</v>
      </c>
      <c r="AG95" s="184">
        <f>IF(MROUND((AG57*'T16'!$D$6)*0.844,1)&lt;1,1,MROUND((AG57*'T16'!$D$6)*0.844,1))</f>
        <v>1</v>
      </c>
      <c r="AH95" s="184">
        <f>IF(MROUND((AH57*'T16'!$D$6)*0.844,5)&lt;1,1,MROUND((AH57*'T16'!$D$6)*0.844,5))</f>
        <v>9435</v>
      </c>
      <c r="AI95" s="184">
        <f>MROUND((AI57*'T16'!$D$7)*0.844,5)</f>
        <v>10</v>
      </c>
      <c r="AJ95" s="184">
        <f>MROUND((AJ57*'T16'!$D$6)*0.844,5)</f>
        <v>5</v>
      </c>
      <c r="AK95" s="184">
        <f>MROUND((AK57*'T16'!$D$4)*0.844,5)</f>
        <v>2235</v>
      </c>
      <c r="AL95" s="184">
        <f>MROUND((AL57*'T16'!$D$10)*0.844,5)</f>
        <v>715</v>
      </c>
      <c r="AM95" s="184">
        <f>MROUND((AM57*'T16'!$D$12)*0.844,5)</f>
        <v>915</v>
      </c>
      <c r="AN95" s="184">
        <f t="shared" si="155"/>
        <v>22065</v>
      </c>
    </row>
    <row r="96" spans="1:40">
      <c r="A96" s="184">
        <v>2031</v>
      </c>
      <c r="B96" s="184"/>
      <c r="C96" s="184"/>
      <c r="D96" s="184"/>
      <c r="E96" s="184"/>
      <c r="F96" s="184"/>
      <c r="G96" s="184"/>
      <c r="H96" s="184"/>
      <c r="I96" s="185"/>
      <c r="J96" s="184">
        <f>IF(AND(MROUND(J58*'T16'!$D$3,1)&lt;1,J71&gt;0),1,MROUND(J58*'T16'!$D$3,1))</f>
        <v>1</v>
      </c>
      <c r="K96" s="184">
        <f>MROUND((K58*'T16'!$D$5)*'Source-fte_qualstus_x_servtype'!J38,5)</f>
        <v>5125</v>
      </c>
      <c r="L96" s="184">
        <f>MROUND((L70*'T16'!$D$7)*'Source-fte_qualstus_x_servtype'!J38,5)</f>
        <v>310</v>
      </c>
      <c r="M96" s="184">
        <f>MROUND((M58*'T16'!$D$5)*'Source-fte_qualstus_x_servtype'!J38,5)</f>
        <v>10</v>
      </c>
      <c r="N96" s="184">
        <f>MROUND((N58*'T16'!$D$3)*'Source-fte_qualstus_x_servtype'!J38,5)</f>
        <v>935</v>
      </c>
      <c r="O96" s="184">
        <f>MROUND((O58*'T16'!$D$10)*'Source-fte_qualstus_x_servtype'!J38,5)</f>
        <v>320</v>
      </c>
      <c r="P96" s="184">
        <f>MROUND((P58*'T16'!$D$11)*'Source-fte_qualstus_x_servtype'!J38,5)</f>
        <v>385</v>
      </c>
      <c r="Q96" s="184">
        <f>MROUND((Q58*'T16'!$D$6)*'Source-fte_qualstus_x_servtype'!J38,1)</f>
        <v>1</v>
      </c>
      <c r="R96" s="184">
        <f>MROUND((R58*'T16'!$D$6)*'Source-fte_qualstus_x_servtype'!J38,5)</f>
        <v>10010</v>
      </c>
      <c r="S96" s="184">
        <f>MROUND((S70*'T16'!$D$7)*'Source-fte_qualstus_x_servtype'!J38,5)</f>
        <v>1205</v>
      </c>
      <c r="T96" s="184">
        <f>MROUND((T58*'T16'!$D$9)*'Source-fte_qualstus_x_servtype'!J38,5)</f>
        <v>40</v>
      </c>
      <c r="U96" s="184">
        <f>MROUND((U58*'T16'!$D$4)*'Source-fte_qualstus_x_servtype'!J38,5)</f>
        <v>1820</v>
      </c>
      <c r="V96" s="184">
        <f>MROUND((V58*'T16'!$D$10)*'Source-fte_qualstus_x_servtype'!J38,5)</f>
        <v>1245</v>
      </c>
      <c r="W96" s="184">
        <f>MROUND((W58*'T16'!$D$11)*'Source-fte_qualstus_x_servtype'!J38,5)</f>
        <v>1495</v>
      </c>
      <c r="X96" s="184">
        <f t="shared" si="154"/>
        <v>19330</v>
      </c>
      <c r="Y96" s="185"/>
      <c r="Z96" s="184">
        <f>IF( MROUND( (Z58*'T16'!$D$3) * 0.844, 1) &lt;1, 1, MROUND( (Z58*'T16'!$D$3) * 0.844, 1 ) )</f>
        <v>1</v>
      </c>
      <c r="AA96" s="184">
        <f>MROUND((AA58*'T16'!$D$3)*0.844,1)</f>
        <v>6296</v>
      </c>
      <c r="AB96" s="184">
        <f>MROUND((AB58*'T16'!$D$7)*0.844,5)</f>
        <v>615</v>
      </c>
      <c r="AC96" s="184">
        <f>MROUND((AC58*'T16'!$D$5)*0.844,5)</f>
        <v>40</v>
      </c>
      <c r="AD96" s="184">
        <f>MROUND((AD58*'T16'!$D$3)*0.844,5)</f>
        <v>105</v>
      </c>
      <c r="AE96" s="184">
        <f>MROUND((AE58*'T16'!$D$10)*0.844,5)</f>
        <v>865</v>
      </c>
      <c r="AF96" s="184">
        <f>MROUND((AF58*'T16'!$D$11)*0.844,5)</f>
        <v>570</v>
      </c>
      <c r="AG96" s="184">
        <f>IF(MROUND((AG58*'T16'!$D$6)*0.844,1)&lt;1,1,MROUND((AG58*'T16'!$D$6)*0.844,1))</f>
        <v>1</v>
      </c>
      <c r="AH96" s="184">
        <f>IF(MROUND((AH58*'T16'!$D$6)*0.844,5)&lt;1,1,MROUND((AH58*'T16'!$D$6)*0.844,5))</f>
        <v>9425</v>
      </c>
      <c r="AI96" s="184">
        <f>MROUND((AI58*'T16'!$D$7)*0.844,5)</f>
        <v>5</v>
      </c>
      <c r="AJ96" s="184">
        <f>MROUND((AJ58*'T16'!$D$6)*0.844,5)</f>
        <v>5</v>
      </c>
      <c r="AK96" s="184">
        <f>MROUND((AK58*'T16'!$D$4)*0.844,5)</f>
        <v>2235</v>
      </c>
      <c r="AL96" s="184">
        <f>MROUND((AL58*'T16'!$D$10)*0.844,5)</f>
        <v>700</v>
      </c>
      <c r="AM96" s="184">
        <f>MROUND((AM58*'T16'!$D$12)*0.844,5)</f>
        <v>875</v>
      </c>
      <c r="AN96" s="184">
        <f t="shared" si="155"/>
        <v>21740</v>
      </c>
    </row>
    <row r="97" spans="1:40">
      <c r="A97" s="184">
        <v>2032</v>
      </c>
      <c r="B97" s="184"/>
      <c r="C97" s="184"/>
      <c r="D97" s="184"/>
      <c r="E97" s="184"/>
      <c r="F97" s="184"/>
      <c r="G97" s="184"/>
      <c r="H97" s="184"/>
      <c r="I97" s="185"/>
      <c r="J97" s="184">
        <f>IF(AND(MROUND(J59*'T16'!$D$3,1)&lt;1,J72&gt;0),1,MROUND(J59*'T16'!$D$3,1))</f>
        <v>1</v>
      </c>
      <c r="K97" s="184">
        <f>MROUND((K59*'T16'!$D$5)*'Source-fte_qualstus_x_servtype'!J39,5)</f>
        <v>5140</v>
      </c>
      <c r="L97" s="184">
        <f>MROUND((L71*'T16'!$D$7)*'Source-fte_qualstus_x_servtype'!J39,5)</f>
        <v>270</v>
      </c>
      <c r="M97" s="184">
        <f>MROUND((M59*'T16'!$D$5)*'Source-fte_qualstus_x_servtype'!J39,5)</f>
        <v>10</v>
      </c>
      <c r="N97" s="184">
        <f>MROUND((N59*'T16'!$D$3)*'Source-fte_qualstus_x_servtype'!J39,5)</f>
        <v>935</v>
      </c>
      <c r="O97" s="184">
        <f>MROUND((O59*'T16'!$D$10)*'Source-fte_qualstus_x_servtype'!J39,5)</f>
        <v>315</v>
      </c>
      <c r="P97" s="184">
        <f>MROUND((P59*'T16'!$D$11)*'Source-fte_qualstus_x_servtype'!J39,5)</f>
        <v>365</v>
      </c>
      <c r="Q97" s="184">
        <f>MROUND((Q59*'T16'!$D$6)*'Source-fte_qualstus_x_servtype'!J39,1)</f>
        <v>1</v>
      </c>
      <c r="R97" s="184">
        <f>MROUND((R59*'T16'!$D$6)*'Source-fte_qualstus_x_servtype'!J39,5)</f>
        <v>10040</v>
      </c>
      <c r="S97" s="184">
        <f>MROUND((S71*'T16'!$D$7)*'Source-fte_qualstus_x_servtype'!J39,5)</f>
        <v>1065</v>
      </c>
      <c r="T97" s="184">
        <f>MROUND((T59*'T16'!$D$9)*'Source-fte_qualstus_x_servtype'!J39,5)</f>
        <v>40</v>
      </c>
      <c r="U97" s="184">
        <f>MROUND((U59*'T16'!$D$4)*'Source-fte_qualstus_x_servtype'!J39,5)</f>
        <v>1830</v>
      </c>
      <c r="V97" s="184">
        <f>MROUND((V59*'T16'!$D$10)*'Source-fte_qualstus_x_servtype'!J39,5)</f>
        <v>1225</v>
      </c>
      <c r="W97" s="184">
        <f>MROUND((W59*'T16'!$D$11)*'Source-fte_qualstus_x_servtype'!J39,5)</f>
        <v>1430</v>
      </c>
      <c r="X97" s="184">
        <f t="shared" si="154"/>
        <v>19130</v>
      </c>
      <c r="Y97" s="185"/>
      <c r="Z97" s="184">
        <f>IF( MROUND( (Z59*'T16'!$D$3) * 0.844, 1) &lt;1, 1, MROUND( (Z59*'T16'!$D$3) * 0.844, 1 ) )</f>
        <v>1</v>
      </c>
      <c r="AA97" s="184">
        <f>MROUND((AA59*'T16'!$D$3)*0.844,1)</f>
        <v>6288</v>
      </c>
      <c r="AB97" s="184">
        <f>MROUND((AB59*'T16'!$D$7)*0.844,5)</f>
        <v>465</v>
      </c>
      <c r="AC97" s="184">
        <f>MROUND((AC59*'T16'!$D$5)*0.844,5)</f>
        <v>40</v>
      </c>
      <c r="AD97" s="184">
        <f>MROUND((AD59*'T16'!$D$3)*0.844,5)</f>
        <v>105</v>
      </c>
      <c r="AE97" s="184">
        <f>MROUND((AE59*'T16'!$D$10)*0.844,5)</f>
        <v>850</v>
      </c>
      <c r="AF97" s="184">
        <f>MROUND((AF59*'T16'!$D$11)*0.844,5)</f>
        <v>540</v>
      </c>
      <c r="AG97" s="184">
        <f>IF(MROUND((AG59*'T16'!$D$6)*0.844,1)&lt;1,1,MROUND((AG59*'T16'!$D$6)*0.844,1))</f>
        <v>1</v>
      </c>
      <c r="AH97" s="184">
        <f>IF(MROUND((AH59*'T16'!$D$6)*0.844,5)&lt;1,1,MROUND((AH59*'T16'!$D$6)*0.844,5))</f>
        <v>9410</v>
      </c>
      <c r="AI97" s="184">
        <f>MROUND((AI59*'T16'!$D$7)*0.844,5)</f>
        <v>5</v>
      </c>
      <c r="AJ97" s="184">
        <f>MROUND((AJ59*'T16'!$D$6)*0.844,5)</f>
        <v>5</v>
      </c>
      <c r="AK97" s="184">
        <f>MROUND((AK59*'T16'!$D$4)*0.844,5)</f>
        <v>2235</v>
      </c>
      <c r="AL97" s="184">
        <f>MROUND((AL59*'T16'!$D$10)*0.844,5)</f>
        <v>685</v>
      </c>
      <c r="AM97" s="184">
        <f>MROUND((AM59*'T16'!$D$12)*0.844,5)</f>
        <v>830</v>
      </c>
      <c r="AN97" s="184">
        <f t="shared" si="155"/>
        <v>21460</v>
      </c>
    </row>
    <row r="98" spans="1:40">
      <c r="A98" s="184">
        <v>2033</v>
      </c>
      <c r="B98" s="184"/>
      <c r="C98" s="184"/>
      <c r="D98" s="184"/>
      <c r="E98" s="184"/>
      <c r="F98" s="184"/>
      <c r="G98" s="184"/>
      <c r="H98" s="184"/>
      <c r="I98" s="185"/>
      <c r="J98" s="184">
        <f>IF(AND(MROUND(J60*'T16'!$D$3,1)&lt;1,J73&gt;0),1,MROUND(J60*'T16'!$D$3,1))</f>
        <v>1</v>
      </c>
      <c r="K98" s="184">
        <f>MROUND((K60*'T16'!$D$5)*'Source-fte_qualstus_x_servtype'!J40,5)</f>
        <v>5155</v>
      </c>
      <c r="L98" s="184">
        <f>MROUND((L72*'T16'!$D$7)*'Source-fte_qualstus_x_servtype'!J40,5)</f>
        <v>240</v>
      </c>
      <c r="M98" s="184">
        <f>MROUND((M60*'T16'!$D$5)*'Source-fte_qualstus_x_servtype'!J40,5)</f>
        <v>10</v>
      </c>
      <c r="N98" s="184">
        <f>MROUND((N60*'T16'!$D$3)*'Source-fte_qualstus_x_servtype'!J40,5)</f>
        <v>940</v>
      </c>
      <c r="O98" s="184">
        <f>MROUND((O60*'T16'!$D$10)*'Source-fte_qualstus_x_servtype'!J40,5)</f>
        <v>310</v>
      </c>
      <c r="P98" s="184">
        <f>MROUND((P60*'T16'!$D$11)*'Source-fte_qualstus_x_servtype'!J40,5)</f>
        <v>350</v>
      </c>
      <c r="Q98" s="184">
        <f>MROUND((Q60*'T16'!$D$6)*'Source-fte_qualstus_x_servtype'!J40,1)</f>
        <v>1</v>
      </c>
      <c r="R98" s="184">
        <f>MROUND((R60*'T16'!$D$6)*'Source-fte_qualstus_x_servtype'!J40,5)</f>
        <v>10070</v>
      </c>
      <c r="S98" s="184">
        <f>MROUND((S72*'T16'!$D$7)*'Source-fte_qualstus_x_servtype'!J40,5)</f>
        <v>940</v>
      </c>
      <c r="T98" s="184">
        <f>MROUND((T60*'T16'!$D$9)*'Source-fte_qualstus_x_servtype'!J40,5)</f>
        <v>35</v>
      </c>
      <c r="U98" s="184">
        <f>MROUND((U60*'T16'!$D$4)*'Source-fte_qualstus_x_servtype'!J40,5)</f>
        <v>1840</v>
      </c>
      <c r="V98" s="184">
        <f>MROUND((V60*'T16'!$D$10)*'Source-fte_qualstus_x_servtype'!J40,5)</f>
        <v>1210</v>
      </c>
      <c r="W98" s="184">
        <f>MROUND((W60*'T16'!$D$11)*'Source-fte_qualstus_x_servtype'!J40,5)</f>
        <v>1365</v>
      </c>
      <c r="X98" s="184">
        <f t="shared" si="154"/>
        <v>18960</v>
      </c>
      <c r="Y98" s="185"/>
      <c r="Z98" s="184">
        <f>IF( MROUND( (Z60*'T16'!$D$3) * 0.844, 1) &lt;1, 1, MROUND( (Z60*'T16'!$D$3) * 0.844, 1 ) )</f>
        <v>1</v>
      </c>
      <c r="AA98" s="184">
        <f>MROUND((AA60*'T16'!$D$3)*0.844,1)</f>
        <v>6280</v>
      </c>
      <c r="AB98" s="184">
        <f>MROUND((AB60*'T16'!$D$7)*0.844,5)</f>
        <v>355</v>
      </c>
      <c r="AC98" s="184">
        <f>MROUND((AC60*'T16'!$D$5)*0.844,5)</f>
        <v>35</v>
      </c>
      <c r="AD98" s="184">
        <f>MROUND((AD60*'T16'!$D$3)*0.844,5)</f>
        <v>105</v>
      </c>
      <c r="AE98" s="184">
        <f>MROUND((AE60*'T16'!$D$10)*0.844,5)</f>
        <v>830</v>
      </c>
      <c r="AF98" s="184">
        <f>MROUND((AF60*'T16'!$D$11)*0.844,5)</f>
        <v>515</v>
      </c>
      <c r="AG98" s="184">
        <f>IF(MROUND((AG60*'T16'!$D$6)*0.844,1)&lt;1,1,MROUND((AG60*'T16'!$D$6)*0.844,1))</f>
        <v>1</v>
      </c>
      <c r="AH98" s="184">
        <f>IF(MROUND((AH60*'T16'!$D$6)*0.844,5)&lt;1,1,MROUND((AH60*'T16'!$D$6)*0.844,5))</f>
        <v>9400</v>
      </c>
      <c r="AI98" s="184">
        <f>MROUND((AI60*'T16'!$D$7)*0.844,5)</f>
        <v>5</v>
      </c>
      <c r="AJ98" s="184">
        <f>MROUND((AJ60*'T16'!$D$6)*0.844,5)</f>
        <v>5</v>
      </c>
      <c r="AK98" s="184">
        <f>MROUND((AK60*'T16'!$D$4)*0.844,5)</f>
        <v>2235</v>
      </c>
      <c r="AL98" s="184">
        <f>MROUND((AL60*'T16'!$D$10)*0.844,5)</f>
        <v>670</v>
      </c>
      <c r="AM98" s="184">
        <f>MROUND((AM60*'T16'!$D$12)*0.844,5)</f>
        <v>790</v>
      </c>
      <c r="AN98" s="184">
        <f t="shared" si="155"/>
        <v>21225</v>
      </c>
    </row>
    <row r="99" spans="1:40">
      <c r="A99" s="184">
        <v>2034</v>
      </c>
      <c r="B99" s="184"/>
      <c r="C99" s="184"/>
      <c r="D99" s="184"/>
      <c r="E99" s="184"/>
      <c r="F99" s="184"/>
      <c r="G99" s="184"/>
      <c r="H99" s="184"/>
      <c r="I99" s="185"/>
      <c r="J99" s="184">
        <f>IF(AND(MROUND(J61*'T16'!$D$3,1)&lt;1,J74&gt;0),1,MROUND(J61*'T16'!$D$3,1))</f>
        <v>1</v>
      </c>
      <c r="K99" s="184">
        <f>MROUND((K61*'T16'!$D$5)*'Source-fte_qualstus_x_servtype'!J41,5)</f>
        <v>5170</v>
      </c>
      <c r="L99" s="184">
        <f>MROUND((L73*'T16'!$D$7)*'Source-fte_qualstus_x_servtype'!J41,5)</f>
        <v>210</v>
      </c>
      <c r="M99" s="184">
        <f>MROUND((M61*'T16'!$D$5)*'Source-fte_qualstus_x_servtype'!J41,5)</f>
        <v>10</v>
      </c>
      <c r="N99" s="184">
        <f>MROUND((N61*'T16'!$D$3)*'Source-fte_qualstus_x_servtype'!J41,5)</f>
        <v>945</v>
      </c>
      <c r="O99" s="184">
        <f>MROUND((O61*'T16'!$D$10)*'Source-fte_qualstus_x_servtype'!J41,5)</f>
        <v>305</v>
      </c>
      <c r="P99" s="184">
        <f>MROUND((P61*'T16'!$D$11)*'Source-fte_qualstus_x_servtype'!J41,5)</f>
        <v>335</v>
      </c>
      <c r="Q99" s="184">
        <f>MROUND((Q61*'T16'!$D$6)*'Source-fte_qualstus_x_servtype'!J41,1)</f>
        <v>1</v>
      </c>
      <c r="R99" s="184">
        <f>MROUND((R61*'T16'!$D$6)*'Source-fte_qualstus_x_servtype'!J41,5)</f>
        <v>10100</v>
      </c>
      <c r="S99" s="184">
        <f>MROUND((S73*'T16'!$D$7)*'Source-fte_qualstus_x_servtype'!J41,5)</f>
        <v>830</v>
      </c>
      <c r="T99" s="184">
        <f>MROUND((T61*'T16'!$D$9)*'Source-fte_qualstus_x_servtype'!J41,5)</f>
        <v>35</v>
      </c>
      <c r="U99" s="184">
        <f>MROUND((U61*'T16'!$D$4)*'Source-fte_qualstus_x_servtype'!J41,5)</f>
        <v>1850</v>
      </c>
      <c r="V99" s="184">
        <f>MROUND((V61*'T16'!$D$10)*'Source-fte_qualstus_x_servtype'!J41,5)</f>
        <v>1190</v>
      </c>
      <c r="W99" s="184">
        <f>MROUND((W61*'T16'!$D$11)*'Source-fte_qualstus_x_servtype'!J41,5)</f>
        <v>1305</v>
      </c>
      <c r="X99" s="184">
        <f t="shared" si="154"/>
        <v>18810</v>
      </c>
      <c r="Y99" s="185"/>
      <c r="Z99" s="184">
        <f>IF( MROUND( (Z61*'T16'!$D$3) * 0.844, 1) &lt;1, 1, MROUND( (Z61*'T16'!$D$3) * 0.844, 1 ) )</f>
        <v>1</v>
      </c>
      <c r="AA99" s="184">
        <f>MROUND((AA61*'T16'!$D$3)*0.844,1)</f>
        <v>6272</v>
      </c>
      <c r="AB99" s="184">
        <f>MROUND((AB61*'T16'!$D$7)*0.844,5)</f>
        <v>270</v>
      </c>
      <c r="AC99" s="184">
        <f>MROUND((AC61*'T16'!$D$5)*0.844,5)</f>
        <v>35</v>
      </c>
      <c r="AD99" s="184">
        <f>MROUND((AD61*'T16'!$D$3)*0.844,5)</f>
        <v>105</v>
      </c>
      <c r="AE99" s="184">
        <f>MROUND((AE61*'T16'!$D$10)*0.844,5)</f>
        <v>815</v>
      </c>
      <c r="AF99" s="184">
        <f>MROUND((AF61*'T16'!$D$11)*0.844,5)</f>
        <v>490</v>
      </c>
      <c r="AG99" s="184">
        <f>IF(MROUND((AG61*'T16'!$D$6)*0.844,1)&lt;1,1,MROUND((AG61*'T16'!$D$6)*0.844,1))</f>
        <v>1</v>
      </c>
      <c r="AH99" s="184">
        <f>IF(MROUND((AH61*'T16'!$D$6)*0.844,5)&lt;1,1,MROUND((AH61*'T16'!$D$6)*0.844,5))</f>
        <v>9390</v>
      </c>
      <c r="AI99" s="184">
        <f>MROUND((AI61*'T16'!$D$7)*0.844,5)</f>
        <v>5</v>
      </c>
      <c r="AJ99" s="184">
        <f>MROUND((AJ61*'T16'!$D$6)*0.844,5)</f>
        <v>5</v>
      </c>
      <c r="AK99" s="184">
        <f>MROUND((AK61*'T16'!$D$4)*0.844,5)</f>
        <v>2240</v>
      </c>
      <c r="AL99" s="184">
        <f>MROUND((AL61*'T16'!$D$10)*0.844,5)</f>
        <v>660</v>
      </c>
      <c r="AM99" s="184">
        <f>MROUND((AM61*'T16'!$D$12)*0.844,5)</f>
        <v>750</v>
      </c>
      <c r="AN99" s="184">
        <f t="shared" si="155"/>
        <v>21040</v>
      </c>
    </row>
    <row r="100" spans="1:40">
      <c r="A100" s="184">
        <v>2035</v>
      </c>
      <c r="B100" s="184"/>
      <c r="C100" s="184"/>
      <c r="D100" s="184"/>
      <c r="E100" s="184"/>
      <c r="F100" s="184"/>
      <c r="G100" s="184"/>
      <c r="H100" s="184"/>
      <c r="I100" s="185"/>
      <c r="J100" s="184">
        <f>IF(AND(MROUND(J62*'T16'!$D$3,1)&lt;1,J75&gt;0),1,MROUND(J62*'T16'!$D$3,1))</f>
        <v>0</v>
      </c>
      <c r="K100" s="184">
        <f>MROUND((K62*'T16'!$D$5)*'Source-fte_qualstus_x_servtype'!J42,5)</f>
        <v>5185</v>
      </c>
      <c r="L100" s="184">
        <f>MROUND((L74*'T16'!$D$7)*'Source-fte_qualstus_x_servtype'!J42,5)</f>
        <v>185</v>
      </c>
      <c r="M100" s="184">
        <f>MROUND((M62*'T16'!$D$5)*'Source-fte_qualstus_x_servtype'!J42,5)</f>
        <v>10</v>
      </c>
      <c r="N100" s="184">
        <f>MROUND((N62*'T16'!$D$3)*'Source-fte_qualstus_x_servtype'!J42,5)</f>
        <v>950</v>
      </c>
      <c r="O100" s="184">
        <f>MROUND((O62*'T16'!$D$10)*'Source-fte_qualstus_x_servtype'!J42,5)</f>
        <v>300</v>
      </c>
      <c r="P100" s="184">
        <f>MROUND((P62*'T16'!$D$11)*'Source-fte_qualstus_x_servtype'!J42,5)</f>
        <v>320</v>
      </c>
      <c r="Q100" s="184">
        <f>MROUND((Q62*'T16'!$D$6)*'Source-fte_qualstus_x_servtype'!J42,1)</f>
        <v>1</v>
      </c>
      <c r="R100" s="184">
        <f>MROUND((R62*'T16'!$D$6)*'Source-fte_qualstus_x_servtype'!J42,5)</f>
        <v>10130</v>
      </c>
      <c r="S100" s="184">
        <f>MROUND((S74*'T16'!$D$7)*'Source-fte_qualstus_x_servtype'!J42,5)</f>
        <v>730</v>
      </c>
      <c r="T100" s="184">
        <f>MROUND((T62*'T16'!$D$9)*'Source-fte_qualstus_x_servtype'!J42,5)</f>
        <v>35</v>
      </c>
      <c r="U100" s="184">
        <f>MROUND((U62*'T16'!$D$4)*'Source-fte_qualstus_x_servtype'!J42,5)</f>
        <v>1855</v>
      </c>
      <c r="V100" s="184">
        <f>MROUND((V62*'T16'!$D$10)*'Source-fte_qualstus_x_servtype'!J42,5)</f>
        <v>1170</v>
      </c>
      <c r="W100" s="184">
        <f>MROUND((W62*'T16'!$D$11)*'Source-fte_qualstus_x_servtype'!J42,5)</f>
        <v>1250</v>
      </c>
      <c r="X100" s="184">
        <f t="shared" si="154"/>
        <v>18670</v>
      </c>
      <c r="Y100" s="185"/>
      <c r="Z100" s="184">
        <f>IF( MROUND( (Z62*'T16'!$D$3) * 0.844, 1) &lt;1, 1, MROUND( (Z62*'T16'!$D$3) * 0.844, 1 ) )</f>
        <v>1</v>
      </c>
      <c r="AA100" s="184">
        <f>MROUND((AA62*'T16'!$D$3)*0.844,1)</f>
        <v>6265</v>
      </c>
      <c r="AB100" s="184">
        <f>MROUND((AB62*'T16'!$D$7)*0.844,5)</f>
        <v>205</v>
      </c>
      <c r="AC100" s="184">
        <f>MROUND((AC62*'T16'!$D$5)*0.844,5)</f>
        <v>30</v>
      </c>
      <c r="AD100" s="184">
        <f>MROUND((AD62*'T16'!$D$3)*0.844,5)</f>
        <v>105</v>
      </c>
      <c r="AE100" s="184">
        <f>MROUND((AE62*'T16'!$D$10)*0.844,5)</f>
        <v>800</v>
      </c>
      <c r="AF100" s="184">
        <f>MROUND((AF62*'T16'!$D$11)*0.844,5)</f>
        <v>465</v>
      </c>
      <c r="AG100" s="184">
        <f>IF(MROUND((AG62*'T16'!$D$6)*0.844,1)&lt;1,1,MROUND((AG62*'T16'!$D$6)*0.844,1))</f>
        <v>1</v>
      </c>
      <c r="AH100" s="184">
        <f>IF(MROUND((AH62*'T16'!$D$6)*0.844,5)&lt;1,1,MROUND((AH62*'T16'!$D$6)*0.844,5))</f>
        <v>9375</v>
      </c>
      <c r="AI100" s="184">
        <f>MROUND((AI62*'T16'!$D$7)*0.844,5)</f>
        <v>0</v>
      </c>
      <c r="AJ100" s="184">
        <f>MROUND((AJ62*'T16'!$D$6)*0.844,5)</f>
        <v>5</v>
      </c>
      <c r="AK100" s="184">
        <f>MROUND((AK62*'T16'!$D$4)*0.844,5)</f>
        <v>2240</v>
      </c>
      <c r="AL100" s="184">
        <f>MROUND((AL62*'T16'!$D$10)*0.844,5)</f>
        <v>645</v>
      </c>
      <c r="AM100" s="184">
        <f>MROUND((AM62*'T16'!$D$12)*0.844,5)</f>
        <v>715</v>
      </c>
      <c r="AN100" s="184">
        <f t="shared" si="155"/>
        <v>20850</v>
      </c>
    </row>
    <row r="102" spans="1:40">
      <c r="A102" s="184"/>
      <c r="B102" s="184"/>
      <c r="C102" s="184"/>
      <c r="D102" s="184"/>
      <c r="E102" s="184"/>
      <c r="F102" s="184"/>
      <c r="G102" s="184"/>
      <c r="H102" s="184"/>
      <c r="I102" s="185"/>
      <c r="J102" s="175" t="s">
        <v>429</v>
      </c>
      <c r="K102" s="175"/>
      <c r="L102" s="175"/>
      <c r="M102" s="175"/>
      <c r="N102" s="175"/>
      <c r="O102" s="175"/>
      <c r="P102" s="175"/>
      <c r="Q102" s="175"/>
      <c r="R102" s="175"/>
      <c r="S102" s="175"/>
      <c r="T102" s="175"/>
      <c r="U102" s="175"/>
      <c r="V102" s="175"/>
      <c r="W102" s="175"/>
      <c r="X102" s="23"/>
      <c r="Y102" s="185"/>
      <c r="Z102" s="175" t="s">
        <v>430</v>
      </c>
      <c r="AA102" s="175"/>
      <c r="AB102" s="175"/>
      <c r="AC102" s="175"/>
      <c r="AD102" s="175"/>
      <c r="AE102" s="175"/>
      <c r="AF102" s="175"/>
      <c r="AG102" s="175"/>
      <c r="AH102" s="175"/>
      <c r="AI102" s="175"/>
      <c r="AJ102" s="175"/>
      <c r="AK102" s="175"/>
      <c r="AL102" s="175"/>
      <c r="AM102" s="175"/>
      <c r="AN102" s="184"/>
    </row>
    <row r="103" spans="1:40">
      <c r="A103" s="184">
        <v>2025</v>
      </c>
      <c r="B103" s="184"/>
      <c r="C103" s="184"/>
      <c r="D103" s="184"/>
      <c r="E103" s="184"/>
      <c r="F103" s="184"/>
      <c r="G103" s="184"/>
      <c r="H103" s="184"/>
      <c r="I103" s="185"/>
      <c r="J103" s="184">
        <f>MROUND((J14*'T16'!$D$3)*0.844,1)</f>
        <v>1</v>
      </c>
      <c r="K103" s="184">
        <f>MROUND((K14*'T16'!$E$5)*'Source-fte_qualstus_x_servtype'!J32,5)</f>
        <v>6550</v>
      </c>
      <c r="L103" s="184">
        <f>MROUND((L14*'T16'!$D$7)*'Source-fte_qualstus_x_servtype'!J32,5)</f>
        <v>650</v>
      </c>
      <c r="M103" s="184">
        <f>MROUND((M14*'T16'!$D$5)*'Source-fte_qualstus_x_servtype'!J32,5)</f>
        <v>15</v>
      </c>
      <c r="N103" s="184">
        <f>MROUND((N14*'T16'!$D$3)*'Source-fte_qualstus_x_servtype'!J32,5)</f>
        <v>905</v>
      </c>
      <c r="O103" s="184">
        <f>MROUND((O14*'T16'!$D$10)*'Source-fte_qualstus_x_servtype'!J32,5)</f>
        <v>350</v>
      </c>
      <c r="P103" s="184">
        <f>MROUND((P14*'T16'!$D$11)*'Source-fte_qualstus_x_servtype'!J32,5)</f>
        <v>500</v>
      </c>
      <c r="Q103" s="184">
        <f>MROUND((Q14*'T16'!$D$6)*'Source-fte_qualstus_x_servtype'!J32,1)</f>
        <v>3</v>
      </c>
      <c r="R103" s="184">
        <f>MROUND((R14*'T16'!$E$6)*'Source-fte_qualstus_x_servtype'!J32,5)</f>
        <v>17020</v>
      </c>
      <c r="S103" s="184">
        <f>MROUND((S14*'T16'!$D$7)*'Source-fte_qualstus_x_servtype'!J32,5)</f>
        <v>2550</v>
      </c>
      <c r="T103" s="184">
        <f>MROUND((T14*'T16'!$D$9)*'Source-fte_qualstus_x_servtype'!J32,5)</f>
        <v>60</v>
      </c>
      <c r="U103" s="184">
        <f>MROUND((U14*'T16'!$E$4)*'Source-fte_qualstus_x_servtype'!J32,5)</f>
        <v>2845</v>
      </c>
      <c r="V103" s="184">
        <f>MROUND((V14*'T16'!$D$10)*'Source-fte_qualstus_x_servtype'!J32,5)</f>
        <v>1370</v>
      </c>
      <c r="W103" s="184">
        <f>MROUND((W14*'T16'!$D$11)*'Source-fte_qualstus_x_servtype'!J32,5)</f>
        <v>1955</v>
      </c>
      <c r="X103" s="184">
        <f>MROUND(SUM(J103:W103),5)</f>
        <v>34775</v>
      </c>
      <c r="Y103" s="185"/>
      <c r="Z103" s="184">
        <f>MROUND((Z14*'T16'!$D$3)*0.844,1)</f>
        <v>3</v>
      </c>
      <c r="AA103" s="184">
        <f>MROUND((AA14*'T16'!$D$3)*0.844,1)</f>
        <v>6344</v>
      </c>
      <c r="AB103" s="184">
        <f>MROUND((AB14*'T16'!$D$7)*0.844,5)</f>
        <v>3250</v>
      </c>
      <c r="AC103" s="184">
        <f>MROUND((AC14*'T16'!$D$5)*0.844,5)</f>
        <v>60</v>
      </c>
      <c r="AD103" s="184">
        <f>MROUND((AD14*'T16'!$D$3)*0.844,5)</f>
        <v>105</v>
      </c>
      <c r="AE103" s="184">
        <f>MROUND((AE14*'T16'!$D$10)*0.844,5)</f>
        <v>975</v>
      </c>
      <c r="AF103" s="184">
        <f>MROUND((AF14*'T16'!$D$11)*0.844,5)</f>
        <v>765</v>
      </c>
      <c r="AG103" s="184">
        <f>MROUND((AG14*'T16'!$D$6)*0.844,1)</f>
        <v>2</v>
      </c>
      <c r="AH103" s="184">
        <f>MROUND((AH14*'T16'!$D$6)*0.844,1)</f>
        <v>9495</v>
      </c>
      <c r="AI103" s="184">
        <f>MROUND((AI14*'T16'!$D$7)*0.844,5)</f>
        <v>40</v>
      </c>
      <c r="AJ103" s="184">
        <f>MROUND((AJ14*'T16'!$D$6)*0.844,5)</f>
        <v>10</v>
      </c>
      <c r="AK103" s="184">
        <f>MROUND((AK14*'T16'!$D$4)*0.844,5)</f>
        <v>2230</v>
      </c>
      <c r="AL103" s="184">
        <f>MROUND((AL14*'T16'!$D$10)*0.844,5)</f>
        <v>790</v>
      </c>
      <c r="AM103" s="184">
        <f>MROUND((AM14*'T16'!$D$12)*0.844,5)</f>
        <v>1175</v>
      </c>
      <c r="AN103" s="184">
        <f>SUM(Z103:AM103)</f>
        <v>25244</v>
      </c>
    </row>
    <row r="104" spans="1:40">
      <c r="A104" s="184">
        <v>2026</v>
      </c>
      <c r="B104" s="184"/>
      <c r="C104" s="184"/>
      <c r="D104" s="184"/>
      <c r="E104" s="184"/>
      <c r="F104" s="184"/>
      <c r="G104" s="184"/>
      <c r="H104" s="184"/>
      <c r="I104" s="185"/>
      <c r="J104" s="184">
        <f>IF(AND(MROUND((J65*'T16'!$D$3)*0.844,1)&lt;1,J65&gt;0),1,MROUND((J65*'T16'!$D$3)*0.844,1))</f>
        <v>1</v>
      </c>
      <c r="K104" s="184">
        <f>MROUND((K65*'T16'!$E$5)*'Source-fte_qualstus_x_servtype'!J33,5)</f>
        <v>6660</v>
      </c>
      <c r="L104" s="184">
        <f>MROUND((L65*'T16'!$D$7)*'Source-fte_qualstus_x_servtype'!J33,5)</f>
        <v>575</v>
      </c>
      <c r="M104" s="184">
        <f>MROUND((M65*'T16'!$D$5)*'Source-fte_qualstus_x_servtype'!J33,5)</f>
        <v>15</v>
      </c>
      <c r="N104" s="184">
        <f>MROUND((N65*'T16'!$D$3)*'Source-fte_qualstus_x_servtype'!J33,5)</f>
        <v>915</v>
      </c>
      <c r="O104" s="184">
        <f>MROUND((O65*'T16'!$D$10)*'Source-fte_qualstus_x_servtype'!J33,5)</f>
        <v>350</v>
      </c>
      <c r="P104" s="184">
        <f>MROUND((P65*'T16'!$D$11)*'Source-fte_qualstus_x_servtype'!J33,5)</f>
        <v>495</v>
      </c>
      <c r="Q104" s="184">
        <f>MROUND((Q65*'T16'!$D$6)*'Source-fte_qualstus_x_servtype'!J33,1)</f>
        <v>2</v>
      </c>
      <c r="R104" s="184">
        <f>MROUND((R65*'T16'!$E$6)*'Source-fte_qualstus_x_servtype'!J33,5)</f>
        <v>17320</v>
      </c>
      <c r="S104" s="184">
        <f>MROUND((S65*'T16'!$D$7)*'Source-fte_qualstus_x_servtype'!J33,5)</f>
        <v>2250</v>
      </c>
      <c r="T104" s="184">
        <f>MROUND((T65*'T16'!$D$9)*'Source-fte_qualstus_x_servtype'!J33,5)</f>
        <v>60</v>
      </c>
      <c r="U104" s="184">
        <f>MROUND((U65*'T16'!$E$4)*'Source-fte_qualstus_x_servtype'!J33,5)</f>
        <v>2880</v>
      </c>
      <c r="V104" s="184">
        <f>MROUND((V65*'T16'!$D$10)*'Source-fte_qualstus_x_servtype'!J33,5)</f>
        <v>1365</v>
      </c>
      <c r="W104" s="184">
        <f>MROUND((W65*'T16'!$D$11)*'Source-fte_qualstus_x_servtype'!J33,5)</f>
        <v>1935</v>
      </c>
      <c r="X104" s="184">
        <f t="shared" ref="X104:X113" si="156">MROUND(SUM(J104:W104),5)</f>
        <v>34825</v>
      </c>
      <c r="Y104" s="185"/>
      <c r="Z104" s="184">
        <f>MROUND((Z65*'T16'!$D$3)*0.844,1)</f>
        <v>3</v>
      </c>
      <c r="AA104" s="184">
        <f>MROUND((AA65*'T16'!$D$3)*0.844,1)</f>
        <v>6426</v>
      </c>
      <c r="AB104" s="184">
        <f>MROUND((AB65*'T16'!$D$7)*0.844,5)</f>
        <v>2855</v>
      </c>
      <c r="AC104" s="184">
        <f>MROUND((AC65*'T16'!$D$5)*0.844,5)</f>
        <v>60</v>
      </c>
      <c r="AD104" s="184">
        <f>MROUND((AD65*'T16'!$D$3)*0.844,5)</f>
        <v>105</v>
      </c>
      <c r="AE104" s="184">
        <f>MROUND((AE65*'T16'!$D$10)*0.844,5)</f>
        <v>970</v>
      </c>
      <c r="AF104" s="184">
        <f>MROUND((AF65*'T16'!$D$11)*0.844,5)</f>
        <v>755</v>
      </c>
      <c r="AG104" s="184">
        <f>MROUND((AG65*'T16'!$D$6)*0.844,1)</f>
        <v>2</v>
      </c>
      <c r="AH104" s="184">
        <f>MROUND((AH65*'T16'!$D$6)*0.844,1)</f>
        <v>9618</v>
      </c>
      <c r="AI104" s="184">
        <f>MROUND((AI65*'T16'!$D$7)*0.844,5)</f>
        <v>35</v>
      </c>
      <c r="AJ104" s="184">
        <f>MROUND((AJ65*'T16'!$D$6)*0.844,5)</f>
        <v>10</v>
      </c>
      <c r="AK104" s="184">
        <f>MROUND((AK65*'T16'!$D$4)*0.844,5)</f>
        <v>2240</v>
      </c>
      <c r="AL104" s="184">
        <f>MROUND((AL65*'T16'!$D$10)*0.844,5)</f>
        <v>780</v>
      </c>
      <c r="AM104" s="184">
        <f>MROUND((AM65*'T16'!$D$12)*0.844,5)</f>
        <v>1155</v>
      </c>
      <c r="AN104" s="184">
        <f>SUM(Z104:AM104)</f>
        <v>25014</v>
      </c>
    </row>
    <row r="105" spans="1:40">
      <c r="A105" s="184">
        <v>2027</v>
      </c>
      <c r="B105" s="184"/>
      <c r="C105" s="184"/>
      <c r="D105" s="184"/>
      <c r="E105" s="184"/>
      <c r="F105" s="184"/>
      <c r="G105" s="184"/>
      <c r="H105" s="184"/>
      <c r="I105" s="185"/>
      <c r="J105" s="184">
        <f>MROUND((J66*'T16'!$D$3)*0.844,1)</f>
        <v>1</v>
      </c>
      <c r="K105" s="184">
        <f>MROUND((K66*'T16'!$E$5)*'Source-fte_qualstus_x_servtype'!J34,5)</f>
        <v>6780</v>
      </c>
      <c r="L105" s="184">
        <f>MROUND((L66*'T16'!$D$7)*'Source-fte_qualstus_x_servtype'!J34,5)</f>
        <v>510</v>
      </c>
      <c r="M105" s="184">
        <f>MROUND((M66*'T16'!$D$5)*'Source-fte_qualstus_x_servtype'!J34,5)</f>
        <v>15</v>
      </c>
      <c r="N105" s="184">
        <f>MROUND((N66*'T16'!$D$3)*'Source-fte_qualstus_x_servtype'!J34,5)</f>
        <v>925</v>
      </c>
      <c r="O105" s="184">
        <f>MROUND((O66*'T16'!$D$10)*'Source-fte_qualstus_x_servtype'!J34,5)</f>
        <v>345</v>
      </c>
      <c r="P105" s="184">
        <f>MROUND((P66*'T16'!$D$11)*'Source-fte_qualstus_x_servtype'!J34,5)</f>
        <v>490</v>
      </c>
      <c r="Q105" s="184">
        <f>MROUND((Q66*'T16'!$D$6)*'Source-fte_qualstus_x_servtype'!J34,1)</f>
        <v>2</v>
      </c>
      <c r="R105" s="184">
        <f>MROUND((R66*'T16'!$E$6)*'Source-fte_qualstus_x_servtype'!J34,5)</f>
        <v>17620</v>
      </c>
      <c r="S105" s="184">
        <f>MROUND((S66*'T16'!$D$7)*'Source-fte_qualstus_x_servtype'!J34,5)</f>
        <v>1985</v>
      </c>
      <c r="T105" s="184">
        <f>MROUND((T66*'T16'!$D$9)*'Source-fte_qualstus_x_servtype'!J34,5)</f>
        <v>55</v>
      </c>
      <c r="U105" s="184">
        <f>MROUND((U66*'T16'!$E$4)*'Source-fte_qualstus_x_servtype'!J34,5)</f>
        <v>2910</v>
      </c>
      <c r="V105" s="184">
        <f>MROUND((V66*'T16'!$D$10)*'Source-fte_qualstus_x_servtype'!J34,5)</f>
        <v>1355</v>
      </c>
      <c r="W105" s="184">
        <f>MROUND((W66*'T16'!$D$11)*'Source-fte_qualstus_x_servtype'!J34,5)</f>
        <v>1920</v>
      </c>
      <c r="X105" s="184">
        <f t="shared" si="156"/>
        <v>34915</v>
      </c>
      <c r="Y105" s="185"/>
      <c r="Z105" s="184">
        <f>MROUND((Z66*'T16'!$D$3)*0.844,1)</f>
        <v>2</v>
      </c>
      <c r="AA105" s="184">
        <f>MROUND((AA66*'T16'!$D$3)*0.844,1)</f>
        <v>6509</v>
      </c>
      <c r="AB105" s="184">
        <f>MROUND((AB66*'T16'!$D$7)*0.844,5)</f>
        <v>2510</v>
      </c>
      <c r="AC105" s="184">
        <f>MROUND((AC66*'T16'!$D$5)*0.844,5)</f>
        <v>60</v>
      </c>
      <c r="AD105" s="184">
        <f>MROUND((AD66*'T16'!$D$3)*0.844,5)</f>
        <v>105</v>
      </c>
      <c r="AE105" s="184">
        <f>MROUND((AE66*'T16'!$D$10)*0.844,5)</f>
        <v>960</v>
      </c>
      <c r="AF105" s="184">
        <f>MROUND((AF66*'T16'!$D$11)*0.844,5)</f>
        <v>740</v>
      </c>
      <c r="AG105" s="184">
        <f>MROUND((AG66*'T16'!$D$6)*0.844,1)</f>
        <v>1</v>
      </c>
      <c r="AH105" s="184">
        <f>MROUND((AH66*'T16'!$D$6)*0.844,1)</f>
        <v>9743</v>
      </c>
      <c r="AI105" s="184">
        <f>MROUND((AI66*'T16'!$D$7)*0.844,5)</f>
        <v>30</v>
      </c>
      <c r="AJ105" s="184">
        <f>MROUND((AJ66*'T16'!$D$6)*0.844,5)</f>
        <v>10</v>
      </c>
      <c r="AK105" s="184">
        <f>MROUND((AK66*'T16'!$D$4)*0.844,5)</f>
        <v>2255</v>
      </c>
      <c r="AL105" s="184">
        <f>MROUND((AL66*'T16'!$D$10)*0.844,5)</f>
        <v>775</v>
      </c>
      <c r="AM105" s="184">
        <f>MROUND((AM66*'T16'!$D$12)*0.844,5)</f>
        <v>1140</v>
      </c>
      <c r="AN105" s="184">
        <f t="shared" ref="AN105:AN113" si="157">SUM(Z105:AM105)</f>
        <v>24840</v>
      </c>
    </row>
    <row r="106" spans="1:40">
      <c r="A106" s="184">
        <v>2028</v>
      </c>
      <c r="B106" s="184"/>
      <c r="C106" s="184"/>
      <c r="D106" s="184"/>
      <c r="E106" s="184"/>
      <c r="F106" s="184"/>
      <c r="G106" s="184"/>
      <c r="H106" s="184"/>
      <c r="I106" s="185"/>
      <c r="J106" s="184">
        <f>MROUND((J67*'T16'!$D$3)*0.844,1)</f>
        <v>1</v>
      </c>
      <c r="K106" s="184">
        <f>MROUND((K67*'T16'!$E$5)*'Source-fte_qualstus_x_servtype'!J35,5)</f>
        <v>6895</v>
      </c>
      <c r="L106" s="184">
        <f>MROUND((L67*'T16'!$D$7)*'Source-fte_qualstus_x_servtype'!J35,5)</f>
        <v>450</v>
      </c>
      <c r="M106" s="184">
        <f>MROUND((M67*'T16'!$D$5)*'Source-fte_qualstus_x_servtype'!J35,5)</f>
        <v>15</v>
      </c>
      <c r="N106" s="184">
        <f>MROUND((N67*'T16'!$D$3)*'Source-fte_qualstus_x_servtype'!J35,5)</f>
        <v>935</v>
      </c>
      <c r="O106" s="184">
        <f>MROUND((O67*'T16'!$D$10)*'Source-fte_qualstus_x_servtype'!J35,5)</f>
        <v>345</v>
      </c>
      <c r="P106" s="184">
        <f>MROUND((P67*'T16'!$D$11)*'Source-fte_qualstus_x_servtype'!J35,5)</f>
        <v>485</v>
      </c>
      <c r="Q106" s="184">
        <f>MROUND((Q67*'T16'!$D$6)*'Source-fte_qualstus_x_servtype'!J35,1)</f>
        <v>2</v>
      </c>
      <c r="R106" s="184">
        <f>MROUND((R67*'T16'!$E$6)*'Source-fte_qualstus_x_servtype'!J35,5)</f>
        <v>17930</v>
      </c>
      <c r="S106" s="184">
        <f>MROUND((S67*'T16'!$D$7)*'Source-fte_qualstus_x_servtype'!J35,5)</f>
        <v>1750</v>
      </c>
      <c r="T106" s="184">
        <f>MROUND((T67*'T16'!$D$9)*'Source-fte_qualstus_x_servtype'!J35,5)</f>
        <v>55</v>
      </c>
      <c r="U106" s="184">
        <f>MROUND((U67*'T16'!$E$4)*'Source-fte_qualstus_x_servtype'!J35,5)</f>
        <v>2945</v>
      </c>
      <c r="V106" s="184">
        <f>MROUND((V67*'T16'!$D$10)*'Source-fte_qualstus_x_servtype'!J35,5)</f>
        <v>1350</v>
      </c>
      <c r="W106" s="184">
        <f>MROUND((W67*'T16'!$D$11)*'Source-fte_qualstus_x_servtype'!J35,5)</f>
        <v>1900</v>
      </c>
      <c r="X106" s="184">
        <f t="shared" si="156"/>
        <v>35060</v>
      </c>
      <c r="Y106" s="185"/>
      <c r="Z106" s="184">
        <f>MROUND((Z67*'T16'!$D$3)*0.844,1)</f>
        <v>2</v>
      </c>
      <c r="AA106" s="184">
        <f>MROUND((AA67*'T16'!$D$3)*0.844,1)</f>
        <v>6594</v>
      </c>
      <c r="AB106" s="184">
        <f>MROUND((AB67*'T16'!$D$7)*0.844,5)</f>
        <v>2205</v>
      </c>
      <c r="AC106" s="184">
        <f>MROUND((AC67*'T16'!$D$5)*0.844,5)</f>
        <v>60</v>
      </c>
      <c r="AD106" s="184">
        <f>MROUND((AD67*'T16'!$D$3)*0.844,5)</f>
        <v>110</v>
      </c>
      <c r="AE106" s="184">
        <f>MROUND((AE67*'T16'!$D$10)*0.844,5)</f>
        <v>950</v>
      </c>
      <c r="AF106" s="184">
        <f>MROUND((AF67*'T16'!$D$11)*0.844,5)</f>
        <v>730</v>
      </c>
      <c r="AG106" s="184">
        <f>MROUND((AG67*'T16'!$D$6)*0.844,1)</f>
        <v>1</v>
      </c>
      <c r="AH106" s="184">
        <f>MROUND((AH67*'T16'!$D$6)*0.844,1)</f>
        <v>9869</v>
      </c>
      <c r="AI106" s="184">
        <f>MROUND((AI67*'T16'!$D$7)*0.844,5)</f>
        <v>25</v>
      </c>
      <c r="AJ106" s="184">
        <f>MROUND((AJ67*'T16'!$D$6)*0.844,5)</f>
        <v>5</v>
      </c>
      <c r="AK106" s="184">
        <f>MROUND((AK67*'T16'!$D$4)*0.844,5)</f>
        <v>2270</v>
      </c>
      <c r="AL106" s="184">
        <f>MROUND((AL67*'T16'!$D$10)*0.844,5)</f>
        <v>770</v>
      </c>
      <c r="AM106" s="184">
        <f>MROUND((AM67*'T16'!$D$12)*0.844,5)</f>
        <v>1125</v>
      </c>
      <c r="AN106" s="184">
        <f t="shared" si="157"/>
        <v>24716</v>
      </c>
    </row>
    <row r="107" spans="1:40">
      <c r="A107" s="184">
        <v>2029</v>
      </c>
      <c r="B107" s="184"/>
      <c r="C107" s="184"/>
      <c r="D107" s="184"/>
      <c r="E107" s="184"/>
      <c r="F107" s="184"/>
      <c r="G107" s="184"/>
      <c r="H107" s="184"/>
      <c r="I107" s="185"/>
      <c r="J107" s="184">
        <f>MROUND((J68*'T16'!$D$3)*0.844,1)</f>
        <v>1</v>
      </c>
      <c r="K107" s="184">
        <f>MROUND((K68*'T16'!$E$5)*'Source-fte_qualstus_x_servtype'!J36,5)</f>
        <v>7015</v>
      </c>
      <c r="L107" s="184">
        <f>MROUND((L68*'T16'!$D$7)*'Source-fte_qualstus_x_servtype'!J36,5)</f>
        <v>395</v>
      </c>
      <c r="M107" s="184">
        <f>MROUND((M68*'T16'!$D$5)*'Source-fte_qualstus_x_servtype'!J36,5)</f>
        <v>15</v>
      </c>
      <c r="N107" s="184">
        <f>MROUND((N68*'T16'!$D$3)*'Source-fte_qualstus_x_servtype'!J36,5)</f>
        <v>945</v>
      </c>
      <c r="O107" s="184">
        <f>MROUND((O68*'T16'!$D$10)*'Source-fte_qualstus_x_servtype'!J36,5)</f>
        <v>345</v>
      </c>
      <c r="P107" s="184">
        <f>MROUND((P68*'T16'!$D$11)*'Source-fte_qualstus_x_servtype'!J36,5)</f>
        <v>480</v>
      </c>
      <c r="Q107" s="184">
        <f>MROUND((Q68*'T16'!$D$6)*'Source-fte_qualstus_x_servtype'!J36,1)</f>
        <v>1</v>
      </c>
      <c r="R107" s="184">
        <f>MROUND((R68*'T16'!$E$6)*'Source-fte_qualstus_x_servtype'!J36,5)</f>
        <v>18240</v>
      </c>
      <c r="S107" s="184">
        <f>MROUND((S68*'T16'!$D$7)*'Source-fte_qualstus_x_servtype'!J36,5)</f>
        <v>1545</v>
      </c>
      <c r="T107" s="184">
        <f>MROUND((T68*'T16'!$D$9)*'Source-fte_qualstus_x_servtype'!J36,5)</f>
        <v>55</v>
      </c>
      <c r="U107" s="184">
        <f>MROUND((U68*'T16'!$E$4)*'Source-fte_qualstus_x_servtype'!J36,5)</f>
        <v>2975</v>
      </c>
      <c r="V107" s="184">
        <f>MROUND((V68*'T16'!$D$10)*'Source-fte_qualstus_x_servtype'!J36,5)</f>
        <v>1345</v>
      </c>
      <c r="W107" s="184">
        <f>MROUND((W68*'T16'!$D$11)*'Source-fte_qualstus_x_servtype'!J36,5)</f>
        <v>1885</v>
      </c>
      <c r="X107" s="184">
        <f t="shared" si="156"/>
        <v>35240</v>
      </c>
      <c r="Y107" s="185"/>
      <c r="Z107" s="184">
        <f>MROUND((Z68*'T16'!$D$3)*0.844,1)</f>
        <v>2</v>
      </c>
      <c r="AA107" s="184">
        <f>MROUND((AA68*'T16'!$D$3)*0.844,1)</f>
        <v>6679</v>
      </c>
      <c r="AB107" s="184">
        <f>MROUND((AB68*'T16'!$D$7)*0.844,5)</f>
        <v>1935</v>
      </c>
      <c r="AC107" s="184">
        <f>MROUND((AC68*'T16'!$D$5)*0.844,5)</f>
        <v>55</v>
      </c>
      <c r="AD107" s="184">
        <f>MROUND((AD68*'T16'!$D$3)*0.844,5)</f>
        <v>110</v>
      </c>
      <c r="AE107" s="184">
        <f>MROUND((AE68*'T16'!$D$10)*0.844,5)</f>
        <v>940</v>
      </c>
      <c r="AF107" s="184">
        <f>MROUND((AF68*'T16'!$D$11)*0.844,5)</f>
        <v>720</v>
      </c>
      <c r="AG107" s="184">
        <f>MROUND((AG68*'T16'!$D$6)*0.844,1)</f>
        <v>1</v>
      </c>
      <c r="AH107" s="184">
        <f>MROUND((AH68*'T16'!$D$6)*0.844,1)</f>
        <v>9997</v>
      </c>
      <c r="AI107" s="184">
        <f>MROUND((AI68*'T16'!$D$7)*0.844,5)</f>
        <v>25</v>
      </c>
      <c r="AJ107" s="184">
        <f>MROUND((AJ68*'T16'!$D$6)*0.844,5)</f>
        <v>5</v>
      </c>
      <c r="AK107" s="184">
        <f>MROUND((AK68*'T16'!$D$4)*0.844,5)</f>
        <v>2285</v>
      </c>
      <c r="AL107" s="184">
        <f>MROUND((AL68*'T16'!$D$10)*0.844,5)</f>
        <v>760</v>
      </c>
      <c r="AM107" s="184">
        <f>MROUND((AM68*'T16'!$D$12)*0.844,5)</f>
        <v>1110</v>
      </c>
      <c r="AN107" s="184">
        <f t="shared" si="157"/>
        <v>24624</v>
      </c>
    </row>
    <row r="108" spans="1:40">
      <c r="A108" s="184">
        <v>2030</v>
      </c>
      <c r="B108" s="184"/>
      <c r="C108" s="184"/>
      <c r="D108" s="184"/>
      <c r="E108" s="184"/>
      <c r="F108" s="184"/>
      <c r="G108" s="184"/>
      <c r="H108" s="184"/>
      <c r="I108" s="185"/>
      <c r="J108" s="184">
        <f>IF(AND(MROUND((J69*'T16'!$D$3)*0.844,1)&lt;1,J81&gt;1),1,MROUND((J69*'T16'!$D$3)*0.844,1))</f>
        <v>1</v>
      </c>
      <c r="K108" s="184">
        <f>MROUND((K69*'T16'!$E$5)*'Source-fte_qualstus_x_servtype'!J37,5)</f>
        <v>7140</v>
      </c>
      <c r="L108" s="184">
        <f>MROUND((L69*'T16'!$D$7)*'Source-fte_qualstus_x_servtype'!J37,5)</f>
        <v>350</v>
      </c>
      <c r="M108" s="184">
        <f>MROUND((M69*'T16'!$D$5)*'Source-fte_qualstus_x_servtype'!J37,5)</f>
        <v>15</v>
      </c>
      <c r="N108" s="184">
        <f>MROUND((N69*'T16'!$D$3)*'Source-fte_qualstus_x_servtype'!J37,5)</f>
        <v>955</v>
      </c>
      <c r="O108" s="184">
        <f>MROUND((O69*'T16'!$D$10)*'Source-fte_qualstus_x_servtype'!J37,5)</f>
        <v>340</v>
      </c>
      <c r="P108" s="184">
        <f>MROUND((P69*'T16'!$D$11)*'Source-fte_qualstus_x_servtype'!J37,5)</f>
        <v>475</v>
      </c>
      <c r="Q108" s="184">
        <f>MROUND((Q69*'T16'!$D$6)*'Source-fte_qualstus_x_servtype'!J37,1)</f>
        <v>1</v>
      </c>
      <c r="R108" s="184">
        <f>MROUND((R69*'T16'!$E$6)*'Source-fte_qualstus_x_servtype'!J37,5)</f>
        <v>18555</v>
      </c>
      <c r="S108" s="184">
        <f>MROUND((S69*'T16'!$D$7)*'Source-fte_qualstus_x_servtype'!J37,5)</f>
        <v>1365</v>
      </c>
      <c r="T108" s="184">
        <f>MROUND((T69*'T16'!$D$9)*'Source-fte_qualstus_x_servtype'!J37,5)</f>
        <v>55</v>
      </c>
      <c r="U108" s="184">
        <f>MROUND((U69*'T16'!$E$4)*'Source-fte_qualstus_x_servtype'!J37,5)</f>
        <v>3005</v>
      </c>
      <c r="V108" s="184">
        <f>MROUND((V69*'T16'!$D$10)*'Source-fte_qualstus_x_servtype'!J37,5)</f>
        <v>1335</v>
      </c>
      <c r="W108" s="184">
        <f>MROUND((W69*'T16'!$D$11)*'Source-fte_qualstus_x_servtype'!J37,5)</f>
        <v>1865</v>
      </c>
      <c r="X108" s="184">
        <f t="shared" si="156"/>
        <v>35455</v>
      </c>
      <c r="Y108" s="185"/>
      <c r="Z108" s="184">
        <f>MROUND((Z69*'T16'!$D$3)*0.844,1)</f>
        <v>1</v>
      </c>
      <c r="AA108" s="184">
        <f>MROUND((AA69*'T16'!$D$3)*0.844,1)</f>
        <v>6765</v>
      </c>
      <c r="AB108" s="184">
        <f>MROUND((AB69*'T16'!$D$7)*0.844,5)</f>
        <v>1700</v>
      </c>
      <c r="AC108" s="184">
        <f>MROUND((AC69*'T16'!$D$5)*0.844,5)</f>
        <v>55</v>
      </c>
      <c r="AD108" s="184">
        <f>MROUND((AD69*'T16'!$D$3)*0.844,5)</f>
        <v>110</v>
      </c>
      <c r="AE108" s="184">
        <f>MROUND((AE69*'T16'!$D$10)*0.844,5)</f>
        <v>935</v>
      </c>
      <c r="AF108" s="184">
        <f>MROUND((AF69*'T16'!$D$11)*0.844,5)</f>
        <v>710</v>
      </c>
      <c r="AG108" s="184">
        <f>MROUND((AG69*'T16'!$D$6)*0.844,1)</f>
        <v>1</v>
      </c>
      <c r="AH108" s="184">
        <f>MROUND((AH69*'T16'!$D$6)*0.844,1)</f>
        <v>10126</v>
      </c>
      <c r="AI108" s="184">
        <f>MROUND((AI69*'T16'!$D$7)*0.844,5)</f>
        <v>20</v>
      </c>
      <c r="AJ108" s="184">
        <f>MROUND((AJ69*'T16'!$D$6)*0.844,5)</f>
        <v>5</v>
      </c>
      <c r="AK108" s="184">
        <f>MROUND((AK69*'T16'!$D$4)*0.844,5)</f>
        <v>2300</v>
      </c>
      <c r="AL108" s="184">
        <f>MROUND((AL69*'T16'!$D$10)*0.844,5)</f>
        <v>755</v>
      </c>
      <c r="AM108" s="184">
        <f>MROUND((AM69*'T16'!$D$12)*0.844,5)</f>
        <v>1095</v>
      </c>
      <c r="AN108" s="184">
        <f t="shared" si="157"/>
        <v>24578</v>
      </c>
    </row>
    <row r="109" spans="1:40">
      <c r="A109" s="184">
        <v>2031</v>
      </c>
      <c r="B109" s="184"/>
      <c r="C109" s="184"/>
      <c r="D109" s="184"/>
      <c r="E109" s="184"/>
      <c r="F109" s="184"/>
      <c r="G109" s="184"/>
      <c r="H109" s="184"/>
      <c r="I109" s="185"/>
      <c r="J109" s="184">
        <f>IF(AND(MROUND((J70*'T16'!$D$3)*0.844,1)&lt;1,J82&gt;1),1,MROUND((J70*'T16'!$D$3)*0.844,1))</f>
        <v>1</v>
      </c>
      <c r="K109" s="184">
        <f>MROUND((K70*'T16'!$E$5)*'Source-fte_qualstus_x_servtype'!J38,5)</f>
        <v>7265</v>
      </c>
      <c r="L109" s="184">
        <f>MROUND((L70*'T16'!$D$7)*'Source-fte_qualstus_x_servtype'!J38,5)</f>
        <v>310</v>
      </c>
      <c r="M109" s="184">
        <f>MROUND((M70*'T16'!$D$5)*'Source-fte_qualstus_x_servtype'!J38,5)</f>
        <v>15</v>
      </c>
      <c r="N109" s="184">
        <f>MROUND((N70*'T16'!$D$3)*'Source-fte_qualstus_x_servtype'!J38,5)</f>
        <v>965</v>
      </c>
      <c r="O109" s="184">
        <f>MROUND((O70*'T16'!$D$10)*'Source-fte_qualstus_x_servtype'!J38,5)</f>
        <v>340</v>
      </c>
      <c r="P109" s="184">
        <f>MROUND((P70*'T16'!$D$11)*'Source-fte_qualstus_x_servtype'!J38,5)</f>
        <v>475</v>
      </c>
      <c r="Q109" s="184">
        <f>MROUND((Q70*'T16'!$D$6)*'Source-fte_qualstus_x_servtype'!J38,1)</f>
        <v>1</v>
      </c>
      <c r="R109" s="184">
        <f>MROUND((R70*'T16'!$E$6)*'Source-fte_qualstus_x_servtype'!J38,5)</f>
        <v>18880</v>
      </c>
      <c r="S109" s="184">
        <f>MROUND((S70*'T16'!$D$7)*'Source-fte_qualstus_x_servtype'!J38,5)</f>
        <v>1205</v>
      </c>
      <c r="T109" s="184">
        <f>MROUND((T70*'T16'!$D$9)*'Source-fte_qualstus_x_servtype'!J38,5)</f>
        <v>55</v>
      </c>
      <c r="U109" s="184">
        <f>MROUND((U70*'T16'!$E$4)*'Source-fte_qualstus_x_servtype'!J38,5)</f>
        <v>3040</v>
      </c>
      <c r="V109" s="184">
        <f>MROUND((V70*'T16'!$D$10)*'Source-fte_qualstus_x_servtype'!J38,5)</f>
        <v>1330</v>
      </c>
      <c r="W109" s="184">
        <f>MROUND((W70*'T16'!$D$11)*'Source-fte_qualstus_x_servtype'!J38,5)</f>
        <v>1845</v>
      </c>
      <c r="X109" s="184">
        <f t="shared" si="156"/>
        <v>35725</v>
      </c>
      <c r="Y109" s="185"/>
      <c r="Z109" s="184">
        <f>MROUND((Z70*'T16'!$D$3)*0.844,1)</f>
        <v>1</v>
      </c>
      <c r="AA109" s="184">
        <f>MROUND((AA70*'T16'!$D$3)*0.844,1)</f>
        <v>6853</v>
      </c>
      <c r="AB109" s="184">
        <f>MROUND((AB70*'T16'!$D$7)*0.844,5)</f>
        <v>1495</v>
      </c>
      <c r="AC109" s="184">
        <f>MROUND((AC70*'T16'!$D$5)*0.844,5)</f>
        <v>55</v>
      </c>
      <c r="AD109" s="184">
        <f>MROUND((AD70*'T16'!$D$3)*0.844,5)</f>
        <v>110</v>
      </c>
      <c r="AE109" s="184">
        <f>MROUND((AE70*'T16'!$D$10)*0.844,5)</f>
        <v>925</v>
      </c>
      <c r="AF109" s="184">
        <f>MROUND((AF70*'T16'!$D$11)*0.844,5)</f>
        <v>700</v>
      </c>
      <c r="AG109" s="184">
        <f>MROUND((AG70*'T16'!$D$6)*0.844,1)</f>
        <v>1</v>
      </c>
      <c r="AH109" s="184">
        <f>MROUND((AH70*'T16'!$D$6)*0.844,1)</f>
        <v>10257</v>
      </c>
      <c r="AI109" s="184">
        <f>MROUND((AI70*'T16'!$D$7)*0.844,5)</f>
        <v>15</v>
      </c>
      <c r="AJ109" s="184">
        <f>MROUND((AJ70*'T16'!$D$6)*0.844,5)</f>
        <v>5</v>
      </c>
      <c r="AK109" s="184">
        <f>MROUND((AK70*'T16'!$D$4)*0.844,5)</f>
        <v>2315</v>
      </c>
      <c r="AL109" s="184">
        <f>MROUND((AL70*'T16'!$D$10)*0.844,5)</f>
        <v>745</v>
      </c>
      <c r="AM109" s="184">
        <f>MROUND((AM70*'T16'!$D$12)*0.844,5)</f>
        <v>1080</v>
      </c>
      <c r="AN109" s="184">
        <f t="shared" si="157"/>
        <v>24557</v>
      </c>
    </row>
    <row r="110" spans="1:40">
      <c r="A110" s="184">
        <v>2032</v>
      </c>
      <c r="B110" s="184"/>
      <c r="C110" s="184"/>
      <c r="D110" s="184"/>
      <c r="E110" s="184"/>
      <c r="F110" s="184"/>
      <c r="G110" s="184"/>
      <c r="H110" s="184"/>
      <c r="I110" s="185"/>
      <c r="J110" s="184">
        <f>IF(AND(MROUND((J71*'T16'!$D$3)*0.844,1)&lt;1,J83&gt;1),1,MROUND((J71*'T16'!$D$3)*0.844,1))</f>
        <v>1</v>
      </c>
      <c r="K110" s="184">
        <f>MROUND((K71*'T16'!$E$5)*'Source-fte_qualstus_x_servtype'!J39,5)</f>
        <v>7390</v>
      </c>
      <c r="L110" s="184">
        <f>MROUND((L71*'T16'!$D$7)*'Source-fte_qualstus_x_servtype'!J39,5)</f>
        <v>270</v>
      </c>
      <c r="M110" s="184">
        <f>MROUND((M71*'T16'!$D$5)*'Source-fte_qualstus_x_servtype'!J39,5)</f>
        <v>15</v>
      </c>
      <c r="N110" s="184">
        <f>MROUND((N71*'T16'!$D$3)*'Source-fte_qualstus_x_servtype'!J39,5)</f>
        <v>975</v>
      </c>
      <c r="O110" s="184">
        <f>MROUND((O71*'T16'!$D$10)*'Source-fte_qualstus_x_servtype'!J39,5)</f>
        <v>340</v>
      </c>
      <c r="P110" s="184">
        <f>MROUND((P71*'T16'!$D$11)*'Source-fte_qualstus_x_servtype'!J39,5)</f>
        <v>470</v>
      </c>
      <c r="Q110" s="184">
        <f>MROUND((Q71*'T16'!$D$6)*'Source-fte_qualstus_x_servtype'!J39,1)</f>
        <v>1</v>
      </c>
      <c r="R110" s="184">
        <f>MROUND((R71*'T16'!$E$6)*'Source-fte_qualstus_x_servtype'!J39,5)</f>
        <v>19205</v>
      </c>
      <c r="S110" s="184">
        <f>MROUND((S71*'T16'!$D$7)*'Source-fte_qualstus_x_servtype'!J39,5)</f>
        <v>1065</v>
      </c>
      <c r="T110" s="184">
        <f>MROUND((T71*'T16'!$D$9)*'Source-fte_qualstus_x_servtype'!J39,5)</f>
        <v>55</v>
      </c>
      <c r="U110" s="184">
        <f>MROUND((U71*'T16'!$E$4)*'Source-fte_qualstus_x_servtype'!J39,5)</f>
        <v>3075</v>
      </c>
      <c r="V110" s="184">
        <f>MROUND((V71*'T16'!$D$10)*'Source-fte_qualstus_x_servtype'!J39,5)</f>
        <v>1325</v>
      </c>
      <c r="W110" s="184">
        <f>MROUND((W71*'T16'!$D$11)*'Source-fte_qualstus_x_servtype'!J39,5)</f>
        <v>1830</v>
      </c>
      <c r="X110" s="184">
        <f t="shared" si="156"/>
        <v>36015</v>
      </c>
      <c r="Y110" s="185"/>
      <c r="Z110" s="184">
        <f>MROUND((Z71*'T16'!$D$3)*0.844,1)</f>
        <v>1</v>
      </c>
      <c r="AA110" s="184">
        <f>MROUND((AA71*'T16'!$D$3)*0.844,1)</f>
        <v>6942</v>
      </c>
      <c r="AB110" s="184">
        <f>MROUND((AB71*'T16'!$D$7)*0.844,5)</f>
        <v>1315</v>
      </c>
      <c r="AC110" s="184">
        <f>MROUND((AC71*'T16'!$D$5)*0.844,5)</f>
        <v>55</v>
      </c>
      <c r="AD110" s="184">
        <f>MROUND((AD71*'T16'!$D$3)*0.844,5)</f>
        <v>110</v>
      </c>
      <c r="AE110" s="184">
        <f>MROUND((AE71*'T16'!$D$10)*0.844,5)</f>
        <v>915</v>
      </c>
      <c r="AF110" s="184">
        <f>MROUND((AF71*'T16'!$D$11)*0.844,5)</f>
        <v>695</v>
      </c>
      <c r="AG110" s="184">
        <f>MROUND((AG71*'T16'!$D$6)*0.844,1)</f>
        <v>1</v>
      </c>
      <c r="AH110" s="184">
        <f>MROUND((AH71*'T16'!$D$6)*0.844,1)</f>
        <v>10390</v>
      </c>
      <c r="AI110" s="184">
        <f>MROUND((AI71*'T16'!$D$7)*0.844,5)</f>
        <v>15</v>
      </c>
      <c r="AJ110" s="184">
        <f>MROUND((AJ71*'T16'!$D$6)*0.844,5)</f>
        <v>5</v>
      </c>
      <c r="AK110" s="184">
        <f>MROUND((AK71*'T16'!$D$4)*0.844,5)</f>
        <v>2330</v>
      </c>
      <c r="AL110" s="184">
        <f>MROUND((AL71*'T16'!$D$10)*0.844,5)</f>
        <v>740</v>
      </c>
      <c r="AM110" s="184">
        <f>MROUND((AM71*'T16'!$D$12)*0.844,5)</f>
        <v>1065</v>
      </c>
      <c r="AN110" s="184">
        <f t="shared" si="157"/>
        <v>24579</v>
      </c>
    </row>
    <row r="111" spans="1:40">
      <c r="A111" s="184">
        <v>2033</v>
      </c>
      <c r="B111" s="184"/>
      <c r="C111" s="184"/>
      <c r="D111" s="184"/>
      <c r="E111" s="184"/>
      <c r="F111" s="184"/>
      <c r="G111" s="184"/>
      <c r="H111" s="184"/>
      <c r="I111" s="185"/>
      <c r="J111" s="184">
        <f>IF(AND(MROUND((J72*'T16'!$D$3)*0.844,1)&lt;1,J84&gt;1),1,MROUND((J72*'T16'!$D$3)*0.844,1))</f>
        <v>1</v>
      </c>
      <c r="K111" s="184">
        <f>MROUND((K72*'T16'!$E$5)*'Source-fte_qualstus_x_servtype'!J40,5)</f>
        <v>7515</v>
      </c>
      <c r="L111" s="184">
        <f>MROUND((L72*'T16'!$D$7)*'Source-fte_qualstus_x_servtype'!J40,5)</f>
        <v>240</v>
      </c>
      <c r="M111" s="184">
        <f>MROUND((M72*'T16'!$D$5)*'Source-fte_qualstus_x_servtype'!J40,5)</f>
        <v>15</v>
      </c>
      <c r="N111" s="184">
        <f>MROUND((N72*'T16'!$D$3)*'Source-fte_qualstus_x_servtype'!J40,5)</f>
        <v>990</v>
      </c>
      <c r="O111" s="184">
        <f>MROUND((O72*'T16'!$D$10)*'Source-fte_qualstus_x_servtype'!J40,5)</f>
        <v>335</v>
      </c>
      <c r="P111" s="184">
        <f>MROUND((P72*'T16'!$D$11)*'Source-fte_qualstus_x_servtype'!J40,5)</f>
        <v>465</v>
      </c>
      <c r="Q111" s="184">
        <f>MROUND((Q72*'T16'!$D$6)*'Source-fte_qualstus_x_servtype'!J40,1)</f>
        <v>1</v>
      </c>
      <c r="R111" s="184">
        <f>MROUND((R72*'T16'!$E$6)*'Source-fte_qualstus_x_servtype'!J40,5)</f>
        <v>19540</v>
      </c>
      <c r="S111" s="184">
        <f>MROUND((S72*'T16'!$D$7)*'Source-fte_qualstus_x_servtype'!J40,5)</f>
        <v>940</v>
      </c>
      <c r="T111" s="184">
        <f>MROUND((T72*'T16'!$D$9)*'Source-fte_qualstus_x_servtype'!J40,5)</f>
        <v>55</v>
      </c>
      <c r="U111" s="184">
        <f>MROUND((U72*'T16'!$E$4)*'Source-fte_qualstus_x_servtype'!J40,5)</f>
        <v>3105</v>
      </c>
      <c r="V111" s="184">
        <f>MROUND((V72*'T16'!$D$10)*'Source-fte_qualstus_x_servtype'!J40,5)</f>
        <v>1320</v>
      </c>
      <c r="W111" s="184">
        <f>MROUND((W72*'T16'!$D$11)*'Source-fte_qualstus_x_servtype'!J40,5)</f>
        <v>1810</v>
      </c>
      <c r="X111" s="184">
        <f t="shared" si="156"/>
        <v>36330</v>
      </c>
      <c r="Y111" s="185"/>
      <c r="Z111" s="184">
        <f>MROUND((Z72*'T16'!$D$3)*0.844,1)</f>
        <v>1</v>
      </c>
      <c r="AA111" s="184">
        <f>MROUND((AA72*'T16'!$D$3)*0.844,1)</f>
        <v>7032</v>
      </c>
      <c r="AB111" s="184">
        <f>MROUND((AB72*'T16'!$D$7)*0.844,5)</f>
        <v>1155</v>
      </c>
      <c r="AC111" s="184">
        <f>MROUND((AC72*'T16'!$D$5)*0.844,5)</f>
        <v>55</v>
      </c>
      <c r="AD111" s="184">
        <f>MROUND((AD72*'T16'!$D$3)*0.844,5)</f>
        <v>110</v>
      </c>
      <c r="AE111" s="184">
        <f>MROUND((AE72*'T16'!$D$10)*0.844,5)</f>
        <v>910</v>
      </c>
      <c r="AF111" s="184">
        <f>MROUND((AF72*'T16'!$D$11)*0.844,5)</f>
        <v>685</v>
      </c>
      <c r="AG111" s="184">
        <f>MROUND((AG72*'T16'!$D$6)*0.844,1)</f>
        <v>1</v>
      </c>
      <c r="AH111" s="184">
        <f>MROUND((AH72*'T16'!$D$6)*0.844,1)</f>
        <v>10524</v>
      </c>
      <c r="AI111" s="184">
        <f>MROUND((AI72*'T16'!$D$7)*0.844,5)</f>
        <v>15</v>
      </c>
      <c r="AJ111" s="184">
        <f>MROUND((AJ72*'T16'!$D$6)*0.844,5)</f>
        <v>5</v>
      </c>
      <c r="AK111" s="184">
        <f>MROUND((AK72*'T16'!$D$4)*0.844,5)</f>
        <v>2345</v>
      </c>
      <c r="AL111" s="184">
        <f>MROUND((AL72*'T16'!$D$10)*0.844,5)</f>
        <v>735</v>
      </c>
      <c r="AM111" s="184">
        <f>MROUND((AM72*'T16'!$D$12)*0.844,5)</f>
        <v>1050</v>
      </c>
      <c r="AN111" s="184">
        <f t="shared" si="157"/>
        <v>24623</v>
      </c>
    </row>
    <row r="112" spans="1:40">
      <c r="A112" s="184">
        <v>2034</v>
      </c>
      <c r="B112" s="184"/>
      <c r="C112" s="184"/>
      <c r="D112" s="184"/>
      <c r="E112" s="184"/>
      <c r="F112" s="184"/>
      <c r="G112" s="184"/>
      <c r="H112" s="184"/>
      <c r="I112" s="185"/>
      <c r="J112" s="184">
        <f>IF(AND(MROUND((J73*'T16'!$D$3)*0.844,1)&lt;1,J85&gt;1),1,MROUND((J73*'T16'!$D$3)*0.844,1))</f>
        <v>1</v>
      </c>
      <c r="K112" s="184">
        <f>MROUND((K73*'T16'!$E$5)*'Source-fte_qualstus_x_servtype'!J41,5)</f>
        <v>7645</v>
      </c>
      <c r="L112" s="184">
        <f>MROUND((L73*'T16'!$D$7)*'Source-fte_qualstus_x_servtype'!J41,5)</f>
        <v>210</v>
      </c>
      <c r="M112" s="184">
        <f>MROUND((M73*'T16'!$D$5)*'Source-fte_qualstus_x_servtype'!J41,5)</f>
        <v>15</v>
      </c>
      <c r="N112" s="184">
        <f>MROUND((N73*'T16'!$D$3)*'Source-fte_qualstus_x_servtype'!J41,5)</f>
        <v>1000</v>
      </c>
      <c r="O112" s="184">
        <f>MROUND((O73*'T16'!$D$10)*'Source-fte_qualstus_x_servtype'!J41,5)</f>
        <v>335</v>
      </c>
      <c r="P112" s="184">
        <f>MROUND((P73*'T16'!$D$11)*'Source-fte_qualstus_x_servtype'!J41,5)</f>
        <v>460</v>
      </c>
      <c r="Q112" s="184">
        <f>MROUND((Q73*'T16'!$D$6)*'Source-fte_qualstus_x_servtype'!J41,1)</f>
        <v>1</v>
      </c>
      <c r="R112" s="184">
        <f>MROUND((R73*'T16'!$E$6)*'Source-fte_qualstus_x_servtype'!J41,5)</f>
        <v>19880</v>
      </c>
      <c r="S112" s="184">
        <f>MROUND((S73*'T16'!$D$7)*'Source-fte_qualstus_x_servtype'!J41,5)</f>
        <v>830</v>
      </c>
      <c r="T112" s="184">
        <f>MROUND((T73*'T16'!$D$9)*'Source-fte_qualstus_x_servtype'!J41,5)</f>
        <v>55</v>
      </c>
      <c r="U112" s="184">
        <f>MROUND((U73*'T16'!$E$4)*'Source-fte_qualstus_x_servtype'!J41,5)</f>
        <v>3140</v>
      </c>
      <c r="V112" s="184">
        <f>MROUND((V73*'T16'!$D$10)*'Source-fte_qualstus_x_servtype'!J41,5)</f>
        <v>1310</v>
      </c>
      <c r="W112" s="184">
        <f>MROUND((W73*'T16'!$D$11)*'Source-fte_qualstus_x_servtype'!J41,5)</f>
        <v>1795</v>
      </c>
      <c r="X112" s="184">
        <f t="shared" si="156"/>
        <v>36675</v>
      </c>
      <c r="Y112" s="185"/>
      <c r="Z112" s="184">
        <f>MROUND((Z73*'T16'!$D$3)*0.844,1)</f>
        <v>1</v>
      </c>
      <c r="AA112" s="184">
        <f>MROUND((AA73*'T16'!$D$3)*0.844,1)</f>
        <v>7123</v>
      </c>
      <c r="AB112" s="184">
        <f>MROUND((AB73*'T16'!$D$7)*0.844,5)</f>
        <v>1015</v>
      </c>
      <c r="AC112" s="184">
        <f>MROUND((AC73*'T16'!$D$5)*0.844,5)</f>
        <v>55</v>
      </c>
      <c r="AD112" s="184">
        <f>MROUND((AD73*'T16'!$D$3)*0.844,5)</f>
        <v>110</v>
      </c>
      <c r="AE112" s="184">
        <f>MROUND((AE73*'T16'!$D$10)*0.844,5)</f>
        <v>900</v>
      </c>
      <c r="AF112" s="184">
        <f>MROUND((AF73*'T16'!$D$11)*0.844,5)</f>
        <v>675</v>
      </c>
      <c r="AG112" s="184">
        <f>MROUND((AG73*'T16'!$D$6)*0.844,1)</f>
        <v>1</v>
      </c>
      <c r="AH112" s="184">
        <f>MROUND((AH73*'T16'!$D$6)*0.844,1)</f>
        <v>10661</v>
      </c>
      <c r="AI112" s="184">
        <f>MROUND((AI73*'T16'!$D$7)*0.844,5)</f>
        <v>10</v>
      </c>
      <c r="AJ112" s="184">
        <f>MROUND((AJ73*'T16'!$D$6)*0.844,5)</f>
        <v>5</v>
      </c>
      <c r="AK112" s="184">
        <f>MROUND((AK73*'T16'!$D$4)*0.844,5)</f>
        <v>2360</v>
      </c>
      <c r="AL112" s="184">
        <f>MROUND((AL73*'T16'!$D$10)*0.844,5)</f>
        <v>725</v>
      </c>
      <c r="AM112" s="184">
        <f>MROUND((AM73*'T16'!$D$12)*0.844,5)</f>
        <v>1035</v>
      </c>
      <c r="AN112" s="184">
        <f t="shared" si="157"/>
        <v>24676</v>
      </c>
    </row>
    <row r="113" spans="1:40">
      <c r="A113" s="184">
        <v>2035</v>
      </c>
      <c r="B113" s="184"/>
      <c r="C113" s="184"/>
      <c r="D113" s="184"/>
      <c r="E113" s="184"/>
      <c r="F113" s="184"/>
      <c r="G113" s="184"/>
      <c r="H113" s="184"/>
      <c r="I113" s="185"/>
      <c r="J113" s="184">
        <f>IF(AND(MROUND((J74*'T16'!$D$3)*0.844,1)&lt;1,J86&gt;1),1,MROUND((J74*'T16'!$D$3)*0.844,1))</f>
        <v>1</v>
      </c>
      <c r="K113" s="184">
        <f>MROUND((K74*'T16'!$E$5)*'Source-fte_qualstus_x_servtype'!J42,5)</f>
        <v>7780</v>
      </c>
      <c r="L113" s="184">
        <f>MROUND((L74*'T16'!$D$7)*'Source-fte_qualstus_x_servtype'!J42,5)</f>
        <v>185</v>
      </c>
      <c r="M113" s="184">
        <f>MROUND((M74*'T16'!$D$5)*'Source-fte_qualstus_x_servtype'!J42,5)</f>
        <v>15</v>
      </c>
      <c r="N113" s="184">
        <f>MROUND((N74*'T16'!$D$3)*'Source-fte_qualstus_x_servtype'!J42,5)</f>
        <v>1010</v>
      </c>
      <c r="O113" s="184">
        <f>MROUND((O74*'T16'!$D$10)*'Source-fte_qualstus_x_servtype'!J42,5)</f>
        <v>335</v>
      </c>
      <c r="P113" s="184">
        <f>MROUND((P74*'T16'!$D$11)*'Source-fte_qualstus_x_servtype'!J42,5)</f>
        <v>455</v>
      </c>
      <c r="Q113" s="184">
        <f>MROUND((Q74*'T16'!$D$6)*'Source-fte_qualstus_x_servtype'!J42,1)</f>
        <v>1</v>
      </c>
      <c r="R113" s="184">
        <f>MROUND((R74*'T16'!$E$6)*'Source-fte_qualstus_x_servtype'!J42,5)</f>
        <v>20220</v>
      </c>
      <c r="S113" s="184">
        <f>MROUND((S74*'T16'!$D$7)*'Source-fte_qualstus_x_servtype'!J42,5)</f>
        <v>730</v>
      </c>
      <c r="T113" s="184">
        <f>MROUND((T74*'T16'!$D$9)*'Source-fte_qualstus_x_servtype'!J42,5)</f>
        <v>55</v>
      </c>
      <c r="U113" s="184">
        <f>MROUND((U74*'T16'!$E$4)*'Source-fte_qualstus_x_servtype'!J42,5)</f>
        <v>3175</v>
      </c>
      <c r="V113" s="184">
        <f>MROUND((V74*'T16'!$D$10)*'Source-fte_qualstus_x_servtype'!J42,5)</f>
        <v>1305</v>
      </c>
      <c r="W113" s="184">
        <f>MROUND((W74*'T16'!$D$11)*'Source-fte_qualstus_x_servtype'!J42,5)</f>
        <v>1775</v>
      </c>
      <c r="X113" s="184">
        <f t="shared" si="156"/>
        <v>37040</v>
      </c>
      <c r="Y113" s="185"/>
      <c r="Z113" s="184">
        <f>MROUND((Z74*'T16'!$D$3)*0.844,1)</f>
        <v>1</v>
      </c>
      <c r="AA113" s="184">
        <f>MROUND((AA74*'T16'!$D$3)*0.844,1)</f>
        <v>7215</v>
      </c>
      <c r="AB113" s="184">
        <f>MROUND((AB74*'T16'!$D$7)*0.844,5)</f>
        <v>890</v>
      </c>
      <c r="AC113" s="184">
        <f>MROUND((AC74*'T16'!$D$5)*0.844,5)</f>
        <v>55</v>
      </c>
      <c r="AD113" s="184">
        <f>MROUND((AD74*'T16'!$D$3)*0.844,5)</f>
        <v>115</v>
      </c>
      <c r="AE113" s="184">
        <f>MROUND((AE74*'T16'!$D$10)*0.844,5)</f>
        <v>890</v>
      </c>
      <c r="AF113" s="184">
        <f>MROUND((AF74*'T16'!$D$11)*0.844,5)</f>
        <v>665</v>
      </c>
      <c r="AG113" s="184">
        <f>MROUND((AG74*'T16'!$D$6)*0.844,1)</f>
        <v>1</v>
      </c>
      <c r="AH113" s="184">
        <f>MROUND((AH74*'T16'!$D$6)*0.844,1)</f>
        <v>10798</v>
      </c>
      <c r="AI113" s="184">
        <f>MROUND((AI74*'T16'!$D$7)*0.844,5)</f>
        <v>10</v>
      </c>
      <c r="AJ113" s="184">
        <f>MROUND((AJ74*'T16'!$D$6)*0.844,5)</f>
        <v>5</v>
      </c>
      <c r="AK113" s="184">
        <f>MROUND((AK74*'T16'!$D$4)*0.844,5)</f>
        <v>2375</v>
      </c>
      <c r="AL113" s="184">
        <f>MROUND((AL74*'T16'!$D$10)*0.844,5)</f>
        <v>720</v>
      </c>
      <c r="AM113" s="184">
        <f>MROUND((AM74*'T16'!$D$12)*0.844,5)</f>
        <v>1020</v>
      </c>
      <c r="AN113" s="184">
        <f t="shared" si="157"/>
        <v>24760</v>
      </c>
    </row>
    <row r="115" spans="1:40">
      <c r="A115" s="184"/>
      <c r="B115" s="184"/>
      <c r="C115" s="184"/>
      <c r="D115" s="184"/>
      <c r="E115" s="184"/>
      <c r="F115" s="184"/>
      <c r="G115" s="184"/>
      <c r="H115" s="184"/>
      <c r="I115" s="185"/>
      <c r="J115" s="175" t="s">
        <v>431</v>
      </c>
      <c r="K115" s="175"/>
      <c r="L115" s="175"/>
      <c r="M115" s="175"/>
      <c r="N115" s="175"/>
      <c r="O115" s="175"/>
      <c r="P115" s="175"/>
      <c r="Q115" s="175"/>
      <c r="R115" s="175"/>
      <c r="S115" s="175"/>
      <c r="T115" s="175"/>
      <c r="U115" s="175"/>
      <c r="V115" s="175"/>
      <c r="W115" s="175"/>
      <c r="X115" s="23"/>
      <c r="Y115" s="185"/>
      <c r="Z115" s="175" t="s">
        <v>430</v>
      </c>
      <c r="AA115" s="175"/>
      <c r="AB115" s="175"/>
      <c r="AC115" s="175"/>
      <c r="AD115" s="175"/>
      <c r="AE115" s="175"/>
      <c r="AF115" s="175"/>
      <c r="AG115" s="175"/>
      <c r="AH115" s="175"/>
      <c r="AI115" s="175"/>
      <c r="AJ115" s="175"/>
      <c r="AK115" s="175"/>
      <c r="AL115" s="175"/>
      <c r="AM115" s="175"/>
      <c r="AN115" s="184"/>
    </row>
    <row r="116" spans="1:40">
      <c r="A116" s="184">
        <v>2025</v>
      </c>
      <c r="B116" s="184"/>
      <c r="C116" s="184"/>
      <c r="D116" s="184"/>
      <c r="E116" s="184"/>
      <c r="F116" s="184"/>
      <c r="G116" s="184"/>
      <c r="H116" s="184"/>
      <c r="I116" s="185"/>
      <c r="J116" s="184">
        <f>MROUND((J14*(1+J$38))*'T16'!$D$3,1)</f>
        <v>2</v>
      </c>
      <c r="K116" s="184">
        <f>MROUND((K14*'T16'!$E$5)*'Source-fte_qualstus_x_servtype'!J32,5)</f>
        <v>6550</v>
      </c>
      <c r="L116" s="184">
        <f>MROUND((L14*'T16'!$D$7)*'Source-fte_qualstus_x_servtype'!J32,5)</f>
        <v>650</v>
      </c>
      <c r="M116" s="184">
        <f>MROUND((M14*'T16'!$D$5)*'Source-fte_qualstus_x_servtype'!J32,5)</f>
        <v>15</v>
      </c>
      <c r="N116" s="184">
        <f>MROUND((N14*'T16'!$E$3)*'Source-fte_qualstus_x_servtype'!J32,5)</f>
        <v>1035</v>
      </c>
      <c r="O116" s="184">
        <f>MROUND((O14*'T16'!$D$10)*'Source-fte_qualstus_x_servtype'!J32,5)</f>
        <v>350</v>
      </c>
      <c r="P116" s="184">
        <f>MROUND((P14*'T16'!$D$11)*'Source-fte_qualstus_x_servtype'!J32,5)</f>
        <v>500</v>
      </c>
      <c r="Q116" s="184">
        <f>MROUND((Q14*'T16'!$D$6)*'Source-fte_qualstus_x_servtype'!J32,1)</f>
        <v>3</v>
      </c>
      <c r="R116" s="184">
        <f>MROUND((R14*'T16'!$E$6)*'Source-fte_qualstus_x_servtype'!J32,5)</f>
        <v>17020</v>
      </c>
      <c r="S116" s="184">
        <f>MROUND((S14*'T16'!$D$7)*'Source-fte_qualstus_x_servtype'!J32,5)</f>
        <v>2550</v>
      </c>
      <c r="T116" s="184">
        <f>MROUND((T14*'T16'!$D$9)*'Source-fte_qualstus_x_servtype'!J32,5)</f>
        <v>60</v>
      </c>
      <c r="U116" s="184">
        <f>MROUND((U14*'T16'!$E$4)*'Source-fte_qualstus_x_servtype'!J32,5)</f>
        <v>2845</v>
      </c>
      <c r="V116" s="184">
        <f>MROUND((V14*'T16'!$D$10)*'Source-fte_qualstus_x_servtype'!J32,5)</f>
        <v>1370</v>
      </c>
      <c r="W116" s="184">
        <f>MROUND((W14*'T16'!$D$11)*'Source-fte_qualstus_x_servtype'!J32,5)</f>
        <v>1955</v>
      </c>
      <c r="X116" s="184">
        <f>MROUND(SUM(J116:W116)*0.844,5)</f>
        <v>29460</v>
      </c>
      <c r="Y116" s="185"/>
      <c r="Z116" s="184">
        <f>MROUND((Z14*'T16'!$D$3)*0.844,1)</f>
        <v>3</v>
      </c>
      <c r="AA116" s="184">
        <f>MROUND((AA14*'T16'!$D$3)*0.844,1)</f>
        <v>6344</v>
      </c>
      <c r="AB116" s="184">
        <f>MROUND((AB14*'T16'!$D$7)*0.844,5)</f>
        <v>3250</v>
      </c>
      <c r="AC116" s="184">
        <f>MROUND((AC14*'T16'!$D$5)*0.844,5)</f>
        <v>60</v>
      </c>
      <c r="AD116" s="184">
        <f>MROUND((AD14*'T16'!$D$3)*0.844,5)</f>
        <v>105</v>
      </c>
      <c r="AE116" s="184">
        <f>MROUND((AE14*'T16'!$D$10)*0.844,5)</f>
        <v>975</v>
      </c>
      <c r="AF116" s="184">
        <f>MROUND((AF14*'T16'!$D$11)*0.844,5)</f>
        <v>765</v>
      </c>
      <c r="AG116" s="184">
        <f>MROUND((AG14*'T16'!$D$6)*0.844,1)</f>
        <v>2</v>
      </c>
      <c r="AH116" s="184">
        <f>MROUND((AH14*'T16'!$D$6)*0.844,1)</f>
        <v>9495</v>
      </c>
      <c r="AI116" s="184">
        <f>MROUND((AI14*'T16'!$D$7)*0.844,5)</f>
        <v>40</v>
      </c>
      <c r="AJ116" s="184">
        <f>MROUND((AJ14*'T16'!$D$6)*0.844,5)</f>
        <v>10</v>
      </c>
      <c r="AK116" s="184">
        <f>MROUND((AK14*'T16'!$D$4)*0.844,5)</f>
        <v>2230</v>
      </c>
      <c r="AL116" s="184">
        <f>MROUND((AL14*'T16'!$D$10)*0.844,5)</f>
        <v>790</v>
      </c>
      <c r="AM116" s="184">
        <f>MROUND((AM4*'T16'!$D$12)*0.844,5)</f>
        <v>1270</v>
      </c>
      <c r="AN116" s="184">
        <f>SUM(Z116:AM116)</f>
        <v>25339</v>
      </c>
    </row>
    <row r="117" spans="1:40">
      <c r="A117" s="184">
        <v>2026</v>
      </c>
      <c r="B117" s="184"/>
      <c r="C117" s="184"/>
      <c r="D117" s="184"/>
      <c r="E117" s="184"/>
      <c r="F117" s="184"/>
      <c r="G117" s="184"/>
      <c r="H117" s="184"/>
      <c r="I117" s="185"/>
      <c r="J117" s="184">
        <f>MROUND((J77*(1+J$38))*'T16'!$D$3,1)</f>
        <v>2</v>
      </c>
      <c r="K117" s="184">
        <f>MROUND((K77*'T16'!$E$5)*'Source-fte_qualstus_x_servtype'!J32,5)</f>
        <v>6745</v>
      </c>
      <c r="L117" s="184">
        <f>MROUND((L77*'T16'!$D$7)*'Source-fte_qualstus_x_servtype'!J32,5)</f>
        <v>605</v>
      </c>
      <c r="M117" s="184">
        <f>MROUND((M77*'T16'!$D$5)*'Source-fte_qualstus_x_servtype'!J32,5)</f>
        <v>15</v>
      </c>
      <c r="N117" s="184">
        <f>MROUND((N77*'T16'!$E$3)*'Source-fte_qualstus_x_servtype'!J32,5)</f>
        <v>1050</v>
      </c>
      <c r="O117" s="184">
        <f>MROUND((O77*'T16'!$D$10)*'Source-fte_qualstus_x_servtype'!J32,5)</f>
        <v>350</v>
      </c>
      <c r="P117" s="184">
        <f>MROUND((P77*'T16'!$D$11)*'Source-fte_qualstus_x_servtype'!J32,5)</f>
        <v>505</v>
      </c>
      <c r="Q117" s="184">
        <f>MROUND((Q77*'T16'!$D$6)*'Source-fte_qualstus_x_servtype'!J32,1)</f>
        <v>3</v>
      </c>
      <c r="R117" s="184">
        <f>MROUND((R77*'T16'!$E$6)*'Source-fte_qualstus_x_servtype'!J32,5)</f>
        <v>17530</v>
      </c>
      <c r="S117" s="184">
        <f>MROUND((S77*'T16'!$D$7)*'Source-fte_qualstus_x_servtype'!J32,5)</f>
        <v>2370</v>
      </c>
      <c r="T117" s="184">
        <f>MROUND((T77*'T16'!$D$9)*'Source-fte_qualstus_x_servtype'!J32,5)</f>
        <v>60</v>
      </c>
      <c r="U117" s="184">
        <f>MROUND((U77*'T16'!$E$4)*'Source-fte_qualstus_x_servtype'!J32,5)</f>
        <v>2895</v>
      </c>
      <c r="V117" s="184">
        <f>MROUND((V77*'T16'!$D$10)*'Source-fte_qualstus_x_servtype'!J32,5)</f>
        <v>1375</v>
      </c>
      <c r="W117" s="184">
        <f>MROUND((W77*'T16'!$D$11)*'Source-fte_qualstus_x_servtype'!J32,5)</f>
        <v>1975</v>
      </c>
      <c r="X117" s="184">
        <f t="shared" ref="X117:X126" si="158">MROUND(SUM(J117:W117)*0.844,5)</f>
        <v>29945</v>
      </c>
      <c r="Y117" s="185"/>
      <c r="Z117" s="184">
        <f>MROUND((Z77*'T16'!$D$3)*0.844,1)</f>
        <v>4</v>
      </c>
      <c r="AA117" s="184">
        <f>MROUND((AA77*'T16'!$D$3)*0.844,1)</f>
        <v>6533</v>
      </c>
      <c r="AB117" s="184">
        <f>MROUND((AB77*'T16'!$D$7)*0.844,5)</f>
        <v>3020</v>
      </c>
      <c r="AC117" s="184">
        <f>MROUND((AC77*'T16'!$D$5)*0.844,5)</f>
        <v>60</v>
      </c>
      <c r="AD117" s="184">
        <f>MROUND((AD77*'T16'!$D$3)*0.844,5)</f>
        <v>105</v>
      </c>
      <c r="AE117" s="184">
        <f>MROUND((AE77*'T16'!$D$10)*0.844,5)</f>
        <v>980</v>
      </c>
      <c r="AF117" s="184">
        <f>MROUND((AF77*'T16'!$D$11)*0.844,5)</f>
        <v>770</v>
      </c>
      <c r="AG117" s="184">
        <f>MROUND((AG77*'T16'!$D$6)*0.844,1)</f>
        <v>2</v>
      </c>
      <c r="AH117" s="184">
        <f>MROUND((AH77*'T16'!$D$6)*0.844,1)</f>
        <v>9778</v>
      </c>
      <c r="AI117" s="184">
        <f>MROUND((AI77*'T16'!$D$7)*0.844,5)</f>
        <v>35</v>
      </c>
      <c r="AJ117" s="184">
        <f>MROUND((AJ77*'T16'!$D$6)*0.844,5)</f>
        <v>10</v>
      </c>
      <c r="AK117" s="184">
        <f>MROUND((AK77*'T16'!$D$4)*0.844,5)</f>
        <v>2265</v>
      </c>
      <c r="AL117" s="184">
        <f>MROUND((AL77*'T16'!$D$10)*0.844,5)</f>
        <v>795</v>
      </c>
      <c r="AM117" s="184">
        <f>MROUND((AM77*'T16'!$D$12)*0.844,5)</f>
        <v>1185</v>
      </c>
      <c r="AN117" s="184">
        <f>SUM(Z117:AM117)</f>
        <v>25542</v>
      </c>
    </row>
    <row r="118" spans="1:40">
      <c r="A118" s="184">
        <v>2027</v>
      </c>
      <c r="B118" s="184"/>
      <c r="C118" s="184"/>
      <c r="D118" s="184"/>
      <c r="E118" s="184"/>
      <c r="F118" s="184"/>
      <c r="G118" s="184"/>
      <c r="H118" s="184"/>
      <c r="I118" s="185"/>
      <c r="J118" s="184">
        <f>MROUND((J78*(1+J$38))*'T16'!$D$3,1)</f>
        <v>2</v>
      </c>
      <c r="K118" s="184">
        <f>MROUND((K78*'T16'!$E$5)*'Source-fte_qualstus_x_servtype'!J33,5)</f>
        <v>6975</v>
      </c>
      <c r="L118" s="184">
        <f>MROUND((L78*'T16'!$D$7)*'Source-fte_qualstus_x_servtype'!J33,5)</f>
        <v>565</v>
      </c>
      <c r="M118" s="184">
        <f>MROUND((M78*'T16'!$D$5)*'Source-fte_qualstus_x_servtype'!J33,5)</f>
        <v>15</v>
      </c>
      <c r="N118" s="184">
        <f>MROUND((N78*'T16'!$E$3)*'Source-fte_qualstus_x_servtype'!J33,5)</f>
        <v>1075</v>
      </c>
      <c r="O118" s="184">
        <f>MROUND((O78*'T16'!$D$10)*'Source-fte_qualstus_x_servtype'!J33,5)</f>
        <v>355</v>
      </c>
      <c r="P118" s="184">
        <f>MROUND((P78*'T16'!$D$11)*'Source-fte_qualstus_x_servtype'!J33,5)</f>
        <v>515</v>
      </c>
      <c r="Q118" s="184">
        <f>MROUND((Q78*'T16'!$D$6)*'Source-fte_qualstus_x_servtype'!J33,1)</f>
        <v>3</v>
      </c>
      <c r="R118" s="184">
        <f>MROUND((R78*'T16'!$E$6)*'Source-fte_qualstus_x_servtype'!J33,5)</f>
        <v>18130</v>
      </c>
      <c r="S118" s="184">
        <f>MROUND((S78*'T16'!$D$7)*'Source-fte_qualstus_x_servtype'!J33,5)</f>
        <v>2215</v>
      </c>
      <c r="T118" s="184">
        <f>MROUND((T78*'T16'!$D$9)*'Source-fte_qualstus_x_servtype'!J33,5)</f>
        <v>65</v>
      </c>
      <c r="U118" s="184">
        <f>MROUND((U78*'T16'!$E$4)*'Source-fte_qualstus_x_servtype'!J33,5)</f>
        <v>2960</v>
      </c>
      <c r="V118" s="184">
        <f>MROUND((V78*'T16'!$D$10)*'Source-fte_qualstus_x_servtype'!J33,5)</f>
        <v>1390</v>
      </c>
      <c r="W118" s="184">
        <f>MROUND((W78*'T16'!$D$11)*'Source-fte_qualstus_x_servtype'!J33,5)</f>
        <v>2000</v>
      </c>
      <c r="X118" s="184">
        <f t="shared" si="158"/>
        <v>30610</v>
      </c>
      <c r="Y118" s="185"/>
      <c r="Z118" s="184">
        <f>MROUND((Z78*'T16'!$D$3)*0.844,1)</f>
        <v>4</v>
      </c>
      <c r="AA118" s="184">
        <f>MROUND((AA78*'T16'!$D$3)*0.844,1)</f>
        <v>6728</v>
      </c>
      <c r="AB118" s="184">
        <f>MROUND((AB78*'T16'!$D$7)*0.844,5)</f>
        <v>2810</v>
      </c>
      <c r="AC118" s="184">
        <f>MROUND((AC78*'T16'!$D$5)*0.844,5)</f>
        <v>65</v>
      </c>
      <c r="AD118" s="184">
        <f>MROUND((AD78*'T16'!$D$3)*0.844,5)</f>
        <v>110</v>
      </c>
      <c r="AE118" s="184">
        <f>MROUND((AE78*'T16'!$D$10)*0.844,5)</f>
        <v>985</v>
      </c>
      <c r="AF118" s="184">
        <f>MROUND((AF78*'T16'!$D$11)*0.844,5)</f>
        <v>780</v>
      </c>
      <c r="AG118" s="184">
        <f>MROUND((AG78*'T16'!$D$6)*0.844,1)</f>
        <v>2</v>
      </c>
      <c r="AH118" s="184">
        <f>MROUND((AH78*'T16'!$D$6)*0.844,1)</f>
        <v>10070</v>
      </c>
      <c r="AI118" s="184">
        <f>MROUND((AI78*'T16'!$D$7)*0.844,5)</f>
        <v>35</v>
      </c>
      <c r="AJ118" s="184">
        <f>MROUND((AJ78*'T16'!$D$6)*0.844,5)</f>
        <v>10</v>
      </c>
      <c r="AK118" s="184">
        <f>MROUND((AK78*'T16'!$D$4)*0.844,5)</f>
        <v>2305</v>
      </c>
      <c r="AL118" s="184">
        <f>MROUND((AL78*'T16'!$D$10)*0.844,5)</f>
        <v>800</v>
      </c>
      <c r="AM118" s="184">
        <f>MROUND((AM78*'T16'!$D$12)*0.844,5)</f>
        <v>1195</v>
      </c>
      <c r="AN118" s="184">
        <f t="shared" ref="AN118:AN126" si="159">SUM(Z118:AM118)</f>
        <v>25899</v>
      </c>
    </row>
    <row r="119" spans="1:40">
      <c r="A119" s="184">
        <v>2028</v>
      </c>
      <c r="B119" s="184"/>
      <c r="C119" s="184"/>
      <c r="D119" s="184"/>
      <c r="E119" s="184"/>
      <c r="F119" s="184"/>
      <c r="G119" s="184"/>
      <c r="H119" s="184"/>
      <c r="I119" s="185"/>
      <c r="J119" s="184">
        <f>MROUND((J79*(1+J$38))*'T16'!$D$3,1)</f>
        <v>2</v>
      </c>
      <c r="K119" s="184">
        <f>MROUND((K79*'T16'!$E$5)*'Source-fte_qualstus_x_servtype'!J34,5)</f>
        <v>7215</v>
      </c>
      <c r="L119" s="184">
        <f>MROUND((L79*'T16'!$D$7)*'Source-fte_qualstus_x_servtype'!J34,5)</f>
        <v>530</v>
      </c>
      <c r="M119" s="184">
        <f>MROUND((M79*'T16'!$D$5)*'Source-fte_qualstus_x_servtype'!J34,5)</f>
        <v>15</v>
      </c>
      <c r="N119" s="184">
        <f>MROUND((N79*'T16'!$E$3)*'Source-fte_qualstus_x_servtype'!J34,5)</f>
        <v>1095</v>
      </c>
      <c r="O119" s="184">
        <f>MROUND((O79*'T16'!$D$10)*'Source-fte_qualstus_x_servtype'!J34,5)</f>
        <v>360</v>
      </c>
      <c r="P119" s="184">
        <f>MROUND((P79*'T16'!$D$11)*'Source-fte_qualstus_x_servtype'!J34,5)</f>
        <v>520</v>
      </c>
      <c r="Q119" s="184">
        <f>MROUND((Q79*'T16'!$D$6)*'Source-fte_qualstus_x_servtype'!J34,1)</f>
        <v>4</v>
      </c>
      <c r="R119" s="184">
        <f>MROUND((R79*'T16'!$E$6)*'Source-fte_qualstus_x_servtype'!J34,5)</f>
        <v>18755</v>
      </c>
      <c r="S119" s="184">
        <f>MROUND((S79*'T16'!$D$7)*'Source-fte_qualstus_x_servtype'!J34,5)</f>
        <v>2070</v>
      </c>
      <c r="T119" s="184">
        <f>MROUND((T79*'T16'!$D$9)*'Source-fte_qualstus_x_servtype'!J34,5)</f>
        <v>70</v>
      </c>
      <c r="U119" s="184">
        <f>MROUND((U79*'T16'!$E$4)*'Source-fte_qualstus_x_servtype'!J34,5)</f>
        <v>3025</v>
      </c>
      <c r="V119" s="184">
        <f>MROUND((V79*'T16'!$D$10)*'Source-fte_qualstus_x_servtype'!J34,5)</f>
        <v>1405</v>
      </c>
      <c r="W119" s="184">
        <f>MROUND((W79*'T16'!$D$11)*'Source-fte_qualstus_x_servtype'!J34,5)</f>
        <v>2030</v>
      </c>
      <c r="X119" s="184">
        <f t="shared" si="158"/>
        <v>31310</v>
      </c>
      <c r="Y119" s="185"/>
      <c r="Z119" s="184">
        <f>MROUND((Z79*'T16'!$D$3)*0.844,1)</f>
        <v>5</v>
      </c>
      <c r="AA119" s="184">
        <f>MROUND((AA79*'T16'!$D$3)*0.844,1)</f>
        <v>6928</v>
      </c>
      <c r="AB119" s="184">
        <f>MROUND((AB79*'T16'!$D$7)*0.844,5)</f>
        <v>2615</v>
      </c>
      <c r="AC119" s="184">
        <f>MROUND((AC79*'T16'!$D$5)*0.844,5)</f>
        <v>70</v>
      </c>
      <c r="AD119" s="184">
        <f>MROUND((AD79*'T16'!$D$3)*0.844,5)</f>
        <v>110</v>
      </c>
      <c r="AE119" s="184">
        <f>MROUND((AE79*'T16'!$D$10)*0.844,5)</f>
        <v>995</v>
      </c>
      <c r="AF119" s="184">
        <f>MROUND((AF79*'T16'!$D$11)*0.844,5)</f>
        <v>785</v>
      </c>
      <c r="AG119" s="184">
        <f>MROUND((AG79*'T16'!$D$6)*0.844,1)</f>
        <v>2</v>
      </c>
      <c r="AH119" s="184">
        <f>MROUND((AH79*'T16'!$D$6)*0.844,1)</f>
        <v>10370</v>
      </c>
      <c r="AI119" s="184">
        <f>MROUND((AI79*'T16'!$D$7)*0.844,5)</f>
        <v>30</v>
      </c>
      <c r="AJ119" s="184">
        <f>MROUND((AJ79*'T16'!$D$6)*0.844,5)</f>
        <v>10</v>
      </c>
      <c r="AK119" s="184">
        <f>MROUND((AK79*'T16'!$D$4)*0.844,5)</f>
        <v>2345</v>
      </c>
      <c r="AL119" s="184">
        <f>MROUND((AL79*'T16'!$D$10)*0.844,5)</f>
        <v>800</v>
      </c>
      <c r="AM119" s="184">
        <f>MROUND((AM79*'T16'!$D$12)*0.844,5)</f>
        <v>1205</v>
      </c>
      <c r="AN119" s="184">
        <f t="shared" si="159"/>
        <v>26270</v>
      </c>
    </row>
    <row r="120" spans="1:40">
      <c r="A120" s="184">
        <v>2029</v>
      </c>
      <c r="B120" s="184"/>
      <c r="C120" s="184"/>
      <c r="D120" s="184"/>
      <c r="E120" s="184"/>
      <c r="F120" s="184"/>
      <c r="G120" s="184"/>
      <c r="H120" s="184"/>
      <c r="I120" s="185"/>
      <c r="J120" s="184">
        <f>MROUND((J80*(1+J$38))*'T16'!$D$3,1)</f>
        <v>3</v>
      </c>
      <c r="K120" s="184">
        <f>MROUND((K80*'T16'!$E$5)*'Source-fte_qualstus_x_servtype'!J35,5)</f>
        <v>7465</v>
      </c>
      <c r="L120" s="184">
        <f>MROUND((L80*'T16'!$D$7)*'Source-fte_qualstus_x_servtype'!J35,5)</f>
        <v>495</v>
      </c>
      <c r="M120" s="184">
        <f>MROUND((M80*'T16'!$D$5)*'Source-fte_qualstus_x_servtype'!J35,5)</f>
        <v>20</v>
      </c>
      <c r="N120" s="184">
        <f>MROUND((N80*'T16'!$E$3)*'Source-fte_qualstus_x_servtype'!J35,5)</f>
        <v>1120</v>
      </c>
      <c r="O120" s="184">
        <f>MROUND((O80*'T16'!$D$10)*'Source-fte_qualstus_x_servtype'!J35,5)</f>
        <v>365</v>
      </c>
      <c r="P120" s="184">
        <f>MROUND((P80*'T16'!$D$11)*'Source-fte_qualstus_x_servtype'!J35,5)</f>
        <v>525</v>
      </c>
      <c r="Q120" s="184">
        <f>MROUND((Q80*'T16'!$D$6)*'Source-fte_qualstus_x_servtype'!J35,1)</f>
        <v>4</v>
      </c>
      <c r="R120" s="184">
        <f>MROUND((R80*'T16'!$E$6)*'Source-fte_qualstus_x_servtype'!J35,5)</f>
        <v>19400</v>
      </c>
      <c r="S120" s="184">
        <f>MROUND((S80*'T16'!$D$7)*'Source-fte_qualstus_x_servtype'!J35,5)</f>
        <v>1930</v>
      </c>
      <c r="T120" s="184">
        <f>MROUND((T80*'T16'!$D$9)*'Source-fte_qualstus_x_servtype'!J35,5)</f>
        <v>70</v>
      </c>
      <c r="U120" s="184">
        <f>MROUND((U80*'T16'!$E$4)*'Source-fte_qualstus_x_servtype'!J35,5)</f>
        <v>3090</v>
      </c>
      <c r="V120" s="184">
        <f>MROUND((V80*'T16'!$D$10)*'Source-fte_qualstus_x_servtype'!J35,5)</f>
        <v>1415</v>
      </c>
      <c r="W120" s="184">
        <f>MROUND((W80*'T16'!$D$11)*'Source-fte_qualstus_x_servtype'!J35,5)</f>
        <v>2060</v>
      </c>
      <c r="X120" s="184">
        <f t="shared" si="158"/>
        <v>32040</v>
      </c>
      <c r="Y120" s="185"/>
      <c r="Z120" s="184">
        <f>MROUND((Z80*'T16'!$D$3)*0.844,1)</f>
        <v>5</v>
      </c>
      <c r="AA120" s="184">
        <f>MROUND((AA80*'T16'!$D$3)*0.844,1)</f>
        <v>7135</v>
      </c>
      <c r="AB120" s="184">
        <f>MROUND((AB80*'T16'!$D$7)*0.844,5)</f>
        <v>2430</v>
      </c>
      <c r="AC120" s="184">
        <f>MROUND((AC80*'T16'!$D$5)*0.844,5)</f>
        <v>75</v>
      </c>
      <c r="AD120" s="184">
        <f>MROUND((AD80*'T16'!$D$3)*0.844,5)</f>
        <v>115</v>
      </c>
      <c r="AE120" s="184">
        <f>MROUND((AE80*'T16'!$D$10)*0.844,5)</f>
        <v>1000</v>
      </c>
      <c r="AF120" s="184">
        <f>MROUND((AF80*'T16'!$D$11)*0.844,5)</f>
        <v>795</v>
      </c>
      <c r="AG120" s="184">
        <f>MROUND((AG80*'T16'!$D$6)*0.844,1)</f>
        <v>3</v>
      </c>
      <c r="AH120" s="184">
        <f>MROUND((AH80*'T16'!$D$6)*0.844,1)</f>
        <v>10679</v>
      </c>
      <c r="AI120" s="184">
        <f>MROUND((AI80*'T16'!$D$7)*0.844,5)</f>
        <v>30</v>
      </c>
      <c r="AJ120" s="184">
        <f>MROUND((AJ80*'T16'!$D$6)*0.844,5)</f>
        <v>10</v>
      </c>
      <c r="AK120" s="184">
        <f>MROUND((AK80*'T16'!$D$4)*0.844,5)</f>
        <v>2385</v>
      </c>
      <c r="AL120" s="184">
        <f>MROUND((AL80*'T16'!$D$10)*0.844,5)</f>
        <v>805</v>
      </c>
      <c r="AM120" s="184">
        <f>MROUND((AM80*'T16'!$D$12)*0.844,5)</f>
        <v>1220</v>
      </c>
      <c r="AN120" s="184">
        <f t="shared" si="159"/>
        <v>26687</v>
      </c>
    </row>
    <row r="121" spans="1:40">
      <c r="A121" s="184">
        <v>2030</v>
      </c>
      <c r="B121" s="184"/>
      <c r="C121" s="184"/>
      <c r="D121" s="184"/>
      <c r="E121" s="184"/>
      <c r="F121" s="184"/>
      <c r="G121" s="184"/>
      <c r="H121" s="184"/>
      <c r="I121" s="185"/>
      <c r="J121" s="184">
        <f>MROUND((J81*(1+J$38))*'T16'!$D$3,1)</f>
        <v>3</v>
      </c>
      <c r="K121" s="184">
        <f>MROUND((K81*'T16'!$E$5)*'Source-fte_qualstus_x_servtype'!J36,5)</f>
        <v>7720</v>
      </c>
      <c r="L121" s="184">
        <f>MROUND((L81*'T16'!$D$7)*'Source-fte_qualstus_x_servtype'!J36,5)</f>
        <v>460</v>
      </c>
      <c r="M121" s="184">
        <f>MROUND((M81*'T16'!$D$5)*'Source-fte_qualstus_x_servtype'!J36,5)</f>
        <v>20</v>
      </c>
      <c r="N121" s="184">
        <f>MROUND((N81*'T16'!$E$3)*'Source-fte_qualstus_x_servtype'!J36,5)</f>
        <v>1145</v>
      </c>
      <c r="O121" s="184">
        <f>MROUND((O81*'T16'!$D$10)*'Source-fte_qualstus_x_servtype'!J36,5)</f>
        <v>365</v>
      </c>
      <c r="P121" s="184">
        <f>MROUND((P81*'T16'!$D$11)*'Source-fte_qualstus_x_servtype'!J36,5)</f>
        <v>535</v>
      </c>
      <c r="Q121" s="184">
        <f>MROUND((Q81*'T16'!$D$6)*'Source-fte_qualstus_x_servtype'!J36,1)</f>
        <v>4</v>
      </c>
      <c r="R121" s="184">
        <f>MROUND((R81*'T16'!$E$6)*'Source-fte_qualstus_x_servtype'!J36,5)</f>
        <v>20065</v>
      </c>
      <c r="S121" s="184">
        <f>MROUND((S81*'T16'!$D$7)*'Source-fte_qualstus_x_servtype'!J36,5)</f>
        <v>1805</v>
      </c>
      <c r="T121" s="184">
        <f>MROUND((T81*'T16'!$D$9)*'Source-fte_qualstus_x_servtype'!J36,5)</f>
        <v>75</v>
      </c>
      <c r="U121" s="184">
        <f>MROUND((U81*'T16'!$E$4)*'Source-fte_qualstus_x_servtype'!J36,5)</f>
        <v>3155</v>
      </c>
      <c r="V121" s="184">
        <f>MROUND((V81*'T16'!$D$10)*'Source-fte_qualstus_x_servtype'!J36,5)</f>
        <v>1430</v>
      </c>
      <c r="W121" s="184">
        <f>MROUND((W81*'T16'!$D$11)*'Source-fte_qualstus_x_servtype'!J36,5)</f>
        <v>2090</v>
      </c>
      <c r="X121" s="184">
        <f t="shared" si="158"/>
        <v>32810</v>
      </c>
      <c r="Y121" s="185"/>
      <c r="Z121" s="184">
        <f>MROUND((Z81*'T16'!$D$3)*0.844,1)</f>
        <v>5</v>
      </c>
      <c r="AA121" s="184">
        <f>MROUND((AA81*'T16'!$D$3)*0.844,1)</f>
        <v>7348</v>
      </c>
      <c r="AB121" s="184">
        <f>MROUND((AB81*'T16'!$D$7)*0.844,5)</f>
        <v>2260</v>
      </c>
      <c r="AC121" s="184">
        <f>MROUND((AC81*'T16'!$D$5)*0.844,5)</f>
        <v>75</v>
      </c>
      <c r="AD121" s="184">
        <f>MROUND((AD81*'T16'!$D$3)*0.844,5)</f>
        <v>115</v>
      </c>
      <c r="AE121" s="184">
        <f>MROUND((AE81*'T16'!$D$10)*0.844,5)</f>
        <v>1005</v>
      </c>
      <c r="AF121" s="184">
        <f>MROUND((AF81*'T16'!$D$11)*0.844,5)</f>
        <v>800</v>
      </c>
      <c r="AG121" s="184">
        <f>MROUND((AG81*'T16'!$D$6)*0.844,1)</f>
        <v>3</v>
      </c>
      <c r="AH121" s="184">
        <f>MROUND((AH81*'T16'!$D$6)*0.844,1)</f>
        <v>10998</v>
      </c>
      <c r="AI121" s="184">
        <f>MROUND((AI81*'T16'!$D$7)*0.844,5)</f>
        <v>25</v>
      </c>
      <c r="AJ121" s="184">
        <f>MROUND((AJ81*'T16'!$D$6)*0.844,5)</f>
        <v>10</v>
      </c>
      <c r="AK121" s="184">
        <f>MROUND((AK81*'T16'!$D$4)*0.844,5)</f>
        <v>2425</v>
      </c>
      <c r="AL121" s="184">
        <f>MROUND((AL81*'T16'!$D$10)*0.844,5)</f>
        <v>810</v>
      </c>
      <c r="AM121" s="184">
        <f>MROUND((AM81*'T16'!$D$12)*0.844,5)</f>
        <v>1230</v>
      </c>
      <c r="AN121" s="184">
        <f t="shared" si="159"/>
        <v>27109</v>
      </c>
    </row>
    <row r="122" spans="1:40">
      <c r="A122" s="184">
        <v>2031</v>
      </c>
      <c r="B122" s="184"/>
      <c r="C122" s="184"/>
      <c r="D122" s="184"/>
      <c r="E122" s="184"/>
      <c r="F122" s="184"/>
      <c r="G122" s="184"/>
      <c r="H122" s="184"/>
      <c r="I122" s="185"/>
      <c r="J122" s="184">
        <f>MROUND((J82*(1+J$38))*'T16'!$D$3,1)</f>
        <v>3</v>
      </c>
      <c r="K122" s="184">
        <f>MROUND((K82*'T16'!$E$5)*'Source-fte_qualstus_x_servtype'!J37,5)</f>
        <v>7985</v>
      </c>
      <c r="L122" s="184">
        <f>MROUND((L82*'T16'!$D$7)*'Source-fte_qualstus_x_servtype'!J37,5)</f>
        <v>430</v>
      </c>
      <c r="M122" s="184">
        <f>MROUND((M82*'T16'!$D$5)*'Source-fte_qualstus_x_servtype'!J37,5)</f>
        <v>20</v>
      </c>
      <c r="N122" s="184">
        <f>MROUND((N82*'T16'!$E$3)*'Source-fte_qualstus_x_servtype'!J37,5)</f>
        <v>1170</v>
      </c>
      <c r="O122" s="184">
        <f>MROUND((O82*'T16'!$D$10)*'Source-fte_qualstus_x_servtype'!J37,5)</f>
        <v>370</v>
      </c>
      <c r="P122" s="184">
        <f>MROUND((P82*'T16'!$D$11)*'Source-fte_qualstus_x_servtype'!J37,5)</f>
        <v>540</v>
      </c>
      <c r="Q122" s="184">
        <f>MROUND((Q82*'T16'!$D$6)*'Source-fte_qualstus_x_servtype'!J37,1)</f>
        <v>5</v>
      </c>
      <c r="R122" s="184">
        <f>MROUND((R82*'T16'!$E$6)*'Source-fte_qualstus_x_servtype'!J37,5)</f>
        <v>20755</v>
      </c>
      <c r="S122" s="184">
        <f>MROUND((S82*'T16'!$D$7)*'Source-fte_qualstus_x_servtype'!J37,5)</f>
        <v>1685</v>
      </c>
      <c r="T122" s="184">
        <f>MROUND((T82*'T16'!$D$9)*'Source-fte_qualstus_x_servtype'!J37,5)</f>
        <v>80</v>
      </c>
      <c r="U122" s="184">
        <f>MROUND((U82*'T16'!$E$4)*'Source-fte_qualstus_x_servtype'!J37,5)</f>
        <v>3225</v>
      </c>
      <c r="V122" s="184">
        <f>MROUND((V82*'T16'!$D$10)*'Source-fte_qualstus_x_servtype'!J37,5)</f>
        <v>1445</v>
      </c>
      <c r="W122" s="184">
        <f>MROUND((W82*'T16'!$D$11)*'Source-fte_qualstus_x_servtype'!J37,5)</f>
        <v>2115</v>
      </c>
      <c r="X122" s="184">
        <f t="shared" si="158"/>
        <v>33615</v>
      </c>
      <c r="Y122" s="185"/>
      <c r="Z122" s="184">
        <f>MROUND((Z82*'T16'!$D$3)*0.844,1)</f>
        <v>6</v>
      </c>
      <c r="AA122" s="184">
        <f>MROUND((AA82*'T16'!$D$3)*0.844,1)</f>
        <v>7567</v>
      </c>
      <c r="AB122" s="184">
        <f>MROUND((AB82*'T16'!$D$7)*0.844,5)</f>
        <v>2100</v>
      </c>
      <c r="AC122" s="184">
        <f>MROUND((AC82*'T16'!$D$5)*0.844,5)</f>
        <v>80</v>
      </c>
      <c r="AD122" s="184">
        <f>MROUND((AD82*'T16'!$D$3)*0.844,5)</f>
        <v>115</v>
      </c>
      <c r="AE122" s="184">
        <f>MROUND((AE82*'T16'!$D$10)*0.844,5)</f>
        <v>1010</v>
      </c>
      <c r="AF122" s="184">
        <f>MROUND((AF82*'T16'!$D$11)*0.844,5)</f>
        <v>810</v>
      </c>
      <c r="AG122" s="184">
        <f>MROUND((AG82*'T16'!$D$6)*0.844,1)</f>
        <v>3</v>
      </c>
      <c r="AH122" s="184">
        <f>MROUND((AH82*'T16'!$D$6)*0.844,1)</f>
        <v>11326</v>
      </c>
      <c r="AI122" s="184">
        <f>MROUND((AI82*'T16'!$D$7)*0.844,5)</f>
        <v>25</v>
      </c>
      <c r="AJ122" s="184">
        <f>MROUND((AJ82*'T16'!$D$6)*0.844,5)</f>
        <v>10</v>
      </c>
      <c r="AK122" s="184">
        <f>MROUND((AK82*'T16'!$D$4)*0.844,5)</f>
        <v>2465</v>
      </c>
      <c r="AL122" s="184">
        <f>MROUND((AL82*'T16'!$D$10)*0.844,5)</f>
        <v>815</v>
      </c>
      <c r="AM122" s="184">
        <f>MROUND((AM82*'T16'!$D$12)*0.844,5)</f>
        <v>1240</v>
      </c>
      <c r="AN122" s="184">
        <f t="shared" si="159"/>
        <v>27572</v>
      </c>
    </row>
    <row r="123" spans="1:40">
      <c r="A123" s="184">
        <v>2032</v>
      </c>
      <c r="B123" s="184"/>
      <c r="C123" s="184"/>
      <c r="D123" s="184"/>
      <c r="E123" s="184"/>
      <c r="F123" s="184"/>
      <c r="G123" s="184"/>
      <c r="H123" s="184"/>
      <c r="I123" s="185"/>
      <c r="J123" s="184">
        <f>MROUND((J83*(1+J$38))*'T16'!$D$3,1)</f>
        <v>3</v>
      </c>
      <c r="K123" s="184">
        <f>MROUND((K83*'T16'!$E$5)*'Source-fte_qualstus_x_servtype'!J38,5)</f>
        <v>8260</v>
      </c>
      <c r="L123" s="184">
        <f>MROUND((L83*'T16'!$D$7)*'Source-fte_qualstus_x_servtype'!J38,5)</f>
        <v>405</v>
      </c>
      <c r="M123" s="184">
        <f>MROUND((M83*'T16'!$D$5)*'Source-fte_qualstus_x_servtype'!J38,5)</f>
        <v>20</v>
      </c>
      <c r="N123" s="184">
        <f>MROUND((N83*'T16'!$E$3)*'Source-fte_qualstus_x_servtype'!J38,5)</f>
        <v>1195</v>
      </c>
      <c r="O123" s="184">
        <f>MROUND((O83*'T16'!$D$10)*'Source-fte_qualstus_x_servtype'!J38,5)</f>
        <v>375</v>
      </c>
      <c r="P123" s="184">
        <f>MROUND((P83*'T16'!$D$11)*'Source-fte_qualstus_x_servtype'!J38,5)</f>
        <v>550</v>
      </c>
      <c r="Q123" s="184">
        <f>MROUND((Q83*'T16'!$D$6)*'Source-fte_qualstus_x_servtype'!J38,1)</f>
        <v>5</v>
      </c>
      <c r="R123" s="184">
        <f>MROUND((R83*'T16'!$E$6)*'Source-fte_qualstus_x_servtype'!J38,5)</f>
        <v>21470</v>
      </c>
      <c r="S123" s="184">
        <f>MROUND((S83*'T16'!$D$7)*'Source-fte_qualstus_x_servtype'!J38,5)</f>
        <v>1575</v>
      </c>
      <c r="T123" s="184">
        <f>MROUND((T83*'T16'!$D$9)*'Source-fte_qualstus_x_servtype'!J38,5)</f>
        <v>85</v>
      </c>
      <c r="U123" s="184">
        <f>MROUND((U83*'T16'!$E$4)*'Source-fte_qualstus_x_servtype'!J38,5)</f>
        <v>3290</v>
      </c>
      <c r="V123" s="184">
        <f>MROUND((V83*'T16'!$D$10)*'Source-fte_qualstus_x_servtype'!J38,5)</f>
        <v>1460</v>
      </c>
      <c r="W123" s="184">
        <f>MROUND((W83*'T16'!$D$11)*'Source-fte_qualstus_x_servtype'!J38,5)</f>
        <v>2145</v>
      </c>
      <c r="X123" s="184">
        <f t="shared" si="158"/>
        <v>34465</v>
      </c>
      <c r="Y123" s="185"/>
      <c r="Z123" s="184">
        <f>MROUND((Z83*'T16'!$D$3)*0.844,1)</f>
        <v>6</v>
      </c>
      <c r="AA123" s="184">
        <f>MROUND((AA83*'T16'!$D$3)*0.844,1)</f>
        <v>7793</v>
      </c>
      <c r="AB123" s="184">
        <f>MROUND((AB83*'T16'!$D$7)*0.844,5)</f>
        <v>1955</v>
      </c>
      <c r="AC123" s="184">
        <f>MROUND((AC83*'T16'!$D$5)*0.844,5)</f>
        <v>85</v>
      </c>
      <c r="AD123" s="184">
        <f>MROUND((AD83*'T16'!$D$3)*0.844,5)</f>
        <v>120</v>
      </c>
      <c r="AE123" s="184">
        <f>MROUND((AE83*'T16'!$D$10)*0.844,5)</f>
        <v>1015</v>
      </c>
      <c r="AF123" s="184">
        <f>MROUND((AF83*'T16'!$D$11)*0.844,5)</f>
        <v>815</v>
      </c>
      <c r="AG123" s="184">
        <f>MROUND((AG83*'T16'!$D$6)*0.844,1)</f>
        <v>3</v>
      </c>
      <c r="AH123" s="184">
        <f>MROUND((AH83*'T16'!$D$6)*0.844,1)</f>
        <v>11664</v>
      </c>
      <c r="AI123" s="184">
        <f>MROUND((AI83*'T16'!$D$7)*0.844,5)</f>
        <v>25</v>
      </c>
      <c r="AJ123" s="184">
        <f>MROUND((AJ83*'T16'!$D$6)*0.844,5)</f>
        <v>10</v>
      </c>
      <c r="AK123" s="184">
        <f>MROUND((AK83*'T16'!$D$4)*0.844,5)</f>
        <v>2510</v>
      </c>
      <c r="AL123" s="184">
        <f>MROUND((AL83*'T16'!$D$10)*0.844,5)</f>
        <v>820</v>
      </c>
      <c r="AM123" s="184">
        <f>MROUND((AM83*'T16'!$D$12)*0.844,5)</f>
        <v>1255</v>
      </c>
      <c r="AN123" s="184">
        <f t="shared" si="159"/>
        <v>28076</v>
      </c>
    </row>
    <row r="124" spans="1:40">
      <c r="A124" s="184">
        <v>2033</v>
      </c>
      <c r="B124" s="184"/>
      <c r="C124" s="184"/>
      <c r="D124" s="184"/>
      <c r="E124" s="184"/>
      <c r="F124" s="184"/>
      <c r="G124" s="184"/>
      <c r="H124" s="184"/>
      <c r="I124" s="185"/>
      <c r="J124" s="184">
        <f>MROUND((J84*(1+J$38))*'T16'!$D$3,1)</f>
        <v>3</v>
      </c>
      <c r="K124" s="184">
        <f>MROUND((K84*'T16'!$E$5)*'Source-fte_qualstus_x_servtype'!J39,5)</f>
        <v>8540</v>
      </c>
      <c r="L124" s="184">
        <f>MROUND((L84*'T16'!$D$7)*'Source-fte_qualstus_x_servtype'!J39,5)</f>
        <v>375</v>
      </c>
      <c r="M124" s="184">
        <f>MROUND((M84*'T16'!$D$5)*'Source-fte_qualstus_x_servtype'!J39,5)</f>
        <v>25</v>
      </c>
      <c r="N124" s="184">
        <f>MROUND((N84*'T16'!$E$3)*'Source-fte_qualstus_x_servtype'!J39,5)</f>
        <v>1220</v>
      </c>
      <c r="O124" s="184">
        <f>MROUND((O84*'T16'!$D$10)*'Source-fte_qualstus_x_servtype'!J39,5)</f>
        <v>375</v>
      </c>
      <c r="P124" s="184">
        <f>MROUND((P84*'T16'!$D$11)*'Source-fte_qualstus_x_servtype'!J39,5)</f>
        <v>555</v>
      </c>
      <c r="Q124" s="184">
        <f>MROUND((Q84*'T16'!$D$6)*'Source-fte_qualstus_x_servtype'!J39,1)</f>
        <v>5</v>
      </c>
      <c r="R124" s="184">
        <f>MROUND((R84*'T16'!$E$6)*'Source-fte_qualstus_x_servtype'!J39,5)</f>
        <v>22205</v>
      </c>
      <c r="S124" s="184">
        <f>MROUND((S84*'T16'!$D$7)*'Source-fte_qualstus_x_servtype'!J39,5)</f>
        <v>1470</v>
      </c>
      <c r="T124" s="184">
        <f>MROUND((T84*'T16'!$D$9)*'Source-fte_qualstus_x_servtype'!J39,5)</f>
        <v>90</v>
      </c>
      <c r="U124" s="184">
        <f>MROUND((U84*'T16'!$E$4)*'Source-fte_qualstus_x_servtype'!J39,5)</f>
        <v>3365</v>
      </c>
      <c r="V124" s="184">
        <f>MROUND((V84*'T16'!$D$10)*'Source-fte_qualstus_x_servtype'!J39,5)</f>
        <v>1475</v>
      </c>
      <c r="W124" s="184">
        <f>MROUND((W84*'T16'!$D$11)*'Source-fte_qualstus_x_servtype'!J39,5)</f>
        <v>2175</v>
      </c>
      <c r="X124" s="184">
        <f t="shared" si="158"/>
        <v>35345</v>
      </c>
      <c r="Y124" s="185"/>
      <c r="Z124" s="184">
        <f>MROUND((Z84*'T16'!$D$3)*0.844,1)</f>
        <v>7</v>
      </c>
      <c r="AA124" s="184">
        <f>MROUND((AA84*'T16'!$D$3)*0.844,1)</f>
        <v>8025</v>
      </c>
      <c r="AB124" s="184">
        <f>MROUND((AB84*'T16'!$D$7)*0.844,5)</f>
        <v>1820</v>
      </c>
      <c r="AC124" s="184">
        <f>MROUND((AC84*'T16'!$D$5)*0.844,5)</f>
        <v>90</v>
      </c>
      <c r="AD124" s="184">
        <f>MROUND((AD84*'T16'!$D$3)*0.844,5)</f>
        <v>120</v>
      </c>
      <c r="AE124" s="184">
        <f>MROUND((AE84*'T16'!$D$10)*0.844,5)</f>
        <v>1020</v>
      </c>
      <c r="AF124" s="184">
        <f>MROUND((AF84*'T16'!$D$11)*0.844,5)</f>
        <v>825</v>
      </c>
      <c r="AG124" s="184">
        <f>MROUND((AG84*'T16'!$D$6)*0.844,1)</f>
        <v>3</v>
      </c>
      <c r="AH124" s="184">
        <f>MROUND((AH84*'T16'!$D$6)*0.844,1)</f>
        <v>12012</v>
      </c>
      <c r="AI124" s="184">
        <f>MROUND((AI84*'T16'!$D$7)*0.844,5)</f>
        <v>20</v>
      </c>
      <c r="AJ124" s="184">
        <f>MROUND((AJ84*'T16'!$D$6)*0.844,5)</f>
        <v>10</v>
      </c>
      <c r="AK124" s="184">
        <f>MROUND((AK84*'T16'!$D$4)*0.844,5)</f>
        <v>2550</v>
      </c>
      <c r="AL124" s="184">
        <f>MROUND((AL84*'T16'!$D$10)*0.844,5)</f>
        <v>825</v>
      </c>
      <c r="AM124" s="184">
        <f>MROUND((AM84*'T16'!$D$12)*0.844,5)</f>
        <v>1265</v>
      </c>
      <c r="AN124" s="184">
        <f t="shared" si="159"/>
        <v>28592</v>
      </c>
    </row>
    <row r="125" spans="1:40">
      <c r="A125" s="184">
        <v>2034</v>
      </c>
      <c r="B125" s="184"/>
      <c r="C125" s="184"/>
      <c r="D125" s="184"/>
      <c r="E125" s="184"/>
      <c r="F125" s="184"/>
      <c r="G125" s="184"/>
      <c r="H125" s="184"/>
      <c r="I125" s="185"/>
      <c r="J125" s="184">
        <f>MROUND((J85*(1+J$38))*'T16'!$D$3,1)</f>
        <v>4</v>
      </c>
      <c r="K125" s="184">
        <f>MROUND((K85*'T16'!$E$5)*'Source-fte_qualstus_x_servtype'!J40,5)</f>
        <v>8835</v>
      </c>
      <c r="L125" s="184">
        <f>MROUND((L85*'T16'!$D$7)*'Source-fte_qualstus_x_servtype'!J40,5)</f>
        <v>350</v>
      </c>
      <c r="M125" s="184">
        <f>MROUND((M85*'T16'!$D$5)*'Source-fte_qualstus_x_servtype'!J40,5)</f>
        <v>25</v>
      </c>
      <c r="N125" s="184">
        <f>MROUND((N85*'T16'!$E$3)*'Source-fte_qualstus_x_servtype'!J40,5)</f>
        <v>1245</v>
      </c>
      <c r="O125" s="184">
        <f>MROUND((O85*'T16'!$D$10)*'Source-fte_qualstus_x_servtype'!J40,5)</f>
        <v>380</v>
      </c>
      <c r="P125" s="184">
        <f>MROUND((P85*'T16'!$D$11)*'Source-fte_qualstus_x_servtype'!J40,5)</f>
        <v>565</v>
      </c>
      <c r="Q125" s="184">
        <f>MROUND((Q85*'T16'!$D$6)*'Source-fte_qualstus_x_servtype'!J40,1)</f>
        <v>6</v>
      </c>
      <c r="R125" s="184">
        <f>MROUND((R85*'T16'!$E$6)*'Source-fte_qualstus_x_servtype'!J40,5)</f>
        <v>22965</v>
      </c>
      <c r="S125" s="184">
        <f>MROUND((S85*'T16'!$D$7)*'Source-fte_qualstus_x_servtype'!J40,5)</f>
        <v>1375</v>
      </c>
      <c r="T125" s="184">
        <f>MROUND((T85*'T16'!$D$9)*'Source-fte_qualstus_x_servtype'!J40,5)</f>
        <v>95</v>
      </c>
      <c r="U125" s="184">
        <f>MROUND((U85*'T16'!$E$4)*'Source-fte_qualstus_x_servtype'!J40,5)</f>
        <v>3435</v>
      </c>
      <c r="V125" s="184">
        <f>MROUND((V85*'T16'!$D$10)*'Source-fte_qualstus_x_servtype'!J40,5)</f>
        <v>1490</v>
      </c>
      <c r="W125" s="184">
        <f>MROUND((W85*'T16'!$D$11)*'Source-fte_qualstus_x_servtype'!J40,5)</f>
        <v>2210</v>
      </c>
      <c r="X125" s="184">
        <f t="shared" si="158"/>
        <v>36275</v>
      </c>
      <c r="Y125" s="185"/>
      <c r="Z125" s="184">
        <f>MROUND((Z85*'T16'!$D$3)*0.844,1)</f>
        <v>7</v>
      </c>
      <c r="AA125" s="184">
        <f>MROUND((AA85*'T16'!$D$3)*0.844,1)</f>
        <v>8265</v>
      </c>
      <c r="AB125" s="184">
        <f>MROUND((AB85*'T16'!$D$7)*0.844,5)</f>
        <v>1690</v>
      </c>
      <c r="AC125" s="184">
        <f>MROUND((AC85*'T16'!$D$5)*0.844,5)</f>
        <v>95</v>
      </c>
      <c r="AD125" s="184">
        <f>MROUND((AD85*'T16'!$D$3)*0.844,5)</f>
        <v>125</v>
      </c>
      <c r="AE125" s="184">
        <f>MROUND((AE85*'T16'!$D$10)*0.844,5)</f>
        <v>1025</v>
      </c>
      <c r="AF125" s="184">
        <f>MROUND((AF85*'T16'!$D$11)*0.844,5)</f>
        <v>830</v>
      </c>
      <c r="AG125" s="184">
        <f>MROUND((AG85*'T16'!$D$6)*0.844,1)</f>
        <v>4</v>
      </c>
      <c r="AH125" s="184">
        <f>MROUND((AH85*'T16'!$D$6)*0.844,1)</f>
        <v>12370</v>
      </c>
      <c r="AI125" s="184">
        <f>MROUND((AI85*'T16'!$D$7)*0.844,5)</f>
        <v>20</v>
      </c>
      <c r="AJ125" s="184">
        <f>MROUND((AJ85*'T16'!$D$6)*0.844,5)</f>
        <v>10</v>
      </c>
      <c r="AK125" s="184">
        <f>MROUND((AK85*'T16'!$D$4)*0.844,5)</f>
        <v>2595</v>
      </c>
      <c r="AL125" s="184">
        <f>MROUND((AL85*'T16'!$D$10)*0.844,5)</f>
        <v>830</v>
      </c>
      <c r="AM125" s="184">
        <f>MROUND((AM85*'T16'!$D$12)*0.844,5)</f>
        <v>1280</v>
      </c>
      <c r="AN125" s="184">
        <f t="shared" si="159"/>
        <v>29146</v>
      </c>
    </row>
    <row r="126" spans="1:40">
      <c r="A126" s="184">
        <v>2035</v>
      </c>
      <c r="B126" s="184"/>
      <c r="C126" s="184"/>
      <c r="D126" s="184"/>
      <c r="E126" s="184"/>
      <c r="F126" s="184"/>
      <c r="G126" s="184"/>
      <c r="H126" s="184"/>
      <c r="I126" s="185"/>
      <c r="J126" s="184">
        <f>MROUND((J86*(1+J$38))*'T16'!$D$3,1)</f>
        <v>4</v>
      </c>
      <c r="K126" s="184">
        <f>MROUND((K86*'T16'!$E$5)*'Source-fte_qualstus_x_servtype'!J41,5)</f>
        <v>9135</v>
      </c>
      <c r="L126" s="184">
        <f>MROUND((L86*'T16'!$D$7)*'Source-fte_qualstus_x_servtype'!J41,5)</f>
        <v>330</v>
      </c>
      <c r="M126" s="184">
        <f>MROUND((M86*'T16'!$D$5)*'Source-fte_qualstus_x_servtype'!J41,5)</f>
        <v>25</v>
      </c>
      <c r="N126" s="184">
        <f>MROUND((N86*'T16'!$E$3)*'Source-fte_qualstus_x_servtype'!J41,5)</f>
        <v>1275</v>
      </c>
      <c r="O126" s="184">
        <f>MROUND((O86*'T16'!$D$10)*'Source-fte_qualstus_x_servtype'!J41,5)</f>
        <v>385</v>
      </c>
      <c r="P126" s="184">
        <f>MROUND((P86*'T16'!$D$11)*'Source-fte_qualstus_x_servtype'!J41,5)</f>
        <v>575</v>
      </c>
      <c r="Q126" s="184">
        <f>MROUND((Q86*'T16'!$D$6)*'Source-fte_qualstus_x_servtype'!J41,1)</f>
        <v>6</v>
      </c>
      <c r="R126" s="184">
        <f>MROUND((R86*'T16'!$E$6)*'Source-fte_qualstus_x_servtype'!J41,5)</f>
        <v>23755</v>
      </c>
      <c r="S126" s="184">
        <f>MROUND((S86*'T16'!$D$7)*'Source-fte_qualstus_x_servtype'!J41,5)</f>
        <v>1285</v>
      </c>
      <c r="T126" s="184">
        <f>MROUND((T86*'T16'!$D$9)*'Source-fte_qualstus_x_servtype'!J41,5)</f>
        <v>100</v>
      </c>
      <c r="U126" s="184">
        <f>MROUND((U86*'T16'!$E$4)*'Source-fte_qualstus_x_servtype'!J41,5)</f>
        <v>3510</v>
      </c>
      <c r="V126" s="184">
        <f>MROUND((V86*'T16'!$D$10)*'Source-fte_qualstus_x_servtype'!J41,5)</f>
        <v>1505</v>
      </c>
      <c r="W126" s="184">
        <f>MROUND((W86*'T16'!$D$11)*'Source-fte_qualstus_x_servtype'!J41,5)</f>
        <v>2240</v>
      </c>
      <c r="X126" s="184">
        <f t="shared" si="158"/>
        <v>37245</v>
      </c>
      <c r="Y126" s="185"/>
      <c r="Z126" s="184">
        <f>MROUND((Z86*'T16'!$D$3)*0.844,1)</f>
        <v>7</v>
      </c>
      <c r="AA126" s="184">
        <f>MROUND((AA86*'T16'!$D$3)*0.844,1)</f>
        <v>8511</v>
      </c>
      <c r="AB126" s="184">
        <f>MROUND((AB86*'T16'!$D$7)*0.844,5)</f>
        <v>1575</v>
      </c>
      <c r="AC126" s="184">
        <f>MROUND((AC86*'T16'!$D$5)*0.844,5)</f>
        <v>100</v>
      </c>
      <c r="AD126" s="184">
        <f>MROUND((AD86*'T16'!$D$3)*0.844,5)</f>
        <v>125</v>
      </c>
      <c r="AE126" s="184">
        <f>MROUND((AE86*'T16'!$D$10)*0.844,5)</f>
        <v>1030</v>
      </c>
      <c r="AF126" s="184">
        <f>MROUND((AF86*'T16'!$D$11)*0.844,5)</f>
        <v>840</v>
      </c>
      <c r="AG126" s="184">
        <f>MROUND((AG86*'T16'!$D$6)*0.844,1)</f>
        <v>4</v>
      </c>
      <c r="AH126" s="184">
        <f>MROUND((AH86*'T16'!$D$6)*0.844,1)</f>
        <v>12739</v>
      </c>
      <c r="AI126" s="184">
        <f>MROUND((AI86*'T16'!$D$7)*0.844,5)</f>
        <v>20</v>
      </c>
      <c r="AJ126" s="184">
        <f>MROUND((AJ86*'T16'!$D$6)*0.844,5)</f>
        <v>15</v>
      </c>
      <c r="AK126" s="184">
        <f>MROUND((AK86*'T16'!$D$4)*0.844,5)</f>
        <v>2640</v>
      </c>
      <c r="AL126" s="184">
        <f>MROUND((AL86*'T16'!$D$10)*0.844,5)</f>
        <v>835</v>
      </c>
      <c r="AM126" s="184">
        <f>MROUND((AM86*'T16'!$D$12)*0.844,5)</f>
        <v>1290</v>
      </c>
      <c r="AN126" s="184">
        <f t="shared" si="159"/>
        <v>29731</v>
      </c>
    </row>
    <row r="128" spans="1:40">
      <c r="A128" s="6" t="s">
        <v>432</v>
      </c>
      <c r="B128" s="184"/>
      <c r="C128" s="184"/>
      <c r="D128" s="184"/>
      <c r="E128" s="184"/>
      <c r="F128" s="184"/>
      <c r="G128" s="184"/>
      <c r="H128" s="184"/>
      <c r="I128" s="185"/>
      <c r="J128" s="184"/>
      <c r="K128" s="184"/>
      <c r="L128" s="184"/>
      <c r="M128" s="184"/>
      <c r="N128" s="184"/>
      <c r="O128" s="184"/>
      <c r="P128" s="184"/>
      <c r="Q128" s="184"/>
      <c r="R128" s="184"/>
      <c r="S128" s="184"/>
      <c r="T128" s="184"/>
      <c r="U128" s="184"/>
      <c r="V128" s="184"/>
      <c r="W128" s="184"/>
      <c r="X128" s="184"/>
      <c r="Y128" s="185"/>
      <c r="Z128" s="184"/>
      <c r="AA128" s="184"/>
      <c r="AB128" s="184"/>
      <c r="AC128" s="184"/>
      <c r="AD128" s="184"/>
      <c r="AE128" s="184"/>
      <c r="AF128" s="184"/>
      <c r="AG128" s="184"/>
      <c r="AH128" s="184"/>
      <c r="AI128" s="184"/>
      <c r="AJ128" s="184"/>
      <c r="AK128" s="184"/>
      <c r="AL128" s="184"/>
      <c r="AM128" s="184"/>
      <c r="AN128" s="184"/>
    </row>
    <row r="129" spans="1:40">
      <c r="A129" s="184"/>
      <c r="B129" s="184"/>
      <c r="C129" s="184"/>
      <c r="D129" s="184"/>
      <c r="E129" s="184"/>
      <c r="F129" s="184"/>
      <c r="G129" s="184"/>
      <c r="H129" s="184"/>
      <c r="I129" s="185"/>
      <c r="J129" s="175" t="s">
        <v>433</v>
      </c>
      <c r="K129" s="175"/>
      <c r="L129" s="175"/>
      <c r="M129" s="175"/>
      <c r="N129" s="175"/>
      <c r="O129" s="175"/>
      <c r="P129" s="175"/>
      <c r="Q129" s="175"/>
      <c r="R129" s="175"/>
      <c r="S129" s="175"/>
      <c r="T129" s="175"/>
      <c r="U129" s="175"/>
      <c r="V129" s="175"/>
      <c r="W129" s="175"/>
      <c r="X129" s="184"/>
      <c r="Y129" s="185"/>
      <c r="Z129" s="175" t="s">
        <v>430</v>
      </c>
      <c r="AA129" s="175"/>
      <c r="AB129" s="175"/>
      <c r="AC129" s="175"/>
      <c r="AD129" s="175"/>
      <c r="AE129" s="175"/>
      <c r="AF129" s="175"/>
      <c r="AG129" s="175"/>
      <c r="AH129" s="175"/>
      <c r="AI129" s="175"/>
      <c r="AJ129" s="175"/>
      <c r="AK129" s="175"/>
      <c r="AL129" s="175"/>
      <c r="AM129" s="175"/>
      <c r="AN129" s="184"/>
    </row>
    <row r="130" spans="1:40">
      <c r="A130" s="184">
        <v>2015</v>
      </c>
      <c r="B130" s="184"/>
      <c r="C130" s="184"/>
      <c r="D130" s="184"/>
      <c r="E130" s="184"/>
      <c r="F130" s="184"/>
      <c r="G130" s="184"/>
      <c r="H130" s="184"/>
      <c r="I130" s="185"/>
      <c r="J130" s="184">
        <f>MROUND((J4*'T16'!D$5)*0.825,5)</f>
        <v>10</v>
      </c>
      <c r="K130" s="184">
        <f>MROUND((K4*'T16'!$E$5)*0.825,5)</f>
        <v>4805</v>
      </c>
      <c r="L130" s="184">
        <f>MROUND((L4*'T16'!$D$7)*0.825,5)</f>
        <v>1315</v>
      </c>
      <c r="M130" s="184">
        <f>MROUND((M4*'T16'!$D$9)*0.825,5)</f>
        <v>10</v>
      </c>
      <c r="N130" s="184">
        <f>MROUND((N4*'T16'!$E$3)*0.825,5)</f>
        <v>935</v>
      </c>
      <c r="O130" s="184">
        <f>MROUND((O4*'T16'!$D$10)*0.825,5)</f>
        <v>380</v>
      </c>
      <c r="P130" s="184">
        <f>MROUND((P4*'T16'!$D$11)*0.825,5)</f>
        <v>525</v>
      </c>
      <c r="Q130" s="184">
        <f>MROUND((Q4*'T16'!$D$6)*0.825,5)</f>
        <v>20</v>
      </c>
      <c r="R130" s="184">
        <f>MROUND((R4*'T16'!$E$6)*0.825,5)</f>
        <v>12490</v>
      </c>
      <c r="S130" s="184">
        <f>MROUND((S4*'T16'!$D$7)*0.825,5)</f>
        <v>5140</v>
      </c>
      <c r="T130" s="184">
        <f>MROUND((T4*'T16'!$D$5)*0.825,5)</f>
        <v>40</v>
      </c>
      <c r="U130" s="184">
        <f>MROUND((U4*'T16'!$E$4)*0.825,5)</f>
        <v>2575</v>
      </c>
      <c r="V130" s="184">
        <f>MROUND((V4*'T16'!$D$10)*0.825,5)</f>
        <v>1490</v>
      </c>
      <c r="W130" s="184">
        <f>MROUND((W4*'T16'!$D$11)*0.825,5)</f>
        <v>2055</v>
      </c>
      <c r="X130" s="184">
        <f>MROUND(SUM(J130:W130),5)</f>
        <v>31790</v>
      </c>
      <c r="Y130" s="185"/>
      <c r="Z130" s="184">
        <f>MROUND(Z4*'T16'!$D$5,5)</f>
        <v>30</v>
      </c>
      <c r="AA130" s="184">
        <f>MROUND(AA4*'T16'!$D$3,5)</f>
        <v>5695</v>
      </c>
      <c r="AB130" s="184">
        <f>MROUND(AB4*'T16'!$D$7,5)</f>
        <v>8015</v>
      </c>
      <c r="AC130" s="184">
        <f>MROUND(AC4*'T16'!$D$5,5)</f>
        <v>50</v>
      </c>
      <c r="AD130" s="184">
        <f>MROUND(AD4*'T16'!$D$3,5)</f>
        <v>115</v>
      </c>
      <c r="AE130" s="184">
        <f>MROUND(AE4*'T16'!$D$10,5)</f>
        <v>1300</v>
      </c>
      <c r="AF130" s="184">
        <f>MROUND(AF4*'T16'!$D$11,5)</f>
        <v>980</v>
      </c>
      <c r="AG130" s="184">
        <f>MROUND(AG4*'T16'!$D$6,5)</f>
        <v>15</v>
      </c>
      <c r="AH130" s="184">
        <f>MROUND(AH4*'T16'!$D$6,5)</f>
        <v>8520</v>
      </c>
      <c r="AI130" s="184">
        <f>MROUND(AI4*'T16'!$D$7,5)</f>
        <v>95</v>
      </c>
      <c r="AJ130" s="184">
        <f>MROUND(AJ4*'T16'!$D$5,5)</f>
        <v>15</v>
      </c>
      <c r="AK130" s="184">
        <f>MROUND(AK4*'T16'!$D$4,5)</f>
        <v>2465</v>
      </c>
      <c r="AL130" s="184">
        <f>MROUND(AL4*'T16'!$D$10,5)</f>
        <v>1050</v>
      </c>
      <c r="AM130" s="184">
        <f>MROUND(AM4*'T16'!$D$12,5)</f>
        <v>1505</v>
      </c>
      <c r="AN130" s="184">
        <f t="shared" ref="AN130:AN140" si="160">SUM(Z130:AM130)</f>
        <v>29850</v>
      </c>
    </row>
    <row r="131" spans="1:40">
      <c r="A131" s="184">
        <v>2016</v>
      </c>
      <c r="B131" s="184"/>
      <c r="C131" s="184"/>
      <c r="D131" s="184"/>
      <c r="E131" s="184"/>
      <c r="F131" s="184"/>
      <c r="G131" s="184"/>
      <c r="H131" s="184"/>
      <c r="I131" s="185"/>
      <c r="J131" s="184">
        <f>MROUND((J5*'T16'!D$5)*0.825,5)</f>
        <v>10</v>
      </c>
      <c r="K131" s="184">
        <f>MROUND((K5*'T16'!$E$5)*0.825,5)</f>
        <v>5060</v>
      </c>
      <c r="L131" s="184">
        <f>MROUND((L5*'T16'!$D$7)*0.825,5)</f>
        <v>1375</v>
      </c>
      <c r="M131" s="184">
        <f>MROUND((M5*'T16'!$D$9)*0.825,5)</f>
        <v>10</v>
      </c>
      <c r="N131" s="184">
        <f>MROUND((N5*'T16'!$E$3)*0.825,5)</f>
        <v>945</v>
      </c>
      <c r="O131" s="184">
        <f>MROUND((O5*'T16'!$D$10)*0.825,5)</f>
        <v>375</v>
      </c>
      <c r="P131" s="184">
        <f>MROUND((P5*'T16'!$D$11)*0.825,5)</f>
        <v>530</v>
      </c>
      <c r="Q131" s="184">
        <f>MROUND((Q5*'T16'!$D$6)*0.825,5)</f>
        <v>20</v>
      </c>
      <c r="R131" s="184">
        <f>MROUND((R5*'T16'!$E$6)*0.825,5)</f>
        <v>13150</v>
      </c>
      <c r="S131" s="184">
        <f>MROUND((S5*'T16'!$D$7)*0.825,5)</f>
        <v>5380</v>
      </c>
      <c r="T131" s="184">
        <f>MROUND((T5*'T16'!$D$5)*0.825,5)</f>
        <v>40</v>
      </c>
      <c r="U131" s="184">
        <f>MROUND((U5*'T16'!$E$4)*0.825,5)</f>
        <v>2595</v>
      </c>
      <c r="V131" s="184">
        <f>MROUND((V5*'T16'!$D$10)*0.825,5)</f>
        <v>1475</v>
      </c>
      <c r="W131" s="184">
        <f>MROUND((W5*'T16'!$D$11)*0.825,5)</f>
        <v>2065</v>
      </c>
      <c r="X131" s="184">
        <f t="shared" ref="X131:X140" si="161">MROUND(SUM(J131:W131),5)</f>
        <v>33030</v>
      </c>
      <c r="Y131" s="185"/>
      <c r="Z131" s="184">
        <f>MROUND((Z5*'T16'!$D$5),5)</f>
        <v>30</v>
      </c>
      <c r="AA131" s="184">
        <f>MROUND(AA5*'T16'!$D$3,5)</f>
        <v>5995</v>
      </c>
      <c r="AB131" s="184">
        <f>MROUND(AB5*'T16'!$D$7,5)</f>
        <v>8385</v>
      </c>
      <c r="AC131" s="184">
        <f>MROUND((AC5*'T16'!$D$5),5)</f>
        <v>55</v>
      </c>
      <c r="AD131" s="184">
        <f>MROUND(AD5*'T16'!$D$3,5)</f>
        <v>120</v>
      </c>
      <c r="AE131" s="184">
        <f>MROUND(AE5*'T16'!$D$10,5)</f>
        <v>1285</v>
      </c>
      <c r="AF131" s="184">
        <f>MROUND(AF5*'T16'!$D$11,5)</f>
        <v>985</v>
      </c>
      <c r="AG131" s="184">
        <f>MROUND(AG5*'T16'!$D$6,5)</f>
        <v>15</v>
      </c>
      <c r="AH131" s="184">
        <f>MROUND(AH5*'T16'!$D$6,5)</f>
        <v>8970</v>
      </c>
      <c r="AI131" s="184">
        <f>MROUND(AI5*'T16'!$D$7,5)</f>
        <v>100</v>
      </c>
      <c r="AJ131" s="184">
        <f>MROUND((AJ5*'T16'!$D$5),5)</f>
        <v>15</v>
      </c>
      <c r="AK131" s="184">
        <f>MROUND(AK5*'T16'!$D$4,5)</f>
        <v>2485</v>
      </c>
      <c r="AL131" s="184">
        <f>MROUND(AL5*'T16'!$D$10,5)</f>
        <v>1040</v>
      </c>
      <c r="AM131" s="184">
        <f>MROUND(AM5*'T16'!$D$12,5)</f>
        <v>1515</v>
      </c>
      <c r="AN131" s="184">
        <f t="shared" si="160"/>
        <v>30995</v>
      </c>
    </row>
    <row r="132" spans="1:40">
      <c r="A132" s="184">
        <v>2017</v>
      </c>
      <c r="B132" s="184"/>
      <c r="C132" s="184"/>
      <c r="D132" s="184"/>
      <c r="E132" s="184"/>
      <c r="F132" s="184"/>
      <c r="G132" s="184"/>
      <c r="H132" s="184"/>
      <c r="I132" s="185"/>
      <c r="J132" s="184">
        <f>MROUND((J6*'T16'!D$5)*0.825,5)</f>
        <v>10</v>
      </c>
      <c r="K132" s="184">
        <f>MROUND((K6*'T16'!$E$5)*0.825,5)</f>
        <v>5330</v>
      </c>
      <c r="L132" s="184">
        <f>MROUND((L6*'T16'!$D$7)*0.825,5)</f>
        <v>1295</v>
      </c>
      <c r="M132" s="184">
        <f>MROUND((M6*'T16'!$D$9)*0.825,5)</f>
        <v>15</v>
      </c>
      <c r="N132" s="184">
        <f>MROUND((N6*'T16'!$E$3)*0.825,5)</f>
        <v>950</v>
      </c>
      <c r="O132" s="184">
        <f>MROUND((O6*'T16'!$D$10)*0.825,5)</f>
        <v>370</v>
      </c>
      <c r="P132" s="184">
        <f>MROUND((P6*'T16'!$D$11)*0.825,5)</f>
        <v>520</v>
      </c>
      <c r="Q132" s="184">
        <f>MROUND((Q6*'T16'!$D$6)*0.825,5)</f>
        <v>20</v>
      </c>
      <c r="R132" s="184">
        <f>MROUND((R6*'T16'!$E$6)*0.825,5)</f>
        <v>13855</v>
      </c>
      <c r="S132" s="184">
        <f>MROUND((S6*'T16'!$D$7)*0.825,5)</f>
        <v>5050</v>
      </c>
      <c r="T132" s="184">
        <f>MROUND((T6*'T16'!$D$5)*0.825,5)</f>
        <v>50</v>
      </c>
      <c r="U132" s="184">
        <f>MROUND((U6*'T16'!$E$4)*0.825,5)</f>
        <v>2620</v>
      </c>
      <c r="V132" s="184">
        <f>MROUND((V6*'T16'!$D$10)*0.825,5)</f>
        <v>1440</v>
      </c>
      <c r="W132" s="184">
        <f>MROUND((W6*'T16'!$D$11)*0.825,5)</f>
        <v>2025</v>
      </c>
      <c r="X132" s="184">
        <f t="shared" si="161"/>
        <v>33550</v>
      </c>
      <c r="Y132" s="185"/>
      <c r="Z132" s="184">
        <f>MROUND((Z6*'T16'!$D$5),5)</f>
        <v>30</v>
      </c>
      <c r="AA132" s="184">
        <f>MROUND(AA6*'T16'!$D$3,5)</f>
        <v>6315</v>
      </c>
      <c r="AB132" s="184">
        <f>MROUND(AB6*'T16'!$D$7,5)</f>
        <v>7880</v>
      </c>
      <c r="AC132" s="184">
        <f>MROUND((AC6*'T16'!$D$5),5)</f>
        <v>60</v>
      </c>
      <c r="AD132" s="184">
        <f>MROUND(AD6*'T16'!$D$3,5)</f>
        <v>120</v>
      </c>
      <c r="AE132" s="184">
        <f>MROUND(AE6*'T16'!$D$10,5)</f>
        <v>1255</v>
      </c>
      <c r="AF132" s="184">
        <f>MROUND(AF6*'T16'!$D$11,5)</f>
        <v>965</v>
      </c>
      <c r="AG132" s="184">
        <f>MROUND(AG6*'T16'!$D$6,5)</f>
        <v>15</v>
      </c>
      <c r="AH132" s="184">
        <f>MROUND(AH6*'T16'!$D$6,5)</f>
        <v>9455</v>
      </c>
      <c r="AI132" s="184">
        <f>MROUND(AI6*'T16'!$D$7,5)</f>
        <v>90</v>
      </c>
      <c r="AJ132" s="184">
        <f>MROUND((AJ6*'T16'!$D$5),5)</f>
        <v>15</v>
      </c>
      <c r="AK132" s="184">
        <f>MROUND(AK6*'T16'!$D$4,5)</f>
        <v>2505</v>
      </c>
      <c r="AL132" s="184">
        <f>MROUND(AL6*'T16'!$D$10,5)</f>
        <v>1015</v>
      </c>
      <c r="AM132" s="184">
        <f>MROUND(AM6*'T16'!$D$12,5)</f>
        <v>1485</v>
      </c>
      <c r="AN132" s="184">
        <f t="shared" si="160"/>
        <v>31205</v>
      </c>
    </row>
    <row r="133" spans="1:40">
      <c r="A133" s="184">
        <v>2018</v>
      </c>
      <c r="B133" s="184"/>
      <c r="C133" s="184"/>
      <c r="D133" s="184"/>
      <c r="E133" s="184"/>
      <c r="F133" s="184"/>
      <c r="G133" s="184"/>
      <c r="H133" s="184"/>
      <c r="I133" s="185"/>
      <c r="J133" s="184">
        <f>MROUND((J7*'T16'!D$5)*0.825,5)</f>
        <v>10</v>
      </c>
      <c r="K133" s="184">
        <f>MROUND((K7*'T16'!$E$5)*0.825,5)</f>
        <v>5595</v>
      </c>
      <c r="L133" s="184">
        <f>MROUND((L7*'T16'!$D$7)*0.825,5)</f>
        <v>1285</v>
      </c>
      <c r="M133" s="184">
        <f>MROUND((M7*'T16'!$D$9)*0.825,5)</f>
        <v>15</v>
      </c>
      <c r="N133" s="184">
        <f>MROUND((N7*'T16'!$E$3)*0.825,5)</f>
        <v>960</v>
      </c>
      <c r="O133" s="184">
        <f>MROUND((O7*'T16'!$D$10)*0.825,5)</f>
        <v>360</v>
      </c>
      <c r="P133" s="184">
        <f>MROUND((P7*'T16'!$D$11)*0.825,5)</f>
        <v>515</v>
      </c>
      <c r="Q133" s="184">
        <f>MROUND((Q7*'T16'!$D$6)*0.825,5)</f>
        <v>20</v>
      </c>
      <c r="R133" s="184">
        <f>MROUND((R7*'T16'!$E$6)*0.825,5)</f>
        <v>14550</v>
      </c>
      <c r="S133" s="184">
        <f>MROUND((S7*'T16'!$D$7)*0.825,5)</f>
        <v>5020</v>
      </c>
      <c r="T133" s="184">
        <f>MROUND((T7*'T16'!$D$5)*0.825,5)</f>
        <v>50</v>
      </c>
      <c r="U133" s="184">
        <f>MROUND((U7*'T16'!$E$4)*0.825,5)</f>
        <v>2640</v>
      </c>
      <c r="V133" s="184">
        <f>MROUND((V7*'T16'!$D$10)*0.825,5)</f>
        <v>1410</v>
      </c>
      <c r="W133" s="184">
        <f>MROUND((W7*'T16'!$D$11)*0.825,5)</f>
        <v>2015</v>
      </c>
      <c r="X133" s="184">
        <f t="shared" si="161"/>
        <v>34445</v>
      </c>
      <c r="Y133" s="185"/>
      <c r="Z133" s="184">
        <f>MROUND((Z7*'T16'!$D$5),5)</f>
        <v>30</v>
      </c>
      <c r="AA133" s="184">
        <f>MROUND(AA7*'T16'!$D$3,5)</f>
        <v>6630</v>
      </c>
      <c r="AB133" s="184">
        <f>MROUND(AB7*'T16'!$D$7,5)</f>
        <v>7825</v>
      </c>
      <c r="AC133" s="184">
        <f>MROUND((AC7*'T16'!$D$5),5)</f>
        <v>60</v>
      </c>
      <c r="AD133" s="184">
        <f>MROUND(AD7*'T16'!$D$3,5)</f>
        <v>120</v>
      </c>
      <c r="AE133" s="184">
        <f>MROUND(AE7*'T16'!$D$10,5)</f>
        <v>1230</v>
      </c>
      <c r="AF133" s="184">
        <f>MROUND(AF7*'T16'!$D$11,5)</f>
        <v>960</v>
      </c>
      <c r="AG133" s="184">
        <f>MROUND(AG7*'T16'!$D$6,5)</f>
        <v>15</v>
      </c>
      <c r="AH133" s="184">
        <f>MROUND(AH7*'T16'!$D$6,5)</f>
        <v>9925</v>
      </c>
      <c r="AI133" s="184">
        <f>MROUND(AI7*'T16'!$D$7,5)</f>
        <v>90</v>
      </c>
      <c r="AJ133" s="184">
        <f>MROUND((AJ7*'T16'!$D$5),5)</f>
        <v>15</v>
      </c>
      <c r="AK133" s="184">
        <f>MROUND(AK7*'T16'!$D$4,5)</f>
        <v>2525</v>
      </c>
      <c r="AL133" s="184">
        <f>MROUND(AL7*'T16'!$D$10,5)</f>
        <v>995</v>
      </c>
      <c r="AM133" s="184">
        <f>MROUND(AM7*'T16'!$D$12,5)</f>
        <v>1475</v>
      </c>
      <c r="AN133" s="184">
        <f t="shared" si="160"/>
        <v>31895</v>
      </c>
    </row>
    <row r="134" spans="1:40">
      <c r="A134" s="184">
        <v>2019</v>
      </c>
      <c r="B134" s="184"/>
      <c r="C134" s="184"/>
      <c r="D134" s="184"/>
      <c r="E134" s="184"/>
      <c r="F134" s="184"/>
      <c r="G134" s="184"/>
      <c r="H134" s="184"/>
      <c r="I134" s="185"/>
      <c r="J134" s="184">
        <f>MROUND((J8*'T16'!$D$5)*0.829,5)</f>
        <v>10</v>
      </c>
      <c r="K134" s="184">
        <f>MROUND((K8*'T16'!$E$5)*0.829,5)</f>
        <v>5915</v>
      </c>
      <c r="L134" s="184">
        <f>MROUND((L8*'T16'!$D$7)*0.829,5)</f>
        <v>1260</v>
      </c>
      <c r="M134" s="184">
        <f>MROUND((M8*'T16'!$D$9)*0.829,5)</f>
        <v>15</v>
      </c>
      <c r="N134" s="184">
        <f>MROUND((N8*'T16'!$E$3)*0.829,5)</f>
        <v>960</v>
      </c>
      <c r="O134" s="184">
        <f>MROUND((O8*'T16'!$D$10)*0.829,5)</f>
        <v>360</v>
      </c>
      <c r="P134" s="184">
        <f>MROUND((P8*'T16'!$D$11)*0.829,5)</f>
        <v>520</v>
      </c>
      <c r="Q134" s="184">
        <f>MROUND((Q8*'T16'!$D$6)*0.829,5)</f>
        <v>20</v>
      </c>
      <c r="R134" s="184">
        <f>MROUND((R8*'T16'!$E$6)*0.829,5)</f>
        <v>15375</v>
      </c>
      <c r="S134" s="184">
        <f>MROUND((S8*'T16'!$D$7)*0.829,5)</f>
        <v>4920</v>
      </c>
      <c r="T134" s="184">
        <f>MROUND((T8*'T16'!$D$5)*0.829,5)</f>
        <v>60</v>
      </c>
      <c r="U134" s="184">
        <f>MROUND((U8*'T16'!$E$4)*0.829,5)</f>
        <v>2650</v>
      </c>
      <c r="V134" s="184">
        <f>MROUND((V8*'T16'!$D$10)*0.829,5)</f>
        <v>1405</v>
      </c>
      <c r="W134" s="184">
        <f>MROUND((W8*'T16'!$D$11)*0.829,5)</f>
        <v>2035</v>
      </c>
      <c r="X134" s="184">
        <f t="shared" si="161"/>
        <v>35505</v>
      </c>
      <c r="Y134" s="185"/>
      <c r="Z134" s="184">
        <f>MROUND((Z8*'T16'!$D$5),5)</f>
        <v>30</v>
      </c>
      <c r="AA134" s="184">
        <f>MROUND(AA8*'T16'!$D$3,5)</f>
        <v>6975</v>
      </c>
      <c r="AB134" s="184">
        <f>MROUND(AB8*'T16'!$D$7,5)</f>
        <v>7630</v>
      </c>
      <c r="AC134" s="184">
        <f>MROUND((AC8*'T16'!$D$5),5)</f>
        <v>75</v>
      </c>
      <c r="AD134" s="184">
        <f>MROUND(AD8*'T16'!$D$3,5)</f>
        <v>120</v>
      </c>
      <c r="AE134" s="184">
        <f>MROUND(AE8*'T16'!$D$10,5)</f>
        <v>1220</v>
      </c>
      <c r="AF134" s="184">
        <f>MROUND(AF8*'T16'!$D$11,5)</f>
        <v>965</v>
      </c>
      <c r="AG134" s="184">
        <f>MROUND(AG8*'T16'!$D$6,5)</f>
        <v>15</v>
      </c>
      <c r="AH134" s="184">
        <f>MROUND(AH8*'T16'!$D$6,5)</f>
        <v>10435</v>
      </c>
      <c r="AI134" s="184">
        <f>MROUND(AI8*'T16'!$D$7,5)</f>
        <v>90</v>
      </c>
      <c r="AJ134" s="184">
        <f>MROUND((AJ8*'T16'!$D$5),5)</f>
        <v>20</v>
      </c>
      <c r="AK134" s="184">
        <f>MROUND(AK8*'T16'!$D$4,5)</f>
        <v>2520</v>
      </c>
      <c r="AL134" s="184">
        <f>MROUND(AL8*'T16'!$D$10,5)</f>
        <v>985</v>
      </c>
      <c r="AM134" s="184">
        <f>MROUND(AM8*'T16'!$D$12,5)</f>
        <v>1485</v>
      </c>
      <c r="AN134" s="184">
        <f t="shared" si="160"/>
        <v>32565</v>
      </c>
    </row>
    <row r="135" spans="1:40">
      <c r="A135" s="184">
        <v>2020</v>
      </c>
      <c r="B135" s="184"/>
      <c r="C135" s="184"/>
      <c r="D135" s="184"/>
      <c r="E135" s="184"/>
      <c r="F135" s="184"/>
      <c r="G135" s="184"/>
      <c r="H135" s="184"/>
      <c r="I135" s="185"/>
      <c r="J135" s="184">
        <f>MROUND((J9*'T16'!$D$5)*0.833,5)</f>
        <v>10</v>
      </c>
      <c r="K135" s="184">
        <f>MROUND((K9*'T16'!$E$5)*0.833,5)</f>
        <v>6120</v>
      </c>
      <c r="L135" s="184">
        <f>MROUND((L9*'T16'!$D$7)*0.833,5)</f>
        <v>1175</v>
      </c>
      <c r="M135" s="184">
        <f>MROUND((M9*'T16'!$D$9)*0.833,5)</f>
        <v>15</v>
      </c>
      <c r="N135" s="184">
        <f>MROUND((N9*'T16'!$E$3)*0.833,5)</f>
        <v>970</v>
      </c>
      <c r="O135" s="184">
        <f>MROUND((O9*'T16'!$D$10)*0.833,5)</f>
        <v>365</v>
      </c>
      <c r="P135" s="184">
        <f>MROUND((P9*'T16'!$D$11)*0.833,5)</f>
        <v>525</v>
      </c>
      <c r="Q135" s="184">
        <f>MROUND((Q9*'T16'!$D$6)*0.833,5)</f>
        <v>15</v>
      </c>
      <c r="R135" s="184">
        <f>MROUND((R9*'T16'!$E$6)*0.833,5)</f>
        <v>15910</v>
      </c>
      <c r="S135" s="184">
        <f>MROUND((S9*'T16'!$D$7)*0.833,5)</f>
        <v>4595</v>
      </c>
      <c r="T135" s="184">
        <f>MROUND((T9*'T16'!$D$5)*0.833,5)</f>
        <v>60</v>
      </c>
      <c r="U135" s="184">
        <f>MROUND((U9*'T16'!$E$4)*0.833,5)</f>
        <v>2665</v>
      </c>
      <c r="V135" s="184">
        <f>MROUND((V9*'T16'!$D$10)*0.833,5)</f>
        <v>1420</v>
      </c>
      <c r="W135" s="184">
        <f>MROUND((W9*'T16'!$D$11)*0.833,5)</f>
        <v>2055</v>
      </c>
      <c r="X135" s="184">
        <f t="shared" si="161"/>
        <v>35900</v>
      </c>
      <c r="Y135" s="185"/>
      <c r="Z135" s="184">
        <f>MROUND((Z9*'T16'!$D$5),5)</f>
        <v>25</v>
      </c>
      <c r="AA135" s="184">
        <f>MROUND(AA9*'T16'!$D$3,5)</f>
        <v>7180</v>
      </c>
      <c r="AB135" s="184">
        <f>MROUND(AB9*'T16'!$D$7,5)</f>
        <v>7095</v>
      </c>
      <c r="AC135" s="184">
        <f>MROUND((AC9*'T16'!$D$5),5)</f>
        <v>75</v>
      </c>
      <c r="AD135" s="184">
        <f>MROUND(AD9*'T16'!$D$3,5)</f>
        <v>120</v>
      </c>
      <c r="AE135" s="184">
        <f>MROUND(AE9*'T16'!$D$10,5)</f>
        <v>1225</v>
      </c>
      <c r="AF135" s="184">
        <f>MROUND(AF9*'T16'!$D$11,5)</f>
        <v>975</v>
      </c>
      <c r="AG135" s="184">
        <f>MROUND(AG9*'T16'!$D$6,5)</f>
        <v>10</v>
      </c>
      <c r="AH135" s="184">
        <f>MROUND(AH9*'T16'!$D$6,5)</f>
        <v>10750</v>
      </c>
      <c r="AI135" s="184">
        <f>MROUND(AI9*'T16'!$D$7,5)</f>
        <v>85</v>
      </c>
      <c r="AJ135" s="184">
        <f>MROUND((AJ9*'T16'!$D$5),5)</f>
        <v>20</v>
      </c>
      <c r="AK135" s="184">
        <f>MROUND(AK9*'T16'!$D$4,5)</f>
        <v>2525</v>
      </c>
      <c r="AL135" s="184">
        <f>MROUND(AL9*'T16'!$D$10,5)</f>
        <v>990</v>
      </c>
      <c r="AM135" s="184">
        <f>MROUND(AM9*'T16'!$D$12,5)</f>
        <v>1495</v>
      </c>
      <c r="AN135" s="184">
        <f t="shared" si="160"/>
        <v>32570</v>
      </c>
    </row>
    <row r="136" spans="1:40">
      <c r="A136" s="184">
        <v>2021</v>
      </c>
      <c r="B136" s="184"/>
      <c r="C136" s="184"/>
      <c r="D136" s="184"/>
      <c r="E136" s="184"/>
      <c r="F136" s="184"/>
      <c r="G136" s="184"/>
      <c r="H136" s="184"/>
      <c r="I136" s="185"/>
      <c r="J136" s="184">
        <f>MROUND((J10*'T16'!$D$5)*0.836,5)</f>
        <v>5</v>
      </c>
      <c r="K136" s="184">
        <f>MROUND((K10*'T16'!$E$5)*0.836,5)</f>
        <v>6285</v>
      </c>
      <c r="L136" s="184">
        <f>MROUND((L10*'T16'!$D$7)*0.836,5)</f>
        <v>1055</v>
      </c>
      <c r="M136" s="184">
        <f>MROUND((M10*'T16'!$D$9)*0.836,5)</f>
        <v>15</v>
      </c>
      <c r="N136" s="184">
        <f>MROUND((N10*'T16'!$E$3)*0.836,5)</f>
        <v>990</v>
      </c>
      <c r="O136" s="184">
        <f>MROUND((O10*'T16'!$D$10)*0.836,5)</f>
        <v>355</v>
      </c>
      <c r="P136" s="184">
        <f>MROUND((P10*'T16'!$D$11)*0.836,5)</f>
        <v>520</v>
      </c>
      <c r="Q136" s="184">
        <f>MROUND((Q10*'T16'!$D$6)*0.836,5)</f>
        <v>10</v>
      </c>
      <c r="R136" s="184">
        <f>MROUND((R10*'T16'!$E$6)*0.836,5)</f>
        <v>16340</v>
      </c>
      <c r="S136" s="184">
        <f>MROUND((S10*'T16'!$D$7)*0.836,5)</f>
        <v>4120</v>
      </c>
      <c r="T136" s="184">
        <f>MROUND((T10*'T16'!$D$5)*0.836,5)</f>
        <v>55</v>
      </c>
      <c r="U136" s="184">
        <f>MROUND((U10*'T16'!$E$4)*0.836,5)</f>
        <v>2720</v>
      </c>
      <c r="V136" s="184">
        <f>MROUND((V10*'T16'!$D$10)*0.836,5)</f>
        <v>1395</v>
      </c>
      <c r="W136" s="184">
        <f>MROUND((W10*'T16'!$D$11)*0.836,5)</f>
        <v>2040</v>
      </c>
      <c r="X136" s="184">
        <f t="shared" si="161"/>
        <v>35905</v>
      </c>
      <c r="Y136" s="185"/>
      <c r="Z136" s="184">
        <f>MROUND((Z10*'T16'!$D$5),5)</f>
        <v>20</v>
      </c>
      <c r="AA136" s="184">
        <f>MROUND(AA10*'T16'!$D$3,5)</f>
        <v>7350</v>
      </c>
      <c r="AB136" s="184">
        <f>MROUND(AB10*'T16'!$D$7,5)</f>
        <v>6335</v>
      </c>
      <c r="AC136" s="184">
        <f>MROUND((AC10*'T16'!$D$5),5)</f>
        <v>70</v>
      </c>
      <c r="AD136" s="184">
        <f>MROUND(AD10*'T16'!$D$3,5)</f>
        <v>120</v>
      </c>
      <c r="AE136" s="184">
        <f>MROUND(AE10*'T16'!$D$10,5)</f>
        <v>1200</v>
      </c>
      <c r="AF136" s="184">
        <f>MROUND(AF10*'T16'!$D$11,5)</f>
        <v>960</v>
      </c>
      <c r="AG136" s="184">
        <f>MROUND(AG10*'T16'!$D$6,5)</f>
        <v>10</v>
      </c>
      <c r="AH136" s="184">
        <f>MROUND(AH10*'T16'!$D$6,5)</f>
        <v>11000</v>
      </c>
      <c r="AI136" s="184">
        <f>MROUND(AI10*'T16'!$D$7,5)</f>
        <v>75</v>
      </c>
      <c r="AJ136" s="184">
        <f>MROUND((AJ10*'T16'!$D$5),5)</f>
        <v>20</v>
      </c>
      <c r="AK136" s="184">
        <f>MROUND(AK10*'T16'!$D$4,5)</f>
        <v>2570</v>
      </c>
      <c r="AL136" s="184">
        <f>MROUND(AL10*'T16'!$D$10,5)</f>
        <v>970</v>
      </c>
      <c r="AM136" s="184">
        <f>MROUND(AM10*'T16'!$D$12,5)</f>
        <v>1475</v>
      </c>
      <c r="AN136" s="184">
        <f t="shared" si="160"/>
        <v>32175</v>
      </c>
    </row>
    <row r="137" spans="1:40">
      <c r="A137" s="184">
        <v>2022</v>
      </c>
      <c r="B137" s="184"/>
      <c r="C137" s="184"/>
      <c r="D137" s="184"/>
      <c r="E137" s="184"/>
      <c r="F137" s="184"/>
      <c r="G137" s="184"/>
      <c r="H137" s="184"/>
      <c r="I137" s="185"/>
      <c r="J137" s="184">
        <f>MROUND((J11*'T16'!$D$5)*0.84,5)</f>
        <v>5</v>
      </c>
      <c r="K137" s="184">
        <f>MROUND((K11*'T16'!$E$5)*0.84,5)</f>
        <v>6405</v>
      </c>
      <c r="L137" s="184">
        <f>MROUND((L11*'T16'!$D$7)*0.84,5)</f>
        <v>945</v>
      </c>
      <c r="M137" s="184">
        <f>MROUND((M11*'T16'!$D$9)*0.84,5)</f>
        <v>15</v>
      </c>
      <c r="N137" s="184">
        <f>MROUND((N11*'T16'!$E$3)*0.84,5)</f>
        <v>995</v>
      </c>
      <c r="O137" s="184">
        <f>MROUND((O11*'T16'!$D$10)*0.84,5)</f>
        <v>355</v>
      </c>
      <c r="P137" s="184">
        <f>MROUND((P11*'T16'!$D$11)*0.84,5)</f>
        <v>510</v>
      </c>
      <c r="Q137" s="184">
        <f>MROUND((Q11*'T16'!$D$6)*0.84,5)</f>
        <v>15</v>
      </c>
      <c r="R137" s="184">
        <f>MROUND((R11*'T16'!$E$6)*0.84,5)</f>
        <v>16645</v>
      </c>
      <c r="S137" s="184">
        <f>MROUND((S11*'T16'!$D$7)*0.84,5)</f>
        <v>3685</v>
      </c>
      <c r="T137" s="184">
        <f>MROUND((T11*'T16'!$D$5)*0.84,5)</f>
        <v>60</v>
      </c>
      <c r="U137" s="184">
        <f>MROUND((U11*'T16'!$E$4)*0.84,5)</f>
        <v>2740</v>
      </c>
      <c r="V137" s="184">
        <f>MROUND((V11*'T16'!$D$10)*0.84,5)</f>
        <v>1380</v>
      </c>
      <c r="W137" s="184">
        <f>MROUND((W11*'T16'!$D$11)*0.84,5)</f>
        <v>2000</v>
      </c>
      <c r="X137" s="184">
        <f t="shared" si="161"/>
        <v>35755</v>
      </c>
      <c r="Y137" s="185"/>
      <c r="Z137" s="184">
        <f>MROUND((Z11*'T16'!$D$5),5)</f>
        <v>20</v>
      </c>
      <c r="AA137" s="184">
        <f>MROUND(AA11*'T16'!$D$3,5)</f>
        <v>7450</v>
      </c>
      <c r="AB137" s="184">
        <f>MROUND(AB11*'T16'!$D$7,5)</f>
        <v>5645</v>
      </c>
      <c r="AC137" s="184">
        <f>MROUND((AC11*'T16'!$D$5),5)</f>
        <v>75</v>
      </c>
      <c r="AD137" s="184">
        <f>MROUND(AD11*'T16'!$D$3,5)</f>
        <v>120</v>
      </c>
      <c r="AE137" s="184">
        <f>MROUND(AE11*'T16'!$D$10,5)</f>
        <v>1180</v>
      </c>
      <c r="AF137" s="184">
        <f>MROUND(AF11*'T16'!$D$11,5)</f>
        <v>940</v>
      </c>
      <c r="AG137" s="184">
        <f>MROUND(AG11*'T16'!$D$6,5)</f>
        <v>10</v>
      </c>
      <c r="AH137" s="184">
        <f>MROUND(AH11*'T16'!$D$6,5)</f>
        <v>11155</v>
      </c>
      <c r="AI137" s="184">
        <f>MROUND(AI11*'T16'!$D$7,5)</f>
        <v>65</v>
      </c>
      <c r="AJ137" s="184">
        <f>MROUND((AJ11*'T16'!$D$5),5)</f>
        <v>20</v>
      </c>
      <c r="AK137" s="184">
        <f>MROUND(AK11*'T16'!$D$4,5)</f>
        <v>2575</v>
      </c>
      <c r="AL137" s="184">
        <f>MROUND(AL11*'T16'!$D$10,5)</f>
        <v>955</v>
      </c>
      <c r="AM137" s="184">
        <f>MROUND(AM11*'T16'!$D$12,5)</f>
        <v>1440</v>
      </c>
      <c r="AN137" s="184">
        <f t="shared" si="160"/>
        <v>31650</v>
      </c>
    </row>
    <row r="138" spans="1:40">
      <c r="A138" s="184">
        <v>2023</v>
      </c>
      <c r="B138" s="184"/>
      <c r="C138" s="184"/>
      <c r="D138" s="184"/>
      <c r="E138" s="184"/>
      <c r="F138" s="184"/>
      <c r="G138" s="184"/>
      <c r="H138" s="184"/>
      <c r="I138" s="185"/>
      <c r="J138" s="184">
        <f>MROUND((J12*'T16'!$D$5)*0.844,5)</f>
        <v>5</v>
      </c>
      <c r="K138" s="184">
        <f>MROUND((K12*'T16'!$E$5)*0.844,5)</f>
        <v>6425</v>
      </c>
      <c r="L138" s="184">
        <f>MROUND((L12*'T16'!$D$7)*0.844,5)</f>
        <v>720</v>
      </c>
      <c r="M138" s="184">
        <f>MROUND((M12*'T16'!$D$9)*0.844,5)</f>
        <v>15</v>
      </c>
      <c r="N138" s="184">
        <f>MROUND((N12*'T16'!$E$3)*0.844,5)</f>
        <v>1010</v>
      </c>
      <c r="O138" s="184">
        <f>MROUND((O12*'T16'!$D$10)*0.844,5)</f>
        <v>350</v>
      </c>
      <c r="P138" s="184">
        <f>MROUND((P12*'T16'!$D$11)*0.844,5)</f>
        <v>520</v>
      </c>
      <c r="Q138" s="184">
        <f>MROUND((Q12*'T16'!$D$6)*0.844,5)</f>
        <v>10</v>
      </c>
      <c r="R138" s="184">
        <f>MROUND((R12*'T16'!$E$6)*0.844,5)</f>
        <v>16705</v>
      </c>
      <c r="S138" s="184">
        <f>MROUND((S12*'T16'!$D$7)*0.844,5)</f>
        <v>2805</v>
      </c>
      <c r="T138" s="184">
        <f>MROUND((T12*'T16'!$D$5)*0.844,5)</f>
        <v>60</v>
      </c>
      <c r="U138" s="184">
        <f>MROUND((U12*'T16'!$E$4)*0.844,5)</f>
        <v>2785</v>
      </c>
      <c r="V138" s="184">
        <f>MROUND((V12*'T16'!$D$10)*0.844,5)</f>
        <v>1375</v>
      </c>
      <c r="W138" s="184">
        <f>MROUND((W12*'T16'!$D$11)*0.844,5)</f>
        <v>2030</v>
      </c>
      <c r="X138" s="184">
        <f t="shared" si="161"/>
        <v>34815</v>
      </c>
      <c r="Y138" s="185"/>
      <c r="Z138" s="184">
        <f>MROUND((Z12*'T16'!$D$5),5)</f>
        <v>15</v>
      </c>
      <c r="AA138" s="184">
        <f>MROUND(AA12*'T16'!$D$3,5)</f>
        <v>7440</v>
      </c>
      <c r="AB138" s="184">
        <f>MROUND(AB12*'T16'!$D$7,5)</f>
        <v>4280</v>
      </c>
      <c r="AC138" s="184">
        <f>MROUND((AC12*'T16'!$D$5),5)</f>
        <v>75</v>
      </c>
      <c r="AD138" s="184">
        <f>MROUND(AD12*'T16'!$D$3,5)</f>
        <v>125</v>
      </c>
      <c r="AE138" s="184">
        <f>MROUND(AE12*'T16'!$D$10,5)</f>
        <v>1170</v>
      </c>
      <c r="AF138" s="184">
        <f>MROUND(AF12*'T16'!$D$11,5)</f>
        <v>945</v>
      </c>
      <c r="AG138" s="184">
        <f>MROUND(AG12*'T16'!$D$6,5)</f>
        <v>10</v>
      </c>
      <c r="AH138" s="184">
        <f>MROUND(AH12*'T16'!$D$6,5)</f>
        <v>11140</v>
      </c>
      <c r="AI138" s="184">
        <f>MROUND(AI12*'T16'!$D$7,5)</f>
        <v>50</v>
      </c>
      <c r="AJ138" s="184">
        <f>MROUND((AJ12*'T16'!$D$5),5)</f>
        <v>20</v>
      </c>
      <c r="AK138" s="184">
        <f>MROUND(AK12*'T16'!$D$4,5)</f>
        <v>2605</v>
      </c>
      <c r="AL138" s="184">
        <f>MROUND(AL12*'T16'!$D$10,5)</f>
        <v>945</v>
      </c>
      <c r="AM138" s="184">
        <f>MROUND(AM12*'T16'!$D$12,5)</f>
        <v>1455</v>
      </c>
      <c r="AN138" s="184">
        <f t="shared" si="160"/>
        <v>30275</v>
      </c>
    </row>
    <row r="139" spans="1:40">
      <c r="A139" s="184">
        <v>2024</v>
      </c>
      <c r="B139" s="184"/>
      <c r="C139" s="184"/>
      <c r="D139" s="184"/>
      <c r="E139" s="184"/>
      <c r="F139" s="184"/>
      <c r="G139" s="184"/>
      <c r="H139" s="184"/>
      <c r="I139" s="185"/>
      <c r="J139" s="184">
        <f>MROUND((J13*'T16'!$D$5)*0.844,5)</f>
        <v>5</v>
      </c>
      <c r="K139" s="184">
        <f>MROUND((K13*'T16'!$E$5)*0.844,5)</f>
        <v>6420</v>
      </c>
      <c r="L139" s="184">
        <f>MROUND((L13*'T16'!$D$7)*0.844,5)</f>
        <v>665</v>
      </c>
      <c r="M139" s="184">
        <f>MROUND((M13*'T16'!$D$9)*0.844,5)</f>
        <v>15</v>
      </c>
      <c r="N139" s="184">
        <f>MROUND((N13*'T16'!$E$3)*0.844,5)</f>
        <v>1010</v>
      </c>
      <c r="O139" s="184">
        <f>MROUND((O13*'T16'!$D$10)*0.844,5)</f>
        <v>350</v>
      </c>
      <c r="P139" s="184">
        <f>MROUND((P13*'T16'!$D$11)*0.844,5)</f>
        <v>495</v>
      </c>
      <c r="Q139" s="184">
        <f>MROUND((Q13*'T16'!$D$6)*0.844,5)</f>
        <v>10</v>
      </c>
      <c r="R139" s="184">
        <f>MROUND((R13*'T16'!$E$6)*0.844,5)</f>
        <v>16685</v>
      </c>
      <c r="S139" s="184">
        <f>MROUND((S13*'T16'!$D$7)*0.844,5)</f>
        <v>2590</v>
      </c>
      <c r="T139" s="184">
        <f>MROUND((T13*'T16'!$D$5)*0.844,5)</f>
        <v>55</v>
      </c>
      <c r="U139" s="184">
        <f>MROUND((U13*'T16'!$E$4)*0.844,5)</f>
        <v>2785</v>
      </c>
      <c r="V139" s="184">
        <f>MROUND((V13*'T16'!$D$10)*0.844,5)</f>
        <v>1365</v>
      </c>
      <c r="W139" s="184">
        <f>MROUND((W13*'T16'!$D$11)*0.844,5)</f>
        <v>1930</v>
      </c>
      <c r="X139" s="184">
        <f t="shared" si="161"/>
        <v>34380</v>
      </c>
      <c r="Y139" s="185"/>
      <c r="Z139" s="184">
        <f>MROUND((Z13*'T16'!$D$5),5)</f>
        <v>10</v>
      </c>
      <c r="AA139" s="184">
        <f>MROUND(AA13*'T16'!$D$3,5)</f>
        <v>7435</v>
      </c>
      <c r="AB139" s="184">
        <f>MROUND(AB13*'T16'!$D$7,5)</f>
        <v>3945</v>
      </c>
      <c r="AC139" s="184">
        <f>MROUND((AC13*'T16'!$D$5),5)</f>
        <v>70</v>
      </c>
      <c r="AD139" s="184">
        <f>MROUND(AD13*'T16'!$D$3,5)</f>
        <v>125</v>
      </c>
      <c r="AE139" s="184">
        <f>MROUND(AE13*'T16'!$D$10,5)</f>
        <v>1165</v>
      </c>
      <c r="AF139" s="184">
        <f>MROUND(AF13*'T16'!$D$11,5)</f>
        <v>900</v>
      </c>
      <c r="AG139" s="184">
        <f>MROUND(AG13*'T16'!$D$6,5)</f>
        <v>5</v>
      </c>
      <c r="AH139" s="184">
        <f>MROUND(AH13*'T16'!$D$6,5)</f>
        <v>11125</v>
      </c>
      <c r="AI139" s="184">
        <f>MROUND(AI13*'T16'!$D$7,5)</f>
        <v>45</v>
      </c>
      <c r="AJ139" s="184">
        <f>MROUND((AJ13*'T16'!$D$5),5)</f>
        <v>20</v>
      </c>
      <c r="AK139" s="184">
        <f>MROUND(AK13*'T16'!$D$4,5)</f>
        <v>2605</v>
      </c>
      <c r="AL139" s="184">
        <f>MROUND(AL13*'T16'!$D$10,5)</f>
        <v>940</v>
      </c>
      <c r="AM139" s="184">
        <f>MROUND(AM13*'T16'!$D$12,5)</f>
        <v>1385</v>
      </c>
      <c r="AN139" s="184">
        <f t="shared" si="160"/>
        <v>29775</v>
      </c>
    </row>
    <row r="140" spans="1:40">
      <c r="A140" s="184">
        <v>2025</v>
      </c>
      <c r="B140" s="184"/>
      <c r="C140" s="184"/>
      <c r="D140" s="184"/>
      <c r="E140" s="184"/>
      <c r="F140" s="184"/>
      <c r="G140" s="184"/>
      <c r="H140" s="184"/>
      <c r="I140" s="185"/>
      <c r="J140" s="184">
        <f>IF(AND(MROUND((J14*'T16'!$D$5)*0.844,5)&lt;1,J14&gt;0),1,MROUND((J14*'T16'!$D$5)*0.844,5))</f>
        <v>1</v>
      </c>
      <c r="K140" s="184">
        <f>MROUND((K14*'T16'!$E$5)*0.844,5)</f>
        <v>6490</v>
      </c>
      <c r="L140" s="184">
        <f>MROUND((L14*'T16'!$D$7)*0.844,5)</f>
        <v>645</v>
      </c>
      <c r="M140" s="184">
        <f>MROUND((M14*'T16'!$D$9)*0.844,5)</f>
        <v>15</v>
      </c>
      <c r="N140" s="184">
        <f>MROUND((N14*'T16'!$E$3)*0.844,5)</f>
        <v>1025</v>
      </c>
      <c r="O140" s="184">
        <f>MROUND((O14*'T16'!$D$10)*0.844,5)</f>
        <v>350</v>
      </c>
      <c r="P140" s="184">
        <f>MROUND((P14*'T16'!$D$11)*0.844,5)</f>
        <v>495</v>
      </c>
      <c r="Q140" s="184">
        <f>MROUND((Q14*'T16'!$D$6)*0.844,5)</f>
        <v>5</v>
      </c>
      <c r="R140" s="184">
        <f>MROUND((R14*'T16'!$E$6)*0.844,5)</f>
        <v>16870</v>
      </c>
      <c r="S140" s="184">
        <f>MROUND((S14*'T16'!$D$7)*0.844,5)</f>
        <v>2525</v>
      </c>
      <c r="T140" s="184">
        <f>MROUND((T14*'T16'!$D$5)*0.844,5)</f>
        <v>55</v>
      </c>
      <c r="U140" s="184">
        <f>MROUND((U14*'T16'!$E$4)*0.844,5)</f>
        <v>2820</v>
      </c>
      <c r="V140" s="184">
        <f>MROUND((V14*'T16'!$D$10)*0.844,5)</f>
        <v>1355</v>
      </c>
      <c r="W140" s="184">
        <f>MROUND((W14*'T16'!$D$11)*0.844,5)</f>
        <v>1940</v>
      </c>
      <c r="X140" s="184">
        <f t="shared" si="161"/>
        <v>34590</v>
      </c>
      <c r="Y140" s="185"/>
      <c r="Z140" s="184">
        <f>MROUND((Z14*'T16'!$D$5),5)</f>
        <v>5</v>
      </c>
      <c r="AA140" s="184">
        <f>MROUND(AA14*'T16'!$D$3,5)</f>
        <v>7515</v>
      </c>
      <c r="AB140" s="184">
        <f>MROUND(AB14*'T16'!$D$7,5)</f>
        <v>3850</v>
      </c>
      <c r="AC140" s="184">
        <f>MROUND((AC14*'T16'!$D$5),5)</f>
        <v>70</v>
      </c>
      <c r="AD140" s="184">
        <f>MROUND(AD14*'T16'!$D$3,5)</f>
        <v>125</v>
      </c>
      <c r="AE140" s="184">
        <f>MROUND(AE14*'T16'!$D$10,5)</f>
        <v>1160</v>
      </c>
      <c r="AF140" s="184">
        <f>MROUND(AF14*'T16'!$D$11,5)</f>
        <v>905</v>
      </c>
      <c r="AG140" s="184">
        <f>MROUND(AG14*'T16'!$D$6,5)</f>
        <v>0</v>
      </c>
      <c r="AH140" s="184">
        <f>MROUND(AH14*'T16'!$D$6,5)</f>
        <v>11250</v>
      </c>
      <c r="AI140" s="184">
        <f>MROUND(AI14*'T16'!$D$7,5)</f>
        <v>45</v>
      </c>
      <c r="AJ140" s="184">
        <f>MROUND((AJ14*'T16'!$D$5),5)</f>
        <v>20</v>
      </c>
      <c r="AK140" s="184">
        <f>MROUND(AK14*'T16'!$D$4,5)</f>
        <v>2640</v>
      </c>
      <c r="AL140" s="184">
        <f>MROUND(AL14*'T16'!$D$10,5)</f>
        <v>935</v>
      </c>
      <c r="AM140" s="184">
        <f>MROUND(AM14*'T16'!$D$12,5)</f>
        <v>1390</v>
      </c>
      <c r="AN140" s="184">
        <f t="shared" si="160"/>
        <v>29910</v>
      </c>
    </row>
  </sheetData>
  <sheetProtection algorithmName="SHA-512" hashValue="CJAj0Ye4YnkIJNI4HuWejBlGZSwwXcFkDIqZCsJRO15iuEWc0C4R9QwrXYGnWU9SAuQ38aGVdmF7otJRy24e/A==" saltValue="ZdoL/VdtNmBDuC4hqElaHA==" spinCount="100000" sheet="1" objects="1" scenarios="1" formatCells="0" formatColumns="0" formatRows="0" insertRows="0" sort="0" autoFilter="0" pivotTables="0"/>
  <mergeCells count="16">
    <mergeCell ref="J2:P2"/>
    <mergeCell ref="Q2:W2"/>
    <mergeCell ref="Z2:AF2"/>
    <mergeCell ref="AG2:AM2"/>
    <mergeCell ref="B2:H2"/>
    <mergeCell ref="B52:H52"/>
    <mergeCell ref="B64:H64"/>
    <mergeCell ref="B76:H76"/>
    <mergeCell ref="J89:W89"/>
    <mergeCell ref="Z89:AM89"/>
    <mergeCell ref="J102:W102"/>
    <mergeCell ref="Z102:AM102"/>
    <mergeCell ref="J115:W115"/>
    <mergeCell ref="Z115:AM115"/>
    <mergeCell ref="J129:W129"/>
    <mergeCell ref="Z129:AM12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5DA2B-81E8-4468-B09D-28170593D550}">
  <dimension ref="A1:F10"/>
  <sheetViews>
    <sheetView workbookViewId="0">
      <selection activeCell="P29" sqref="P29"/>
    </sheetView>
  </sheetViews>
  <sheetFormatPr defaultColWidth="8.85546875" defaultRowHeight="14.65"/>
  <cols>
    <col min="1" max="1" width="28" bestFit="1" customWidth="1"/>
    <col min="2" max="4" width="14.28515625" style="50" customWidth="1"/>
    <col min="5" max="6" width="14.28515625" customWidth="1"/>
  </cols>
  <sheetData>
    <row r="1" spans="1:6">
      <c r="A1" s="1" t="s">
        <v>434</v>
      </c>
    </row>
    <row r="2" spans="1:6">
      <c r="A2" s="5" t="s">
        <v>435</v>
      </c>
    </row>
    <row r="3" spans="1:6" ht="29.1">
      <c r="A3" s="51" t="s">
        <v>280</v>
      </c>
      <c r="B3" s="15" t="s">
        <v>436</v>
      </c>
      <c r="C3" s="15" t="s">
        <v>437</v>
      </c>
      <c r="D3" s="15" t="s">
        <v>438</v>
      </c>
      <c r="E3" s="15" t="s">
        <v>439</v>
      </c>
      <c r="F3" s="15" t="s">
        <v>440</v>
      </c>
    </row>
    <row r="4" spans="1:6">
      <c r="A4" s="49" t="s">
        <v>415</v>
      </c>
      <c r="B4" s="53">
        <v>20</v>
      </c>
      <c r="C4" s="53">
        <v>21</v>
      </c>
      <c r="D4" s="53">
        <v>41</v>
      </c>
      <c r="E4" s="54">
        <f>B4/D4</f>
        <v>0.48780487804878048</v>
      </c>
      <c r="F4" s="54">
        <f>C4/$D$4</f>
        <v>0.51219512195121952</v>
      </c>
    </row>
    <row r="5" spans="1:6">
      <c r="A5" s="49" t="s">
        <v>293</v>
      </c>
      <c r="B5" s="53">
        <v>37582</v>
      </c>
      <c r="C5" s="53">
        <v>112499</v>
      </c>
      <c r="D5" s="53">
        <v>150081</v>
      </c>
      <c r="E5" s="54">
        <f t="shared" ref="E5:E10" si="0">B5/D5</f>
        <v>0.25041144448664387</v>
      </c>
      <c r="F5" s="54">
        <f t="shared" ref="F5:F10" si="1">C5/D5</f>
        <v>0.74958855551335613</v>
      </c>
    </row>
    <row r="6" spans="1:6">
      <c r="A6" s="49" t="s">
        <v>376</v>
      </c>
      <c r="B6" s="53">
        <v>15395</v>
      </c>
      <c r="C6" s="53">
        <v>180</v>
      </c>
      <c r="D6" s="53">
        <v>15575</v>
      </c>
      <c r="E6" s="54">
        <f t="shared" si="0"/>
        <v>0.98844301765650078</v>
      </c>
      <c r="F6" s="54">
        <f t="shared" si="1"/>
        <v>1.1556982343499198E-2</v>
      </c>
    </row>
    <row r="7" spans="1:6">
      <c r="A7" s="49" t="s">
        <v>416</v>
      </c>
      <c r="B7" s="53">
        <v>352</v>
      </c>
      <c r="C7" s="53">
        <v>91</v>
      </c>
      <c r="D7" s="53">
        <v>443</v>
      </c>
      <c r="E7" s="54">
        <f t="shared" si="0"/>
        <v>0.79458239277652365</v>
      </c>
      <c r="F7" s="54">
        <f t="shared" si="1"/>
        <v>0.2054176072234763</v>
      </c>
    </row>
    <row r="8" spans="1:6">
      <c r="A8" s="49" t="s">
        <v>305</v>
      </c>
      <c r="B8" s="53">
        <v>626</v>
      </c>
      <c r="C8" s="53">
        <v>26393</v>
      </c>
      <c r="D8" s="53">
        <v>27019</v>
      </c>
      <c r="E8" s="54">
        <f t="shared" si="0"/>
        <v>2.3168881157703838E-2</v>
      </c>
      <c r="F8" s="54">
        <f t="shared" si="1"/>
        <v>0.97683111884229612</v>
      </c>
    </row>
    <row r="9" spans="1:6">
      <c r="A9" s="49" t="s">
        <v>298</v>
      </c>
      <c r="B9" s="53">
        <v>5789</v>
      </c>
      <c r="C9" s="53">
        <v>4676</v>
      </c>
      <c r="D9" s="53">
        <v>10465</v>
      </c>
      <c r="E9" s="54">
        <f t="shared" si="0"/>
        <v>0.55317725752508362</v>
      </c>
      <c r="F9" s="54">
        <f t="shared" si="1"/>
        <v>0.44682274247491638</v>
      </c>
    </row>
    <row r="10" spans="1:6">
      <c r="A10" s="49" t="s">
        <v>343</v>
      </c>
      <c r="B10" s="53">
        <v>3618</v>
      </c>
      <c r="C10" s="53">
        <v>8337</v>
      </c>
      <c r="D10" s="53">
        <v>11955</v>
      </c>
      <c r="E10" s="54">
        <f t="shared" si="0"/>
        <v>0.30263488080301132</v>
      </c>
      <c r="F10" s="54">
        <f t="shared" si="1"/>
        <v>0.69736511919698874</v>
      </c>
    </row>
  </sheetData>
  <sheetProtection algorithmName="SHA-512" hashValue="8ddbjJveJsDAio8vXA3Q4kRVRD46i4fQcRWGhT7X+aEAWKHC8aUoKbFj5Kr0fX86S4PPpGyxEk1CYZJVQdVRHg==" saltValue="hi4jC4GQ+i4lLWI2OIYbKA==" spinCount="100000" sheet="1" objects="1" scenarios="1" formatCells="0" formatColumns="0" formatRows="0" insertRows="0" sort="0" autoFilter="0" pivotTables="0"/>
  <pageMargins left="0.7" right="0.7" top="0.75" bottom="0.75" header="0.3" footer="0.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B5E40-ACC9-4819-85C2-3CD26E6C299D}">
  <dimension ref="A1:L36"/>
  <sheetViews>
    <sheetView workbookViewId="0">
      <pane ySplit="1" topLeftCell="A2" activePane="bottomLeft" state="frozen"/>
      <selection pane="bottomLeft" activeCell="C16" sqref="C16"/>
    </sheetView>
  </sheetViews>
  <sheetFormatPr defaultColWidth="8.85546875" defaultRowHeight="14.65" outlineLevelRow="1"/>
  <cols>
    <col min="2" max="18" width="15.42578125" customWidth="1"/>
  </cols>
  <sheetData>
    <row r="1" spans="1:11">
      <c r="A1" s="1" t="s">
        <v>441</v>
      </c>
    </row>
    <row r="3" spans="1:11">
      <c r="A3" s="6" t="s">
        <v>442</v>
      </c>
      <c r="C3" s="75" t="s">
        <v>443</v>
      </c>
      <c r="D3" s="76" t="s">
        <v>444</v>
      </c>
    </row>
    <row r="4" spans="1:11" ht="29.1" outlineLevel="1">
      <c r="A4" s="1" t="s">
        <v>231</v>
      </c>
      <c r="B4" s="15" t="s">
        <v>360</v>
      </c>
      <c r="C4" s="15" t="s">
        <v>361</v>
      </c>
      <c r="D4" s="15" t="s">
        <v>362</v>
      </c>
      <c r="E4" s="15" t="s">
        <v>376</v>
      </c>
      <c r="F4" s="15" t="s">
        <v>445</v>
      </c>
      <c r="G4" s="15" t="s">
        <v>364</v>
      </c>
      <c r="H4" s="15" t="s">
        <v>365</v>
      </c>
      <c r="I4" s="15" t="s">
        <v>298</v>
      </c>
      <c r="J4" s="15" t="s">
        <v>446</v>
      </c>
      <c r="K4" s="15" t="s">
        <v>447</v>
      </c>
    </row>
    <row r="5" spans="1:11" outlineLevel="1">
      <c r="A5" s="60" t="s">
        <v>323</v>
      </c>
      <c r="B5" s="77">
        <f>MROUND('Source-participation_x_type'!$C20*B$18,5)</f>
        <v>27170</v>
      </c>
      <c r="C5" s="77">
        <f>MROUND('Source-participation_x_type'!$C20*C$18,5)</f>
        <v>29895</v>
      </c>
      <c r="D5" s="77">
        <f>MROUND('Source-participation_x_type'!$C20*D$18,5)</f>
        <v>72420</v>
      </c>
      <c r="E5" s="78">
        <f>MROUND('Source-participation_x_type'!D20,5)</f>
        <v>18820</v>
      </c>
      <c r="F5" s="77">
        <f>MROUND('Source-participation_x_type'!E20*F$18,5)</f>
        <v>390</v>
      </c>
      <c r="G5" s="77">
        <f>MROUND('Source-participation_x_type'!E20*G$18,5)</f>
        <v>4620</v>
      </c>
      <c r="H5" s="77">
        <f>MROUND('Source-participation_x_type'!E20*H$18,5)</f>
        <v>25825</v>
      </c>
      <c r="I5" s="78">
        <f>MROUND('Source-participation_x_type'!G20,5)</f>
        <v>13500</v>
      </c>
      <c r="J5" s="77">
        <f>MROUND('Source-participation_x_type'!F20*J$18,5)</f>
        <v>2185</v>
      </c>
      <c r="K5" s="77">
        <f>MROUND('Source-participation_x_type'!F20*K$18,5)</f>
        <v>6435</v>
      </c>
    </row>
    <row r="6" spans="1:11" outlineLevel="1">
      <c r="A6" s="60" t="s">
        <v>324</v>
      </c>
      <c r="B6" s="77">
        <f>MROUND('Source-participation_x_type'!$C21*B$18,5)</f>
        <v>27745</v>
      </c>
      <c r="C6" s="77">
        <f>MROUND('Source-participation_x_type'!$C21*C$18,5)</f>
        <v>30525</v>
      </c>
      <c r="D6" s="77">
        <f>MROUND('Source-participation_x_type'!$C21*D$18,5)</f>
        <v>73950</v>
      </c>
      <c r="E6" s="78">
        <f>MROUND('Source-participation_x_type'!D21,5)</f>
        <v>18440</v>
      </c>
      <c r="F6" s="77">
        <f>MROUND('Source-participation_x_type'!E21*F$18,5)</f>
        <v>375</v>
      </c>
      <c r="G6" s="77">
        <f>MROUND('Source-participation_x_type'!E21*G$18,5)</f>
        <v>4460</v>
      </c>
      <c r="H6" s="77">
        <f>MROUND('Source-participation_x_type'!E21*H$18,5)</f>
        <v>24950</v>
      </c>
      <c r="I6" s="78">
        <f>MROUND('Source-participation_x_type'!G21,5)</f>
        <v>13325</v>
      </c>
      <c r="J6" s="77">
        <f>MROUND('Source-participation_x_type'!F21*J$18,5)</f>
        <v>2190</v>
      </c>
      <c r="K6" s="77">
        <f>MROUND('Source-participation_x_type'!F21*K$18,5)</f>
        <v>6440</v>
      </c>
    </row>
    <row r="7" spans="1:11" outlineLevel="1">
      <c r="A7" s="60" t="s">
        <v>325</v>
      </c>
      <c r="B7" s="77">
        <f>MROUND('Source-participation_x_type'!$C22*B$18,5)</f>
        <v>28265</v>
      </c>
      <c r="C7" s="77">
        <f>MROUND('Source-participation_x_type'!$C22*C$18,5)</f>
        <v>31100</v>
      </c>
      <c r="D7" s="77">
        <f>MROUND('Source-participation_x_type'!$C22*D$18,5)</f>
        <v>75335</v>
      </c>
      <c r="E7" s="78">
        <f>MROUND('Source-participation_x_type'!D22,5)</f>
        <v>18265</v>
      </c>
      <c r="F7" s="77">
        <f>MROUND('Source-participation_x_type'!E22*F$18,5)</f>
        <v>365</v>
      </c>
      <c r="G7" s="77">
        <f>MROUND('Source-participation_x_type'!E22*G$18,5)</f>
        <v>4350</v>
      </c>
      <c r="H7" s="77">
        <f>MROUND('Source-participation_x_type'!E22*H$18,5)</f>
        <v>24330</v>
      </c>
      <c r="I7" s="78">
        <f>MROUND('Source-participation_x_type'!G22,5)</f>
        <v>9735</v>
      </c>
      <c r="J7" s="77">
        <f>MROUND('Source-participation_x_type'!F22*J$18,5)</f>
        <v>2160</v>
      </c>
      <c r="K7" s="77">
        <f>MROUND('Source-participation_x_type'!F22*K$18,5)</f>
        <v>6355</v>
      </c>
    </row>
    <row r="8" spans="1:11" outlineLevel="1">
      <c r="A8" s="60" t="s">
        <v>326</v>
      </c>
      <c r="B8" s="77">
        <f>MROUND('Source-participation_x_type'!$C23*B$18,5)</f>
        <v>28380</v>
      </c>
      <c r="C8" s="77">
        <f>MROUND('Source-participation_x_type'!$C23*C$18,5)</f>
        <v>31225</v>
      </c>
      <c r="D8" s="77">
        <f>MROUND('Source-participation_x_type'!$C23*D$18,5)</f>
        <v>75635</v>
      </c>
      <c r="E8" s="78">
        <f>MROUND('Source-participation_x_type'!D23,5)</f>
        <v>17195</v>
      </c>
      <c r="F8" s="77">
        <f>MROUND('Source-participation_x_type'!E23*F$18,5)</f>
        <v>355</v>
      </c>
      <c r="G8" s="77">
        <f>MROUND('Source-participation_x_type'!E23*G$18,5)</f>
        <v>4230</v>
      </c>
      <c r="H8" s="77">
        <f>MROUND('Source-participation_x_type'!E23*H$18,5)</f>
        <v>23650</v>
      </c>
      <c r="I8" s="78">
        <f>MROUND('Source-participation_x_type'!G23,5)</f>
        <v>9450</v>
      </c>
      <c r="J8" s="77">
        <f>MROUND('Source-participation_x_type'!F23*J$18,5)</f>
        <v>2155</v>
      </c>
      <c r="K8" s="77">
        <f>MROUND('Source-participation_x_type'!F23*K$18,5)</f>
        <v>6335</v>
      </c>
    </row>
    <row r="9" spans="1:11" outlineLevel="1">
      <c r="A9" s="60" t="s">
        <v>327</v>
      </c>
      <c r="B9" s="77">
        <f>MROUND('Source-participation_x_type'!$C24*B$18,5)</f>
        <v>27470</v>
      </c>
      <c r="C9" s="77">
        <f>MROUND('Source-participation_x_type'!$C24*C$18,5)</f>
        <v>30225</v>
      </c>
      <c r="D9" s="77">
        <f>MROUND('Source-participation_x_type'!$C24*D$18,5)</f>
        <v>73215</v>
      </c>
      <c r="E9" s="78">
        <f>MROUND('Source-participation_x_type'!D24,5)</f>
        <v>15020</v>
      </c>
      <c r="F9" s="77">
        <f>MROUND('Source-participation_x_type'!E24*F$18,5)</f>
        <v>350</v>
      </c>
      <c r="G9" s="77">
        <f>MROUND('Source-participation_x_type'!E24*G$18,5)</f>
        <v>4115</v>
      </c>
      <c r="H9" s="77">
        <f>MROUND('Source-participation_x_type'!E24*H$18,5)</f>
        <v>23020</v>
      </c>
      <c r="I9" s="78">
        <f>MROUND('Source-participation_x_type'!G24,5)</f>
        <v>8270</v>
      </c>
      <c r="J9" s="77">
        <f>MROUND('Source-participation_x_type'!F24*J$18,5)</f>
        <v>2115</v>
      </c>
      <c r="K9" s="77">
        <f>MROUND('Source-participation_x_type'!F24*K$18,5)</f>
        <v>6220</v>
      </c>
    </row>
    <row r="10" spans="1:11" outlineLevel="1">
      <c r="A10" s="60" t="s">
        <v>328</v>
      </c>
      <c r="B10" s="77">
        <f>MROUND('Source-participation_x_type'!$C25*B$18,5)</f>
        <v>28400</v>
      </c>
      <c r="C10" s="77">
        <f>MROUND('Source-participation_x_type'!$C25*C$18,5)</f>
        <v>31245</v>
      </c>
      <c r="D10" s="77">
        <f>MROUND('Source-participation_x_type'!$C25*D$18,5)</f>
        <v>75695</v>
      </c>
      <c r="E10" s="78">
        <f>MROUND('Source-participation_x_type'!D25,5)</f>
        <v>13880</v>
      </c>
      <c r="F10" s="77">
        <f>MROUND('Source-participation_x_type'!E25*F$18,5)</f>
        <v>350</v>
      </c>
      <c r="G10" s="77">
        <f>MROUND('Source-participation_x_type'!E25*G$18,5)</f>
        <v>4140</v>
      </c>
      <c r="H10" s="77">
        <f>MROUND('Source-participation_x_type'!E25*H$18,5)</f>
        <v>23150</v>
      </c>
      <c r="I10" s="78">
        <f>MROUND('Source-participation_x_type'!G25,5)</f>
        <v>9330</v>
      </c>
      <c r="J10" s="77">
        <f>MROUND('Source-participation_x_type'!F25*J$18,5)</f>
        <v>2060</v>
      </c>
      <c r="K10" s="77">
        <f>MROUND('Source-participation_x_type'!F25*K$18,5)</f>
        <v>6055</v>
      </c>
    </row>
    <row r="11" spans="1:11" outlineLevel="1">
      <c r="A11" s="60" t="s">
        <v>329</v>
      </c>
      <c r="B11" s="77">
        <f>MROUND('Source-participation_x_type'!$C26*B$18,5)</f>
        <v>26950</v>
      </c>
      <c r="C11" s="77">
        <f>MROUND('Source-participation_x_type'!$C26*C$18,5)</f>
        <v>29655</v>
      </c>
      <c r="D11" s="77">
        <f>MROUND('Source-participation_x_type'!$C26*D$18,5)</f>
        <v>71830</v>
      </c>
      <c r="E11" s="78">
        <f>MROUND('Source-participation_x_type'!D26,5)</f>
        <v>11325</v>
      </c>
      <c r="F11" s="77">
        <f>MROUND('Source-participation_x_type'!E26*F$18,5)</f>
        <v>315</v>
      </c>
      <c r="G11" s="77">
        <f>MROUND('Source-participation_x_type'!E26*G$18,5)</f>
        <v>3760</v>
      </c>
      <c r="H11" s="77">
        <f>MROUND('Source-participation_x_type'!E26*H$18,5)</f>
        <v>21020</v>
      </c>
      <c r="I11" s="78">
        <f>MROUND('Source-participation_x_type'!G26,5)</f>
        <v>8350</v>
      </c>
      <c r="J11" s="77">
        <f>MROUND('Source-participation_x_type'!F26*J$18,5)</f>
        <v>1985</v>
      </c>
      <c r="K11" s="77">
        <f>MROUND('Source-participation_x_type'!F26*K$18,5)</f>
        <v>5845</v>
      </c>
    </row>
    <row r="12" spans="1:11" outlineLevel="1">
      <c r="A12" s="60" t="s">
        <v>330</v>
      </c>
      <c r="B12" s="77">
        <f>MROUND('Source-participation_x_type'!$C27*B$18,5)</f>
        <v>28700</v>
      </c>
      <c r="C12" s="77">
        <f>MROUND('Source-participation_x_type'!$C27*C$18,5)</f>
        <v>31580</v>
      </c>
      <c r="D12" s="77">
        <f>MROUND('Source-participation_x_type'!$C27*D$18,5)</f>
        <v>76495</v>
      </c>
      <c r="E12" s="78">
        <f>MROUND('Source-participation_x_type'!D27,5)</f>
        <v>10515</v>
      </c>
      <c r="F12" s="77">
        <f>MROUND('Source-participation_x_type'!E27*F$18,5)</f>
        <v>340</v>
      </c>
      <c r="G12" s="77">
        <f>MROUND('Source-participation_x_type'!E27*G$18,5)</f>
        <v>4005</v>
      </c>
      <c r="H12" s="77">
        <f>MROUND('Source-participation_x_type'!E27*H$18,5)</f>
        <v>22400</v>
      </c>
      <c r="I12" s="78">
        <f>MROUND('Source-participation_x_type'!G27,5)</f>
        <v>9360</v>
      </c>
      <c r="J12" s="77">
        <f>MROUND('Source-participation_x_type'!F27*J$18,5)</f>
        <v>2080</v>
      </c>
      <c r="K12" s="77">
        <f>MROUND('Source-participation_x_type'!F27*K$18,5)</f>
        <v>6125</v>
      </c>
    </row>
    <row r="13" spans="1:11" outlineLevel="1">
      <c r="A13" s="60" t="s">
        <v>331</v>
      </c>
      <c r="B13" s="77">
        <f>MROUND('Source-participation_x_type'!$C28*B$18,5)</f>
        <v>29175</v>
      </c>
      <c r="C13" s="77">
        <f>MROUND('Source-participation_x_type'!$C28*C$18,5)</f>
        <v>32100</v>
      </c>
      <c r="D13" s="77">
        <f>MROUND('Source-participation_x_type'!$C28*D$18,5)</f>
        <v>77765</v>
      </c>
      <c r="E13" s="78">
        <f>MROUND('Source-participation_x_type'!D28,5)</f>
        <v>9885</v>
      </c>
      <c r="F13" s="77">
        <f>MROUND('Source-participation_x_type'!E28*F$18,5)</f>
        <v>350</v>
      </c>
      <c r="G13" s="77">
        <f>MROUND('Source-participation_x_type'!E28*G$18,5)</f>
        <v>4130</v>
      </c>
      <c r="H13" s="77">
        <f>MROUND('Source-participation_x_type'!E28*H$18,5)</f>
        <v>23085</v>
      </c>
      <c r="I13" s="78">
        <f>MROUND('Source-participation_x_type'!G28,5)</f>
        <v>9590</v>
      </c>
      <c r="J13" s="77">
        <f>MROUND('Source-participation_x_type'!F28*J$18,5)</f>
        <v>2160</v>
      </c>
      <c r="K13" s="77">
        <f>MROUND('Source-participation_x_type'!F28*K$18,5)</f>
        <v>6355</v>
      </c>
    </row>
    <row r="14" spans="1:11" outlineLevel="1">
      <c r="A14" s="60">
        <v>2025</v>
      </c>
      <c r="B14" s="77">
        <f>MROUND(136914*B$18,5)</f>
        <v>28730</v>
      </c>
      <c r="C14" s="77">
        <f>MROUND(136914*C$18,5)</f>
        <v>31610</v>
      </c>
      <c r="D14" s="77">
        <f>MROUND(136914*D$18,5)</f>
        <v>76575</v>
      </c>
      <c r="E14" s="78">
        <f>MROUND(9603,5)</f>
        <v>9605</v>
      </c>
      <c r="F14" s="77">
        <f>MROUND(27459*F18,5)</f>
        <v>345</v>
      </c>
      <c r="G14" s="77">
        <f>MROUND(27459*G18,5)</f>
        <v>4115</v>
      </c>
      <c r="H14" s="77">
        <f>MROUND(27459*H18,5)</f>
        <v>23000</v>
      </c>
      <c r="I14" s="78">
        <f>MROUND(9490,5)</f>
        <v>9490</v>
      </c>
      <c r="J14" s="77">
        <f>MROUND(8405*J18,5)</f>
        <v>2130</v>
      </c>
      <c r="K14" s="77">
        <f>MROUND(8405*K18,5)</f>
        <v>6275</v>
      </c>
    </row>
    <row r="15" spans="1:11">
      <c r="A15" s="60"/>
      <c r="B15" s="56"/>
      <c r="C15" s="56"/>
      <c r="D15" s="56"/>
      <c r="E15" s="56"/>
      <c r="F15" s="56"/>
      <c r="G15" s="56"/>
      <c r="H15" s="56"/>
      <c r="I15" s="56"/>
      <c r="J15" s="56"/>
      <c r="K15" s="56"/>
    </row>
    <row r="16" spans="1:11">
      <c r="A16" s="16" t="s">
        <v>448</v>
      </c>
      <c r="B16" s="56"/>
      <c r="C16" s="79" t="s">
        <v>449</v>
      </c>
      <c r="D16" s="56"/>
      <c r="E16" s="56"/>
      <c r="F16" s="56"/>
      <c r="G16" s="56"/>
      <c r="H16" s="56"/>
      <c r="I16" s="56"/>
      <c r="J16" s="56"/>
      <c r="K16" s="56"/>
    </row>
    <row r="17" spans="1:12" ht="29.1" outlineLevel="1">
      <c r="A17" s="60" t="s">
        <v>337</v>
      </c>
      <c r="B17" s="15" t="s">
        <v>360</v>
      </c>
      <c r="C17" s="15" t="s">
        <v>361</v>
      </c>
      <c r="D17" s="15" t="s">
        <v>362</v>
      </c>
      <c r="E17" s="15" t="s">
        <v>376</v>
      </c>
      <c r="F17" s="15" t="s">
        <v>445</v>
      </c>
      <c r="G17" s="15" t="s">
        <v>364</v>
      </c>
      <c r="H17" s="15" t="s">
        <v>365</v>
      </c>
      <c r="I17" s="15" t="s">
        <v>298</v>
      </c>
      <c r="J17" s="15" t="s">
        <v>446</v>
      </c>
      <c r="K17" s="15" t="s">
        <v>447</v>
      </c>
    </row>
    <row r="18" spans="1:12" outlineLevel="1">
      <c r="A18" s="60" t="s">
        <v>243</v>
      </c>
      <c r="B18" s="80">
        <v>0.20983864431920643</v>
      </c>
      <c r="C18" s="81">
        <v>0.23087873128469985</v>
      </c>
      <c r="D18" s="81">
        <v>0.55928262439609377</v>
      </c>
      <c r="E18" s="81"/>
      <c r="F18" s="80">
        <v>1.2647467549747198E-2</v>
      </c>
      <c r="G18" s="81">
        <v>0.14979598474320688</v>
      </c>
      <c r="H18" s="81">
        <v>0.83755654770704591</v>
      </c>
      <c r="I18" s="81"/>
      <c r="J18" s="81">
        <v>0.2536810848868889</v>
      </c>
      <c r="K18" s="81">
        <v>0.7463189151131111</v>
      </c>
    </row>
    <row r="20" spans="1:12">
      <c r="A20" s="6" t="s">
        <v>450</v>
      </c>
    </row>
    <row r="21" spans="1:12" ht="29.1" outlineLevel="1">
      <c r="A21" s="60" t="s">
        <v>451</v>
      </c>
      <c r="B21" s="15" t="s">
        <v>360</v>
      </c>
      <c r="C21" s="15" t="s">
        <v>361</v>
      </c>
      <c r="D21" s="15" t="s">
        <v>362</v>
      </c>
      <c r="E21" s="15" t="s">
        <v>376</v>
      </c>
      <c r="F21" s="15" t="s">
        <v>445</v>
      </c>
      <c r="G21" s="15" t="s">
        <v>364</v>
      </c>
      <c r="H21" s="15" t="s">
        <v>365</v>
      </c>
      <c r="I21" s="15" t="s">
        <v>298</v>
      </c>
      <c r="J21" s="15" t="s">
        <v>446</v>
      </c>
      <c r="K21" s="15" t="s">
        <v>447</v>
      </c>
    </row>
    <row r="22" spans="1:12" outlineLevel="1">
      <c r="A22" s="60" t="s">
        <v>452</v>
      </c>
      <c r="B22">
        <f>1/5</f>
        <v>0.2</v>
      </c>
      <c r="C22">
        <f>1/10</f>
        <v>0.1</v>
      </c>
      <c r="D22">
        <f>1/10</f>
        <v>0.1</v>
      </c>
      <c r="E22">
        <f>1/4</f>
        <v>0.25</v>
      </c>
      <c r="F22">
        <f>1/5</f>
        <v>0.2</v>
      </c>
      <c r="G22">
        <f>1/10</f>
        <v>0.1</v>
      </c>
      <c r="H22">
        <f>1/10</f>
        <v>0.1</v>
      </c>
      <c r="I22">
        <f>1/5</f>
        <v>0.2</v>
      </c>
      <c r="J22">
        <f>1/4</f>
        <v>0.25</v>
      </c>
      <c r="K22" s="57">
        <f>1/6</f>
        <v>0.16666666666666666</v>
      </c>
    </row>
    <row r="23" spans="1:12" outlineLevel="1">
      <c r="A23" s="1" t="s">
        <v>453</v>
      </c>
      <c r="B23" s="68">
        <f>1/4.02</f>
        <v>0.24875621890547267</v>
      </c>
      <c r="C23" s="68">
        <f>1/5.17</f>
        <v>0.19342359767891684</v>
      </c>
      <c r="D23" s="68">
        <f>1/6.08</f>
        <v>0.16447368421052633</v>
      </c>
      <c r="F23" s="68">
        <f>1/4.49</f>
        <v>0.22271714922048996</v>
      </c>
      <c r="G23" s="68">
        <f>1/5.73</f>
        <v>0.17452006980802792</v>
      </c>
      <c r="H23" s="68">
        <f>1/6.87</f>
        <v>0.14556040756914118</v>
      </c>
    </row>
    <row r="25" spans="1:12">
      <c r="A25" s="6" t="s">
        <v>454</v>
      </c>
    </row>
    <row r="26" spans="1:12" ht="29.1">
      <c r="A26" s="1" t="s">
        <v>231</v>
      </c>
      <c r="B26" s="15" t="s">
        <v>360</v>
      </c>
      <c r="C26" s="15" t="s">
        <v>361</v>
      </c>
      <c r="D26" s="15" t="s">
        <v>362</v>
      </c>
      <c r="E26" s="15" t="s">
        <v>376</v>
      </c>
      <c r="F26" s="15" t="s">
        <v>445</v>
      </c>
      <c r="G26" s="15" t="s">
        <v>364</v>
      </c>
      <c r="H26" s="15" t="s">
        <v>365</v>
      </c>
      <c r="I26" s="15" t="s">
        <v>298</v>
      </c>
      <c r="J26" s="15" t="s">
        <v>446</v>
      </c>
      <c r="K26" s="15" t="s">
        <v>447</v>
      </c>
      <c r="L26" s="15" t="s">
        <v>238</v>
      </c>
    </row>
    <row r="27" spans="1:12">
      <c r="A27" s="60" t="s">
        <v>323</v>
      </c>
      <c r="B27" s="77">
        <f>MROUND(B5*B$22,5)</f>
        <v>5435</v>
      </c>
      <c r="C27" s="77">
        <f t="shared" ref="C27:K27" si="0">MROUND(C5*C$22,5)</f>
        <v>2990</v>
      </c>
      <c r="D27" s="77">
        <f t="shared" si="0"/>
        <v>7240</v>
      </c>
      <c r="E27" s="77">
        <f t="shared" si="0"/>
        <v>4705</v>
      </c>
      <c r="F27" s="77">
        <f t="shared" si="0"/>
        <v>80</v>
      </c>
      <c r="G27" s="77">
        <f t="shared" si="0"/>
        <v>460</v>
      </c>
      <c r="H27" s="77">
        <f t="shared" si="0"/>
        <v>2585</v>
      </c>
      <c r="I27" s="77">
        <f t="shared" si="0"/>
        <v>2700</v>
      </c>
      <c r="J27" s="77">
        <f t="shared" si="0"/>
        <v>545</v>
      </c>
      <c r="K27" s="77">
        <f t="shared" si="0"/>
        <v>1075</v>
      </c>
      <c r="L27" s="74">
        <f>MROUND(SUM(B27:K27)*0.844,5)</f>
        <v>23475</v>
      </c>
    </row>
    <row r="28" spans="1:12">
      <c r="A28" s="60" t="s">
        <v>324</v>
      </c>
      <c r="B28" s="77">
        <f t="shared" ref="B28:K36" si="1">MROUND(B6*B$22,5)</f>
        <v>5550</v>
      </c>
      <c r="C28" s="77">
        <f t="shared" si="1"/>
        <v>3055</v>
      </c>
      <c r="D28" s="77">
        <f t="shared" si="1"/>
        <v>7395</v>
      </c>
      <c r="E28" s="77">
        <f t="shared" si="1"/>
        <v>4610</v>
      </c>
      <c r="F28" s="77">
        <f t="shared" si="1"/>
        <v>75</v>
      </c>
      <c r="G28" s="77">
        <f t="shared" si="1"/>
        <v>445</v>
      </c>
      <c r="H28" s="77">
        <f t="shared" si="1"/>
        <v>2495</v>
      </c>
      <c r="I28" s="77">
        <f t="shared" si="1"/>
        <v>2665</v>
      </c>
      <c r="J28" s="77">
        <f t="shared" si="1"/>
        <v>550</v>
      </c>
      <c r="K28" s="77">
        <f t="shared" si="1"/>
        <v>1075</v>
      </c>
      <c r="L28" s="74">
        <f t="shared" ref="L28:L36" si="2">MROUND(SUM(B28:K28)*0.844,5)</f>
        <v>23560</v>
      </c>
    </row>
    <row r="29" spans="1:12">
      <c r="A29" s="60" t="s">
        <v>325</v>
      </c>
      <c r="B29" s="77">
        <f t="shared" si="1"/>
        <v>5655</v>
      </c>
      <c r="C29" s="77">
        <f t="shared" si="1"/>
        <v>3110</v>
      </c>
      <c r="D29" s="77">
        <f t="shared" si="1"/>
        <v>7535</v>
      </c>
      <c r="E29" s="77">
        <f t="shared" si="1"/>
        <v>4565</v>
      </c>
      <c r="F29" s="77">
        <f t="shared" si="1"/>
        <v>75</v>
      </c>
      <c r="G29" s="77">
        <f t="shared" si="1"/>
        <v>435</v>
      </c>
      <c r="H29" s="77">
        <f t="shared" si="1"/>
        <v>2435</v>
      </c>
      <c r="I29" s="77">
        <f t="shared" si="1"/>
        <v>1945</v>
      </c>
      <c r="J29" s="77">
        <f t="shared" si="1"/>
        <v>540</v>
      </c>
      <c r="K29" s="77">
        <f t="shared" si="1"/>
        <v>1060</v>
      </c>
      <c r="L29" s="74">
        <f t="shared" si="2"/>
        <v>23090</v>
      </c>
    </row>
    <row r="30" spans="1:12">
      <c r="A30" s="60" t="s">
        <v>326</v>
      </c>
      <c r="B30" s="77">
        <f t="shared" si="1"/>
        <v>5675</v>
      </c>
      <c r="C30" s="77">
        <f t="shared" si="1"/>
        <v>3125</v>
      </c>
      <c r="D30" s="77">
        <f t="shared" si="1"/>
        <v>7565</v>
      </c>
      <c r="E30" s="77">
        <f t="shared" si="1"/>
        <v>4300</v>
      </c>
      <c r="F30" s="77">
        <f t="shared" si="1"/>
        <v>70</v>
      </c>
      <c r="G30" s="77">
        <f t="shared" si="1"/>
        <v>425</v>
      </c>
      <c r="H30" s="77">
        <f t="shared" si="1"/>
        <v>2365</v>
      </c>
      <c r="I30" s="77">
        <f t="shared" si="1"/>
        <v>1890</v>
      </c>
      <c r="J30" s="77">
        <f t="shared" si="1"/>
        <v>540</v>
      </c>
      <c r="K30" s="77">
        <f t="shared" si="1"/>
        <v>1055</v>
      </c>
      <c r="L30" s="74">
        <f t="shared" si="2"/>
        <v>22795</v>
      </c>
    </row>
    <row r="31" spans="1:12">
      <c r="A31" s="60" t="s">
        <v>327</v>
      </c>
      <c r="B31" s="77">
        <f t="shared" si="1"/>
        <v>5495</v>
      </c>
      <c r="C31" s="77">
        <f t="shared" si="1"/>
        <v>3025</v>
      </c>
      <c r="D31" s="77">
        <f t="shared" si="1"/>
        <v>7320</v>
      </c>
      <c r="E31" s="77">
        <f t="shared" si="1"/>
        <v>3755</v>
      </c>
      <c r="F31" s="77">
        <f t="shared" si="1"/>
        <v>70</v>
      </c>
      <c r="G31" s="77">
        <f t="shared" si="1"/>
        <v>410</v>
      </c>
      <c r="H31" s="77">
        <f t="shared" si="1"/>
        <v>2300</v>
      </c>
      <c r="I31" s="77">
        <f t="shared" si="1"/>
        <v>1655</v>
      </c>
      <c r="J31" s="77">
        <f t="shared" si="1"/>
        <v>530</v>
      </c>
      <c r="K31" s="77">
        <f t="shared" si="1"/>
        <v>1035</v>
      </c>
      <c r="L31" s="74">
        <f t="shared" si="2"/>
        <v>21600</v>
      </c>
    </row>
    <row r="32" spans="1:12">
      <c r="A32" s="60" t="s">
        <v>328</v>
      </c>
      <c r="B32" s="77">
        <f t="shared" si="1"/>
        <v>5680</v>
      </c>
      <c r="C32" s="77">
        <f t="shared" si="1"/>
        <v>3125</v>
      </c>
      <c r="D32" s="77">
        <f t="shared" si="1"/>
        <v>7570</v>
      </c>
      <c r="E32" s="77">
        <f t="shared" si="1"/>
        <v>3470</v>
      </c>
      <c r="F32" s="77">
        <f t="shared" si="1"/>
        <v>70</v>
      </c>
      <c r="G32" s="77">
        <f t="shared" si="1"/>
        <v>415</v>
      </c>
      <c r="H32" s="77">
        <f t="shared" si="1"/>
        <v>2315</v>
      </c>
      <c r="I32" s="77">
        <f t="shared" si="1"/>
        <v>1865</v>
      </c>
      <c r="J32" s="77">
        <f t="shared" si="1"/>
        <v>515</v>
      </c>
      <c r="K32" s="77">
        <f t="shared" si="1"/>
        <v>1010</v>
      </c>
      <c r="L32" s="74">
        <f t="shared" si="2"/>
        <v>21975</v>
      </c>
    </row>
    <row r="33" spans="1:12">
      <c r="A33" s="60" t="s">
        <v>329</v>
      </c>
      <c r="B33" s="77">
        <f t="shared" si="1"/>
        <v>5390</v>
      </c>
      <c r="C33" s="77">
        <f t="shared" si="1"/>
        <v>2965</v>
      </c>
      <c r="D33" s="77">
        <f t="shared" si="1"/>
        <v>7185</v>
      </c>
      <c r="E33" s="77">
        <f t="shared" si="1"/>
        <v>2830</v>
      </c>
      <c r="F33" s="77">
        <f t="shared" si="1"/>
        <v>65</v>
      </c>
      <c r="G33" s="77">
        <f t="shared" si="1"/>
        <v>375</v>
      </c>
      <c r="H33" s="77">
        <f t="shared" si="1"/>
        <v>2100</v>
      </c>
      <c r="I33" s="77">
        <f t="shared" si="1"/>
        <v>1670</v>
      </c>
      <c r="J33" s="77">
        <f t="shared" si="1"/>
        <v>495</v>
      </c>
      <c r="K33" s="77">
        <f t="shared" si="1"/>
        <v>975</v>
      </c>
      <c r="L33" s="74">
        <f t="shared" si="2"/>
        <v>20300</v>
      </c>
    </row>
    <row r="34" spans="1:12">
      <c r="A34" s="60" t="s">
        <v>330</v>
      </c>
      <c r="B34" s="77">
        <f t="shared" si="1"/>
        <v>5740</v>
      </c>
      <c r="C34" s="77">
        <f t="shared" si="1"/>
        <v>3160</v>
      </c>
      <c r="D34" s="77">
        <f t="shared" si="1"/>
        <v>7650</v>
      </c>
      <c r="E34" s="77">
        <f t="shared" si="1"/>
        <v>2630</v>
      </c>
      <c r="F34" s="77">
        <f t="shared" si="1"/>
        <v>70</v>
      </c>
      <c r="G34" s="77">
        <f t="shared" si="1"/>
        <v>400</v>
      </c>
      <c r="H34" s="77">
        <f t="shared" si="1"/>
        <v>2240</v>
      </c>
      <c r="I34" s="77">
        <f t="shared" si="1"/>
        <v>1870</v>
      </c>
      <c r="J34" s="77">
        <f t="shared" si="1"/>
        <v>520</v>
      </c>
      <c r="K34" s="77">
        <f t="shared" si="1"/>
        <v>1020</v>
      </c>
      <c r="L34" s="74">
        <f t="shared" si="2"/>
        <v>21355</v>
      </c>
    </row>
    <row r="35" spans="1:12">
      <c r="A35" s="60" t="s">
        <v>331</v>
      </c>
      <c r="B35" s="77">
        <f t="shared" si="1"/>
        <v>5835</v>
      </c>
      <c r="C35" s="77">
        <f t="shared" si="1"/>
        <v>3210</v>
      </c>
      <c r="D35" s="77">
        <f t="shared" si="1"/>
        <v>7775</v>
      </c>
      <c r="E35" s="77">
        <f t="shared" si="1"/>
        <v>2470</v>
      </c>
      <c r="F35" s="77">
        <f t="shared" si="1"/>
        <v>70</v>
      </c>
      <c r="G35" s="77">
        <f t="shared" si="1"/>
        <v>415</v>
      </c>
      <c r="H35" s="77">
        <f t="shared" si="1"/>
        <v>2310</v>
      </c>
      <c r="I35" s="77">
        <f t="shared" si="1"/>
        <v>1920</v>
      </c>
      <c r="J35" s="77">
        <f t="shared" si="1"/>
        <v>540</v>
      </c>
      <c r="K35" s="77">
        <f t="shared" si="1"/>
        <v>1060</v>
      </c>
      <c r="L35" s="74">
        <f t="shared" si="2"/>
        <v>21610</v>
      </c>
    </row>
    <row r="36" spans="1:12">
      <c r="A36" s="60">
        <v>2025</v>
      </c>
      <c r="B36" s="77">
        <f t="shared" si="1"/>
        <v>5745</v>
      </c>
      <c r="C36" s="77">
        <f t="shared" si="1"/>
        <v>3160</v>
      </c>
      <c r="D36" s="77">
        <f t="shared" si="1"/>
        <v>7660</v>
      </c>
      <c r="E36" s="77">
        <f t="shared" si="1"/>
        <v>2400</v>
      </c>
      <c r="F36" s="77">
        <f t="shared" si="1"/>
        <v>70</v>
      </c>
      <c r="G36" s="77">
        <f t="shared" si="1"/>
        <v>410</v>
      </c>
      <c r="H36" s="77">
        <f t="shared" si="1"/>
        <v>2300</v>
      </c>
      <c r="I36" s="77">
        <f t="shared" si="1"/>
        <v>1900</v>
      </c>
      <c r="J36" s="77">
        <f t="shared" si="1"/>
        <v>535</v>
      </c>
      <c r="K36" s="77">
        <f t="shared" si="1"/>
        <v>1045</v>
      </c>
      <c r="L36" s="74">
        <f t="shared" si="2"/>
        <v>21290</v>
      </c>
    </row>
  </sheetData>
  <sheetProtection algorithmName="SHA-512" hashValue="kfSZujrB1KMChz9SlSsaRwGZALNO+nHW1odnYf1cff+OYWl4eGVrO0OS7+QT4ZxklmuLgiqmKzDhAitFrwPcBg==" saltValue="qTSACAEJz5UFf7+aVX06gw==" spinCount="100000" sheet="1" objects="1" scenarios="1" formatCells="0" formatColumns="0" formatRows="0" insertRows="0" sort="0" autoFilter="0" pivotTables="0"/>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C35B4-6B4A-44E3-9A45-046F0C8B2530}">
  <dimension ref="A1:L25"/>
  <sheetViews>
    <sheetView workbookViewId="0">
      <selection activeCell="C6" sqref="C6"/>
    </sheetView>
  </sheetViews>
  <sheetFormatPr defaultColWidth="8.85546875" defaultRowHeight="14.65"/>
  <cols>
    <col min="2" max="12" width="15.42578125" customWidth="1"/>
  </cols>
  <sheetData>
    <row r="1" spans="1:12">
      <c r="A1" s="1" t="s">
        <v>455</v>
      </c>
    </row>
    <row r="2" spans="1:12">
      <c r="A2" t="s">
        <v>387</v>
      </c>
    </row>
    <row r="3" spans="1:12">
      <c r="A3" t="s">
        <v>456</v>
      </c>
    </row>
    <row r="4" spans="1:12">
      <c r="B4" s="175" t="s">
        <v>388</v>
      </c>
      <c r="C4" s="175"/>
      <c r="D4" s="175"/>
      <c r="E4" s="175"/>
      <c r="F4" s="175"/>
      <c r="G4" s="23"/>
      <c r="H4" s="175" t="s">
        <v>389</v>
      </c>
      <c r="I4" s="175"/>
      <c r="J4" s="175"/>
      <c r="K4" s="175"/>
    </row>
    <row r="5" spans="1:12" ht="43.7">
      <c r="A5" s="62" t="s">
        <v>231</v>
      </c>
      <c r="B5" s="15" t="s">
        <v>399</v>
      </c>
      <c r="C5" s="15" t="s">
        <v>400</v>
      </c>
      <c r="D5" s="15" t="s">
        <v>457</v>
      </c>
      <c r="E5" s="15" t="s">
        <v>401</v>
      </c>
      <c r="F5" s="15" t="s">
        <v>402</v>
      </c>
      <c r="G5" s="15" t="s">
        <v>404</v>
      </c>
      <c r="H5" s="15" t="s">
        <v>405</v>
      </c>
      <c r="I5" s="15" t="s">
        <v>457</v>
      </c>
      <c r="J5" s="15" t="s">
        <v>406</v>
      </c>
      <c r="K5" s="15" t="s">
        <v>407</v>
      </c>
      <c r="L5" s="15" t="s">
        <v>408</v>
      </c>
    </row>
    <row r="6" spans="1:12">
      <c r="A6" s="23">
        <v>2016</v>
      </c>
      <c r="B6" s="56"/>
      <c r="C6" s="55">
        <f>'T22'!L27</f>
        <v>23475</v>
      </c>
      <c r="D6" s="56">
        <f>(SUM('Source-fte_qualstus_x_servtype'!J8:K9,'Source-fte_qualstus_x_servtype'!J11:K11)+SUM('T22'!J27:K27)+'T22'!I27)*'Source-fte_qualstus_x_servtype'!J25</f>
        <v>27801.674999999999</v>
      </c>
      <c r="E6" s="56"/>
      <c r="F6" s="56"/>
      <c r="G6" s="55">
        <f>'T20'!X130</f>
        <v>31790</v>
      </c>
      <c r="H6" s="56"/>
      <c r="I6" s="56">
        <f>(SUM('Source-fte_qualstus_x_servtype'!K8:K9,'Source-fte_qualstus_x_servtype'!K11)+(SUM('T22'!J27:K27)*0.7)+('T22'!I27*0.7))*'Source-fte_qualstus_x_servtype'!J25</f>
        <v>19333.875</v>
      </c>
      <c r="J6" s="56"/>
      <c r="K6" s="56"/>
      <c r="L6" s="55">
        <f>'T20'!X130</f>
        <v>31790</v>
      </c>
    </row>
    <row r="7" spans="1:12">
      <c r="A7" s="23">
        <v>2017</v>
      </c>
      <c r="B7" s="56"/>
      <c r="C7" s="55">
        <f>'T22'!L28</f>
        <v>23560</v>
      </c>
      <c r="D7" s="56">
        <f>(SUM('Source-fte_qualstus_x_servtype'!L8:M9,'Source-fte_qualstus_x_servtype'!L11:M11)+SUM('T22'!J28:K28)+'T22'!I28)*'Source-fte_qualstus_x_servtype'!J25</f>
        <v>28745.474999999999</v>
      </c>
      <c r="E7" s="56"/>
      <c r="F7" s="56"/>
      <c r="G7" s="55">
        <f>'T20'!X131</f>
        <v>33030</v>
      </c>
      <c r="H7" s="56"/>
      <c r="I7" s="56">
        <f>(SUM('Source-fte_qualstus_x_servtype'!M8:M9,'Source-fte_qualstus_x_servtype'!M11)+(SUM('T22'!J28:K28)*0.7)+('T22'!I28*0.7))*'Source-fte_qualstus_x_servtype'!J25</f>
        <v>19764.524999999998</v>
      </c>
      <c r="J7" s="56"/>
      <c r="K7" s="56"/>
      <c r="L7" s="55">
        <f>'T20'!X131</f>
        <v>33030</v>
      </c>
    </row>
    <row r="8" spans="1:12">
      <c r="A8" s="23">
        <v>2018</v>
      </c>
      <c r="B8" s="56"/>
      <c r="C8" s="55">
        <f>'T22'!L29</f>
        <v>23090</v>
      </c>
      <c r="D8" s="56">
        <f>(SUM('Source-fte_qualstus_x_servtype'!N8:O9,'Source-fte_qualstus_x_servtype'!N11:O11)+SUM('T22'!J29:K29)+'T22'!I29)*'Source-fte_qualstus_x_servtype'!J25</f>
        <v>28744.649999999998</v>
      </c>
      <c r="E8" s="56"/>
      <c r="F8" s="56"/>
      <c r="G8" s="55">
        <f>'T20'!X132</f>
        <v>33550</v>
      </c>
      <c r="H8" s="56"/>
      <c r="I8" s="56">
        <f>(SUM('Source-fte_qualstus_x_servtype'!O8:O9,'Source-fte_qualstus_x_servtype'!O11:O11)+(SUM('T22'!J29:K29)*0.7)+('T22'!I29*0.7))*'Source-fte_qualstus_x_servtype'!J25</f>
        <v>19674.1875</v>
      </c>
      <c r="J8" s="56"/>
      <c r="K8" s="56"/>
      <c r="L8" s="55">
        <f>'T20'!X132</f>
        <v>33550</v>
      </c>
    </row>
    <row r="9" spans="1:12">
      <c r="A9" s="23">
        <v>2019</v>
      </c>
      <c r="B9" s="56"/>
      <c r="C9" s="55">
        <f>'T22'!L30</f>
        <v>22795</v>
      </c>
      <c r="D9" s="56">
        <f>(SUM('Source-fte_qualstus_x_servtype'!P8:Q9,'Source-fte_qualstus_x_servtype'!P11:Q11)+SUM('T22'!J30:K30)+'T22'!I30)*'Source-fte_qualstus_x_servtype'!L25</f>
        <v>29356.095999999998</v>
      </c>
      <c r="E9" s="56"/>
      <c r="F9" s="56"/>
      <c r="G9" s="55">
        <f>'T20'!X133</f>
        <v>34445</v>
      </c>
      <c r="H9" s="56"/>
      <c r="I9" s="56">
        <f>(SUM('Source-fte_qualstus_x_servtype'!Q8:Q9,'Source-fte_qualstus_x_servtype'!Q11)+(SUM('T22'!J30:K30)*0.7)+('T22'!I30*0.7))*'Source-fte_qualstus_x_servtype'!L25</f>
        <v>19974.4944</v>
      </c>
      <c r="J9" s="56"/>
      <c r="K9" s="56"/>
      <c r="L9" s="55">
        <f>'T20'!X133</f>
        <v>34445</v>
      </c>
    </row>
    <row r="10" spans="1:12">
      <c r="A10" s="23">
        <v>2020</v>
      </c>
      <c r="B10" s="56"/>
      <c r="C10" s="55">
        <f>'T22'!L31</f>
        <v>21600</v>
      </c>
      <c r="D10" s="56">
        <f>(SUM('Source-fte_qualstus_x_servtype'!R8:S9,'Source-fte_qualstus_x_servtype'!R11:S11)+SUM('T22'!J31:K31)+'T22'!I31)*'Source-fte_qualstus_x_servtype'!L26</f>
        <v>27973.694800000001</v>
      </c>
      <c r="E10" s="56"/>
      <c r="F10" s="56"/>
      <c r="G10" s="55">
        <f>'T20'!X134</f>
        <v>35505</v>
      </c>
      <c r="H10" s="56"/>
      <c r="I10" s="56">
        <f>(SUM('Source-fte_qualstus_x_servtype'!S8:S9,'Source-fte_qualstus_x_servtype'!S11)+(SUM('T22'!J31:K31)*0.7)+('T22'!I31*0.7))*'Source-fte_qualstus_x_servtype'!L26</f>
        <v>19980.734799999998</v>
      </c>
      <c r="J10" s="56"/>
      <c r="K10" s="56"/>
      <c r="L10" s="55">
        <f>'T20'!X134</f>
        <v>35505</v>
      </c>
    </row>
    <row r="11" spans="1:12">
      <c r="A11" s="23">
        <v>2021</v>
      </c>
      <c r="B11" s="56"/>
      <c r="C11" s="55">
        <f>'T22'!L32</f>
        <v>21975</v>
      </c>
      <c r="D11" s="56">
        <f>(SUM('Source-fte_qualstus_x_servtype'!T8:U9,'Source-fte_qualstus_x_servtype'!T11:U11)+SUM('T22'!J32:K32)+'T22'!I32)*'Source-fte_qualstus_x_servtype'!L27</f>
        <v>30314.481600000003</v>
      </c>
      <c r="E11" s="56"/>
      <c r="F11" s="56"/>
      <c r="G11" s="55">
        <f>'T20'!X135</f>
        <v>35900</v>
      </c>
      <c r="H11" s="56"/>
      <c r="I11" s="56">
        <f>(SUM('Source-fte_qualstus_x_servtype'!U8:U9,'Source-fte_qualstus_x_servtype'!U11)+(SUM('T22'!J32:K32)*0.7)+('T22'!I32*0.7))*'Source-fte_qualstus_x_servtype'!L27</f>
        <v>21237.0324</v>
      </c>
      <c r="J11" s="56"/>
      <c r="K11" s="56"/>
      <c r="L11" s="55">
        <f>'T20'!X135</f>
        <v>35900</v>
      </c>
    </row>
    <row r="12" spans="1:12">
      <c r="A12" s="23">
        <v>2022</v>
      </c>
      <c r="B12" s="56"/>
      <c r="C12" s="55">
        <f>'T22'!L33</f>
        <v>20300</v>
      </c>
      <c r="D12" s="56">
        <f>(SUM('Source-fte_qualstus_x_servtype'!V8:W9,'Source-fte_qualstus_x_servtype'!V11:W11)+SUM('T22'!J33:K33)+'T22'!I33)*'Source-fte_qualstus_x_servtype'!L28</f>
        <v>29942.207400000003</v>
      </c>
      <c r="E12" s="56"/>
      <c r="F12" s="56"/>
      <c r="G12" s="55">
        <f>'T20'!X136</f>
        <v>35905</v>
      </c>
      <c r="H12" s="56"/>
      <c r="I12" s="56">
        <f>(SUM('Source-fte_qualstus_x_servtype'!W8:W9,'Source-fte_qualstus_x_servtype'!W11)+(SUM('T22'!J33:K33)*0.7)+('T22'!I33*0.7))*'Source-fte_qualstus_x_servtype'!L28</f>
        <v>20780.6666</v>
      </c>
      <c r="J12" s="56"/>
      <c r="K12" s="56"/>
      <c r="L12" s="55">
        <f>'T20'!X136</f>
        <v>35905</v>
      </c>
    </row>
    <row r="13" spans="1:12">
      <c r="A13" s="23">
        <v>2023</v>
      </c>
      <c r="B13" s="56"/>
      <c r="C13" s="55">
        <f>'T22'!L34</f>
        <v>21355</v>
      </c>
      <c r="D13" s="56">
        <f>(SUM('Source-fte_qualstus_x_servtype'!X8:Y9,'Source-fte_qualstus_x_servtype'!X11:Y11)+SUM('T22'!J34:K34)+'T22'!I34)*'Source-fte_qualstus_x_servtype'!J26</f>
        <v>31230.531999999999</v>
      </c>
      <c r="E13" s="56"/>
      <c r="F13" s="56"/>
      <c r="G13" s="55">
        <f>'T20'!X137</f>
        <v>35755</v>
      </c>
      <c r="H13" s="56"/>
      <c r="I13" s="56">
        <f>(SUM('Source-fte_qualstus_x_servtype'!Y8:Y9,'Source-fte_qualstus_x_servtype'!Y11)+(SUM('T22'!J34:K34)*0.7)+('T22'!I34*0.7))*'Source-fte_qualstus_x_servtype'!J26</f>
        <v>21608.088</v>
      </c>
      <c r="J13" s="56"/>
      <c r="K13" s="56"/>
      <c r="L13" s="55">
        <f>'T20'!X137</f>
        <v>35755</v>
      </c>
    </row>
    <row r="14" spans="1:12">
      <c r="A14" s="23">
        <v>2024</v>
      </c>
      <c r="B14" s="56">
        <f>D14</f>
        <v>30967.203999999998</v>
      </c>
      <c r="C14" s="55">
        <f>'T22'!L35</f>
        <v>21610</v>
      </c>
      <c r="D14" s="56">
        <f>(SUM('Source-fte_qualstus_x_servtype'!Z8:AA9,'Source-fte_qualstus_x_servtype'!Z11:AA11)+SUM('T22'!J35:K35)+'T22'!I35)*'Source-fte_qualstus_x_servtype'!J26</f>
        <v>30967.203999999998</v>
      </c>
      <c r="E14" s="56">
        <f>D14</f>
        <v>30967.203999999998</v>
      </c>
      <c r="F14" s="56">
        <f>D14</f>
        <v>30967.203999999998</v>
      </c>
      <c r="G14" s="55">
        <f>'T20'!X138</f>
        <v>34815</v>
      </c>
      <c r="H14" s="56">
        <v>21981.98</v>
      </c>
      <c r="I14" s="56">
        <f>(SUM('Source-fte_qualstus_x_servtype'!AA8:AA9,'Source-fte_qualstus_x_servtype'!AA11)+(SUM('T22'!J35:K35)*0.7)+('T22'!I35*0.7))*'Source-fte_qualstus_x_servtype'!J26</f>
        <v>21981.98</v>
      </c>
      <c r="J14" s="56">
        <v>21981.98</v>
      </c>
      <c r="K14" s="56">
        <v>21981.98</v>
      </c>
      <c r="L14" s="55">
        <f>'T20'!X138</f>
        <v>34815</v>
      </c>
    </row>
    <row r="15" spans="1:12">
      <c r="A15" s="23">
        <v>2025</v>
      </c>
      <c r="B15" s="56">
        <f>'T18'!V84</f>
        <v>27865</v>
      </c>
      <c r="C15" s="56"/>
      <c r="D15" s="56"/>
      <c r="E15" s="56">
        <f>'T18'!V98</f>
        <v>29875</v>
      </c>
      <c r="F15" s="56">
        <f>'T18'!V112</f>
        <v>31205</v>
      </c>
      <c r="G15" s="55">
        <f>'T20'!X139</f>
        <v>34380</v>
      </c>
      <c r="H15" s="56">
        <f>'T18'!AE84</f>
        <v>19790</v>
      </c>
      <c r="I15" s="56"/>
      <c r="J15" s="56">
        <f>'T18'!AE98</f>
        <v>21205</v>
      </c>
      <c r="K15" s="56">
        <f>'T18'!AE112</f>
        <v>22155</v>
      </c>
      <c r="L15" s="55">
        <f>'T20'!X139</f>
        <v>34380</v>
      </c>
    </row>
    <row r="16" spans="1:12">
      <c r="A16" s="23">
        <v>2026</v>
      </c>
      <c r="B16" s="56">
        <f>'T18'!V85</f>
        <v>27245</v>
      </c>
      <c r="C16" s="56"/>
      <c r="D16" s="56"/>
      <c r="E16" s="56">
        <f>'T18'!V99</f>
        <v>29400</v>
      </c>
      <c r="F16" s="56">
        <f>'T18'!V113</f>
        <v>30880</v>
      </c>
      <c r="G16" s="55">
        <f>'T20'!X104</f>
        <v>34825</v>
      </c>
      <c r="H16" s="56">
        <f>'T18'!AE85</f>
        <v>19340</v>
      </c>
      <c r="I16" s="56"/>
      <c r="J16" s="56">
        <f>'T18'!AE99</f>
        <v>20875</v>
      </c>
      <c r="K16" s="56">
        <f>'T18'!AE113</f>
        <v>21925</v>
      </c>
      <c r="L16" s="55">
        <f>'T20'!X104</f>
        <v>34825</v>
      </c>
    </row>
    <row r="17" spans="1:12">
      <c r="A17" s="23">
        <v>2027</v>
      </c>
      <c r="B17" s="56">
        <f>'T18'!V86</f>
        <v>26665</v>
      </c>
      <c r="C17" s="56"/>
      <c r="D17" s="56"/>
      <c r="E17" s="56">
        <f>'T18'!V100</f>
        <v>29010</v>
      </c>
      <c r="F17" s="56">
        <f>'T18'!V114</f>
        <v>30700</v>
      </c>
      <c r="G17" s="55">
        <f>'T20'!X105</f>
        <v>34915</v>
      </c>
      <c r="H17" s="56">
        <f>'T18'!AE86</f>
        <v>18935</v>
      </c>
      <c r="I17" s="56"/>
      <c r="J17" s="56">
        <f>'T18'!AE100</f>
        <v>20595</v>
      </c>
      <c r="K17" s="56">
        <f>'T18'!AE114</f>
        <v>21790</v>
      </c>
      <c r="L17" s="55">
        <f>'T20'!X105</f>
        <v>34915</v>
      </c>
    </row>
    <row r="18" spans="1:12">
      <c r="A18" s="23">
        <v>2028</v>
      </c>
      <c r="B18" s="56">
        <f>'T18'!V87</f>
        <v>26665</v>
      </c>
      <c r="C18" s="56"/>
      <c r="D18" s="56"/>
      <c r="E18" s="56">
        <f>'T18'!V101</f>
        <v>29310</v>
      </c>
      <c r="F18" s="56">
        <f>'T18'!V115</f>
        <v>31290</v>
      </c>
      <c r="G18" s="55">
        <f>'T20'!X106</f>
        <v>35060</v>
      </c>
      <c r="H18" s="56">
        <f>'T18'!AE87</f>
        <v>18935</v>
      </c>
      <c r="I18" s="56"/>
      <c r="J18" s="56">
        <f>'T18'!AE101</f>
        <v>20805</v>
      </c>
      <c r="K18" s="56">
        <f>'T18'!AE115</f>
        <v>22210</v>
      </c>
      <c r="L18" s="55">
        <f>'T20'!X106</f>
        <v>35060</v>
      </c>
    </row>
    <row r="19" spans="1:12">
      <c r="A19" s="23">
        <v>2029</v>
      </c>
      <c r="B19" s="56">
        <f>'T18'!V88</f>
        <v>26665</v>
      </c>
      <c r="C19" s="56"/>
      <c r="D19" s="56"/>
      <c r="E19" s="56">
        <f>'T18'!V102</f>
        <v>29615</v>
      </c>
      <c r="F19" s="56">
        <f>'T18'!V116</f>
        <v>31935</v>
      </c>
      <c r="G19" s="55">
        <f>'T20'!X107</f>
        <v>35240</v>
      </c>
      <c r="H19" s="56">
        <f>'T18'!AE88</f>
        <v>18935</v>
      </c>
      <c r="I19" s="56"/>
      <c r="J19" s="56">
        <f>'T18'!AE102</f>
        <v>21025</v>
      </c>
      <c r="K19" s="56">
        <f>'T18'!AE116</f>
        <v>22675</v>
      </c>
      <c r="L19" s="55">
        <f>'T20'!X107</f>
        <v>35240</v>
      </c>
    </row>
    <row r="20" spans="1:12">
      <c r="A20" s="23">
        <v>2030</v>
      </c>
      <c r="B20" s="56">
        <f>'T18'!V89</f>
        <v>26590</v>
      </c>
      <c r="C20" s="56"/>
      <c r="D20" s="56"/>
      <c r="E20" s="56">
        <f>'T18'!V103</f>
        <v>29765</v>
      </c>
      <c r="F20" s="56">
        <f>'T18'!V117</f>
        <v>32365</v>
      </c>
      <c r="G20" s="55">
        <f>'T20'!X108</f>
        <v>35455</v>
      </c>
      <c r="H20" s="56">
        <f>'T18'!AE89</f>
        <v>18875</v>
      </c>
      <c r="I20" s="56"/>
      <c r="J20" s="56">
        <f>'T18'!AE103</f>
        <v>21135</v>
      </c>
      <c r="K20" s="56">
        <f>'T18'!AE117</f>
        <v>22980</v>
      </c>
      <c r="L20" s="55">
        <f>'T20'!X108</f>
        <v>35455</v>
      </c>
    </row>
    <row r="21" spans="1:12">
      <c r="A21" s="23">
        <v>2031</v>
      </c>
      <c r="B21" s="56">
        <f>'T18'!V90</f>
        <v>26530</v>
      </c>
      <c r="C21" s="56"/>
      <c r="D21" s="56"/>
      <c r="E21" s="56">
        <f>'T18'!V104</f>
        <v>29890</v>
      </c>
      <c r="F21" s="56">
        <f>'T18'!V118</f>
        <v>32680</v>
      </c>
      <c r="G21" s="55">
        <f>'T20'!X109</f>
        <v>35725</v>
      </c>
      <c r="H21" s="56">
        <f>'T18'!AE90</f>
        <v>18840</v>
      </c>
      <c r="I21" s="56"/>
      <c r="J21" s="56">
        <f>'T18'!AE104</f>
        <v>21220</v>
      </c>
      <c r="K21" s="56">
        <f>'T18'!AE118</f>
        <v>23205</v>
      </c>
      <c r="L21" s="55">
        <f>'T20'!X109</f>
        <v>35725</v>
      </c>
    </row>
    <row r="22" spans="1:12">
      <c r="A22" s="23">
        <v>2032</v>
      </c>
      <c r="B22" s="56">
        <f>'T18'!V91</f>
        <v>26445</v>
      </c>
      <c r="C22" s="56"/>
      <c r="D22" s="56"/>
      <c r="E22" s="56">
        <f>'T18'!V105</f>
        <v>30015</v>
      </c>
      <c r="F22" s="56">
        <f>'T18'!V119</f>
        <v>33030</v>
      </c>
      <c r="G22" s="55">
        <f>'T20'!X110</f>
        <v>36015</v>
      </c>
      <c r="H22" s="56">
        <f>'T18'!AE91</f>
        <v>18775</v>
      </c>
      <c r="I22" s="56"/>
      <c r="J22" s="56">
        <f>'T18'!AE105</f>
        <v>21310</v>
      </c>
      <c r="K22" s="56">
        <f>'T18'!AE119</f>
        <v>23455</v>
      </c>
      <c r="L22" s="55">
        <f>'T20'!X110</f>
        <v>36015</v>
      </c>
    </row>
    <row r="23" spans="1:12">
      <c r="A23" s="23">
        <v>2033</v>
      </c>
      <c r="B23" s="56">
        <f>'T18'!V92</f>
        <v>26405</v>
      </c>
      <c r="C23" s="56"/>
      <c r="D23" s="56"/>
      <c r="E23" s="56">
        <f>'T18'!V106</f>
        <v>30155</v>
      </c>
      <c r="F23" s="56">
        <f>'T18'!V120</f>
        <v>33365</v>
      </c>
      <c r="G23" s="55">
        <f>'T20'!X111</f>
        <v>36330</v>
      </c>
      <c r="H23" s="56">
        <f>'T18'!AE92</f>
        <v>18745</v>
      </c>
      <c r="I23" s="56"/>
      <c r="J23" s="56">
        <f>'T18'!AE106</f>
        <v>21410</v>
      </c>
      <c r="K23" s="56">
        <f>'T18'!AE120</f>
        <v>23690</v>
      </c>
      <c r="L23" s="55">
        <f>'T20'!X111</f>
        <v>36330</v>
      </c>
    </row>
    <row r="24" spans="1:12">
      <c r="A24" s="23">
        <v>2034</v>
      </c>
      <c r="B24" s="56">
        <f>'T18'!V93</f>
        <v>26395</v>
      </c>
      <c r="C24" s="56"/>
      <c r="D24" s="56"/>
      <c r="E24" s="56">
        <f>'T18'!V107</f>
        <v>30300</v>
      </c>
      <c r="F24" s="56">
        <f>'T18'!V121</f>
        <v>33675</v>
      </c>
      <c r="G24" s="55">
        <f>'T20'!X112</f>
        <v>36675</v>
      </c>
      <c r="H24" s="56">
        <f>'T18'!AE93</f>
        <v>18740</v>
      </c>
      <c r="I24" s="56"/>
      <c r="J24" s="56">
        <f>'T18'!AE107</f>
        <v>21510</v>
      </c>
      <c r="K24" s="56">
        <f>'T18'!AE121</f>
        <v>23905</v>
      </c>
      <c r="L24" s="55">
        <f>'T20'!X112</f>
        <v>36675</v>
      </c>
    </row>
    <row r="25" spans="1:12">
      <c r="A25" s="23">
        <v>2035</v>
      </c>
      <c r="B25" s="56">
        <f>'T18'!V94</f>
        <v>26420</v>
      </c>
      <c r="C25" s="56"/>
      <c r="D25" s="56"/>
      <c r="E25" s="56">
        <f>'T18'!V108</f>
        <v>30470</v>
      </c>
      <c r="F25" s="56">
        <f>'T18'!V122</f>
        <v>33985</v>
      </c>
      <c r="G25" s="55">
        <f>'T20'!X113</f>
        <v>37040</v>
      </c>
      <c r="H25" s="56">
        <f>'T18'!AE94</f>
        <v>18755</v>
      </c>
      <c r="I25" s="56"/>
      <c r="J25" s="56">
        <f>'T18'!AE108</f>
        <v>21635</v>
      </c>
      <c r="K25" s="56">
        <f>'T18'!AE122</f>
        <v>24135</v>
      </c>
      <c r="L25" s="55">
        <f>'T20'!X113</f>
        <v>37040</v>
      </c>
    </row>
  </sheetData>
  <sheetProtection algorithmName="SHA-512" hashValue="nTsu5xyCDZBIpOHGrRrEHnIwj9bxL2kXdXJ1zYlWVqlkVwjtKQf1TcJXGM4AdTRdkzxUCWCViw2HMBKUDFm1dA==" saltValue="mXT7g/fo5YfcQdcdbvqLTw==" spinCount="100000" sheet="1" objects="1" scenarios="1" formatCells="0" formatColumns="0" formatRows="0" insertRows="0" sort="0" autoFilter="0" pivotTables="0"/>
  <mergeCells count="2">
    <mergeCell ref="B4:F4"/>
    <mergeCell ref="H4:K4"/>
  </mergeCells>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61F6E-28FC-477D-B25A-ABFFD0961B1A}">
  <dimension ref="A1:AT4419"/>
  <sheetViews>
    <sheetView workbookViewId="0">
      <selection activeCell="Q13" sqref="Q13"/>
    </sheetView>
  </sheetViews>
  <sheetFormatPr defaultColWidth="8.85546875" defaultRowHeight="14.65"/>
  <sheetData>
    <row r="1" spans="1:1">
      <c r="A1" t="s">
        <v>458</v>
      </c>
    </row>
    <row r="3" spans="1:1">
      <c r="A3" t="s">
        <v>459</v>
      </c>
    </row>
    <row r="4" spans="1:1">
      <c r="A4" t="s">
        <v>460</v>
      </c>
    </row>
    <row r="5" spans="1:1">
      <c r="A5" t="s">
        <v>461</v>
      </c>
    </row>
    <row r="7" spans="1:1">
      <c r="A7" t="s">
        <v>462</v>
      </c>
    </row>
    <row r="9" spans="1:1">
      <c r="A9" t="s">
        <v>463</v>
      </c>
    </row>
    <row r="10" spans="1:1">
      <c r="A10" t="s">
        <v>464</v>
      </c>
    </row>
    <row r="11" spans="1:1">
      <c r="A11" t="s">
        <v>465</v>
      </c>
    </row>
    <row r="12" spans="1:1">
      <c r="A12" t="s">
        <v>466</v>
      </c>
    </row>
    <row r="13" spans="1:1">
      <c r="A13" t="s">
        <v>467</v>
      </c>
    </row>
    <row r="14" spans="1:1">
      <c r="A14" t="s">
        <v>468</v>
      </c>
    </row>
    <row r="17" spans="1:46">
      <c r="A17" t="s">
        <v>469</v>
      </c>
      <c r="B17" t="s">
        <v>470</v>
      </c>
      <c r="C17" t="s">
        <v>471</v>
      </c>
      <c r="D17" t="s">
        <v>472</v>
      </c>
      <c r="E17" t="s">
        <v>473</v>
      </c>
      <c r="F17" t="s">
        <v>474</v>
      </c>
      <c r="G17" t="s">
        <v>475</v>
      </c>
      <c r="H17" t="s">
        <v>280</v>
      </c>
      <c r="I17" t="s">
        <v>476</v>
      </c>
      <c r="J17" t="s">
        <v>477</v>
      </c>
      <c r="K17" t="s">
        <v>478</v>
      </c>
      <c r="L17" t="s">
        <v>479</v>
      </c>
      <c r="M17" t="s">
        <v>480</v>
      </c>
      <c r="N17" t="s">
        <v>481</v>
      </c>
      <c r="O17" t="s">
        <v>482</v>
      </c>
      <c r="P17" t="s">
        <v>483</v>
      </c>
      <c r="Q17" t="s">
        <v>484</v>
      </c>
      <c r="R17" t="s">
        <v>485</v>
      </c>
      <c r="S17" t="s">
        <v>486</v>
      </c>
      <c r="T17" t="s">
        <v>487</v>
      </c>
      <c r="U17" t="s">
        <v>488</v>
      </c>
      <c r="V17" t="s">
        <v>489</v>
      </c>
      <c r="W17" t="s">
        <v>490</v>
      </c>
      <c r="X17" t="s">
        <v>491</v>
      </c>
      <c r="Y17" t="s">
        <v>492</v>
      </c>
      <c r="Z17" t="s">
        <v>493</v>
      </c>
      <c r="AA17" t="s">
        <v>494</v>
      </c>
      <c r="AB17" t="s">
        <v>495</v>
      </c>
      <c r="AC17" t="s">
        <v>496</v>
      </c>
      <c r="AD17" t="s">
        <v>497</v>
      </c>
      <c r="AE17" t="s">
        <v>498</v>
      </c>
      <c r="AF17" t="s">
        <v>499</v>
      </c>
      <c r="AG17" t="s">
        <v>500</v>
      </c>
      <c r="AH17" t="s">
        <v>501</v>
      </c>
      <c r="AI17" t="s">
        <v>502</v>
      </c>
      <c r="AJ17" t="s">
        <v>503</v>
      </c>
      <c r="AK17" t="s">
        <v>504</v>
      </c>
      <c r="AL17" t="s">
        <v>505</v>
      </c>
      <c r="AM17" t="s">
        <v>506</v>
      </c>
      <c r="AN17" t="s">
        <v>507</v>
      </c>
      <c r="AO17" t="s">
        <v>238</v>
      </c>
      <c r="AP17" t="s">
        <v>508</v>
      </c>
      <c r="AQ17" t="s">
        <v>509</v>
      </c>
      <c r="AR17" t="s">
        <v>510</v>
      </c>
      <c r="AS17" t="s">
        <v>511</v>
      </c>
      <c r="AT17" t="s">
        <v>377</v>
      </c>
    </row>
    <row r="19" spans="1:46">
      <c r="A19">
        <v>5001</v>
      </c>
      <c r="B19" t="s">
        <v>512</v>
      </c>
      <c r="C19" t="s">
        <v>513</v>
      </c>
      <c r="D19" t="s">
        <v>514</v>
      </c>
      <c r="E19" t="s">
        <v>515</v>
      </c>
      <c r="G19" t="s">
        <v>516</v>
      </c>
      <c r="H19" t="s">
        <v>517</v>
      </c>
      <c r="J19" t="s">
        <v>518</v>
      </c>
      <c r="K19" t="s">
        <v>519</v>
      </c>
      <c r="M19" t="s">
        <v>520</v>
      </c>
      <c r="N19" t="s">
        <v>521</v>
      </c>
      <c r="O19" t="s">
        <v>522</v>
      </c>
      <c r="P19" t="s">
        <v>523</v>
      </c>
      <c r="Q19" t="s">
        <v>524</v>
      </c>
      <c r="R19" t="s">
        <v>525</v>
      </c>
      <c r="S19" t="s">
        <v>526</v>
      </c>
      <c r="T19" t="s">
        <v>527</v>
      </c>
      <c r="U19">
        <v>100800</v>
      </c>
      <c r="V19" t="s">
        <v>528</v>
      </c>
      <c r="W19" t="s">
        <v>529</v>
      </c>
      <c r="X19" t="s">
        <v>530</v>
      </c>
      <c r="Y19" t="s">
        <v>531</v>
      </c>
      <c r="Z19" t="s">
        <v>532</v>
      </c>
      <c r="AA19" t="s">
        <v>533</v>
      </c>
      <c r="AB19" t="s">
        <v>534</v>
      </c>
      <c r="AE19">
        <v>-35.118228070000001</v>
      </c>
      <c r="AF19">
        <v>173.25856461000001</v>
      </c>
      <c r="AG19">
        <v>30</v>
      </c>
      <c r="AH19">
        <v>0</v>
      </c>
      <c r="AI19">
        <v>0</v>
      </c>
      <c r="AJ19">
        <v>0</v>
      </c>
      <c r="AK19">
        <v>5</v>
      </c>
      <c r="AL19">
        <v>11</v>
      </c>
      <c r="AM19">
        <v>11</v>
      </c>
      <c r="AN19">
        <v>2</v>
      </c>
      <c r="AO19">
        <v>29</v>
      </c>
      <c r="AP19">
        <v>19</v>
      </c>
      <c r="AQ19">
        <v>19</v>
      </c>
      <c r="AR19">
        <v>1</v>
      </c>
      <c r="AS19">
        <v>4</v>
      </c>
      <c r="AT19">
        <v>1</v>
      </c>
    </row>
    <row r="20" spans="1:46">
      <c r="A20">
        <v>5002</v>
      </c>
      <c r="B20" t="s">
        <v>535</v>
      </c>
      <c r="C20" t="s">
        <v>536</v>
      </c>
      <c r="D20" t="s">
        <v>514</v>
      </c>
      <c r="E20" t="s">
        <v>537</v>
      </c>
      <c r="G20" t="s">
        <v>538</v>
      </c>
      <c r="H20" t="s">
        <v>517</v>
      </c>
      <c r="J20" t="s">
        <v>518</v>
      </c>
      <c r="K20" t="s">
        <v>519</v>
      </c>
      <c r="M20" t="s">
        <v>520</v>
      </c>
      <c r="N20" t="s">
        <v>539</v>
      </c>
      <c r="O20" t="s">
        <v>522</v>
      </c>
      <c r="P20" t="s">
        <v>540</v>
      </c>
      <c r="Q20" t="s">
        <v>524</v>
      </c>
      <c r="R20" t="s">
        <v>525</v>
      </c>
      <c r="S20" t="s">
        <v>526</v>
      </c>
      <c r="T20" t="s">
        <v>527</v>
      </c>
      <c r="U20">
        <v>101101</v>
      </c>
      <c r="V20" t="s">
        <v>541</v>
      </c>
      <c r="W20" t="s">
        <v>529</v>
      </c>
      <c r="X20" t="s">
        <v>530</v>
      </c>
      <c r="Y20" t="s">
        <v>531</v>
      </c>
      <c r="Z20" t="s">
        <v>532</v>
      </c>
      <c r="AA20" t="s">
        <v>533</v>
      </c>
      <c r="AB20" t="s">
        <v>534</v>
      </c>
      <c r="AC20">
        <v>99051</v>
      </c>
      <c r="AD20" t="s">
        <v>542</v>
      </c>
      <c r="AE20">
        <v>-34.994477740000001</v>
      </c>
      <c r="AF20">
        <v>173.46472979999999</v>
      </c>
      <c r="AG20">
        <v>30</v>
      </c>
      <c r="AH20">
        <v>0</v>
      </c>
      <c r="AI20">
        <v>0</v>
      </c>
      <c r="AJ20">
        <v>0</v>
      </c>
      <c r="AK20">
        <v>4</v>
      </c>
      <c r="AL20">
        <v>12</v>
      </c>
      <c r="AM20">
        <v>16</v>
      </c>
      <c r="AN20">
        <v>1</v>
      </c>
      <c r="AO20">
        <v>33</v>
      </c>
      <c r="AP20">
        <v>26</v>
      </c>
      <c r="AQ20">
        <v>25</v>
      </c>
      <c r="AR20">
        <v>4</v>
      </c>
      <c r="AS20">
        <v>2</v>
      </c>
      <c r="AT20">
        <v>0</v>
      </c>
    </row>
    <row r="21" spans="1:46">
      <c r="A21">
        <v>5003</v>
      </c>
      <c r="B21" t="s">
        <v>543</v>
      </c>
      <c r="C21" t="s">
        <v>544</v>
      </c>
      <c r="D21" t="s">
        <v>514</v>
      </c>
      <c r="E21" t="s">
        <v>545</v>
      </c>
      <c r="G21" t="s">
        <v>516</v>
      </c>
      <c r="H21" t="s">
        <v>517</v>
      </c>
      <c r="J21" t="s">
        <v>518</v>
      </c>
      <c r="K21" t="s">
        <v>519</v>
      </c>
      <c r="M21" t="s">
        <v>520</v>
      </c>
      <c r="N21" t="s">
        <v>539</v>
      </c>
      <c r="O21" t="s">
        <v>522</v>
      </c>
      <c r="P21" t="s">
        <v>523</v>
      </c>
      <c r="Q21" t="s">
        <v>524</v>
      </c>
      <c r="R21" t="s">
        <v>525</v>
      </c>
      <c r="S21" t="s">
        <v>526</v>
      </c>
      <c r="T21" t="s">
        <v>527</v>
      </c>
      <c r="U21">
        <v>100700</v>
      </c>
      <c r="V21" t="s">
        <v>546</v>
      </c>
      <c r="W21" t="s">
        <v>529</v>
      </c>
      <c r="X21" t="s">
        <v>530</v>
      </c>
      <c r="Y21" t="s">
        <v>531</v>
      </c>
      <c r="Z21" t="s">
        <v>532</v>
      </c>
      <c r="AA21" t="s">
        <v>533</v>
      </c>
      <c r="AB21" t="s">
        <v>534</v>
      </c>
      <c r="AE21">
        <v>-35.116079929999998</v>
      </c>
      <c r="AF21">
        <v>173.27068539000001</v>
      </c>
      <c r="AG21">
        <v>30</v>
      </c>
      <c r="AH21">
        <v>0</v>
      </c>
      <c r="AI21">
        <v>0</v>
      </c>
      <c r="AJ21">
        <v>0</v>
      </c>
      <c r="AK21">
        <v>3</v>
      </c>
      <c r="AL21">
        <v>8</v>
      </c>
      <c r="AM21">
        <v>10</v>
      </c>
      <c r="AN21">
        <v>2</v>
      </c>
      <c r="AO21">
        <v>23</v>
      </c>
      <c r="AP21">
        <v>12</v>
      </c>
      <c r="AQ21">
        <v>17</v>
      </c>
      <c r="AR21">
        <v>4</v>
      </c>
      <c r="AS21">
        <v>0</v>
      </c>
      <c r="AT21">
        <v>0</v>
      </c>
    </row>
    <row r="22" spans="1:46">
      <c r="A22">
        <v>5004</v>
      </c>
      <c r="B22" t="s">
        <v>547</v>
      </c>
      <c r="C22" t="s">
        <v>548</v>
      </c>
      <c r="D22" t="s">
        <v>514</v>
      </c>
      <c r="E22" t="s">
        <v>549</v>
      </c>
      <c r="G22" t="s">
        <v>550</v>
      </c>
      <c r="H22" t="s">
        <v>517</v>
      </c>
      <c r="J22" t="s">
        <v>518</v>
      </c>
      <c r="K22" t="s">
        <v>519</v>
      </c>
      <c r="M22" t="s">
        <v>520</v>
      </c>
      <c r="N22" t="s">
        <v>521</v>
      </c>
      <c r="O22" t="s">
        <v>522</v>
      </c>
      <c r="P22" t="s">
        <v>523</v>
      </c>
      <c r="Q22" t="s">
        <v>524</v>
      </c>
      <c r="R22" t="s">
        <v>525</v>
      </c>
      <c r="S22" t="s">
        <v>526</v>
      </c>
      <c r="T22" t="s">
        <v>527</v>
      </c>
      <c r="U22">
        <v>103501</v>
      </c>
      <c r="V22" t="s">
        <v>550</v>
      </c>
      <c r="W22" t="s">
        <v>551</v>
      </c>
      <c r="X22" t="s">
        <v>530</v>
      </c>
      <c r="Y22" t="s">
        <v>531</v>
      </c>
      <c r="Z22" t="s">
        <v>532</v>
      </c>
      <c r="AA22" t="s">
        <v>533</v>
      </c>
      <c r="AB22" t="s">
        <v>534</v>
      </c>
      <c r="AC22">
        <v>99060</v>
      </c>
      <c r="AD22" t="s">
        <v>552</v>
      </c>
      <c r="AE22">
        <v>-35.405553130000001</v>
      </c>
      <c r="AF22">
        <v>173.79640947999999</v>
      </c>
      <c r="AG22">
        <v>30</v>
      </c>
      <c r="AH22">
        <v>0</v>
      </c>
      <c r="AI22">
        <v>0</v>
      </c>
      <c r="AJ22">
        <v>0</v>
      </c>
      <c r="AK22">
        <v>6</v>
      </c>
      <c r="AL22">
        <v>7</v>
      </c>
      <c r="AM22">
        <v>12</v>
      </c>
      <c r="AN22">
        <v>2</v>
      </c>
      <c r="AO22">
        <v>27</v>
      </c>
      <c r="AP22">
        <v>13</v>
      </c>
      <c r="AQ22">
        <v>23</v>
      </c>
      <c r="AR22">
        <v>3</v>
      </c>
      <c r="AS22">
        <v>2</v>
      </c>
      <c r="AT22">
        <v>0</v>
      </c>
    </row>
    <row r="23" spans="1:46">
      <c r="A23">
        <v>5006</v>
      </c>
      <c r="B23" t="s">
        <v>553</v>
      </c>
      <c r="C23" t="s">
        <v>554</v>
      </c>
      <c r="D23" t="s">
        <v>514</v>
      </c>
      <c r="E23" t="s">
        <v>555</v>
      </c>
      <c r="G23" t="s">
        <v>556</v>
      </c>
      <c r="H23" t="s">
        <v>517</v>
      </c>
      <c r="J23" t="s">
        <v>518</v>
      </c>
      <c r="K23" t="s">
        <v>519</v>
      </c>
      <c r="M23" t="s">
        <v>520</v>
      </c>
      <c r="N23" t="s">
        <v>557</v>
      </c>
      <c r="O23" t="s">
        <v>522</v>
      </c>
      <c r="P23" t="s">
        <v>523</v>
      </c>
      <c r="Q23" t="s">
        <v>524</v>
      </c>
      <c r="R23" t="s">
        <v>525</v>
      </c>
      <c r="S23" t="s">
        <v>526</v>
      </c>
      <c r="T23" t="s">
        <v>527</v>
      </c>
      <c r="U23">
        <v>103900</v>
      </c>
      <c r="V23" t="s">
        <v>556</v>
      </c>
      <c r="W23" t="s">
        <v>558</v>
      </c>
      <c r="X23" t="s">
        <v>530</v>
      </c>
      <c r="Y23" t="s">
        <v>531</v>
      </c>
      <c r="Z23" t="s">
        <v>532</v>
      </c>
      <c r="AA23" t="s">
        <v>533</v>
      </c>
      <c r="AB23" t="s">
        <v>534</v>
      </c>
      <c r="AC23">
        <v>99117</v>
      </c>
      <c r="AD23" t="s">
        <v>559</v>
      </c>
      <c r="AE23">
        <v>-35.278120569999999</v>
      </c>
      <c r="AF23">
        <v>174.081808</v>
      </c>
      <c r="AG23">
        <v>30</v>
      </c>
      <c r="AH23">
        <v>0</v>
      </c>
      <c r="AI23">
        <v>0</v>
      </c>
      <c r="AJ23">
        <v>0</v>
      </c>
      <c r="AK23">
        <v>5</v>
      </c>
      <c r="AL23">
        <v>12</v>
      </c>
      <c r="AM23">
        <v>5</v>
      </c>
      <c r="AN23">
        <v>0</v>
      </c>
      <c r="AO23">
        <v>22</v>
      </c>
      <c r="AP23">
        <v>13</v>
      </c>
      <c r="AQ23">
        <v>10</v>
      </c>
      <c r="AR23">
        <v>1</v>
      </c>
      <c r="AS23">
        <v>2</v>
      </c>
      <c r="AT23">
        <v>0</v>
      </c>
    </row>
    <row r="24" spans="1:46">
      <c r="A24">
        <v>5007</v>
      </c>
      <c r="B24" t="s">
        <v>560</v>
      </c>
      <c r="C24" t="s">
        <v>561</v>
      </c>
      <c r="D24" t="s">
        <v>514</v>
      </c>
      <c r="E24" t="s">
        <v>562</v>
      </c>
      <c r="G24" t="s">
        <v>563</v>
      </c>
      <c r="H24" t="s">
        <v>517</v>
      </c>
      <c r="J24" t="s">
        <v>518</v>
      </c>
      <c r="K24" t="s">
        <v>519</v>
      </c>
      <c r="M24" t="s">
        <v>520</v>
      </c>
      <c r="N24" t="s">
        <v>557</v>
      </c>
      <c r="O24" t="s">
        <v>564</v>
      </c>
      <c r="P24" t="s">
        <v>523</v>
      </c>
      <c r="Q24" t="s">
        <v>524</v>
      </c>
      <c r="R24" t="s">
        <v>525</v>
      </c>
      <c r="S24" t="s">
        <v>526</v>
      </c>
      <c r="T24" t="s">
        <v>527</v>
      </c>
      <c r="U24">
        <v>109301</v>
      </c>
      <c r="V24" t="s">
        <v>563</v>
      </c>
      <c r="W24" t="s">
        <v>565</v>
      </c>
      <c r="X24" t="s">
        <v>530</v>
      </c>
      <c r="Y24" t="s">
        <v>531</v>
      </c>
      <c r="Z24" t="s">
        <v>532</v>
      </c>
      <c r="AA24" t="s">
        <v>533</v>
      </c>
      <c r="AB24" t="s">
        <v>534</v>
      </c>
      <c r="AC24">
        <v>99185</v>
      </c>
      <c r="AD24" t="s">
        <v>566</v>
      </c>
      <c r="AE24">
        <v>-35.939804240000001</v>
      </c>
      <c r="AF24">
        <v>173.86832663000001</v>
      </c>
      <c r="AG24">
        <v>40</v>
      </c>
      <c r="AH24">
        <v>0</v>
      </c>
      <c r="AI24">
        <v>0</v>
      </c>
      <c r="AJ24">
        <v>0</v>
      </c>
      <c r="AK24">
        <v>0</v>
      </c>
      <c r="AL24">
        <v>9</v>
      </c>
      <c r="AM24">
        <v>34</v>
      </c>
      <c r="AN24">
        <v>2</v>
      </c>
      <c r="AO24">
        <v>45</v>
      </c>
      <c r="AP24">
        <v>41</v>
      </c>
      <c r="AQ24">
        <v>22</v>
      </c>
      <c r="AR24">
        <v>6</v>
      </c>
      <c r="AS24">
        <v>2</v>
      </c>
      <c r="AT24">
        <v>0</v>
      </c>
    </row>
    <row r="25" spans="1:46">
      <c r="A25">
        <v>5008</v>
      </c>
      <c r="B25" t="s">
        <v>567</v>
      </c>
      <c r="C25" t="s">
        <v>568</v>
      </c>
      <c r="D25" t="s">
        <v>514</v>
      </c>
      <c r="E25" t="s">
        <v>569</v>
      </c>
      <c r="G25" t="s">
        <v>570</v>
      </c>
      <c r="H25" t="s">
        <v>517</v>
      </c>
      <c r="J25" t="s">
        <v>518</v>
      </c>
      <c r="K25" t="s">
        <v>519</v>
      </c>
      <c r="M25" t="s">
        <v>520</v>
      </c>
      <c r="N25" t="s">
        <v>571</v>
      </c>
      <c r="O25" t="s">
        <v>564</v>
      </c>
      <c r="P25" t="s">
        <v>572</v>
      </c>
      <c r="Q25" t="s">
        <v>524</v>
      </c>
      <c r="R25" t="s">
        <v>525</v>
      </c>
      <c r="S25" t="s">
        <v>526</v>
      </c>
      <c r="T25" t="s">
        <v>527</v>
      </c>
      <c r="U25">
        <v>109400</v>
      </c>
      <c r="V25" t="s">
        <v>573</v>
      </c>
      <c r="W25" t="s">
        <v>574</v>
      </c>
      <c r="X25" t="s">
        <v>530</v>
      </c>
      <c r="Y25" t="s">
        <v>531</v>
      </c>
      <c r="Z25" t="s">
        <v>532</v>
      </c>
      <c r="AA25" t="s">
        <v>533</v>
      </c>
      <c r="AB25" t="s">
        <v>534</v>
      </c>
      <c r="AC25">
        <v>99185</v>
      </c>
      <c r="AD25" t="s">
        <v>566</v>
      </c>
      <c r="AE25">
        <v>-36.122211929999999</v>
      </c>
      <c r="AF25">
        <v>174.01140158999999</v>
      </c>
      <c r="AG25">
        <v>40</v>
      </c>
      <c r="AH25">
        <v>0</v>
      </c>
      <c r="AI25">
        <v>0</v>
      </c>
      <c r="AJ25">
        <v>0</v>
      </c>
      <c r="AK25">
        <v>8</v>
      </c>
      <c r="AL25">
        <v>22</v>
      </c>
      <c r="AM25">
        <v>21</v>
      </c>
      <c r="AN25">
        <v>1</v>
      </c>
      <c r="AO25">
        <v>52</v>
      </c>
      <c r="AP25">
        <v>48</v>
      </c>
      <c r="AQ25">
        <v>14</v>
      </c>
      <c r="AR25">
        <v>5</v>
      </c>
      <c r="AS25">
        <v>0</v>
      </c>
      <c r="AT25">
        <v>0</v>
      </c>
    </row>
    <row r="26" spans="1:46">
      <c r="A26">
        <v>5009</v>
      </c>
      <c r="B26" t="s">
        <v>575</v>
      </c>
      <c r="C26" t="s">
        <v>576</v>
      </c>
      <c r="D26" t="s">
        <v>514</v>
      </c>
      <c r="E26" t="s">
        <v>577</v>
      </c>
      <c r="G26" t="s">
        <v>563</v>
      </c>
      <c r="H26" t="s">
        <v>517</v>
      </c>
      <c r="J26" t="s">
        <v>518</v>
      </c>
      <c r="K26" t="s">
        <v>519</v>
      </c>
      <c r="M26" t="s">
        <v>520</v>
      </c>
      <c r="N26" t="s">
        <v>521</v>
      </c>
      <c r="O26" t="s">
        <v>564</v>
      </c>
      <c r="P26" t="s">
        <v>523</v>
      </c>
      <c r="Q26" t="s">
        <v>524</v>
      </c>
      <c r="R26" t="s">
        <v>525</v>
      </c>
      <c r="S26" t="s">
        <v>526</v>
      </c>
      <c r="T26" t="s">
        <v>527</v>
      </c>
      <c r="U26">
        <v>109301</v>
      </c>
      <c r="V26" t="s">
        <v>563</v>
      </c>
      <c r="W26" t="s">
        <v>565</v>
      </c>
      <c r="X26" t="s">
        <v>530</v>
      </c>
      <c r="Y26" t="s">
        <v>531</v>
      </c>
      <c r="Z26" t="s">
        <v>532</v>
      </c>
      <c r="AA26" t="s">
        <v>533</v>
      </c>
      <c r="AB26" t="s">
        <v>534</v>
      </c>
      <c r="AC26">
        <v>99185</v>
      </c>
      <c r="AD26" t="s">
        <v>566</v>
      </c>
      <c r="AE26">
        <v>-35.933170169999997</v>
      </c>
      <c r="AF26">
        <v>173.87502228</v>
      </c>
      <c r="AG26">
        <v>30</v>
      </c>
      <c r="AH26">
        <v>0</v>
      </c>
      <c r="AI26">
        <v>0</v>
      </c>
      <c r="AJ26">
        <v>0</v>
      </c>
      <c r="AK26">
        <v>0</v>
      </c>
      <c r="AL26">
        <v>10</v>
      </c>
      <c r="AM26">
        <v>14</v>
      </c>
      <c r="AN26">
        <v>0</v>
      </c>
      <c r="AO26">
        <v>24</v>
      </c>
      <c r="AP26">
        <v>11</v>
      </c>
      <c r="AQ26">
        <v>18</v>
      </c>
      <c r="AR26">
        <v>3</v>
      </c>
      <c r="AS26">
        <v>2</v>
      </c>
      <c r="AT26">
        <v>0</v>
      </c>
    </row>
    <row r="27" spans="1:46">
      <c r="A27">
        <v>5010</v>
      </c>
      <c r="B27" t="s">
        <v>578</v>
      </c>
      <c r="C27" t="s">
        <v>579</v>
      </c>
      <c r="D27" t="s">
        <v>514</v>
      </c>
      <c r="E27" t="s">
        <v>580</v>
      </c>
      <c r="F27" t="s">
        <v>581</v>
      </c>
      <c r="G27" t="s">
        <v>582</v>
      </c>
      <c r="H27" t="s">
        <v>517</v>
      </c>
      <c r="J27" t="s">
        <v>518</v>
      </c>
      <c r="K27" t="s">
        <v>519</v>
      </c>
      <c r="M27" t="s">
        <v>520</v>
      </c>
      <c r="N27" t="s">
        <v>557</v>
      </c>
      <c r="O27" t="s">
        <v>583</v>
      </c>
      <c r="P27" t="s">
        <v>584</v>
      </c>
      <c r="Q27" t="s">
        <v>524</v>
      </c>
      <c r="R27" t="s">
        <v>525</v>
      </c>
      <c r="S27" t="s">
        <v>585</v>
      </c>
      <c r="T27" t="s">
        <v>527</v>
      </c>
      <c r="U27">
        <v>106201</v>
      </c>
      <c r="V27" t="s">
        <v>586</v>
      </c>
      <c r="W27" t="s">
        <v>587</v>
      </c>
      <c r="X27" t="s">
        <v>530</v>
      </c>
      <c r="Y27" t="s">
        <v>531</v>
      </c>
      <c r="Z27" t="s">
        <v>532</v>
      </c>
      <c r="AA27" t="s">
        <v>533</v>
      </c>
      <c r="AB27" t="s">
        <v>534</v>
      </c>
      <c r="AC27">
        <v>99182</v>
      </c>
      <c r="AD27" t="s">
        <v>588</v>
      </c>
      <c r="AE27">
        <v>-35.684404139999998</v>
      </c>
      <c r="AF27">
        <v>174.33005427000001</v>
      </c>
      <c r="AG27">
        <v>40</v>
      </c>
      <c r="AH27">
        <v>0</v>
      </c>
      <c r="AI27">
        <v>0</v>
      </c>
      <c r="AJ27">
        <v>0</v>
      </c>
      <c r="AK27">
        <v>2</v>
      </c>
      <c r="AL27">
        <v>20</v>
      </c>
      <c r="AM27">
        <v>23</v>
      </c>
      <c r="AN27">
        <v>2</v>
      </c>
      <c r="AO27">
        <v>47</v>
      </c>
      <c r="AP27">
        <v>26</v>
      </c>
      <c r="AQ27">
        <v>27</v>
      </c>
      <c r="AR27">
        <v>3</v>
      </c>
      <c r="AS27">
        <v>3</v>
      </c>
      <c r="AT27">
        <v>2</v>
      </c>
    </row>
    <row r="28" spans="1:46">
      <c r="A28">
        <v>5011</v>
      </c>
      <c r="B28" t="s">
        <v>589</v>
      </c>
      <c r="C28" t="s">
        <v>590</v>
      </c>
      <c r="D28" t="s">
        <v>514</v>
      </c>
      <c r="E28" t="s">
        <v>591</v>
      </c>
      <c r="F28" t="s">
        <v>592</v>
      </c>
      <c r="G28" t="s">
        <v>582</v>
      </c>
      <c r="H28" t="s">
        <v>517</v>
      </c>
      <c r="J28" t="s">
        <v>518</v>
      </c>
      <c r="K28" t="s">
        <v>519</v>
      </c>
      <c r="M28" t="s">
        <v>520</v>
      </c>
      <c r="N28" t="s">
        <v>557</v>
      </c>
      <c r="O28" t="s">
        <v>583</v>
      </c>
      <c r="P28" t="s">
        <v>584</v>
      </c>
      <c r="Q28" t="s">
        <v>524</v>
      </c>
      <c r="R28" t="s">
        <v>525</v>
      </c>
      <c r="S28" t="s">
        <v>585</v>
      </c>
      <c r="T28" t="s">
        <v>527</v>
      </c>
      <c r="U28">
        <v>107000</v>
      </c>
      <c r="V28" t="s">
        <v>593</v>
      </c>
      <c r="W28" t="s">
        <v>587</v>
      </c>
      <c r="X28" t="s">
        <v>530</v>
      </c>
      <c r="Y28" t="s">
        <v>531</v>
      </c>
      <c r="Z28" t="s">
        <v>532</v>
      </c>
      <c r="AA28" t="s">
        <v>533</v>
      </c>
      <c r="AB28" t="s">
        <v>534</v>
      </c>
      <c r="AC28">
        <v>99181</v>
      </c>
      <c r="AD28" t="s">
        <v>594</v>
      </c>
      <c r="AE28">
        <v>-35.729124220000003</v>
      </c>
      <c r="AF28">
        <v>174.313153</v>
      </c>
      <c r="AG28">
        <v>40</v>
      </c>
      <c r="AH28">
        <v>0</v>
      </c>
      <c r="AI28">
        <v>0</v>
      </c>
      <c r="AJ28">
        <v>0</v>
      </c>
      <c r="AK28">
        <v>4</v>
      </c>
      <c r="AL28">
        <v>14</v>
      </c>
      <c r="AM28">
        <v>27</v>
      </c>
      <c r="AN28">
        <v>0</v>
      </c>
      <c r="AO28">
        <v>45</v>
      </c>
      <c r="AP28">
        <v>23</v>
      </c>
      <c r="AQ28">
        <v>13</v>
      </c>
      <c r="AR28">
        <v>2</v>
      </c>
      <c r="AS28">
        <v>16</v>
      </c>
      <c r="AT28">
        <v>1</v>
      </c>
    </row>
    <row r="29" spans="1:46">
      <c r="A29">
        <v>5012</v>
      </c>
      <c r="B29" t="s">
        <v>595</v>
      </c>
      <c r="C29" t="s">
        <v>596</v>
      </c>
      <c r="D29" t="s">
        <v>514</v>
      </c>
      <c r="E29" t="s">
        <v>597</v>
      </c>
      <c r="F29" t="s">
        <v>532</v>
      </c>
      <c r="G29" t="s">
        <v>582</v>
      </c>
      <c r="H29" t="s">
        <v>517</v>
      </c>
      <c r="J29" t="s">
        <v>518</v>
      </c>
      <c r="K29" t="s">
        <v>519</v>
      </c>
      <c r="M29" t="s">
        <v>520</v>
      </c>
      <c r="N29" t="s">
        <v>557</v>
      </c>
      <c r="O29" t="s">
        <v>583</v>
      </c>
      <c r="P29" t="s">
        <v>584</v>
      </c>
      <c r="Q29" t="s">
        <v>524</v>
      </c>
      <c r="R29" t="s">
        <v>525</v>
      </c>
      <c r="S29" t="s">
        <v>585</v>
      </c>
      <c r="T29" t="s">
        <v>527</v>
      </c>
      <c r="U29">
        <v>106000</v>
      </c>
      <c r="V29" t="s">
        <v>598</v>
      </c>
      <c r="W29" t="s">
        <v>587</v>
      </c>
      <c r="X29" t="s">
        <v>530</v>
      </c>
      <c r="Y29" t="s">
        <v>531</v>
      </c>
      <c r="Z29" t="s">
        <v>532</v>
      </c>
      <c r="AA29" t="s">
        <v>533</v>
      </c>
      <c r="AB29" t="s">
        <v>534</v>
      </c>
      <c r="AC29">
        <v>99182</v>
      </c>
      <c r="AD29" t="s">
        <v>588</v>
      </c>
      <c r="AE29">
        <v>-35.681472050000004</v>
      </c>
      <c r="AF29">
        <v>174.30435188000001</v>
      </c>
      <c r="AG29">
        <v>30</v>
      </c>
      <c r="AH29">
        <v>0</v>
      </c>
      <c r="AI29">
        <v>0</v>
      </c>
      <c r="AJ29">
        <v>0</v>
      </c>
      <c r="AK29">
        <v>7</v>
      </c>
      <c r="AL29">
        <v>13</v>
      </c>
      <c r="AM29">
        <v>8</v>
      </c>
      <c r="AN29">
        <v>3</v>
      </c>
      <c r="AO29">
        <v>31</v>
      </c>
      <c r="AP29">
        <v>23</v>
      </c>
      <c r="AQ29">
        <v>15</v>
      </c>
      <c r="AR29">
        <v>5</v>
      </c>
      <c r="AS29">
        <v>5</v>
      </c>
      <c r="AT29">
        <v>3</v>
      </c>
    </row>
    <row r="30" spans="1:46">
      <c r="A30">
        <v>5013</v>
      </c>
      <c r="B30" t="s">
        <v>599</v>
      </c>
      <c r="C30" t="s">
        <v>600</v>
      </c>
      <c r="D30" t="s">
        <v>514</v>
      </c>
      <c r="E30" t="s">
        <v>601</v>
      </c>
      <c r="F30" t="s">
        <v>602</v>
      </c>
      <c r="G30" t="s">
        <v>582</v>
      </c>
      <c r="H30" t="s">
        <v>517</v>
      </c>
      <c r="J30" t="s">
        <v>518</v>
      </c>
      <c r="K30" t="s">
        <v>519</v>
      </c>
      <c r="M30" t="s">
        <v>520</v>
      </c>
      <c r="N30" t="s">
        <v>571</v>
      </c>
      <c r="O30" t="s">
        <v>583</v>
      </c>
      <c r="P30" t="s">
        <v>584</v>
      </c>
      <c r="Q30" t="s">
        <v>524</v>
      </c>
      <c r="R30" t="s">
        <v>525</v>
      </c>
      <c r="S30" t="s">
        <v>585</v>
      </c>
      <c r="T30" t="s">
        <v>527</v>
      </c>
      <c r="U30">
        <v>106800</v>
      </c>
      <c r="V30" t="s">
        <v>602</v>
      </c>
      <c r="W30" t="s">
        <v>587</v>
      </c>
      <c r="X30" t="s">
        <v>530</v>
      </c>
      <c r="Y30" t="s">
        <v>531</v>
      </c>
      <c r="Z30" t="s">
        <v>532</v>
      </c>
      <c r="AA30" t="s">
        <v>533</v>
      </c>
      <c r="AB30" t="s">
        <v>534</v>
      </c>
      <c r="AC30">
        <v>99181</v>
      </c>
      <c r="AD30" t="s">
        <v>594</v>
      </c>
      <c r="AE30">
        <v>-35.70637172</v>
      </c>
      <c r="AF30">
        <v>174.32298917</v>
      </c>
      <c r="AG30">
        <v>40</v>
      </c>
      <c r="AH30">
        <v>0</v>
      </c>
      <c r="AI30">
        <v>0</v>
      </c>
      <c r="AJ30">
        <v>0</v>
      </c>
      <c r="AK30">
        <v>9</v>
      </c>
      <c r="AL30">
        <v>20</v>
      </c>
      <c r="AM30">
        <v>17</v>
      </c>
      <c r="AN30">
        <v>3</v>
      </c>
      <c r="AO30">
        <v>49</v>
      </c>
      <c r="AP30">
        <v>42</v>
      </c>
      <c r="AQ30">
        <v>14</v>
      </c>
      <c r="AR30">
        <v>1</v>
      </c>
      <c r="AS30">
        <v>6</v>
      </c>
      <c r="AT30">
        <v>3</v>
      </c>
    </row>
    <row r="31" spans="1:46">
      <c r="A31">
        <v>5014</v>
      </c>
      <c r="B31" t="s">
        <v>603</v>
      </c>
      <c r="C31" t="s">
        <v>604</v>
      </c>
      <c r="D31" t="s">
        <v>514</v>
      </c>
      <c r="E31" t="s">
        <v>605</v>
      </c>
      <c r="F31" t="s">
        <v>606</v>
      </c>
      <c r="G31" t="s">
        <v>582</v>
      </c>
      <c r="H31" t="s">
        <v>517</v>
      </c>
      <c r="J31" t="s">
        <v>518</v>
      </c>
      <c r="K31" t="s">
        <v>519</v>
      </c>
      <c r="M31" t="s">
        <v>520</v>
      </c>
      <c r="N31" t="s">
        <v>557</v>
      </c>
      <c r="O31" t="s">
        <v>583</v>
      </c>
      <c r="P31" t="s">
        <v>584</v>
      </c>
      <c r="Q31" t="s">
        <v>524</v>
      </c>
      <c r="R31" t="s">
        <v>525</v>
      </c>
      <c r="S31" t="s">
        <v>585</v>
      </c>
      <c r="T31" t="s">
        <v>527</v>
      </c>
      <c r="U31">
        <v>108100</v>
      </c>
      <c r="V31" t="s">
        <v>607</v>
      </c>
      <c r="W31" t="s">
        <v>587</v>
      </c>
      <c r="X31" t="s">
        <v>530</v>
      </c>
      <c r="Y31" t="s">
        <v>531</v>
      </c>
      <c r="Z31" t="s">
        <v>532</v>
      </c>
      <c r="AA31" t="s">
        <v>533</v>
      </c>
      <c r="AB31" t="s">
        <v>534</v>
      </c>
      <c r="AC31">
        <v>99181</v>
      </c>
      <c r="AD31" t="s">
        <v>594</v>
      </c>
      <c r="AE31">
        <v>-35.75174526</v>
      </c>
      <c r="AF31">
        <v>174.37148438</v>
      </c>
      <c r="AG31">
        <v>40</v>
      </c>
      <c r="AH31">
        <v>0</v>
      </c>
      <c r="AI31">
        <v>0</v>
      </c>
      <c r="AJ31">
        <v>0</v>
      </c>
      <c r="AK31">
        <v>3</v>
      </c>
      <c r="AL31">
        <v>17</v>
      </c>
      <c r="AM31">
        <v>28</v>
      </c>
      <c r="AN31">
        <v>3</v>
      </c>
      <c r="AO31">
        <v>51</v>
      </c>
      <c r="AP31">
        <v>34</v>
      </c>
      <c r="AQ31">
        <v>21</v>
      </c>
      <c r="AR31">
        <v>4</v>
      </c>
      <c r="AS31">
        <v>4</v>
      </c>
      <c r="AT31">
        <v>1</v>
      </c>
    </row>
    <row r="32" spans="1:46">
      <c r="A32">
        <v>5015</v>
      </c>
      <c r="B32" t="s">
        <v>608</v>
      </c>
      <c r="C32" t="s">
        <v>609</v>
      </c>
      <c r="D32" t="s">
        <v>514</v>
      </c>
      <c r="E32" t="s">
        <v>610</v>
      </c>
      <c r="G32" t="s">
        <v>611</v>
      </c>
      <c r="H32" t="s">
        <v>517</v>
      </c>
      <c r="J32" t="s">
        <v>518</v>
      </c>
      <c r="K32" t="s">
        <v>519</v>
      </c>
      <c r="M32" t="s">
        <v>520</v>
      </c>
      <c r="N32" t="s">
        <v>557</v>
      </c>
      <c r="O32" t="s">
        <v>583</v>
      </c>
      <c r="P32" t="s">
        <v>523</v>
      </c>
      <c r="Q32" t="s">
        <v>524</v>
      </c>
      <c r="R32" t="s">
        <v>525</v>
      </c>
      <c r="S32" t="s">
        <v>585</v>
      </c>
      <c r="T32" t="s">
        <v>527</v>
      </c>
      <c r="U32">
        <v>105200</v>
      </c>
      <c r="V32" t="s">
        <v>611</v>
      </c>
      <c r="W32" t="s">
        <v>612</v>
      </c>
      <c r="X32" t="s">
        <v>530</v>
      </c>
      <c r="Y32" t="s">
        <v>531</v>
      </c>
      <c r="Z32" t="s">
        <v>532</v>
      </c>
      <c r="AA32" t="s">
        <v>533</v>
      </c>
      <c r="AB32" t="s">
        <v>534</v>
      </c>
      <c r="AC32">
        <v>99182</v>
      </c>
      <c r="AD32" t="s">
        <v>588</v>
      </c>
      <c r="AE32">
        <v>-35.60203834</v>
      </c>
      <c r="AF32">
        <v>174.28657496</v>
      </c>
      <c r="AG32">
        <v>30</v>
      </c>
      <c r="AH32">
        <v>0</v>
      </c>
      <c r="AI32">
        <v>0</v>
      </c>
      <c r="AJ32">
        <v>0</v>
      </c>
      <c r="AK32">
        <v>8</v>
      </c>
      <c r="AL32">
        <v>11</v>
      </c>
      <c r="AM32">
        <v>15</v>
      </c>
      <c r="AN32">
        <v>1</v>
      </c>
      <c r="AO32">
        <v>35</v>
      </c>
      <c r="AP32">
        <v>21</v>
      </c>
      <c r="AQ32">
        <v>18</v>
      </c>
      <c r="AR32">
        <v>2</v>
      </c>
      <c r="AS32">
        <v>1</v>
      </c>
      <c r="AT32">
        <v>4</v>
      </c>
    </row>
    <row r="33" spans="1:46">
      <c r="A33">
        <v>5016</v>
      </c>
      <c r="B33" t="s">
        <v>613</v>
      </c>
      <c r="C33" t="s">
        <v>614</v>
      </c>
      <c r="D33" t="s">
        <v>514</v>
      </c>
      <c r="E33" t="s">
        <v>615</v>
      </c>
      <c r="G33" t="s">
        <v>616</v>
      </c>
      <c r="H33" t="s">
        <v>517</v>
      </c>
      <c r="J33" t="s">
        <v>518</v>
      </c>
      <c r="K33" t="s">
        <v>519</v>
      </c>
      <c r="M33" t="s">
        <v>520</v>
      </c>
      <c r="N33" t="s">
        <v>571</v>
      </c>
      <c r="O33" t="s">
        <v>583</v>
      </c>
      <c r="P33" t="s">
        <v>572</v>
      </c>
      <c r="Q33" t="s">
        <v>524</v>
      </c>
      <c r="R33" t="s">
        <v>525</v>
      </c>
      <c r="S33" t="s">
        <v>585</v>
      </c>
      <c r="T33" t="s">
        <v>527</v>
      </c>
      <c r="U33">
        <v>107700</v>
      </c>
      <c r="V33" t="s">
        <v>617</v>
      </c>
      <c r="W33" t="s">
        <v>618</v>
      </c>
      <c r="X33" t="s">
        <v>530</v>
      </c>
      <c r="Y33" t="s">
        <v>531</v>
      </c>
      <c r="Z33" t="s">
        <v>532</v>
      </c>
      <c r="AA33" t="s">
        <v>533</v>
      </c>
      <c r="AB33" t="s">
        <v>534</v>
      </c>
      <c r="AC33">
        <v>99183</v>
      </c>
      <c r="AD33" t="s">
        <v>619</v>
      </c>
      <c r="AE33">
        <v>-35.799126630000004</v>
      </c>
      <c r="AF33">
        <v>174.32758147000001</v>
      </c>
      <c r="AG33">
        <v>29</v>
      </c>
      <c r="AH33">
        <v>0</v>
      </c>
      <c r="AI33">
        <v>0</v>
      </c>
      <c r="AJ33">
        <v>0</v>
      </c>
      <c r="AK33">
        <v>3</v>
      </c>
      <c r="AL33">
        <v>13</v>
      </c>
      <c r="AM33">
        <v>16</v>
      </c>
      <c r="AN33">
        <v>0</v>
      </c>
      <c r="AO33">
        <v>32</v>
      </c>
      <c r="AP33">
        <v>26</v>
      </c>
      <c r="AQ33">
        <v>16</v>
      </c>
      <c r="AR33">
        <v>4</v>
      </c>
      <c r="AS33">
        <v>1</v>
      </c>
      <c r="AT33">
        <v>3</v>
      </c>
    </row>
    <row r="34" spans="1:46">
      <c r="A34">
        <v>5017</v>
      </c>
      <c r="B34" t="s">
        <v>620</v>
      </c>
      <c r="C34" t="s">
        <v>621</v>
      </c>
      <c r="D34" t="s">
        <v>514</v>
      </c>
      <c r="E34" t="s">
        <v>622</v>
      </c>
      <c r="F34" t="s">
        <v>623</v>
      </c>
      <c r="G34" t="s">
        <v>582</v>
      </c>
      <c r="H34" t="s">
        <v>517</v>
      </c>
      <c r="J34" t="s">
        <v>518</v>
      </c>
      <c r="K34" t="s">
        <v>519</v>
      </c>
      <c r="M34" t="s">
        <v>520</v>
      </c>
      <c r="N34" t="s">
        <v>521</v>
      </c>
      <c r="O34" t="s">
        <v>583</v>
      </c>
      <c r="P34" t="s">
        <v>584</v>
      </c>
      <c r="Q34" t="s">
        <v>524</v>
      </c>
      <c r="R34" t="s">
        <v>525</v>
      </c>
      <c r="S34" t="s">
        <v>585</v>
      </c>
      <c r="T34" t="s">
        <v>527</v>
      </c>
      <c r="U34">
        <v>107300</v>
      </c>
      <c r="V34" t="s">
        <v>623</v>
      </c>
      <c r="W34" t="s">
        <v>587</v>
      </c>
      <c r="X34" t="s">
        <v>530</v>
      </c>
      <c r="Y34" t="s">
        <v>531</v>
      </c>
      <c r="Z34" t="s">
        <v>532</v>
      </c>
      <c r="AA34" t="s">
        <v>533</v>
      </c>
      <c r="AB34" t="s">
        <v>534</v>
      </c>
      <c r="AC34">
        <v>99181</v>
      </c>
      <c r="AD34" t="s">
        <v>594</v>
      </c>
      <c r="AE34">
        <v>-35.744241850000002</v>
      </c>
      <c r="AF34">
        <v>174.30382646000001</v>
      </c>
      <c r="AG34">
        <v>30</v>
      </c>
      <c r="AH34">
        <v>0</v>
      </c>
      <c r="AI34">
        <v>0</v>
      </c>
      <c r="AJ34">
        <v>0</v>
      </c>
      <c r="AK34">
        <v>7</v>
      </c>
      <c r="AL34">
        <v>14</v>
      </c>
      <c r="AM34">
        <v>18</v>
      </c>
      <c r="AN34">
        <v>2</v>
      </c>
      <c r="AO34">
        <v>41</v>
      </c>
      <c r="AP34">
        <v>20</v>
      </c>
      <c r="AQ34">
        <v>32</v>
      </c>
      <c r="AR34">
        <v>6</v>
      </c>
      <c r="AS34">
        <v>4</v>
      </c>
      <c r="AT34">
        <v>0</v>
      </c>
    </row>
    <row r="35" spans="1:46">
      <c r="A35">
        <v>5018</v>
      </c>
      <c r="B35" t="s">
        <v>624</v>
      </c>
      <c r="C35" t="s">
        <v>625</v>
      </c>
      <c r="D35" t="s">
        <v>514</v>
      </c>
      <c r="E35" t="s">
        <v>626</v>
      </c>
      <c r="F35" t="s">
        <v>627</v>
      </c>
      <c r="G35" t="s">
        <v>582</v>
      </c>
      <c r="H35" t="s">
        <v>517</v>
      </c>
      <c r="J35" t="s">
        <v>518</v>
      </c>
      <c r="K35" t="s">
        <v>519</v>
      </c>
      <c r="M35" t="s">
        <v>520</v>
      </c>
      <c r="N35" t="s">
        <v>557</v>
      </c>
      <c r="O35" t="s">
        <v>583</v>
      </c>
      <c r="P35" t="s">
        <v>584</v>
      </c>
      <c r="Q35" t="s">
        <v>524</v>
      </c>
      <c r="R35" t="s">
        <v>525</v>
      </c>
      <c r="S35" t="s">
        <v>585</v>
      </c>
      <c r="T35" t="s">
        <v>527</v>
      </c>
      <c r="U35">
        <v>107200</v>
      </c>
      <c r="V35" t="s">
        <v>628</v>
      </c>
      <c r="W35" t="s">
        <v>587</v>
      </c>
      <c r="X35" t="s">
        <v>530</v>
      </c>
      <c r="Y35" t="s">
        <v>531</v>
      </c>
      <c r="Z35" t="s">
        <v>532</v>
      </c>
      <c r="AA35" t="s">
        <v>533</v>
      </c>
      <c r="AB35" t="s">
        <v>534</v>
      </c>
      <c r="AC35">
        <v>99181</v>
      </c>
      <c r="AD35" t="s">
        <v>594</v>
      </c>
      <c r="AE35">
        <v>-35.726097019999997</v>
      </c>
      <c r="AF35">
        <v>174.34387984</v>
      </c>
      <c r="AG35">
        <v>40</v>
      </c>
      <c r="AH35">
        <v>0</v>
      </c>
      <c r="AI35">
        <v>0</v>
      </c>
      <c r="AJ35">
        <v>0</v>
      </c>
      <c r="AK35">
        <v>4</v>
      </c>
      <c r="AL35">
        <v>18</v>
      </c>
      <c r="AM35">
        <v>24</v>
      </c>
      <c r="AN35">
        <v>5</v>
      </c>
      <c r="AO35">
        <v>51</v>
      </c>
      <c r="AP35">
        <v>43</v>
      </c>
      <c r="AQ35">
        <v>17</v>
      </c>
      <c r="AR35">
        <v>2</v>
      </c>
      <c r="AS35">
        <v>4</v>
      </c>
      <c r="AT35">
        <v>0</v>
      </c>
    </row>
    <row r="36" spans="1:46">
      <c r="A36">
        <v>5019</v>
      </c>
      <c r="B36" t="s">
        <v>629</v>
      </c>
      <c r="C36" t="s">
        <v>630</v>
      </c>
      <c r="D36" t="s">
        <v>514</v>
      </c>
      <c r="E36" t="s">
        <v>631</v>
      </c>
      <c r="F36" t="s">
        <v>581</v>
      </c>
      <c r="G36" t="s">
        <v>582</v>
      </c>
      <c r="H36" t="s">
        <v>517</v>
      </c>
      <c r="J36" t="s">
        <v>518</v>
      </c>
      <c r="K36" t="s">
        <v>519</v>
      </c>
      <c r="M36" t="s">
        <v>520</v>
      </c>
      <c r="N36" t="s">
        <v>521</v>
      </c>
      <c r="O36" t="s">
        <v>583</v>
      </c>
      <c r="P36" t="s">
        <v>584</v>
      </c>
      <c r="Q36" t="s">
        <v>524</v>
      </c>
      <c r="R36" t="s">
        <v>525</v>
      </c>
      <c r="S36" t="s">
        <v>585</v>
      </c>
      <c r="T36" t="s">
        <v>527</v>
      </c>
      <c r="U36">
        <v>106201</v>
      </c>
      <c r="V36" t="s">
        <v>586</v>
      </c>
      <c r="W36" t="s">
        <v>587</v>
      </c>
      <c r="X36" t="s">
        <v>530</v>
      </c>
      <c r="Y36" t="s">
        <v>531</v>
      </c>
      <c r="Z36" t="s">
        <v>532</v>
      </c>
      <c r="AA36" t="s">
        <v>533</v>
      </c>
      <c r="AB36" t="s">
        <v>534</v>
      </c>
      <c r="AC36">
        <v>99182</v>
      </c>
      <c r="AD36" t="s">
        <v>588</v>
      </c>
      <c r="AE36">
        <v>-35.686043820000002</v>
      </c>
      <c r="AF36">
        <v>174.32513551</v>
      </c>
      <c r="AG36">
        <v>40</v>
      </c>
      <c r="AH36">
        <v>0</v>
      </c>
      <c r="AI36">
        <v>0</v>
      </c>
      <c r="AJ36">
        <v>0</v>
      </c>
      <c r="AK36">
        <v>0</v>
      </c>
      <c r="AL36">
        <v>16</v>
      </c>
      <c r="AM36">
        <v>22</v>
      </c>
      <c r="AN36">
        <v>0</v>
      </c>
      <c r="AO36">
        <v>38</v>
      </c>
      <c r="AP36">
        <v>15</v>
      </c>
      <c r="AQ36">
        <v>29</v>
      </c>
      <c r="AR36">
        <v>5</v>
      </c>
      <c r="AS36">
        <v>2</v>
      </c>
      <c r="AT36">
        <v>0</v>
      </c>
    </row>
    <row r="37" spans="1:46">
      <c r="A37">
        <v>5020</v>
      </c>
      <c r="B37" t="s">
        <v>632</v>
      </c>
      <c r="C37" t="s">
        <v>633</v>
      </c>
      <c r="D37" t="s">
        <v>634</v>
      </c>
      <c r="E37" t="s">
        <v>635</v>
      </c>
      <c r="G37" t="s">
        <v>636</v>
      </c>
      <c r="H37" t="s">
        <v>517</v>
      </c>
      <c r="J37" t="s">
        <v>518</v>
      </c>
      <c r="K37" t="s">
        <v>519</v>
      </c>
      <c r="M37" t="s">
        <v>520</v>
      </c>
      <c r="N37" t="s">
        <v>557</v>
      </c>
      <c r="O37" t="s">
        <v>637</v>
      </c>
      <c r="P37" t="s">
        <v>523</v>
      </c>
      <c r="Q37" t="s">
        <v>638</v>
      </c>
      <c r="R37" t="s">
        <v>639</v>
      </c>
      <c r="S37" t="s">
        <v>640</v>
      </c>
      <c r="T37" t="s">
        <v>527</v>
      </c>
      <c r="U37">
        <v>110501</v>
      </c>
      <c r="V37" t="s">
        <v>636</v>
      </c>
      <c r="W37" t="s">
        <v>641</v>
      </c>
      <c r="X37" t="s">
        <v>642</v>
      </c>
      <c r="Y37" t="s">
        <v>643</v>
      </c>
      <c r="Z37" t="s">
        <v>644</v>
      </c>
      <c r="AA37" t="s">
        <v>645</v>
      </c>
      <c r="AB37" t="s">
        <v>646</v>
      </c>
      <c r="AE37">
        <v>-36.298798640000001</v>
      </c>
      <c r="AF37">
        <v>174.52306282000001</v>
      </c>
      <c r="AG37">
        <v>30</v>
      </c>
      <c r="AH37">
        <v>0</v>
      </c>
      <c r="AI37">
        <v>0</v>
      </c>
      <c r="AJ37">
        <v>0</v>
      </c>
      <c r="AK37">
        <v>3</v>
      </c>
      <c r="AL37">
        <v>13</v>
      </c>
      <c r="AM37">
        <v>20</v>
      </c>
      <c r="AN37">
        <v>0</v>
      </c>
      <c r="AO37">
        <v>36</v>
      </c>
      <c r="AP37">
        <v>36</v>
      </c>
      <c r="AQ37">
        <v>12</v>
      </c>
      <c r="AR37">
        <v>1</v>
      </c>
      <c r="AS37">
        <v>2</v>
      </c>
      <c r="AT37">
        <v>0</v>
      </c>
    </row>
    <row r="38" spans="1:46">
      <c r="A38">
        <v>5021</v>
      </c>
      <c r="B38" t="s">
        <v>647</v>
      </c>
      <c r="C38" t="s">
        <v>648</v>
      </c>
      <c r="D38" t="s">
        <v>649</v>
      </c>
      <c r="E38" t="s">
        <v>650</v>
      </c>
      <c r="F38" t="s">
        <v>651</v>
      </c>
      <c r="G38" t="s">
        <v>652</v>
      </c>
      <c r="H38" t="s">
        <v>517</v>
      </c>
      <c r="J38" t="s">
        <v>518</v>
      </c>
      <c r="K38" t="s">
        <v>519</v>
      </c>
      <c r="M38" t="s">
        <v>520</v>
      </c>
      <c r="N38" t="s">
        <v>571</v>
      </c>
      <c r="O38" t="s">
        <v>653</v>
      </c>
      <c r="P38" t="s">
        <v>654</v>
      </c>
      <c r="Q38" t="s">
        <v>638</v>
      </c>
      <c r="R38" t="s">
        <v>639</v>
      </c>
      <c r="S38" t="s">
        <v>655</v>
      </c>
      <c r="T38" t="s">
        <v>527</v>
      </c>
      <c r="U38">
        <v>117500</v>
      </c>
      <c r="V38" t="s">
        <v>656</v>
      </c>
      <c r="W38" t="s">
        <v>657</v>
      </c>
      <c r="X38" t="s">
        <v>658</v>
      </c>
      <c r="Y38" t="s">
        <v>659</v>
      </c>
      <c r="Z38" t="s">
        <v>660</v>
      </c>
      <c r="AA38" t="s">
        <v>661</v>
      </c>
      <c r="AC38">
        <v>99121</v>
      </c>
      <c r="AD38" t="s">
        <v>662</v>
      </c>
      <c r="AE38">
        <v>-36.700043299999997</v>
      </c>
      <c r="AF38">
        <v>174.73533655</v>
      </c>
      <c r="AG38">
        <v>40</v>
      </c>
      <c r="AH38">
        <v>0</v>
      </c>
      <c r="AI38">
        <v>0</v>
      </c>
      <c r="AJ38">
        <v>0</v>
      </c>
      <c r="AK38">
        <v>3</v>
      </c>
      <c r="AL38">
        <v>19</v>
      </c>
      <c r="AM38">
        <v>19</v>
      </c>
      <c r="AN38">
        <v>3</v>
      </c>
      <c r="AO38">
        <v>44</v>
      </c>
      <c r="AP38">
        <v>30</v>
      </c>
      <c r="AQ38">
        <v>2</v>
      </c>
      <c r="AR38">
        <v>2</v>
      </c>
      <c r="AS38">
        <v>15</v>
      </c>
      <c r="AT38">
        <v>4</v>
      </c>
    </row>
    <row r="39" spans="1:46">
      <c r="A39">
        <v>5022</v>
      </c>
      <c r="B39" t="s">
        <v>663</v>
      </c>
      <c r="C39" t="s">
        <v>664</v>
      </c>
      <c r="D39" t="s">
        <v>665</v>
      </c>
      <c r="E39" t="s">
        <v>666</v>
      </c>
      <c r="G39" t="s">
        <v>667</v>
      </c>
      <c r="H39" t="s">
        <v>517</v>
      </c>
      <c r="J39" t="s">
        <v>518</v>
      </c>
      <c r="K39" t="s">
        <v>519</v>
      </c>
      <c r="M39" t="s">
        <v>520</v>
      </c>
      <c r="N39" t="s">
        <v>571</v>
      </c>
      <c r="O39" t="s">
        <v>653</v>
      </c>
      <c r="P39" t="s">
        <v>584</v>
      </c>
      <c r="Q39" t="s">
        <v>638</v>
      </c>
      <c r="R39" t="s">
        <v>639</v>
      </c>
      <c r="S39" t="s">
        <v>668</v>
      </c>
      <c r="T39" t="s">
        <v>527</v>
      </c>
      <c r="U39">
        <v>112901</v>
      </c>
      <c r="V39" t="s">
        <v>669</v>
      </c>
      <c r="W39" t="s">
        <v>657</v>
      </c>
      <c r="X39" t="s">
        <v>658</v>
      </c>
      <c r="Y39" t="s">
        <v>659</v>
      </c>
      <c r="Z39" t="s">
        <v>660</v>
      </c>
      <c r="AA39" t="s">
        <v>661</v>
      </c>
      <c r="AC39">
        <v>99069</v>
      </c>
      <c r="AD39" t="s">
        <v>670</v>
      </c>
      <c r="AE39">
        <v>-36.591804529999997</v>
      </c>
      <c r="AF39">
        <v>174.68900848999999</v>
      </c>
      <c r="AG39">
        <v>40</v>
      </c>
      <c r="AH39">
        <v>0</v>
      </c>
      <c r="AI39">
        <v>0</v>
      </c>
      <c r="AJ39">
        <v>0</v>
      </c>
      <c r="AK39">
        <v>8</v>
      </c>
      <c r="AL39">
        <v>10</v>
      </c>
      <c r="AM39">
        <v>33</v>
      </c>
      <c r="AN39">
        <v>0</v>
      </c>
      <c r="AO39">
        <v>51</v>
      </c>
      <c r="AP39">
        <v>43</v>
      </c>
      <c r="AQ39">
        <v>6</v>
      </c>
      <c r="AR39">
        <v>4</v>
      </c>
      <c r="AS39">
        <v>11</v>
      </c>
      <c r="AT39">
        <v>2</v>
      </c>
    </row>
    <row r="40" spans="1:46">
      <c r="A40">
        <v>5023</v>
      </c>
      <c r="B40" t="s">
        <v>671</v>
      </c>
      <c r="C40" t="s">
        <v>672</v>
      </c>
      <c r="D40" t="s">
        <v>673</v>
      </c>
      <c r="E40" t="s">
        <v>674</v>
      </c>
      <c r="G40" t="s">
        <v>675</v>
      </c>
      <c r="H40" t="s">
        <v>517</v>
      </c>
      <c r="J40" t="s">
        <v>518</v>
      </c>
      <c r="K40" t="s">
        <v>519</v>
      </c>
      <c r="M40" t="s">
        <v>520</v>
      </c>
      <c r="N40" t="s">
        <v>571</v>
      </c>
      <c r="O40" t="s">
        <v>637</v>
      </c>
      <c r="P40" t="s">
        <v>523</v>
      </c>
      <c r="Q40" t="s">
        <v>638</v>
      </c>
      <c r="R40" t="s">
        <v>639</v>
      </c>
      <c r="S40" t="s">
        <v>640</v>
      </c>
      <c r="T40" t="s">
        <v>527</v>
      </c>
      <c r="U40">
        <v>111100</v>
      </c>
      <c r="V40" t="s">
        <v>676</v>
      </c>
      <c r="W40" t="s">
        <v>641</v>
      </c>
      <c r="X40" t="s">
        <v>658</v>
      </c>
      <c r="Y40" t="s">
        <v>659</v>
      </c>
      <c r="Z40" t="s">
        <v>660</v>
      </c>
      <c r="AA40" t="s">
        <v>661</v>
      </c>
      <c r="AE40">
        <v>-36.397483530000002</v>
      </c>
      <c r="AF40">
        <v>174.65346441</v>
      </c>
      <c r="AG40">
        <v>40</v>
      </c>
      <c r="AH40">
        <v>0</v>
      </c>
      <c r="AI40">
        <v>0</v>
      </c>
      <c r="AJ40">
        <v>0</v>
      </c>
      <c r="AK40">
        <v>6</v>
      </c>
      <c r="AL40">
        <v>17</v>
      </c>
      <c r="AM40">
        <v>22</v>
      </c>
      <c r="AN40">
        <v>3</v>
      </c>
      <c r="AO40">
        <v>48</v>
      </c>
      <c r="AP40">
        <v>41</v>
      </c>
      <c r="AQ40">
        <v>3</v>
      </c>
      <c r="AR40">
        <v>6</v>
      </c>
      <c r="AS40">
        <v>5</v>
      </c>
      <c r="AT40">
        <v>0</v>
      </c>
    </row>
    <row r="41" spans="1:46">
      <c r="A41">
        <v>5024</v>
      </c>
      <c r="B41" t="s">
        <v>677</v>
      </c>
      <c r="C41" t="s">
        <v>678</v>
      </c>
      <c r="D41" t="s">
        <v>679</v>
      </c>
      <c r="E41" t="s">
        <v>680</v>
      </c>
      <c r="F41" t="s">
        <v>681</v>
      </c>
      <c r="G41" t="s">
        <v>652</v>
      </c>
      <c r="H41" t="s">
        <v>517</v>
      </c>
      <c r="J41" t="s">
        <v>518</v>
      </c>
      <c r="K41" t="s">
        <v>519</v>
      </c>
      <c r="M41" t="s">
        <v>520</v>
      </c>
      <c r="N41" t="s">
        <v>571</v>
      </c>
      <c r="O41" t="s">
        <v>653</v>
      </c>
      <c r="P41" t="s">
        <v>654</v>
      </c>
      <c r="Q41" t="s">
        <v>638</v>
      </c>
      <c r="R41" t="s">
        <v>639</v>
      </c>
      <c r="S41" t="s">
        <v>682</v>
      </c>
      <c r="T41" t="s">
        <v>527</v>
      </c>
      <c r="U41">
        <v>120500</v>
      </c>
      <c r="V41" t="s">
        <v>683</v>
      </c>
      <c r="W41" t="s">
        <v>657</v>
      </c>
      <c r="X41" t="s">
        <v>658</v>
      </c>
      <c r="Y41" t="s">
        <v>659</v>
      </c>
      <c r="Z41" t="s">
        <v>660</v>
      </c>
      <c r="AA41" t="s">
        <v>661</v>
      </c>
      <c r="AC41">
        <v>99000</v>
      </c>
      <c r="AD41" t="s">
        <v>684</v>
      </c>
      <c r="AE41">
        <v>-36.736531560000003</v>
      </c>
      <c r="AF41">
        <v>174.74892718999999</v>
      </c>
      <c r="AG41">
        <v>40</v>
      </c>
      <c r="AH41">
        <v>0</v>
      </c>
      <c r="AI41">
        <v>0</v>
      </c>
      <c r="AJ41">
        <v>0</v>
      </c>
      <c r="AK41">
        <v>0</v>
      </c>
      <c r="AL41">
        <v>26</v>
      </c>
      <c r="AM41">
        <v>34</v>
      </c>
      <c r="AN41">
        <v>3</v>
      </c>
      <c r="AO41">
        <v>63</v>
      </c>
      <c r="AP41">
        <v>52</v>
      </c>
      <c r="AQ41">
        <v>4</v>
      </c>
      <c r="AR41">
        <v>2</v>
      </c>
      <c r="AS41">
        <v>12</v>
      </c>
      <c r="AT41">
        <v>5</v>
      </c>
    </row>
    <row r="42" spans="1:46">
      <c r="A42">
        <v>5025</v>
      </c>
      <c r="B42" t="s">
        <v>685</v>
      </c>
      <c r="C42" t="s">
        <v>686</v>
      </c>
      <c r="D42" t="s">
        <v>687</v>
      </c>
      <c r="E42" t="s">
        <v>688</v>
      </c>
      <c r="F42" t="s">
        <v>660</v>
      </c>
      <c r="G42" t="s">
        <v>652</v>
      </c>
      <c r="H42" t="s">
        <v>517</v>
      </c>
      <c r="J42" t="s">
        <v>518</v>
      </c>
      <c r="K42" t="s">
        <v>519</v>
      </c>
      <c r="M42" t="s">
        <v>520</v>
      </c>
      <c r="N42" t="s">
        <v>571</v>
      </c>
      <c r="O42" t="s">
        <v>653</v>
      </c>
      <c r="P42" t="s">
        <v>654</v>
      </c>
      <c r="Q42" t="s">
        <v>638</v>
      </c>
      <c r="R42" t="s">
        <v>639</v>
      </c>
      <c r="S42" t="s">
        <v>655</v>
      </c>
      <c r="T42" t="s">
        <v>527</v>
      </c>
      <c r="U42">
        <v>118300</v>
      </c>
      <c r="V42" t="s">
        <v>689</v>
      </c>
      <c r="W42" t="s">
        <v>657</v>
      </c>
      <c r="X42" t="s">
        <v>658</v>
      </c>
      <c r="Y42" t="s">
        <v>659</v>
      </c>
      <c r="Z42" t="s">
        <v>660</v>
      </c>
      <c r="AA42" t="s">
        <v>661</v>
      </c>
      <c r="AC42">
        <v>99000</v>
      </c>
      <c r="AD42" t="s">
        <v>684</v>
      </c>
      <c r="AE42">
        <v>-36.71550938</v>
      </c>
      <c r="AF42">
        <v>174.74181067999999</v>
      </c>
      <c r="AG42">
        <v>40</v>
      </c>
      <c r="AH42">
        <v>0</v>
      </c>
      <c r="AI42">
        <v>0</v>
      </c>
      <c r="AJ42">
        <v>0</v>
      </c>
      <c r="AK42">
        <v>1</v>
      </c>
      <c r="AL42">
        <v>26</v>
      </c>
      <c r="AM42">
        <v>26</v>
      </c>
      <c r="AN42">
        <v>1</v>
      </c>
      <c r="AO42">
        <v>54</v>
      </c>
      <c r="AP42">
        <v>26</v>
      </c>
      <c r="AQ42">
        <v>2</v>
      </c>
      <c r="AR42">
        <v>0</v>
      </c>
      <c r="AS42">
        <v>30</v>
      </c>
      <c r="AT42">
        <v>5</v>
      </c>
    </row>
    <row r="43" spans="1:46">
      <c r="A43">
        <v>5026</v>
      </c>
      <c r="B43" t="s">
        <v>690</v>
      </c>
      <c r="C43" t="s">
        <v>691</v>
      </c>
      <c r="D43" t="s">
        <v>692</v>
      </c>
      <c r="E43" t="s">
        <v>693</v>
      </c>
      <c r="F43" t="s">
        <v>651</v>
      </c>
      <c r="G43" t="s">
        <v>652</v>
      </c>
      <c r="H43" t="s">
        <v>517</v>
      </c>
      <c r="J43" t="s">
        <v>518</v>
      </c>
      <c r="K43" t="s">
        <v>519</v>
      </c>
      <c r="M43" t="s">
        <v>520</v>
      </c>
      <c r="N43" t="s">
        <v>571</v>
      </c>
      <c r="O43" t="s">
        <v>653</v>
      </c>
      <c r="P43" t="s">
        <v>654</v>
      </c>
      <c r="Q43" t="s">
        <v>638</v>
      </c>
      <c r="R43" t="s">
        <v>639</v>
      </c>
      <c r="S43" t="s">
        <v>655</v>
      </c>
      <c r="T43" t="s">
        <v>527</v>
      </c>
      <c r="U43">
        <v>117202</v>
      </c>
      <c r="V43" t="s">
        <v>694</v>
      </c>
      <c r="W43" t="s">
        <v>657</v>
      </c>
      <c r="X43" t="s">
        <v>658</v>
      </c>
      <c r="Y43" t="s">
        <v>659</v>
      </c>
      <c r="Z43" t="s">
        <v>660</v>
      </c>
      <c r="AA43" t="s">
        <v>661</v>
      </c>
      <c r="AC43">
        <v>99121</v>
      </c>
      <c r="AD43" t="s">
        <v>662</v>
      </c>
      <c r="AE43">
        <v>-36.699170080000002</v>
      </c>
      <c r="AF43">
        <v>174.75061436999999</v>
      </c>
      <c r="AG43">
        <v>40</v>
      </c>
      <c r="AH43">
        <v>0</v>
      </c>
      <c r="AI43">
        <v>0</v>
      </c>
      <c r="AJ43">
        <v>0</v>
      </c>
      <c r="AK43">
        <v>3</v>
      </c>
      <c r="AL43">
        <v>19</v>
      </c>
      <c r="AM43">
        <v>35</v>
      </c>
      <c r="AN43">
        <v>1</v>
      </c>
      <c r="AO43">
        <v>58</v>
      </c>
      <c r="AP43">
        <v>50</v>
      </c>
      <c r="AQ43">
        <v>5</v>
      </c>
      <c r="AR43">
        <v>1</v>
      </c>
      <c r="AS43">
        <v>11</v>
      </c>
      <c r="AT43">
        <v>0</v>
      </c>
    </row>
    <row r="44" spans="1:46">
      <c r="A44">
        <v>5027</v>
      </c>
      <c r="B44" t="s">
        <v>695</v>
      </c>
      <c r="C44" t="s">
        <v>696</v>
      </c>
      <c r="D44" t="s">
        <v>697</v>
      </c>
      <c r="E44" t="s">
        <v>698</v>
      </c>
      <c r="G44" t="s">
        <v>699</v>
      </c>
      <c r="H44" t="s">
        <v>517</v>
      </c>
      <c r="J44" t="s">
        <v>518</v>
      </c>
      <c r="K44" t="s">
        <v>519</v>
      </c>
      <c r="M44" t="s">
        <v>520</v>
      </c>
      <c r="N44" t="s">
        <v>571</v>
      </c>
      <c r="O44" t="s">
        <v>653</v>
      </c>
      <c r="P44" t="s">
        <v>584</v>
      </c>
      <c r="Q44" t="s">
        <v>638</v>
      </c>
      <c r="R44" t="s">
        <v>639</v>
      </c>
      <c r="S44" t="s">
        <v>668</v>
      </c>
      <c r="T44" t="s">
        <v>527</v>
      </c>
      <c r="U44">
        <v>114600</v>
      </c>
      <c r="V44" t="s">
        <v>700</v>
      </c>
      <c r="W44" t="s">
        <v>657</v>
      </c>
      <c r="X44" t="s">
        <v>658</v>
      </c>
      <c r="Y44" t="s">
        <v>659</v>
      </c>
      <c r="Z44" t="s">
        <v>660</v>
      </c>
      <c r="AA44" t="s">
        <v>661</v>
      </c>
      <c r="AC44">
        <v>99095</v>
      </c>
      <c r="AD44" t="s">
        <v>701</v>
      </c>
      <c r="AE44">
        <v>-36.624387650000003</v>
      </c>
      <c r="AF44">
        <v>174.72840158</v>
      </c>
      <c r="AG44">
        <v>40</v>
      </c>
      <c r="AH44">
        <v>0</v>
      </c>
      <c r="AI44">
        <v>0</v>
      </c>
      <c r="AJ44">
        <v>0</v>
      </c>
      <c r="AK44">
        <v>6</v>
      </c>
      <c r="AL44">
        <v>21</v>
      </c>
      <c r="AM44">
        <v>20</v>
      </c>
      <c r="AN44">
        <v>6</v>
      </c>
      <c r="AO44">
        <v>53</v>
      </c>
      <c r="AP44">
        <v>50</v>
      </c>
      <c r="AQ44">
        <v>10</v>
      </c>
      <c r="AR44">
        <v>7</v>
      </c>
      <c r="AS44">
        <v>4</v>
      </c>
      <c r="AT44">
        <v>1</v>
      </c>
    </row>
    <row r="45" spans="1:46">
      <c r="A45">
        <v>5028</v>
      </c>
      <c r="B45" t="s">
        <v>702</v>
      </c>
      <c r="C45" t="s">
        <v>703</v>
      </c>
      <c r="D45" t="s">
        <v>704</v>
      </c>
      <c r="E45" t="s">
        <v>705</v>
      </c>
      <c r="F45" t="s">
        <v>706</v>
      </c>
      <c r="G45" t="s">
        <v>652</v>
      </c>
      <c r="H45" t="s">
        <v>517</v>
      </c>
      <c r="J45" t="s">
        <v>518</v>
      </c>
      <c r="K45" t="s">
        <v>519</v>
      </c>
      <c r="M45" t="s">
        <v>520</v>
      </c>
      <c r="N45" t="s">
        <v>557</v>
      </c>
      <c r="O45" t="s">
        <v>707</v>
      </c>
      <c r="P45" t="s">
        <v>654</v>
      </c>
      <c r="Q45" t="s">
        <v>638</v>
      </c>
      <c r="R45" t="s">
        <v>708</v>
      </c>
      <c r="S45" t="s">
        <v>706</v>
      </c>
      <c r="T45" t="s">
        <v>709</v>
      </c>
      <c r="U45">
        <v>149001</v>
      </c>
      <c r="V45" t="s">
        <v>710</v>
      </c>
      <c r="W45" t="s">
        <v>711</v>
      </c>
      <c r="X45" t="s">
        <v>642</v>
      </c>
      <c r="Y45" t="s">
        <v>643</v>
      </c>
      <c r="Z45" t="s">
        <v>644</v>
      </c>
      <c r="AA45" t="s">
        <v>645</v>
      </c>
      <c r="AB45" t="s">
        <v>646</v>
      </c>
      <c r="AC45">
        <v>99098</v>
      </c>
      <c r="AD45" t="s">
        <v>712</v>
      </c>
      <c r="AE45">
        <v>-36.919120659999997</v>
      </c>
      <c r="AF45">
        <v>174.86696882000001</v>
      </c>
      <c r="AG45">
        <v>40</v>
      </c>
      <c r="AH45">
        <v>0</v>
      </c>
      <c r="AI45">
        <v>0</v>
      </c>
      <c r="AJ45">
        <v>0</v>
      </c>
      <c r="AK45">
        <v>4</v>
      </c>
      <c r="AL45">
        <v>17</v>
      </c>
      <c r="AM45">
        <v>25</v>
      </c>
      <c r="AN45">
        <v>2</v>
      </c>
      <c r="AO45">
        <v>48</v>
      </c>
      <c r="AP45">
        <v>26</v>
      </c>
      <c r="AQ45">
        <v>12</v>
      </c>
      <c r="AR45">
        <v>5</v>
      </c>
      <c r="AS45">
        <v>23</v>
      </c>
      <c r="AT45">
        <v>1</v>
      </c>
    </row>
    <row r="46" spans="1:46">
      <c r="A46">
        <v>5029</v>
      </c>
      <c r="B46" t="s">
        <v>713</v>
      </c>
      <c r="C46" t="s">
        <v>714</v>
      </c>
      <c r="D46" t="s">
        <v>715</v>
      </c>
      <c r="E46" t="s">
        <v>716</v>
      </c>
      <c r="F46" t="s">
        <v>717</v>
      </c>
      <c r="G46" t="s">
        <v>652</v>
      </c>
      <c r="H46" t="s">
        <v>517</v>
      </c>
      <c r="J46" t="s">
        <v>518</v>
      </c>
      <c r="K46" t="s">
        <v>519</v>
      </c>
      <c r="M46" t="s">
        <v>520</v>
      </c>
      <c r="N46" t="s">
        <v>539</v>
      </c>
      <c r="O46" t="s">
        <v>718</v>
      </c>
      <c r="P46" t="s">
        <v>654</v>
      </c>
      <c r="Q46" t="s">
        <v>638</v>
      </c>
      <c r="R46" t="s">
        <v>708</v>
      </c>
      <c r="S46" t="s">
        <v>719</v>
      </c>
      <c r="T46" t="s">
        <v>709</v>
      </c>
      <c r="U46">
        <v>132001</v>
      </c>
      <c r="V46" t="s">
        <v>720</v>
      </c>
      <c r="W46" t="s">
        <v>721</v>
      </c>
      <c r="X46" t="s">
        <v>642</v>
      </c>
      <c r="Y46" t="s">
        <v>643</v>
      </c>
      <c r="Z46" t="s">
        <v>644</v>
      </c>
      <c r="AA46" t="s">
        <v>645</v>
      </c>
      <c r="AB46" t="s">
        <v>646</v>
      </c>
      <c r="AE46">
        <v>-36.890196879999998</v>
      </c>
      <c r="AF46">
        <v>174.6874152</v>
      </c>
      <c r="AG46">
        <v>40</v>
      </c>
      <c r="AH46">
        <v>0</v>
      </c>
      <c r="AI46">
        <v>0</v>
      </c>
      <c r="AJ46">
        <v>0</v>
      </c>
      <c r="AK46">
        <v>1</v>
      </c>
      <c r="AL46">
        <v>13</v>
      </c>
      <c r="AM46">
        <v>35</v>
      </c>
      <c r="AN46">
        <v>1</v>
      </c>
      <c r="AO46">
        <v>50</v>
      </c>
      <c r="AP46">
        <v>14</v>
      </c>
      <c r="AQ46">
        <v>9</v>
      </c>
      <c r="AR46">
        <v>25</v>
      </c>
      <c r="AS46">
        <v>17</v>
      </c>
      <c r="AT46">
        <v>4</v>
      </c>
    </row>
    <row r="47" spans="1:46">
      <c r="A47">
        <v>5030</v>
      </c>
      <c r="B47" t="s">
        <v>722</v>
      </c>
      <c r="C47" t="s">
        <v>723</v>
      </c>
      <c r="D47" t="s">
        <v>724</v>
      </c>
      <c r="E47" t="s">
        <v>725</v>
      </c>
      <c r="F47" t="s">
        <v>726</v>
      </c>
      <c r="G47" t="s">
        <v>652</v>
      </c>
      <c r="H47" t="s">
        <v>517</v>
      </c>
      <c r="J47" t="s">
        <v>518</v>
      </c>
      <c r="K47" t="s">
        <v>519</v>
      </c>
      <c r="M47" t="s">
        <v>520</v>
      </c>
      <c r="N47" t="s">
        <v>727</v>
      </c>
      <c r="O47" t="s">
        <v>728</v>
      </c>
      <c r="P47" t="s">
        <v>654</v>
      </c>
      <c r="Q47" t="s">
        <v>638</v>
      </c>
      <c r="R47" t="s">
        <v>729</v>
      </c>
      <c r="S47" t="s">
        <v>730</v>
      </c>
      <c r="T47" t="s">
        <v>709</v>
      </c>
      <c r="U47">
        <v>153500</v>
      </c>
      <c r="V47" t="s">
        <v>731</v>
      </c>
      <c r="W47" t="s">
        <v>732</v>
      </c>
      <c r="X47" t="s">
        <v>642</v>
      </c>
      <c r="Y47" t="s">
        <v>643</v>
      </c>
      <c r="Z47" t="s">
        <v>644</v>
      </c>
      <c r="AA47" t="s">
        <v>645</v>
      </c>
      <c r="AB47" t="s">
        <v>646</v>
      </c>
      <c r="AE47">
        <v>-36.960097359999999</v>
      </c>
      <c r="AF47">
        <v>174.86638790000001</v>
      </c>
      <c r="AG47">
        <v>30</v>
      </c>
      <c r="AH47">
        <v>0</v>
      </c>
      <c r="AI47">
        <v>0</v>
      </c>
      <c r="AJ47">
        <v>0</v>
      </c>
      <c r="AK47">
        <v>1</v>
      </c>
      <c r="AL47">
        <v>6</v>
      </c>
      <c r="AM47">
        <v>10</v>
      </c>
      <c r="AN47">
        <v>1</v>
      </c>
      <c r="AO47">
        <v>18</v>
      </c>
      <c r="AP47">
        <v>2</v>
      </c>
      <c r="AQ47">
        <v>8</v>
      </c>
      <c r="AR47">
        <v>16</v>
      </c>
      <c r="AS47">
        <v>0</v>
      </c>
      <c r="AT47">
        <v>0</v>
      </c>
    </row>
    <row r="48" spans="1:46">
      <c r="A48">
        <v>5031</v>
      </c>
      <c r="B48" t="s">
        <v>733</v>
      </c>
      <c r="C48" t="s">
        <v>734</v>
      </c>
      <c r="D48" t="s">
        <v>735</v>
      </c>
      <c r="E48" t="s">
        <v>736</v>
      </c>
      <c r="F48" t="s">
        <v>737</v>
      </c>
      <c r="G48" t="s">
        <v>652</v>
      </c>
      <c r="H48" t="s">
        <v>517</v>
      </c>
      <c r="J48" t="s">
        <v>518</v>
      </c>
      <c r="K48" t="s">
        <v>519</v>
      </c>
      <c r="M48" t="s">
        <v>520</v>
      </c>
      <c r="N48" t="s">
        <v>571</v>
      </c>
      <c r="O48" t="s">
        <v>738</v>
      </c>
      <c r="P48" t="s">
        <v>654</v>
      </c>
      <c r="Q48" t="s">
        <v>638</v>
      </c>
      <c r="R48" t="s">
        <v>639</v>
      </c>
      <c r="S48" t="s">
        <v>739</v>
      </c>
      <c r="T48" t="s">
        <v>527</v>
      </c>
      <c r="U48">
        <v>121401</v>
      </c>
      <c r="V48" t="s">
        <v>740</v>
      </c>
      <c r="W48" t="s">
        <v>741</v>
      </c>
      <c r="X48" t="s">
        <v>642</v>
      </c>
      <c r="Y48" t="s">
        <v>643</v>
      </c>
      <c r="Z48" t="s">
        <v>644</v>
      </c>
      <c r="AA48" t="s">
        <v>645</v>
      </c>
      <c r="AB48" t="s">
        <v>646</v>
      </c>
      <c r="AC48">
        <v>99120</v>
      </c>
      <c r="AD48" t="s">
        <v>742</v>
      </c>
      <c r="AE48">
        <v>-36.772087900000002</v>
      </c>
      <c r="AF48">
        <v>174.70538442</v>
      </c>
      <c r="AG48">
        <v>40</v>
      </c>
      <c r="AH48">
        <v>0</v>
      </c>
      <c r="AI48">
        <v>0</v>
      </c>
      <c r="AJ48">
        <v>0</v>
      </c>
      <c r="AK48">
        <v>2</v>
      </c>
      <c r="AL48">
        <v>18</v>
      </c>
      <c r="AM48">
        <v>25</v>
      </c>
      <c r="AN48">
        <v>0</v>
      </c>
      <c r="AO48">
        <v>45</v>
      </c>
      <c r="AP48">
        <v>20</v>
      </c>
      <c r="AQ48">
        <v>12</v>
      </c>
      <c r="AR48">
        <v>5</v>
      </c>
      <c r="AS48">
        <v>19</v>
      </c>
      <c r="AT48">
        <v>5</v>
      </c>
    </row>
    <row r="49" spans="1:46">
      <c r="A49">
        <v>5032</v>
      </c>
      <c r="B49" t="s">
        <v>743</v>
      </c>
      <c r="C49" t="s">
        <v>744</v>
      </c>
      <c r="D49" t="s">
        <v>745</v>
      </c>
      <c r="E49" t="s">
        <v>746</v>
      </c>
      <c r="F49" t="s">
        <v>747</v>
      </c>
      <c r="G49" t="s">
        <v>652</v>
      </c>
      <c r="H49" t="s">
        <v>517</v>
      </c>
      <c r="J49" t="s">
        <v>518</v>
      </c>
      <c r="K49" t="s">
        <v>519</v>
      </c>
      <c r="M49" t="s">
        <v>520</v>
      </c>
      <c r="N49" t="s">
        <v>571</v>
      </c>
      <c r="O49" t="s">
        <v>748</v>
      </c>
      <c r="P49" t="s">
        <v>654</v>
      </c>
      <c r="Q49" t="s">
        <v>638</v>
      </c>
      <c r="R49" t="s">
        <v>639</v>
      </c>
      <c r="S49" t="s">
        <v>682</v>
      </c>
      <c r="T49" t="s">
        <v>527</v>
      </c>
      <c r="U49">
        <v>129400</v>
      </c>
      <c r="V49" t="s">
        <v>749</v>
      </c>
      <c r="W49" t="s">
        <v>741</v>
      </c>
      <c r="X49" t="s">
        <v>642</v>
      </c>
      <c r="Y49" t="s">
        <v>643</v>
      </c>
      <c r="Z49" t="s">
        <v>644</v>
      </c>
      <c r="AA49" t="s">
        <v>645</v>
      </c>
      <c r="AB49" t="s">
        <v>646</v>
      </c>
      <c r="AC49">
        <v>99048</v>
      </c>
      <c r="AD49" t="s">
        <v>750</v>
      </c>
      <c r="AE49">
        <v>-36.812387229999999</v>
      </c>
      <c r="AF49">
        <v>174.78389878999999</v>
      </c>
      <c r="AG49">
        <v>40</v>
      </c>
      <c r="AH49">
        <v>0</v>
      </c>
      <c r="AI49">
        <v>0</v>
      </c>
      <c r="AJ49">
        <v>0</v>
      </c>
      <c r="AK49">
        <v>5</v>
      </c>
      <c r="AL49">
        <v>21</v>
      </c>
      <c r="AM49">
        <v>20</v>
      </c>
      <c r="AN49">
        <v>4</v>
      </c>
      <c r="AO49">
        <v>50</v>
      </c>
      <c r="AP49">
        <v>36</v>
      </c>
      <c r="AQ49">
        <v>4</v>
      </c>
      <c r="AR49">
        <v>5</v>
      </c>
      <c r="AS49">
        <v>12</v>
      </c>
      <c r="AT49">
        <v>4</v>
      </c>
    </row>
    <row r="50" spans="1:46">
      <c r="A50">
        <v>5033</v>
      </c>
      <c r="B50" t="s">
        <v>751</v>
      </c>
      <c r="C50" t="s">
        <v>752</v>
      </c>
      <c r="D50" t="s">
        <v>753</v>
      </c>
      <c r="E50" t="s">
        <v>754</v>
      </c>
      <c r="F50" t="s">
        <v>755</v>
      </c>
      <c r="G50" t="s">
        <v>652</v>
      </c>
      <c r="H50" t="s">
        <v>517</v>
      </c>
      <c r="J50" t="s">
        <v>518</v>
      </c>
      <c r="K50" t="s">
        <v>519</v>
      </c>
      <c r="M50" t="s">
        <v>520</v>
      </c>
      <c r="N50" t="s">
        <v>571</v>
      </c>
      <c r="O50" t="s">
        <v>738</v>
      </c>
      <c r="P50" t="s">
        <v>654</v>
      </c>
      <c r="Q50" t="s">
        <v>638</v>
      </c>
      <c r="R50" t="s">
        <v>639</v>
      </c>
      <c r="S50" t="s">
        <v>756</v>
      </c>
      <c r="T50" t="s">
        <v>527</v>
      </c>
      <c r="U50">
        <v>122400</v>
      </c>
      <c r="V50" t="s">
        <v>757</v>
      </c>
      <c r="W50" t="s">
        <v>741</v>
      </c>
      <c r="X50" t="s">
        <v>642</v>
      </c>
      <c r="Y50" t="s">
        <v>643</v>
      </c>
      <c r="Z50" t="s">
        <v>644</v>
      </c>
      <c r="AA50" t="s">
        <v>645</v>
      </c>
      <c r="AB50" t="s">
        <v>646</v>
      </c>
      <c r="AC50">
        <v>99214</v>
      </c>
      <c r="AD50" t="s">
        <v>758</v>
      </c>
      <c r="AE50">
        <v>-36.790652389999998</v>
      </c>
      <c r="AF50">
        <v>174.69257214999999</v>
      </c>
      <c r="AG50">
        <v>40</v>
      </c>
      <c r="AH50">
        <v>0</v>
      </c>
      <c r="AI50">
        <v>0</v>
      </c>
      <c r="AJ50">
        <v>0</v>
      </c>
      <c r="AK50">
        <v>3</v>
      </c>
      <c r="AL50">
        <v>16</v>
      </c>
      <c r="AM50">
        <v>26</v>
      </c>
      <c r="AN50">
        <v>3</v>
      </c>
      <c r="AO50">
        <v>48</v>
      </c>
      <c r="AP50">
        <v>31</v>
      </c>
      <c r="AQ50">
        <v>13</v>
      </c>
      <c r="AR50">
        <v>13</v>
      </c>
      <c r="AS50">
        <v>6</v>
      </c>
      <c r="AT50">
        <v>3</v>
      </c>
    </row>
    <row r="51" spans="1:46">
      <c r="A51">
        <v>5034</v>
      </c>
      <c r="B51" t="s">
        <v>759</v>
      </c>
      <c r="C51" t="s">
        <v>760</v>
      </c>
      <c r="D51" t="s">
        <v>761</v>
      </c>
      <c r="E51" t="s">
        <v>762</v>
      </c>
      <c r="F51" t="s">
        <v>763</v>
      </c>
      <c r="G51" t="s">
        <v>652</v>
      </c>
      <c r="H51" t="s">
        <v>517</v>
      </c>
      <c r="J51" t="s">
        <v>518</v>
      </c>
      <c r="K51" t="s">
        <v>519</v>
      </c>
      <c r="M51" t="s">
        <v>520</v>
      </c>
      <c r="N51" t="s">
        <v>571</v>
      </c>
      <c r="O51" t="s">
        <v>738</v>
      </c>
      <c r="P51" t="s">
        <v>654</v>
      </c>
      <c r="Q51" t="s">
        <v>638</v>
      </c>
      <c r="R51" t="s">
        <v>639</v>
      </c>
      <c r="S51" t="s">
        <v>756</v>
      </c>
      <c r="T51" t="s">
        <v>527</v>
      </c>
      <c r="U51">
        <v>127400</v>
      </c>
      <c r="V51" t="s">
        <v>764</v>
      </c>
      <c r="W51" t="s">
        <v>741</v>
      </c>
      <c r="X51" t="s">
        <v>642</v>
      </c>
      <c r="Y51" t="s">
        <v>643</v>
      </c>
      <c r="Z51" t="s">
        <v>644</v>
      </c>
      <c r="AA51" t="s">
        <v>645</v>
      </c>
      <c r="AB51" t="s">
        <v>646</v>
      </c>
      <c r="AE51">
        <v>-36.811399889999997</v>
      </c>
      <c r="AF51">
        <v>174.72144019000001</v>
      </c>
      <c r="AG51">
        <v>40</v>
      </c>
      <c r="AH51">
        <v>0</v>
      </c>
      <c r="AI51">
        <v>0</v>
      </c>
      <c r="AJ51">
        <v>0</v>
      </c>
      <c r="AK51">
        <v>6</v>
      </c>
      <c r="AL51">
        <v>17</v>
      </c>
      <c r="AM51">
        <v>21</v>
      </c>
      <c r="AN51">
        <v>2</v>
      </c>
      <c r="AO51">
        <v>46</v>
      </c>
      <c r="AP51">
        <v>28</v>
      </c>
      <c r="AQ51">
        <v>4</v>
      </c>
      <c r="AR51">
        <v>5</v>
      </c>
      <c r="AS51">
        <v>16</v>
      </c>
      <c r="AT51">
        <v>4</v>
      </c>
    </row>
    <row r="52" spans="1:46">
      <c r="A52">
        <v>5035</v>
      </c>
      <c r="B52" t="s">
        <v>765</v>
      </c>
      <c r="C52" t="s">
        <v>766</v>
      </c>
      <c r="D52" t="s">
        <v>767</v>
      </c>
      <c r="E52" t="s">
        <v>768</v>
      </c>
      <c r="F52" t="s">
        <v>769</v>
      </c>
      <c r="G52" t="s">
        <v>652</v>
      </c>
      <c r="H52" t="s">
        <v>517</v>
      </c>
      <c r="J52" t="s">
        <v>518</v>
      </c>
      <c r="K52" t="s">
        <v>519</v>
      </c>
      <c r="M52" t="s">
        <v>520</v>
      </c>
      <c r="N52" t="s">
        <v>571</v>
      </c>
      <c r="O52" t="s">
        <v>718</v>
      </c>
      <c r="P52" t="s">
        <v>654</v>
      </c>
      <c r="Q52" t="s">
        <v>638</v>
      </c>
      <c r="R52" t="s">
        <v>708</v>
      </c>
      <c r="S52" t="s">
        <v>770</v>
      </c>
      <c r="T52" t="s">
        <v>709</v>
      </c>
      <c r="U52">
        <v>137202</v>
      </c>
      <c r="V52" t="s">
        <v>771</v>
      </c>
      <c r="W52" t="s">
        <v>721</v>
      </c>
      <c r="X52" t="s">
        <v>642</v>
      </c>
      <c r="Y52" t="s">
        <v>643</v>
      </c>
      <c r="Z52" t="s">
        <v>644</v>
      </c>
      <c r="AA52" t="s">
        <v>645</v>
      </c>
      <c r="AB52" t="s">
        <v>646</v>
      </c>
      <c r="AC52">
        <v>99012</v>
      </c>
      <c r="AD52" t="s">
        <v>772</v>
      </c>
      <c r="AE52">
        <v>-36.92185585</v>
      </c>
      <c r="AF52">
        <v>174.70233521</v>
      </c>
      <c r="AG52">
        <v>40</v>
      </c>
      <c r="AH52">
        <v>0</v>
      </c>
      <c r="AI52">
        <v>0</v>
      </c>
      <c r="AJ52">
        <v>0</v>
      </c>
      <c r="AK52">
        <v>7</v>
      </c>
      <c r="AL52">
        <v>22</v>
      </c>
      <c r="AM52">
        <v>21</v>
      </c>
      <c r="AN52">
        <v>0</v>
      </c>
      <c r="AO52">
        <v>50</v>
      </c>
      <c r="AP52">
        <v>12</v>
      </c>
      <c r="AQ52">
        <v>5</v>
      </c>
      <c r="AR52">
        <v>7</v>
      </c>
      <c r="AS52">
        <v>36</v>
      </c>
      <c r="AT52">
        <v>4</v>
      </c>
    </row>
    <row r="53" spans="1:46">
      <c r="A53">
        <v>5036</v>
      </c>
      <c r="B53" t="s">
        <v>773</v>
      </c>
      <c r="C53" t="s">
        <v>774</v>
      </c>
      <c r="D53" t="s">
        <v>775</v>
      </c>
      <c r="E53" t="s">
        <v>776</v>
      </c>
      <c r="F53" t="s">
        <v>777</v>
      </c>
      <c r="G53" t="s">
        <v>652</v>
      </c>
      <c r="H53" t="s">
        <v>517</v>
      </c>
      <c r="J53" t="s">
        <v>518</v>
      </c>
      <c r="K53" t="s">
        <v>519</v>
      </c>
      <c r="M53" t="s">
        <v>520</v>
      </c>
      <c r="N53" t="s">
        <v>571</v>
      </c>
      <c r="O53" t="s">
        <v>707</v>
      </c>
      <c r="P53" t="s">
        <v>654</v>
      </c>
      <c r="Q53" t="s">
        <v>638</v>
      </c>
      <c r="R53" t="s">
        <v>708</v>
      </c>
      <c r="S53" t="s">
        <v>778</v>
      </c>
      <c r="T53" t="s">
        <v>709</v>
      </c>
      <c r="U53">
        <v>152900</v>
      </c>
      <c r="V53" t="s">
        <v>779</v>
      </c>
      <c r="W53" t="s">
        <v>711</v>
      </c>
      <c r="X53" t="s">
        <v>642</v>
      </c>
      <c r="Y53" t="s">
        <v>643</v>
      </c>
      <c r="Z53" t="s">
        <v>644</v>
      </c>
      <c r="AA53" t="s">
        <v>645</v>
      </c>
      <c r="AB53" t="s">
        <v>646</v>
      </c>
      <c r="AC53">
        <v>99119</v>
      </c>
      <c r="AD53" t="s">
        <v>780</v>
      </c>
      <c r="AE53">
        <v>-36.910386639999999</v>
      </c>
      <c r="AF53">
        <v>174.92191905999999</v>
      </c>
      <c r="AG53">
        <v>40</v>
      </c>
      <c r="AH53">
        <v>0</v>
      </c>
      <c r="AI53">
        <v>0</v>
      </c>
      <c r="AJ53">
        <v>0</v>
      </c>
      <c r="AK53">
        <v>6</v>
      </c>
      <c r="AL53">
        <v>19</v>
      </c>
      <c r="AM53">
        <v>23</v>
      </c>
      <c r="AN53">
        <v>3</v>
      </c>
      <c r="AO53">
        <v>51</v>
      </c>
      <c r="AP53">
        <v>28</v>
      </c>
      <c r="AQ53">
        <v>3</v>
      </c>
      <c r="AR53">
        <v>8</v>
      </c>
      <c r="AS53">
        <v>21</v>
      </c>
      <c r="AT53">
        <v>3</v>
      </c>
    </row>
    <row r="54" spans="1:46">
      <c r="A54">
        <v>5037</v>
      </c>
      <c r="B54" t="s">
        <v>781</v>
      </c>
      <c r="C54" t="s">
        <v>782</v>
      </c>
      <c r="D54" t="s">
        <v>783</v>
      </c>
      <c r="E54" t="s">
        <v>784</v>
      </c>
      <c r="F54" t="s">
        <v>737</v>
      </c>
      <c r="G54" t="s">
        <v>652</v>
      </c>
      <c r="H54" t="s">
        <v>517</v>
      </c>
      <c r="J54" t="s">
        <v>518</v>
      </c>
      <c r="K54" t="s">
        <v>519</v>
      </c>
      <c r="M54" t="s">
        <v>520</v>
      </c>
      <c r="N54" t="s">
        <v>571</v>
      </c>
      <c r="O54" t="s">
        <v>748</v>
      </c>
      <c r="P54" t="s">
        <v>654</v>
      </c>
      <c r="Q54" t="s">
        <v>638</v>
      </c>
      <c r="R54" t="s">
        <v>639</v>
      </c>
      <c r="S54" t="s">
        <v>682</v>
      </c>
      <c r="T54" t="s">
        <v>527</v>
      </c>
      <c r="U54">
        <v>121300</v>
      </c>
      <c r="V54" t="s">
        <v>785</v>
      </c>
      <c r="W54" t="s">
        <v>741</v>
      </c>
      <c r="X54" t="s">
        <v>642</v>
      </c>
      <c r="Y54" t="s">
        <v>643</v>
      </c>
      <c r="Z54" t="s">
        <v>644</v>
      </c>
      <c r="AA54" t="s">
        <v>645</v>
      </c>
      <c r="AB54" t="s">
        <v>646</v>
      </c>
      <c r="AC54">
        <v>99188</v>
      </c>
      <c r="AD54" t="s">
        <v>786</v>
      </c>
      <c r="AE54">
        <v>-36.754854190000003</v>
      </c>
      <c r="AF54">
        <v>174.74360088</v>
      </c>
      <c r="AG54">
        <v>40</v>
      </c>
      <c r="AH54">
        <v>0</v>
      </c>
      <c r="AI54">
        <v>0</v>
      </c>
      <c r="AJ54">
        <v>0</v>
      </c>
      <c r="AK54">
        <v>2</v>
      </c>
      <c r="AL54">
        <v>18</v>
      </c>
      <c r="AM54">
        <v>22</v>
      </c>
      <c r="AN54">
        <v>0</v>
      </c>
      <c r="AO54">
        <v>42</v>
      </c>
      <c r="AP54">
        <v>14</v>
      </c>
      <c r="AQ54">
        <v>7</v>
      </c>
      <c r="AR54">
        <v>5</v>
      </c>
      <c r="AS54">
        <v>22</v>
      </c>
      <c r="AT54">
        <v>3</v>
      </c>
    </row>
    <row r="55" spans="1:46">
      <c r="A55">
        <v>5038</v>
      </c>
      <c r="B55" t="s">
        <v>787</v>
      </c>
      <c r="C55" t="s">
        <v>788</v>
      </c>
      <c r="D55" t="s">
        <v>789</v>
      </c>
      <c r="E55" t="s">
        <v>790</v>
      </c>
      <c r="F55" t="s">
        <v>791</v>
      </c>
      <c r="G55" t="s">
        <v>652</v>
      </c>
      <c r="H55" t="s">
        <v>517</v>
      </c>
      <c r="J55" t="s">
        <v>518</v>
      </c>
      <c r="K55" t="s">
        <v>519</v>
      </c>
      <c r="M55" t="s">
        <v>520</v>
      </c>
      <c r="N55" t="s">
        <v>571</v>
      </c>
      <c r="O55" t="s">
        <v>707</v>
      </c>
      <c r="P55" t="s">
        <v>654</v>
      </c>
      <c r="Q55" t="s">
        <v>638</v>
      </c>
      <c r="R55" t="s">
        <v>708</v>
      </c>
      <c r="S55" t="s">
        <v>706</v>
      </c>
      <c r="T55" t="s">
        <v>709</v>
      </c>
      <c r="U55">
        <v>148000</v>
      </c>
      <c r="V55" t="s">
        <v>792</v>
      </c>
      <c r="W55" t="s">
        <v>711</v>
      </c>
      <c r="X55" t="s">
        <v>642</v>
      </c>
      <c r="Y55" t="s">
        <v>643</v>
      </c>
      <c r="Z55" t="s">
        <v>644</v>
      </c>
      <c r="AA55" t="s">
        <v>645</v>
      </c>
      <c r="AB55" t="s">
        <v>646</v>
      </c>
      <c r="AE55">
        <v>-36.878243789999999</v>
      </c>
      <c r="AF55">
        <v>174.91184878999999</v>
      </c>
      <c r="AG55">
        <v>40</v>
      </c>
      <c r="AH55">
        <v>0</v>
      </c>
      <c r="AI55">
        <v>0</v>
      </c>
      <c r="AJ55">
        <v>0</v>
      </c>
      <c r="AK55">
        <v>12</v>
      </c>
      <c r="AL55">
        <v>19</v>
      </c>
      <c r="AM55">
        <v>14</v>
      </c>
      <c r="AN55">
        <v>3</v>
      </c>
      <c r="AO55">
        <v>48</v>
      </c>
      <c r="AP55">
        <v>17</v>
      </c>
      <c r="AQ55">
        <v>4</v>
      </c>
      <c r="AR55">
        <v>0</v>
      </c>
      <c r="AS55">
        <v>31</v>
      </c>
      <c r="AT55">
        <v>1</v>
      </c>
    </row>
    <row r="56" spans="1:46">
      <c r="A56">
        <v>5039</v>
      </c>
      <c r="B56" t="s">
        <v>793</v>
      </c>
      <c r="C56" t="s">
        <v>794</v>
      </c>
      <c r="D56" t="s">
        <v>795</v>
      </c>
      <c r="E56" t="s">
        <v>796</v>
      </c>
      <c r="F56" t="s">
        <v>706</v>
      </c>
      <c r="G56" t="s">
        <v>652</v>
      </c>
      <c r="H56" t="s">
        <v>517</v>
      </c>
      <c r="J56" t="s">
        <v>518</v>
      </c>
      <c r="K56" t="s">
        <v>519</v>
      </c>
      <c r="M56" t="s">
        <v>520</v>
      </c>
      <c r="N56" t="s">
        <v>571</v>
      </c>
      <c r="O56" t="s">
        <v>707</v>
      </c>
      <c r="P56" t="s">
        <v>654</v>
      </c>
      <c r="Q56" t="s">
        <v>638</v>
      </c>
      <c r="R56" t="s">
        <v>708</v>
      </c>
      <c r="S56" t="s">
        <v>706</v>
      </c>
      <c r="T56" t="s">
        <v>709</v>
      </c>
      <c r="U56">
        <v>150700</v>
      </c>
      <c r="V56" t="s">
        <v>797</v>
      </c>
      <c r="W56" t="s">
        <v>711</v>
      </c>
      <c r="X56" t="s">
        <v>642</v>
      </c>
      <c r="Y56" t="s">
        <v>643</v>
      </c>
      <c r="Z56" t="s">
        <v>644</v>
      </c>
      <c r="AA56" t="s">
        <v>645</v>
      </c>
      <c r="AB56" t="s">
        <v>646</v>
      </c>
      <c r="AC56">
        <v>99149</v>
      </c>
      <c r="AD56" t="s">
        <v>798</v>
      </c>
      <c r="AE56">
        <v>-36.90867291</v>
      </c>
      <c r="AF56">
        <v>174.89960191</v>
      </c>
      <c r="AG56">
        <v>40</v>
      </c>
      <c r="AH56">
        <v>0</v>
      </c>
      <c r="AI56">
        <v>0</v>
      </c>
      <c r="AJ56">
        <v>0</v>
      </c>
      <c r="AK56">
        <v>6</v>
      </c>
      <c r="AL56">
        <v>18</v>
      </c>
      <c r="AM56">
        <v>25</v>
      </c>
      <c r="AN56">
        <v>2</v>
      </c>
      <c r="AO56">
        <v>51</v>
      </c>
      <c r="AP56">
        <v>24</v>
      </c>
      <c r="AQ56">
        <v>10</v>
      </c>
      <c r="AR56">
        <v>9</v>
      </c>
      <c r="AS56">
        <v>22</v>
      </c>
      <c r="AT56">
        <v>6</v>
      </c>
    </row>
    <row r="57" spans="1:46">
      <c r="A57">
        <v>5040</v>
      </c>
      <c r="B57" t="s">
        <v>799</v>
      </c>
      <c r="C57" t="s">
        <v>800</v>
      </c>
      <c r="D57" t="s">
        <v>801</v>
      </c>
      <c r="E57" t="s">
        <v>802</v>
      </c>
      <c r="F57" t="s">
        <v>803</v>
      </c>
      <c r="G57" t="s">
        <v>652</v>
      </c>
      <c r="H57" t="s">
        <v>517</v>
      </c>
      <c r="J57" t="s">
        <v>518</v>
      </c>
      <c r="K57" t="s">
        <v>519</v>
      </c>
      <c r="M57" t="s">
        <v>520</v>
      </c>
      <c r="N57" t="s">
        <v>571</v>
      </c>
      <c r="O57" t="s">
        <v>804</v>
      </c>
      <c r="P57" t="s">
        <v>654</v>
      </c>
      <c r="Q57" t="s">
        <v>638</v>
      </c>
      <c r="R57" t="s">
        <v>708</v>
      </c>
      <c r="S57" t="s">
        <v>805</v>
      </c>
      <c r="T57" t="s">
        <v>709</v>
      </c>
      <c r="U57">
        <v>144400</v>
      </c>
      <c r="V57" t="s">
        <v>806</v>
      </c>
      <c r="W57" t="s">
        <v>807</v>
      </c>
      <c r="X57" t="s">
        <v>642</v>
      </c>
      <c r="Y57" t="s">
        <v>643</v>
      </c>
      <c r="Z57" t="s">
        <v>644</v>
      </c>
      <c r="AA57" t="s">
        <v>645</v>
      </c>
      <c r="AB57" t="s">
        <v>646</v>
      </c>
      <c r="AE57">
        <v>-36.8905636</v>
      </c>
      <c r="AF57">
        <v>174.82237018000001</v>
      </c>
      <c r="AG57">
        <v>40</v>
      </c>
      <c r="AH57">
        <v>0</v>
      </c>
      <c r="AI57">
        <v>0</v>
      </c>
      <c r="AJ57">
        <v>0</v>
      </c>
      <c r="AK57">
        <v>2</v>
      </c>
      <c r="AL57">
        <v>22</v>
      </c>
      <c r="AM57">
        <v>21</v>
      </c>
      <c r="AN57">
        <v>1</v>
      </c>
      <c r="AO57">
        <v>46</v>
      </c>
      <c r="AP57">
        <v>35</v>
      </c>
      <c r="AQ57">
        <v>4</v>
      </c>
      <c r="AR57">
        <v>3</v>
      </c>
      <c r="AS57">
        <v>12</v>
      </c>
      <c r="AT57">
        <v>3</v>
      </c>
    </row>
    <row r="58" spans="1:46">
      <c r="A58">
        <v>5042</v>
      </c>
      <c r="B58" t="s">
        <v>808</v>
      </c>
      <c r="C58" t="s">
        <v>809</v>
      </c>
      <c r="D58" t="s">
        <v>810</v>
      </c>
      <c r="E58" t="s">
        <v>811</v>
      </c>
      <c r="F58" t="s">
        <v>812</v>
      </c>
      <c r="G58" t="s">
        <v>652</v>
      </c>
      <c r="H58" t="s">
        <v>517</v>
      </c>
      <c r="J58" t="s">
        <v>518</v>
      </c>
      <c r="K58" t="s">
        <v>519</v>
      </c>
      <c r="M58" t="s">
        <v>520</v>
      </c>
      <c r="N58" t="s">
        <v>557</v>
      </c>
      <c r="O58" t="s">
        <v>813</v>
      </c>
      <c r="P58" t="s">
        <v>654</v>
      </c>
      <c r="Q58" t="s">
        <v>638</v>
      </c>
      <c r="R58" t="s">
        <v>639</v>
      </c>
      <c r="S58" t="s">
        <v>739</v>
      </c>
      <c r="T58" t="s">
        <v>527</v>
      </c>
      <c r="U58">
        <v>122300</v>
      </c>
      <c r="V58" t="s">
        <v>814</v>
      </c>
      <c r="W58" t="s">
        <v>815</v>
      </c>
      <c r="X58" t="s">
        <v>642</v>
      </c>
      <c r="Y58" t="s">
        <v>643</v>
      </c>
      <c r="Z58" t="s">
        <v>644</v>
      </c>
      <c r="AA58" t="s">
        <v>645</v>
      </c>
      <c r="AB58" t="s">
        <v>646</v>
      </c>
      <c r="AC58">
        <v>99125</v>
      </c>
      <c r="AD58" t="s">
        <v>816</v>
      </c>
      <c r="AE58">
        <v>-36.834802279999998</v>
      </c>
      <c r="AF58">
        <v>174.63291111999999</v>
      </c>
      <c r="AG58">
        <v>30</v>
      </c>
      <c r="AH58">
        <v>0</v>
      </c>
      <c r="AI58">
        <v>0</v>
      </c>
      <c r="AJ58">
        <v>0</v>
      </c>
      <c r="AK58">
        <v>4</v>
      </c>
      <c r="AL58">
        <v>7</v>
      </c>
      <c r="AM58">
        <v>19</v>
      </c>
      <c r="AN58">
        <v>0</v>
      </c>
      <c r="AO58">
        <v>30</v>
      </c>
      <c r="AP58">
        <v>11</v>
      </c>
      <c r="AQ58">
        <v>7</v>
      </c>
      <c r="AR58">
        <v>4</v>
      </c>
      <c r="AS58">
        <v>10</v>
      </c>
      <c r="AT58">
        <v>3</v>
      </c>
    </row>
    <row r="59" spans="1:46">
      <c r="A59">
        <v>5043</v>
      </c>
      <c r="B59" t="s">
        <v>817</v>
      </c>
      <c r="C59" t="s">
        <v>818</v>
      </c>
      <c r="D59" t="s">
        <v>819</v>
      </c>
      <c r="E59" t="s">
        <v>820</v>
      </c>
      <c r="F59" t="s">
        <v>821</v>
      </c>
      <c r="G59" t="s">
        <v>652</v>
      </c>
      <c r="H59" t="s">
        <v>517</v>
      </c>
      <c r="J59" t="s">
        <v>518</v>
      </c>
      <c r="K59" t="s">
        <v>519</v>
      </c>
      <c r="M59" t="s">
        <v>520</v>
      </c>
      <c r="N59" t="s">
        <v>571</v>
      </c>
      <c r="O59" t="s">
        <v>804</v>
      </c>
      <c r="P59" t="s">
        <v>654</v>
      </c>
      <c r="Q59" t="s">
        <v>638</v>
      </c>
      <c r="R59" t="s">
        <v>708</v>
      </c>
      <c r="S59" t="s">
        <v>822</v>
      </c>
      <c r="T59" t="s">
        <v>709</v>
      </c>
      <c r="U59">
        <v>141000</v>
      </c>
      <c r="V59" t="s">
        <v>823</v>
      </c>
      <c r="W59" t="s">
        <v>824</v>
      </c>
      <c r="X59" t="s">
        <v>642</v>
      </c>
      <c r="Y59" t="s">
        <v>643</v>
      </c>
      <c r="Z59" t="s">
        <v>644</v>
      </c>
      <c r="AA59" t="s">
        <v>645</v>
      </c>
      <c r="AB59" t="s">
        <v>646</v>
      </c>
      <c r="AE59">
        <v>-36.882450290000001</v>
      </c>
      <c r="AF59">
        <v>174.80526584</v>
      </c>
      <c r="AG59">
        <v>40</v>
      </c>
      <c r="AH59">
        <v>0</v>
      </c>
      <c r="AI59">
        <v>0</v>
      </c>
      <c r="AJ59">
        <v>0</v>
      </c>
      <c r="AK59">
        <v>11</v>
      </c>
      <c r="AL59">
        <v>14</v>
      </c>
      <c r="AM59">
        <v>13</v>
      </c>
      <c r="AN59">
        <v>4</v>
      </c>
      <c r="AO59">
        <v>42</v>
      </c>
      <c r="AP59">
        <v>21</v>
      </c>
      <c r="AQ59">
        <v>3</v>
      </c>
      <c r="AR59">
        <v>0</v>
      </c>
      <c r="AS59">
        <v>21</v>
      </c>
      <c r="AT59">
        <v>2</v>
      </c>
    </row>
    <row r="60" spans="1:46">
      <c r="A60">
        <v>5044</v>
      </c>
      <c r="B60" t="s">
        <v>825</v>
      </c>
      <c r="C60" t="s">
        <v>826</v>
      </c>
      <c r="E60" t="s">
        <v>827</v>
      </c>
      <c r="F60" t="s">
        <v>828</v>
      </c>
      <c r="G60" t="s">
        <v>652</v>
      </c>
      <c r="H60" t="s">
        <v>517</v>
      </c>
      <c r="J60" t="s">
        <v>518</v>
      </c>
      <c r="K60" t="s">
        <v>519</v>
      </c>
      <c r="M60" t="s">
        <v>520</v>
      </c>
      <c r="N60" t="s">
        <v>571</v>
      </c>
      <c r="O60" t="s">
        <v>829</v>
      </c>
      <c r="P60" t="s">
        <v>654</v>
      </c>
      <c r="Q60" t="s">
        <v>638</v>
      </c>
      <c r="R60" t="s">
        <v>708</v>
      </c>
      <c r="S60" t="s">
        <v>805</v>
      </c>
      <c r="T60" t="s">
        <v>709</v>
      </c>
      <c r="U60">
        <v>145000</v>
      </c>
      <c r="V60" t="s">
        <v>830</v>
      </c>
      <c r="W60" t="s">
        <v>807</v>
      </c>
      <c r="X60" t="s">
        <v>642</v>
      </c>
      <c r="Y60" t="s">
        <v>643</v>
      </c>
      <c r="Z60" t="s">
        <v>644</v>
      </c>
      <c r="AA60" t="s">
        <v>645</v>
      </c>
      <c r="AB60" t="s">
        <v>646</v>
      </c>
      <c r="AC60">
        <v>99190</v>
      </c>
      <c r="AD60" t="s">
        <v>831</v>
      </c>
      <c r="AE60">
        <v>-36.917184130000003</v>
      </c>
      <c r="AF60">
        <v>174.78769492999999</v>
      </c>
      <c r="AG60">
        <v>40</v>
      </c>
      <c r="AH60">
        <v>0</v>
      </c>
      <c r="AI60">
        <v>0</v>
      </c>
      <c r="AJ60">
        <v>0</v>
      </c>
      <c r="AK60">
        <v>1</v>
      </c>
      <c r="AL60">
        <v>17</v>
      </c>
      <c r="AM60">
        <v>24</v>
      </c>
      <c r="AN60">
        <v>2</v>
      </c>
      <c r="AO60">
        <v>44</v>
      </c>
      <c r="AP60">
        <v>23</v>
      </c>
      <c r="AQ60">
        <v>9</v>
      </c>
      <c r="AR60">
        <v>10</v>
      </c>
      <c r="AS60">
        <v>13</v>
      </c>
      <c r="AT60">
        <v>4</v>
      </c>
    </row>
    <row r="61" spans="1:46">
      <c r="A61">
        <v>5045</v>
      </c>
      <c r="B61" t="s">
        <v>832</v>
      </c>
      <c r="C61" t="s">
        <v>833</v>
      </c>
      <c r="D61" t="s">
        <v>834</v>
      </c>
      <c r="E61" t="s">
        <v>835</v>
      </c>
      <c r="F61" t="s">
        <v>836</v>
      </c>
      <c r="G61" t="s">
        <v>652</v>
      </c>
      <c r="H61" t="s">
        <v>517</v>
      </c>
      <c r="J61" t="s">
        <v>518</v>
      </c>
      <c r="K61" t="s">
        <v>519</v>
      </c>
      <c r="M61" t="s">
        <v>520</v>
      </c>
      <c r="N61" t="s">
        <v>571</v>
      </c>
      <c r="O61" t="s">
        <v>748</v>
      </c>
      <c r="P61" t="s">
        <v>654</v>
      </c>
      <c r="Q61" t="s">
        <v>638</v>
      </c>
      <c r="R61" t="s">
        <v>639</v>
      </c>
      <c r="S61" t="s">
        <v>682</v>
      </c>
      <c r="T61" t="s">
        <v>527</v>
      </c>
      <c r="U61">
        <v>134000</v>
      </c>
      <c r="V61" t="s">
        <v>837</v>
      </c>
      <c r="W61" t="s">
        <v>741</v>
      </c>
      <c r="X61" t="s">
        <v>642</v>
      </c>
      <c r="Y61" t="s">
        <v>643</v>
      </c>
      <c r="Z61" t="s">
        <v>644</v>
      </c>
      <c r="AA61" t="s">
        <v>645</v>
      </c>
      <c r="AB61" t="s">
        <v>646</v>
      </c>
      <c r="AC61">
        <v>99048</v>
      </c>
      <c r="AD61" t="s">
        <v>750</v>
      </c>
      <c r="AE61">
        <v>-36.82488893</v>
      </c>
      <c r="AF61">
        <v>174.80341881000001</v>
      </c>
      <c r="AG61">
        <v>40</v>
      </c>
      <c r="AH61">
        <v>0</v>
      </c>
      <c r="AI61">
        <v>0</v>
      </c>
      <c r="AJ61">
        <v>0</v>
      </c>
      <c r="AK61">
        <v>0</v>
      </c>
      <c r="AL61">
        <v>5</v>
      </c>
      <c r="AM61">
        <v>40</v>
      </c>
      <c r="AN61">
        <v>4</v>
      </c>
      <c r="AO61">
        <v>49</v>
      </c>
      <c r="AP61">
        <v>48</v>
      </c>
      <c r="AQ61">
        <v>8</v>
      </c>
      <c r="AR61">
        <v>1</v>
      </c>
      <c r="AS61">
        <v>3</v>
      </c>
      <c r="AT61">
        <v>5</v>
      </c>
    </row>
    <row r="62" spans="1:46">
      <c r="A62">
        <v>5046</v>
      </c>
      <c r="B62" t="s">
        <v>838</v>
      </c>
      <c r="C62" t="s">
        <v>839</v>
      </c>
      <c r="D62" t="s">
        <v>840</v>
      </c>
      <c r="E62" t="s">
        <v>841</v>
      </c>
      <c r="F62" t="s">
        <v>812</v>
      </c>
      <c r="G62" t="s">
        <v>652</v>
      </c>
      <c r="H62" t="s">
        <v>517</v>
      </c>
      <c r="J62" t="s">
        <v>518</v>
      </c>
      <c r="K62" t="s">
        <v>519</v>
      </c>
      <c r="M62" t="s">
        <v>520</v>
      </c>
      <c r="N62" t="s">
        <v>539</v>
      </c>
      <c r="O62" t="s">
        <v>813</v>
      </c>
      <c r="P62" t="s">
        <v>654</v>
      </c>
      <c r="Q62" t="s">
        <v>638</v>
      </c>
      <c r="R62" t="s">
        <v>639</v>
      </c>
      <c r="S62" t="s">
        <v>739</v>
      </c>
      <c r="T62" t="s">
        <v>527</v>
      </c>
      <c r="U62">
        <v>121701</v>
      </c>
      <c r="V62" t="s">
        <v>842</v>
      </c>
      <c r="W62" t="s">
        <v>815</v>
      </c>
      <c r="X62" t="s">
        <v>642</v>
      </c>
      <c r="Y62" t="s">
        <v>643</v>
      </c>
      <c r="Z62" t="s">
        <v>644</v>
      </c>
      <c r="AA62" t="s">
        <v>645</v>
      </c>
      <c r="AB62" t="s">
        <v>646</v>
      </c>
      <c r="AC62">
        <v>99125</v>
      </c>
      <c r="AD62" t="s">
        <v>816</v>
      </c>
      <c r="AE62">
        <v>-36.850832869999998</v>
      </c>
      <c r="AF62">
        <v>174.60964823</v>
      </c>
      <c r="AG62">
        <v>40</v>
      </c>
      <c r="AH62">
        <v>0</v>
      </c>
      <c r="AI62">
        <v>0</v>
      </c>
      <c r="AJ62">
        <v>0</v>
      </c>
      <c r="AK62">
        <v>7</v>
      </c>
      <c r="AL62">
        <v>10</v>
      </c>
      <c r="AM62">
        <v>19</v>
      </c>
      <c r="AN62">
        <v>0</v>
      </c>
      <c r="AO62">
        <v>36</v>
      </c>
      <c r="AP62">
        <v>12</v>
      </c>
      <c r="AQ62">
        <v>8</v>
      </c>
      <c r="AR62">
        <v>12</v>
      </c>
      <c r="AS62">
        <v>9</v>
      </c>
      <c r="AT62">
        <v>1</v>
      </c>
    </row>
    <row r="63" spans="1:46">
      <c r="A63">
        <v>5047</v>
      </c>
      <c r="B63" t="s">
        <v>843</v>
      </c>
      <c r="C63" t="s">
        <v>844</v>
      </c>
      <c r="D63" t="s">
        <v>845</v>
      </c>
      <c r="E63" t="s">
        <v>846</v>
      </c>
      <c r="F63" t="s">
        <v>847</v>
      </c>
      <c r="G63" t="s">
        <v>652</v>
      </c>
      <c r="H63" t="s">
        <v>517</v>
      </c>
      <c r="J63" t="s">
        <v>518</v>
      </c>
      <c r="K63" t="s">
        <v>519</v>
      </c>
      <c r="M63" t="s">
        <v>520</v>
      </c>
      <c r="N63" t="s">
        <v>521</v>
      </c>
      <c r="O63" t="s">
        <v>848</v>
      </c>
      <c r="P63" t="s">
        <v>654</v>
      </c>
      <c r="Q63" t="s">
        <v>638</v>
      </c>
      <c r="R63" t="s">
        <v>729</v>
      </c>
      <c r="S63" t="s">
        <v>849</v>
      </c>
      <c r="T63" t="s">
        <v>709</v>
      </c>
      <c r="U63">
        <v>148200</v>
      </c>
      <c r="V63" t="s">
        <v>850</v>
      </c>
      <c r="W63" t="s">
        <v>732</v>
      </c>
      <c r="X63" t="s">
        <v>642</v>
      </c>
      <c r="Y63" t="s">
        <v>643</v>
      </c>
      <c r="Z63" t="s">
        <v>644</v>
      </c>
      <c r="AA63" t="s">
        <v>645</v>
      </c>
      <c r="AB63" t="s">
        <v>646</v>
      </c>
      <c r="AE63">
        <v>-36.953888650000003</v>
      </c>
      <c r="AF63">
        <v>174.80747557000001</v>
      </c>
      <c r="AG63">
        <v>40</v>
      </c>
      <c r="AH63">
        <v>0</v>
      </c>
      <c r="AI63">
        <v>0</v>
      </c>
      <c r="AJ63">
        <v>0</v>
      </c>
      <c r="AK63">
        <v>8</v>
      </c>
      <c r="AL63">
        <v>9</v>
      </c>
      <c r="AM63">
        <v>17</v>
      </c>
      <c r="AN63">
        <v>1</v>
      </c>
      <c r="AO63">
        <v>35</v>
      </c>
      <c r="AP63">
        <v>3</v>
      </c>
      <c r="AQ63">
        <v>4</v>
      </c>
      <c r="AR63">
        <v>30</v>
      </c>
      <c r="AS63">
        <v>4</v>
      </c>
      <c r="AT63">
        <v>0</v>
      </c>
    </row>
    <row r="64" spans="1:46">
      <c r="A64">
        <v>5048</v>
      </c>
      <c r="B64" t="s">
        <v>851</v>
      </c>
      <c r="C64" t="s">
        <v>852</v>
      </c>
      <c r="D64" t="s">
        <v>853</v>
      </c>
      <c r="E64" t="s">
        <v>854</v>
      </c>
      <c r="F64" t="s">
        <v>855</v>
      </c>
      <c r="G64" t="s">
        <v>652</v>
      </c>
      <c r="H64" t="s">
        <v>517</v>
      </c>
      <c r="I64" t="s">
        <v>856</v>
      </c>
      <c r="J64" t="s">
        <v>518</v>
      </c>
      <c r="K64" t="s">
        <v>519</v>
      </c>
      <c r="M64" t="s">
        <v>520</v>
      </c>
      <c r="N64" t="s">
        <v>571</v>
      </c>
      <c r="O64" t="s">
        <v>857</v>
      </c>
      <c r="P64" t="s">
        <v>654</v>
      </c>
      <c r="Q64" t="s">
        <v>638</v>
      </c>
      <c r="R64" t="s">
        <v>708</v>
      </c>
      <c r="S64" t="s">
        <v>858</v>
      </c>
      <c r="T64" t="s">
        <v>709</v>
      </c>
      <c r="U64">
        <v>134200</v>
      </c>
      <c r="V64" t="s">
        <v>859</v>
      </c>
      <c r="W64" t="s">
        <v>860</v>
      </c>
      <c r="X64" t="s">
        <v>642</v>
      </c>
      <c r="Y64" t="s">
        <v>643</v>
      </c>
      <c r="Z64" t="s">
        <v>644</v>
      </c>
      <c r="AA64" t="s">
        <v>645</v>
      </c>
      <c r="AB64" t="s">
        <v>646</v>
      </c>
      <c r="AC64">
        <v>99150</v>
      </c>
      <c r="AD64" t="s">
        <v>861</v>
      </c>
      <c r="AE64">
        <v>-36.882298140000003</v>
      </c>
      <c r="AF64">
        <v>174.71943231</v>
      </c>
      <c r="AG64">
        <v>40</v>
      </c>
      <c r="AH64">
        <v>0</v>
      </c>
      <c r="AI64">
        <v>0</v>
      </c>
      <c r="AJ64">
        <v>0</v>
      </c>
      <c r="AK64">
        <v>0</v>
      </c>
      <c r="AL64">
        <v>19</v>
      </c>
      <c r="AM64">
        <v>28</v>
      </c>
      <c r="AN64">
        <v>2</v>
      </c>
      <c r="AO64">
        <v>49</v>
      </c>
      <c r="AP64">
        <v>40</v>
      </c>
      <c r="AQ64">
        <v>9</v>
      </c>
      <c r="AR64">
        <v>5</v>
      </c>
      <c r="AS64">
        <v>14</v>
      </c>
      <c r="AT64">
        <v>3</v>
      </c>
    </row>
    <row r="65" spans="1:46">
      <c r="A65">
        <v>5049</v>
      </c>
      <c r="B65" t="s">
        <v>862</v>
      </c>
      <c r="C65" t="s">
        <v>863</v>
      </c>
      <c r="D65" t="s">
        <v>864</v>
      </c>
      <c r="E65" t="s">
        <v>865</v>
      </c>
      <c r="F65" t="s">
        <v>726</v>
      </c>
      <c r="G65" t="s">
        <v>652</v>
      </c>
      <c r="H65" t="s">
        <v>517</v>
      </c>
      <c r="J65" t="s">
        <v>518</v>
      </c>
      <c r="K65" t="s">
        <v>519</v>
      </c>
      <c r="M65" t="s">
        <v>520</v>
      </c>
      <c r="N65" t="s">
        <v>727</v>
      </c>
      <c r="O65" t="s">
        <v>728</v>
      </c>
      <c r="P65" t="s">
        <v>654</v>
      </c>
      <c r="Q65" t="s">
        <v>638</v>
      </c>
      <c r="R65" t="s">
        <v>729</v>
      </c>
      <c r="S65" t="s">
        <v>730</v>
      </c>
      <c r="T65" t="s">
        <v>709</v>
      </c>
      <c r="U65">
        <v>155702</v>
      </c>
      <c r="V65" t="s">
        <v>866</v>
      </c>
      <c r="W65" t="s">
        <v>732</v>
      </c>
      <c r="X65" t="s">
        <v>642</v>
      </c>
      <c r="Y65" t="s">
        <v>643</v>
      </c>
      <c r="Z65" t="s">
        <v>644</v>
      </c>
      <c r="AA65" t="s">
        <v>645</v>
      </c>
      <c r="AB65" t="s">
        <v>646</v>
      </c>
      <c r="AC65">
        <v>99200</v>
      </c>
      <c r="AD65" t="s">
        <v>867</v>
      </c>
      <c r="AE65">
        <v>-36.97427639</v>
      </c>
      <c r="AF65">
        <v>174.88428969</v>
      </c>
      <c r="AG65">
        <v>40</v>
      </c>
      <c r="AH65">
        <v>0</v>
      </c>
      <c r="AI65">
        <v>0</v>
      </c>
      <c r="AJ65">
        <v>0</v>
      </c>
      <c r="AK65">
        <v>2</v>
      </c>
      <c r="AL65">
        <v>10</v>
      </c>
      <c r="AM65">
        <v>17</v>
      </c>
      <c r="AN65">
        <v>0</v>
      </c>
      <c r="AO65">
        <v>29</v>
      </c>
      <c r="AP65">
        <v>1</v>
      </c>
      <c r="AQ65">
        <v>9</v>
      </c>
      <c r="AR65">
        <v>22</v>
      </c>
      <c r="AS65">
        <v>4</v>
      </c>
      <c r="AT65">
        <v>0</v>
      </c>
    </row>
    <row r="66" spans="1:46">
      <c r="A66">
        <v>5050</v>
      </c>
      <c r="B66" t="s">
        <v>868</v>
      </c>
      <c r="C66" t="s">
        <v>869</v>
      </c>
      <c r="D66" t="s">
        <v>870</v>
      </c>
      <c r="E66" t="s">
        <v>871</v>
      </c>
      <c r="F66" t="s">
        <v>872</v>
      </c>
      <c r="G66" t="s">
        <v>652</v>
      </c>
      <c r="H66" t="s">
        <v>517</v>
      </c>
      <c r="J66" t="s">
        <v>518</v>
      </c>
      <c r="K66" t="s">
        <v>519</v>
      </c>
      <c r="M66" t="s">
        <v>520</v>
      </c>
      <c r="N66" t="s">
        <v>557</v>
      </c>
      <c r="O66" t="s">
        <v>873</v>
      </c>
      <c r="P66" t="s">
        <v>654</v>
      </c>
      <c r="Q66" t="s">
        <v>638</v>
      </c>
      <c r="R66" t="s">
        <v>639</v>
      </c>
      <c r="S66" t="s">
        <v>719</v>
      </c>
      <c r="T66" t="s">
        <v>709</v>
      </c>
      <c r="U66">
        <v>130801</v>
      </c>
      <c r="V66" t="s">
        <v>874</v>
      </c>
      <c r="W66" t="s">
        <v>815</v>
      </c>
      <c r="X66" t="s">
        <v>642</v>
      </c>
      <c r="Y66" t="s">
        <v>643</v>
      </c>
      <c r="Z66" t="s">
        <v>644</v>
      </c>
      <c r="AA66" t="s">
        <v>645</v>
      </c>
      <c r="AB66" t="s">
        <v>646</v>
      </c>
      <c r="AE66">
        <v>-36.909946789999999</v>
      </c>
      <c r="AF66">
        <v>174.65339134999999</v>
      </c>
      <c r="AG66">
        <v>45</v>
      </c>
      <c r="AH66">
        <v>0</v>
      </c>
      <c r="AI66">
        <v>0</v>
      </c>
      <c r="AJ66">
        <v>0</v>
      </c>
      <c r="AK66">
        <v>11</v>
      </c>
      <c r="AL66">
        <v>15</v>
      </c>
      <c r="AM66">
        <v>19</v>
      </c>
      <c r="AN66">
        <v>0</v>
      </c>
      <c r="AO66">
        <v>45</v>
      </c>
      <c r="AP66">
        <v>18</v>
      </c>
      <c r="AQ66">
        <v>5</v>
      </c>
      <c r="AR66">
        <v>14</v>
      </c>
      <c r="AS66">
        <v>11</v>
      </c>
      <c r="AT66">
        <v>6</v>
      </c>
    </row>
    <row r="67" spans="1:46">
      <c r="A67">
        <v>5051</v>
      </c>
      <c r="B67" t="s">
        <v>875</v>
      </c>
      <c r="C67" t="s">
        <v>876</v>
      </c>
      <c r="D67" t="s">
        <v>877</v>
      </c>
      <c r="E67" t="s">
        <v>878</v>
      </c>
      <c r="F67" t="s">
        <v>879</v>
      </c>
      <c r="G67" t="s">
        <v>652</v>
      </c>
      <c r="H67" t="s">
        <v>517</v>
      </c>
      <c r="J67" t="s">
        <v>518</v>
      </c>
      <c r="K67" t="s">
        <v>519</v>
      </c>
      <c r="M67" t="s">
        <v>520</v>
      </c>
      <c r="N67" t="s">
        <v>727</v>
      </c>
      <c r="O67" t="s">
        <v>829</v>
      </c>
      <c r="P67" t="s">
        <v>654</v>
      </c>
      <c r="Q67" t="s">
        <v>638</v>
      </c>
      <c r="R67" t="s">
        <v>708</v>
      </c>
      <c r="S67" t="s">
        <v>880</v>
      </c>
      <c r="T67" t="s">
        <v>709</v>
      </c>
      <c r="U67">
        <v>145800</v>
      </c>
      <c r="V67" t="s">
        <v>881</v>
      </c>
      <c r="W67" t="s">
        <v>807</v>
      </c>
      <c r="X67" t="s">
        <v>642</v>
      </c>
      <c r="Y67" t="s">
        <v>643</v>
      </c>
      <c r="Z67" t="s">
        <v>644</v>
      </c>
      <c r="AA67" t="s">
        <v>645</v>
      </c>
      <c r="AB67" t="s">
        <v>646</v>
      </c>
      <c r="AE67">
        <v>-36.875430020000003</v>
      </c>
      <c r="AF67">
        <v>174.8729419</v>
      </c>
      <c r="AG67">
        <v>40</v>
      </c>
      <c r="AH67">
        <v>0</v>
      </c>
      <c r="AI67">
        <v>0</v>
      </c>
      <c r="AJ67">
        <v>0</v>
      </c>
      <c r="AK67">
        <v>6</v>
      </c>
      <c r="AL67">
        <v>10</v>
      </c>
      <c r="AM67">
        <v>10</v>
      </c>
      <c r="AN67">
        <v>0</v>
      </c>
      <c r="AO67">
        <v>26</v>
      </c>
      <c r="AP67">
        <v>9</v>
      </c>
      <c r="AQ67">
        <v>9</v>
      </c>
      <c r="AR67">
        <v>12</v>
      </c>
      <c r="AS67">
        <v>1</v>
      </c>
      <c r="AT67">
        <v>2</v>
      </c>
    </row>
    <row r="68" spans="1:46">
      <c r="A68">
        <v>5052</v>
      </c>
      <c r="B68" t="s">
        <v>882</v>
      </c>
      <c r="C68" t="s">
        <v>883</v>
      </c>
      <c r="D68" t="s">
        <v>884</v>
      </c>
      <c r="E68" t="s">
        <v>885</v>
      </c>
      <c r="F68" t="s">
        <v>737</v>
      </c>
      <c r="G68" t="s">
        <v>652</v>
      </c>
      <c r="H68" t="s">
        <v>517</v>
      </c>
      <c r="J68" t="s">
        <v>518</v>
      </c>
      <c r="K68" t="s">
        <v>519</v>
      </c>
      <c r="M68" t="s">
        <v>520</v>
      </c>
      <c r="N68" t="s">
        <v>571</v>
      </c>
      <c r="O68" t="s">
        <v>738</v>
      </c>
      <c r="P68" t="s">
        <v>654</v>
      </c>
      <c r="Q68" t="s">
        <v>638</v>
      </c>
      <c r="R68" t="s">
        <v>639</v>
      </c>
      <c r="S68" t="s">
        <v>756</v>
      </c>
      <c r="T68" t="s">
        <v>527</v>
      </c>
      <c r="U68">
        <v>123100</v>
      </c>
      <c r="V68" t="s">
        <v>886</v>
      </c>
      <c r="W68" t="s">
        <v>741</v>
      </c>
      <c r="X68" t="s">
        <v>642</v>
      </c>
      <c r="Y68" t="s">
        <v>643</v>
      </c>
      <c r="Z68" t="s">
        <v>644</v>
      </c>
      <c r="AA68" t="s">
        <v>645</v>
      </c>
      <c r="AB68" t="s">
        <v>646</v>
      </c>
      <c r="AC68">
        <v>99120</v>
      </c>
      <c r="AD68" t="s">
        <v>742</v>
      </c>
      <c r="AE68">
        <v>-36.778446350000003</v>
      </c>
      <c r="AF68">
        <v>174.72221289000001</v>
      </c>
      <c r="AG68">
        <v>40</v>
      </c>
      <c r="AH68">
        <v>0</v>
      </c>
      <c r="AI68">
        <v>0</v>
      </c>
      <c r="AJ68">
        <v>0</v>
      </c>
      <c r="AK68">
        <v>1</v>
      </c>
      <c r="AL68">
        <v>18</v>
      </c>
      <c r="AM68">
        <v>28</v>
      </c>
      <c r="AN68">
        <v>1</v>
      </c>
      <c r="AO68">
        <v>48</v>
      </c>
      <c r="AP68">
        <v>15</v>
      </c>
      <c r="AQ68">
        <v>4</v>
      </c>
      <c r="AR68">
        <v>5</v>
      </c>
      <c r="AS68">
        <v>30</v>
      </c>
      <c r="AT68">
        <v>1</v>
      </c>
    </row>
    <row r="69" spans="1:46">
      <c r="A69">
        <v>5053</v>
      </c>
      <c r="B69" t="s">
        <v>887</v>
      </c>
      <c r="C69" t="s">
        <v>888</v>
      </c>
      <c r="D69" t="s">
        <v>889</v>
      </c>
      <c r="E69" t="s">
        <v>890</v>
      </c>
      <c r="F69" t="s">
        <v>891</v>
      </c>
      <c r="G69" t="s">
        <v>652</v>
      </c>
      <c r="H69" t="s">
        <v>517</v>
      </c>
      <c r="J69" t="s">
        <v>518</v>
      </c>
      <c r="K69" t="s">
        <v>519</v>
      </c>
      <c r="M69" t="s">
        <v>520</v>
      </c>
      <c r="N69" t="s">
        <v>571</v>
      </c>
      <c r="O69" t="s">
        <v>718</v>
      </c>
      <c r="P69" t="s">
        <v>654</v>
      </c>
      <c r="Q69" t="s">
        <v>638</v>
      </c>
      <c r="R69" t="s">
        <v>639</v>
      </c>
      <c r="S69" t="s">
        <v>770</v>
      </c>
      <c r="T69" t="s">
        <v>709</v>
      </c>
      <c r="U69">
        <v>137300</v>
      </c>
      <c r="V69" t="s">
        <v>892</v>
      </c>
      <c r="W69" t="s">
        <v>721</v>
      </c>
      <c r="X69" t="s">
        <v>642</v>
      </c>
      <c r="Y69" t="s">
        <v>643</v>
      </c>
      <c r="Z69" t="s">
        <v>644</v>
      </c>
      <c r="AA69" t="s">
        <v>645</v>
      </c>
      <c r="AB69" t="s">
        <v>646</v>
      </c>
      <c r="AC69">
        <v>99062</v>
      </c>
      <c r="AD69" t="s">
        <v>893</v>
      </c>
      <c r="AE69">
        <v>-36.930257159999996</v>
      </c>
      <c r="AF69">
        <v>174.67530539000001</v>
      </c>
      <c r="AG69">
        <v>40</v>
      </c>
      <c r="AH69">
        <v>0</v>
      </c>
      <c r="AI69">
        <v>0</v>
      </c>
      <c r="AJ69">
        <v>0</v>
      </c>
      <c r="AK69">
        <v>0</v>
      </c>
      <c r="AL69">
        <v>21</v>
      </c>
      <c r="AM69">
        <v>30</v>
      </c>
      <c r="AN69">
        <v>2</v>
      </c>
      <c r="AO69">
        <v>53</v>
      </c>
      <c r="AP69">
        <v>35</v>
      </c>
      <c r="AQ69">
        <v>11</v>
      </c>
      <c r="AR69">
        <v>5</v>
      </c>
      <c r="AS69">
        <v>10</v>
      </c>
      <c r="AT69">
        <v>8</v>
      </c>
    </row>
    <row r="70" spans="1:46">
      <c r="A70">
        <v>5054</v>
      </c>
      <c r="B70" t="s">
        <v>894</v>
      </c>
      <c r="C70" t="s">
        <v>895</v>
      </c>
      <c r="D70" t="s">
        <v>896</v>
      </c>
      <c r="E70" t="s">
        <v>897</v>
      </c>
      <c r="F70" t="s">
        <v>898</v>
      </c>
      <c r="G70" t="s">
        <v>652</v>
      </c>
      <c r="H70" t="s">
        <v>517</v>
      </c>
      <c r="J70" t="s">
        <v>518</v>
      </c>
      <c r="K70" t="s">
        <v>519</v>
      </c>
      <c r="M70" t="s">
        <v>520</v>
      </c>
      <c r="N70" t="s">
        <v>539</v>
      </c>
      <c r="O70" t="s">
        <v>813</v>
      </c>
      <c r="P70" t="s">
        <v>654</v>
      </c>
      <c r="Q70" t="s">
        <v>638</v>
      </c>
      <c r="R70" t="s">
        <v>639</v>
      </c>
      <c r="S70" t="s">
        <v>899</v>
      </c>
      <c r="T70" t="s">
        <v>527</v>
      </c>
      <c r="U70">
        <v>126702</v>
      </c>
      <c r="V70" t="s">
        <v>900</v>
      </c>
      <c r="W70" t="s">
        <v>815</v>
      </c>
      <c r="X70" t="s">
        <v>642</v>
      </c>
      <c r="Y70" t="s">
        <v>643</v>
      </c>
      <c r="Z70" t="s">
        <v>644</v>
      </c>
      <c r="AA70" t="s">
        <v>645</v>
      </c>
      <c r="AB70" t="s">
        <v>646</v>
      </c>
      <c r="AC70">
        <v>99029</v>
      </c>
      <c r="AD70" t="s">
        <v>901</v>
      </c>
      <c r="AE70">
        <v>-36.879790970000002</v>
      </c>
      <c r="AF70">
        <v>174.62901073</v>
      </c>
      <c r="AG70">
        <v>40</v>
      </c>
      <c r="AH70">
        <v>0</v>
      </c>
      <c r="AI70">
        <v>0</v>
      </c>
      <c r="AJ70">
        <v>0</v>
      </c>
      <c r="AK70">
        <v>12</v>
      </c>
      <c r="AL70">
        <v>15</v>
      </c>
      <c r="AM70">
        <v>15</v>
      </c>
      <c r="AN70">
        <v>2</v>
      </c>
      <c r="AO70">
        <v>44</v>
      </c>
      <c r="AP70">
        <v>23</v>
      </c>
      <c r="AQ70">
        <v>9</v>
      </c>
      <c r="AR70">
        <v>8</v>
      </c>
      <c r="AS70">
        <v>17</v>
      </c>
      <c r="AT70">
        <v>3</v>
      </c>
    </row>
    <row r="71" spans="1:46">
      <c r="A71">
        <v>5055</v>
      </c>
      <c r="B71" t="s">
        <v>902</v>
      </c>
      <c r="C71" t="s">
        <v>903</v>
      </c>
      <c r="D71" t="s">
        <v>904</v>
      </c>
      <c r="E71" t="s">
        <v>905</v>
      </c>
      <c r="F71" t="s">
        <v>777</v>
      </c>
      <c r="G71" t="s">
        <v>652</v>
      </c>
      <c r="H71" t="s">
        <v>517</v>
      </c>
      <c r="J71" t="s">
        <v>518</v>
      </c>
      <c r="K71" t="s">
        <v>519</v>
      </c>
      <c r="M71" t="s">
        <v>520</v>
      </c>
      <c r="N71" t="s">
        <v>571</v>
      </c>
      <c r="O71" t="s">
        <v>707</v>
      </c>
      <c r="P71" t="s">
        <v>654</v>
      </c>
      <c r="Q71" t="s">
        <v>638</v>
      </c>
      <c r="R71" t="s">
        <v>708</v>
      </c>
      <c r="S71" t="s">
        <v>706</v>
      </c>
      <c r="T71" t="s">
        <v>709</v>
      </c>
      <c r="U71">
        <v>152201</v>
      </c>
      <c r="V71" t="s">
        <v>906</v>
      </c>
      <c r="W71" t="s">
        <v>711</v>
      </c>
      <c r="X71" t="s">
        <v>642</v>
      </c>
      <c r="Y71" t="s">
        <v>643</v>
      </c>
      <c r="Z71" t="s">
        <v>644</v>
      </c>
      <c r="AA71" t="s">
        <v>645</v>
      </c>
      <c r="AB71" t="s">
        <v>646</v>
      </c>
      <c r="AE71">
        <v>-36.899208809999998</v>
      </c>
      <c r="AF71">
        <v>174.91548251</v>
      </c>
      <c r="AG71">
        <v>40</v>
      </c>
      <c r="AH71">
        <v>0</v>
      </c>
      <c r="AI71">
        <v>0</v>
      </c>
      <c r="AJ71">
        <v>0</v>
      </c>
      <c r="AK71">
        <v>9</v>
      </c>
      <c r="AL71">
        <v>15</v>
      </c>
      <c r="AM71">
        <v>16</v>
      </c>
      <c r="AN71">
        <v>3</v>
      </c>
      <c r="AO71">
        <v>43</v>
      </c>
      <c r="AP71">
        <v>17</v>
      </c>
      <c r="AQ71">
        <v>3</v>
      </c>
      <c r="AR71">
        <v>5</v>
      </c>
      <c r="AS71">
        <v>23</v>
      </c>
      <c r="AT71">
        <v>1</v>
      </c>
    </row>
    <row r="72" spans="1:46">
      <c r="A72">
        <v>5056</v>
      </c>
      <c r="B72" t="s">
        <v>907</v>
      </c>
      <c r="C72" t="s">
        <v>908</v>
      </c>
      <c r="D72" t="s">
        <v>909</v>
      </c>
      <c r="E72" t="s">
        <v>910</v>
      </c>
      <c r="F72" t="s">
        <v>911</v>
      </c>
      <c r="G72" t="s">
        <v>652</v>
      </c>
      <c r="H72" t="s">
        <v>517</v>
      </c>
      <c r="J72" t="s">
        <v>518</v>
      </c>
      <c r="K72" t="s">
        <v>519</v>
      </c>
      <c r="M72" t="s">
        <v>520</v>
      </c>
      <c r="N72" t="s">
        <v>557</v>
      </c>
      <c r="O72" t="s">
        <v>912</v>
      </c>
      <c r="P72" t="s">
        <v>654</v>
      </c>
      <c r="Q72" t="s">
        <v>638</v>
      </c>
      <c r="R72" t="s">
        <v>708</v>
      </c>
      <c r="S72" t="s">
        <v>913</v>
      </c>
      <c r="T72" t="s">
        <v>709</v>
      </c>
      <c r="U72">
        <v>142101</v>
      </c>
      <c r="V72" t="s">
        <v>914</v>
      </c>
      <c r="W72" t="s">
        <v>860</v>
      </c>
      <c r="X72" t="s">
        <v>642</v>
      </c>
      <c r="Y72" t="s">
        <v>643</v>
      </c>
      <c r="Z72" t="s">
        <v>644</v>
      </c>
      <c r="AA72" t="s">
        <v>645</v>
      </c>
      <c r="AB72" t="s">
        <v>646</v>
      </c>
      <c r="AE72">
        <v>-36.923834569999997</v>
      </c>
      <c r="AF72">
        <v>174.74420651</v>
      </c>
      <c r="AG72">
        <v>40</v>
      </c>
      <c r="AH72">
        <v>0</v>
      </c>
      <c r="AI72">
        <v>0</v>
      </c>
      <c r="AJ72">
        <v>0</v>
      </c>
      <c r="AK72">
        <v>6</v>
      </c>
      <c r="AL72">
        <v>22</v>
      </c>
      <c r="AM72">
        <v>28</v>
      </c>
      <c r="AN72">
        <v>0</v>
      </c>
      <c r="AO72">
        <v>56</v>
      </c>
      <c r="AP72">
        <v>13</v>
      </c>
      <c r="AQ72">
        <v>6</v>
      </c>
      <c r="AR72">
        <v>17</v>
      </c>
      <c r="AS72">
        <v>34</v>
      </c>
      <c r="AT72">
        <v>2</v>
      </c>
    </row>
    <row r="73" spans="1:46">
      <c r="A73">
        <v>5057</v>
      </c>
      <c r="B73" t="s">
        <v>915</v>
      </c>
      <c r="C73" t="s">
        <v>916</v>
      </c>
      <c r="D73" t="s">
        <v>917</v>
      </c>
      <c r="E73" t="s">
        <v>918</v>
      </c>
      <c r="F73" t="s">
        <v>919</v>
      </c>
      <c r="G73" t="s">
        <v>652</v>
      </c>
      <c r="H73" t="s">
        <v>517</v>
      </c>
      <c r="J73" t="s">
        <v>518</v>
      </c>
      <c r="K73" t="s">
        <v>519</v>
      </c>
      <c r="M73" t="s">
        <v>520</v>
      </c>
      <c r="N73" t="s">
        <v>571</v>
      </c>
      <c r="O73" t="s">
        <v>813</v>
      </c>
      <c r="P73" t="s">
        <v>654</v>
      </c>
      <c r="Q73" t="s">
        <v>638</v>
      </c>
      <c r="R73" t="s">
        <v>639</v>
      </c>
      <c r="S73" t="s">
        <v>739</v>
      </c>
      <c r="T73" t="s">
        <v>527</v>
      </c>
      <c r="U73">
        <v>119800</v>
      </c>
      <c r="V73" t="s">
        <v>920</v>
      </c>
      <c r="W73" t="s">
        <v>815</v>
      </c>
      <c r="X73" t="s">
        <v>642</v>
      </c>
      <c r="Y73" t="s">
        <v>643</v>
      </c>
      <c r="Z73" t="s">
        <v>644</v>
      </c>
      <c r="AA73" t="s">
        <v>645</v>
      </c>
      <c r="AB73" t="s">
        <v>646</v>
      </c>
      <c r="AC73">
        <v>99129</v>
      </c>
      <c r="AD73" t="s">
        <v>921</v>
      </c>
      <c r="AE73">
        <v>-36.813449349999999</v>
      </c>
      <c r="AF73">
        <v>174.62227003999999</v>
      </c>
      <c r="AG73">
        <v>40</v>
      </c>
      <c r="AH73">
        <v>0</v>
      </c>
      <c r="AI73">
        <v>0</v>
      </c>
      <c r="AJ73">
        <v>0</v>
      </c>
      <c r="AK73">
        <v>3</v>
      </c>
      <c r="AL73">
        <v>9</v>
      </c>
      <c r="AM73">
        <v>35</v>
      </c>
      <c r="AN73">
        <v>0</v>
      </c>
      <c r="AO73">
        <v>47</v>
      </c>
      <c r="AP73">
        <v>21</v>
      </c>
      <c r="AQ73">
        <v>7</v>
      </c>
      <c r="AR73">
        <v>4</v>
      </c>
      <c r="AS73">
        <v>25</v>
      </c>
      <c r="AT73">
        <v>0</v>
      </c>
    </row>
    <row r="74" spans="1:46">
      <c r="A74">
        <v>5058</v>
      </c>
      <c r="B74" t="s">
        <v>922</v>
      </c>
      <c r="C74" t="s">
        <v>923</v>
      </c>
      <c r="D74" t="s">
        <v>924</v>
      </c>
      <c r="E74" t="s">
        <v>925</v>
      </c>
      <c r="F74" t="s">
        <v>777</v>
      </c>
      <c r="G74" t="s">
        <v>652</v>
      </c>
      <c r="H74" t="s">
        <v>517</v>
      </c>
      <c r="J74" t="s">
        <v>518</v>
      </c>
      <c r="K74" t="s">
        <v>519</v>
      </c>
      <c r="M74" t="s">
        <v>520</v>
      </c>
      <c r="N74" t="s">
        <v>571</v>
      </c>
      <c r="O74" t="s">
        <v>707</v>
      </c>
      <c r="P74" t="s">
        <v>654</v>
      </c>
      <c r="Q74" t="s">
        <v>638</v>
      </c>
      <c r="R74" t="s">
        <v>708</v>
      </c>
      <c r="S74" t="s">
        <v>706</v>
      </c>
      <c r="T74" t="s">
        <v>709</v>
      </c>
      <c r="U74">
        <v>152000</v>
      </c>
      <c r="V74" t="s">
        <v>926</v>
      </c>
      <c r="W74" t="s">
        <v>711</v>
      </c>
      <c r="X74" t="s">
        <v>642</v>
      </c>
      <c r="Y74" t="s">
        <v>643</v>
      </c>
      <c r="Z74" t="s">
        <v>644</v>
      </c>
      <c r="AA74" t="s">
        <v>645</v>
      </c>
      <c r="AB74" t="s">
        <v>646</v>
      </c>
      <c r="AE74">
        <v>-36.895696409999999</v>
      </c>
      <c r="AF74">
        <v>174.92759558</v>
      </c>
      <c r="AG74">
        <v>40</v>
      </c>
      <c r="AH74">
        <v>0</v>
      </c>
      <c r="AI74">
        <v>0</v>
      </c>
      <c r="AJ74">
        <v>0</v>
      </c>
      <c r="AK74">
        <v>14</v>
      </c>
      <c r="AL74">
        <v>18</v>
      </c>
      <c r="AM74">
        <v>13</v>
      </c>
      <c r="AN74">
        <v>0</v>
      </c>
      <c r="AO74">
        <v>45</v>
      </c>
      <c r="AP74">
        <v>28</v>
      </c>
      <c r="AQ74">
        <v>7</v>
      </c>
      <c r="AR74">
        <v>3</v>
      </c>
      <c r="AS74">
        <v>19</v>
      </c>
      <c r="AT74">
        <v>2</v>
      </c>
    </row>
    <row r="75" spans="1:46">
      <c r="A75">
        <v>5059</v>
      </c>
      <c r="B75" t="s">
        <v>927</v>
      </c>
      <c r="C75" t="s">
        <v>928</v>
      </c>
      <c r="E75" t="s">
        <v>929</v>
      </c>
      <c r="F75" t="s">
        <v>847</v>
      </c>
      <c r="G75" t="s">
        <v>652</v>
      </c>
      <c r="H75" t="s">
        <v>517</v>
      </c>
      <c r="J75" t="s">
        <v>518</v>
      </c>
      <c r="K75" t="s">
        <v>519</v>
      </c>
      <c r="M75" t="s">
        <v>520</v>
      </c>
      <c r="N75" t="s">
        <v>727</v>
      </c>
      <c r="O75" t="s">
        <v>848</v>
      </c>
      <c r="P75" t="s">
        <v>654</v>
      </c>
      <c r="Q75" t="s">
        <v>638</v>
      </c>
      <c r="R75" t="s">
        <v>729</v>
      </c>
      <c r="S75" t="s">
        <v>849</v>
      </c>
      <c r="T75" t="s">
        <v>709</v>
      </c>
      <c r="U75">
        <v>148901</v>
      </c>
      <c r="V75" t="s">
        <v>930</v>
      </c>
      <c r="W75" t="s">
        <v>732</v>
      </c>
      <c r="X75" t="s">
        <v>642</v>
      </c>
      <c r="Y75" t="s">
        <v>643</v>
      </c>
      <c r="Z75" t="s">
        <v>644</v>
      </c>
      <c r="AA75" t="s">
        <v>645</v>
      </c>
      <c r="AB75" t="s">
        <v>646</v>
      </c>
      <c r="AE75">
        <v>-36.9665471</v>
      </c>
      <c r="AF75">
        <v>174.79274849999999</v>
      </c>
      <c r="AG75">
        <v>45</v>
      </c>
      <c r="AH75">
        <v>0</v>
      </c>
      <c r="AI75">
        <v>0</v>
      </c>
      <c r="AJ75">
        <v>0</v>
      </c>
      <c r="AK75">
        <v>2</v>
      </c>
      <c r="AL75">
        <v>10</v>
      </c>
      <c r="AM75">
        <v>17</v>
      </c>
      <c r="AN75">
        <v>1</v>
      </c>
      <c r="AO75">
        <v>30</v>
      </c>
      <c r="AP75">
        <v>2</v>
      </c>
      <c r="AQ75">
        <v>5</v>
      </c>
      <c r="AR75">
        <v>29</v>
      </c>
      <c r="AS75">
        <v>0</v>
      </c>
      <c r="AT75">
        <v>1</v>
      </c>
    </row>
    <row r="76" spans="1:46">
      <c r="A76">
        <v>5060</v>
      </c>
      <c r="B76" t="s">
        <v>931</v>
      </c>
      <c r="C76" t="s">
        <v>932</v>
      </c>
      <c r="D76" t="s">
        <v>933</v>
      </c>
      <c r="E76" t="s">
        <v>934</v>
      </c>
      <c r="F76" t="s">
        <v>763</v>
      </c>
      <c r="G76" t="s">
        <v>652</v>
      </c>
      <c r="H76" t="s">
        <v>517</v>
      </c>
      <c r="J76" t="s">
        <v>518</v>
      </c>
      <c r="K76" t="s">
        <v>519</v>
      </c>
      <c r="M76" t="s">
        <v>520</v>
      </c>
      <c r="N76" t="s">
        <v>571</v>
      </c>
      <c r="O76" t="s">
        <v>738</v>
      </c>
      <c r="P76" t="s">
        <v>654</v>
      </c>
      <c r="Q76" t="s">
        <v>638</v>
      </c>
      <c r="R76" t="s">
        <v>639</v>
      </c>
      <c r="S76" t="s">
        <v>756</v>
      </c>
      <c r="T76" t="s">
        <v>527</v>
      </c>
      <c r="U76">
        <v>123900</v>
      </c>
      <c r="V76" t="s">
        <v>935</v>
      </c>
      <c r="W76" t="s">
        <v>741</v>
      </c>
      <c r="X76" t="s">
        <v>642</v>
      </c>
      <c r="Y76" t="s">
        <v>643</v>
      </c>
      <c r="Z76" t="s">
        <v>644</v>
      </c>
      <c r="AA76" t="s">
        <v>645</v>
      </c>
      <c r="AB76" t="s">
        <v>646</v>
      </c>
      <c r="AC76">
        <v>99214</v>
      </c>
      <c r="AD76" t="s">
        <v>758</v>
      </c>
      <c r="AE76">
        <v>-36.804720670000002</v>
      </c>
      <c r="AF76">
        <v>174.69824158</v>
      </c>
      <c r="AG76">
        <v>40</v>
      </c>
      <c r="AH76">
        <v>0</v>
      </c>
      <c r="AI76">
        <v>0</v>
      </c>
      <c r="AJ76">
        <v>0</v>
      </c>
      <c r="AK76">
        <v>10</v>
      </c>
      <c r="AL76">
        <v>17</v>
      </c>
      <c r="AM76">
        <v>17</v>
      </c>
      <c r="AN76">
        <v>0</v>
      </c>
      <c r="AO76">
        <v>44</v>
      </c>
      <c r="AP76">
        <v>41</v>
      </c>
      <c r="AQ76">
        <v>7</v>
      </c>
      <c r="AR76">
        <v>5</v>
      </c>
      <c r="AS76">
        <v>7</v>
      </c>
      <c r="AT76">
        <v>3</v>
      </c>
    </row>
    <row r="77" spans="1:46">
      <c r="A77">
        <v>5061</v>
      </c>
      <c r="B77" t="s">
        <v>936</v>
      </c>
      <c r="C77" t="s">
        <v>937</v>
      </c>
      <c r="D77" t="s">
        <v>938</v>
      </c>
      <c r="E77" t="s">
        <v>939</v>
      </c>
      <c r="F77" t="s">
        <v>847</v>
      </c>
      <c r="G77" t="s">
        <v>652</v>
      </c>
      <c r="H77" t="s">
        <v>517</v>
      </c>
      <c r="J77" t="s">
        <v>518</v>
      </c>
      <c r="K77" t="s">
        <v>519</v>
      </c>
      <c r="M77" t="s">
        <v>520</v>
      </c>
      <c r="N77" t="s">
        <v>727</v>
      </c>
      <c r="O77" t="s">
        <v>848</v>
      </c>
      <c r="P77" t="s">
        <v>654</v>
      </c>
      <c r="Q77" t="s">
        <v>638</v>
      </c>
      <c r="R77" t="s">
        <v>729</v>
      </c>
      <c r="S77" t="s">
        <v>849</v>
      </c>
      <c r="T77" t="s">
        <v>709</v>
      </c>
      <c r="U77">
        <v>150200</v>
      </c>
      <c r="V77" t="s">
        <v>940</v>
      </c>
      <c r="W77" t="s">
        <v>732</v>
      </c>
      <c r="X77" t="s">
        <v>642</v>
      </c>
      <c r="Y77" t="s">
        <v>643</v>
      </c>
      <c r="Z77" t="s">
        <v>644</v>
      </c>
      <c r="AA77" t="s">
        <v>645</v>
      </c>
      <c r="AB77" t="s">
        <v>646</v>
      </c>
      <c r="AE77">
        <v>-36.972231200000003</v>
      </c>
      <c r="AF77">
        <v>174.80249013</v>
      </c>
      <c r="AG77">
        <v>30</v>
      </c>
      <c r="AH77">
        <v>0</v>
      </c>
      <c r="AI77">
        <v>0</v>
      </c>
      <c r="AJ77">
        <v>0</v>
      </c>
      <c r="AK77">
        <v>2</v>
      </c>
      <c r="AL77">
        <v>7</v>
      </c>
      <c r="AM77">
        <v>14</v>
      </c>
      <c r="AN77">
        <v>1</v>
      </c>
      <c r="AO77">
        <v>24</v>
      </c>
      <c r="AP77">
        <v>1</v>
      </c>
      <c r="AQ77">
        <v>9</v>
      </c>
      <c r="AR77">
        <v>17</v>
      </c>
      <c r="AS77">
        <v>2</v>
      </c>
      <c r="AT77">
        <v>1</v>
      </c>
    </row>
    <row r="78" spans="1:46">
      <c r="A78">
        <v>5062</v>
      </c>
      <c r="B78" t="s">
        <v>941</v>
      </c>
      <c r="C78" t="s">
        <v>942</v>
      </c>
      <c r="D78" t="s">
        <v>943</v>
      </c>
      <c r="E78" t="s">
        <v>944</v>
      </c>
      <c r="F78" t="s">
        <v>945</v>
      </c>
      <c r="G78" t="s">
        <v>652</v>
      </c>
      <c r="H78" t="s">
        <v>517</v>
      </c>
      <c r="J78" t="s">
        <v>518</v>
      </c>
      <c r="K78" t="s">
        <v>519</v>
      </c>
      <c r="M78" t="s">
        <v>520</v>
      </c>
      <c r="N78" t="s">
        <v>539</v>
      </c>
      <c r="O78" t="s">
        <v>728</v>
      </c>
      <c r="P78" t="s">
        <v>654</v>
      </c>
      <c r="Q78" t="s">
        <v>638</v>
      </c>
      <c r="R78" t="s">
        <v>729</v>
      </c>
      <c r="S78" t="s">
        <v>849</v>
      </c>
      <c r="T78" t="s">
        <v>709</v>
      </c>
      <c r="U78">
        <v>153301</v>
      </c>
      <c r="V78" t="s">
        <v>946</v>
      </c>
      <c r="W78" t="s">
        <v>732</v>
      </c>
      <c r="X78" t="s">
        <v>642</v>
      </c>
      <c r="Y78" t="s">
        <v>643</v>
      </c>
      <c r="Z78" t="s">
        <v>644</v>
      </c>
      <c r="AA78" t="s">
        <v>645</v>
      </c>
      <c r="AB78" t="s">
        <v>646</v>
      </c>
      <c r="AE78">
        <v>-36.969767920000002</v>
      </c>
      <c r="AF78">
        <v>174.83078857999999</v>
      </c>
      <c r="AG78">
        <v>40</v>
      </c>
      <c r="AH78">
        <v>0</v>
      </c>
      <c r="AI78">
        <v>0</v>
      </c>
      <c r="AJ78">
        <v>0</v>
      </c>
      <c r="AK78">
        <v>10</v>
      </c>
      <c r="AL78">
        <v>10</v>
      </c>
      <c r="AM78">
        <v>17</v>
      </c>
      <c r="AN78">
        <v>1</v>
      </c>
      <c r="AO78">
        <v>38</v>
      </c>
      <c r="AP78">
        <v>4</v>
      </c>
      <c r="AQ78">
        <v>12</v>
      </c>
      <c r="AR78">
        <v>27</v>
      </c>
      <c r="AS78">
        <v>6</v>
      </c>
      <c r="AT78">
        <v>1</v>
      </c>
    </row>
    <row r="79" spans="1:46">
      <c r="A79">
        <v>5063</v>
      </c>
      <c r="B79" t="s">
        <v>947</v>
      </c>
      <c r="C79" t="s">
        <v>948</v>
      </c>
      <c r="D79" t="s">
        <v>949</v>
      </c>
      <c r="E79" t="s">
        <v>950</v>
      </c>
      <c r="F79" t="s">
        <v>822</v>
      </c>
      <c r="G79" t="s">
        <v>652</v>
      </c>
      <c r="H79" t="s">
        <v>517</v>
      </c>
      <c r="I79" t="s">
        <v>856</v>
      </c>
      <c r="J79" t="s">
        <v>518</v>
      </c>
      <c r="K79" t="s">
        <v>519</v>
      </c>
      <c r="M79" t="s">
        <v>520</v>
      </c>
      <c r="N79" t="s">
        <v>571</v>
      </c>
      <c r="O79" t="s">
        <v>857</v>
      </c>
      <c r="P79" t="s">
        <v>654</v>
      </c>
      <c r="Q79" t="s">
        <v>638</v>
      </c>
      <c r="R79" t="s">
        <v>708</v>
      </c>
      <c r="S79" t="s">
        <v>822</v>
      </c>
      <c r="T79" t="s">
        <v>709</v>
      </c>
      <c r="U79">
        <v>140200</v>
      </c>
      <c r="V79" t="s">
        <v>951</v>
      </c>
      <c r="W79" t="s">
        <v>860</v>
      </c>
      <c r="X79" t="s">
        <v>642</v>
      </c>
      <c r="Y79" t="s">
        <v>643</v>
      </c>
      <c r="Z79" t="s">
        <v>644</v>
      </c>
      <c r="AA79" t="s">
        <v>645</v>
      </c>
      <c r="AB79" t="s">
        <v>646</v>
      </c>
      <c r="AE79">
        <v>-36.890120750000001</v>
      </c>
      <c r="AF79">
        <v>174.76409168000001</v>
      </c>
      <c r="AG79">
        <v>43</v>
      </c>
      <c r="AH79">
        <v>0</v>
      </c>
      <c r="AI79">
        <v>0</v>
      </c>
      <c r="AJ79">
        <v>0</v>
      </c>
      <c r="AK79">
        <v>1</v>
      </c>
      <c r="AL79">
        <v>8</v>
      </c>
      <c r="AM79">
        <v>19</v>
      </c>
      <c r="AN79">
        <v>2</v>
      </c>
      <c r="AO79">
        <v>30</v>
      </c>
      <c r="AP79">
        <v>5</v>
      </c>
      <c r="AQ79">
        <v>0</v>
      </c>
      <c r="AR79">
        <v>1</v>
      </c>
      <c r="AS79">
        <v>26</v>
      </c>
      <c r="AT79">
        <v>3</v>
      </c>
    </row>
    <row r="80" spans="1:46">
      <c r="A80">
        <v>5064</v>
      </c>
      <c r="B80" t="s">
        <v>952</v>
      </c>
      <c r="C80" t="s">
        <v>953</v>
      </c>
      <c r="D80" t="s">
        <v>954</v>
      </c>
      <c r="E80" t="s">
        <v>955</v>
      </c>
      <c r="F80" t="s">
        <v>956</v>
      </c>
      <c r="G80" t="s">
        <v>652</v>
      </c>
      <c r="H80" t="s">
        <v>517</v>
      </c>
      <c r="J80" t="s">
        <v>518</v>
      </c>
      <c r="K80" t="s">
        <v>519</v>
      </c>
      <c r="M80" t="s">
        <v>520</v>
      </c>
      <c r="N80" t="s">
        <v>571</v>
      </c>
      <c r="O80" t="s">
        <v>957</v>
      </c>
      <c r="P80" t="s">
        <v>654</v>
      </c>
      <c r="Q80" t="s">
        <v>638</v>
      </c>
      <c r="R80" t="s">
        <v>708</v>
      </c>
      <c r="S80" t="s">
        <v>958</v>
      </c>
      <c r="T80" t="s">
        <v>709</v>
      </c>
      <c r="U80">
        <v>131801</v>
      </c>
      <c r="V80" t="s">
        <v>956</v>
      </c>
      <c r="W80" t="s">
        <v>959</v>
      </c>
      <c r="X80" t="s">
        <v>642</v>
      </c>
      <c r="Y80" t="s">
        <v>643</v>
      </c>
      <c r="Z80" t="s">
        <v>644</v>
      </c>
      <c r="AA80" t="s">
        <v>645</v>
      </c>
      <c r="AB80" t="s">
        <v>646</v>
      </c>
      <c r="AE80">
        <v>-36.854866319999999</v>
      </c>
      <c r="AF80">
        <v>174.75222281000001</v>
      </c>
      <c r="AG80">
        <v>40</v>
      </c>
      <c r="AH80">
        <v>0</v>
      </c>
      <c r="AI80">
        <v>0</v>
      </c>
      <c r="AJ80">
        <v>0</v>
      </c>
      <c r="AK80">
        <v>3</v>
      </c>
      <c r="AL80">
        <v>21</v>
      </c>
      <c r="AM80">
        <v>10</v>
      </c>
      <c r="AN80">
        <v>5</v>
      </c>
      <c r="AO80">
        <v>39</v>
      </c>
      <c r="AP80">
        <v>6</v>
      </c>
      <c r="AQ80">
        <v>1</v>
      </c>
      <c r="AR80">
        <v>5</v>
      </c>
      <c r="AS80">
        <v>26</v>
      </c>
      <c r="AT80">
        <v>5</v>
      </c>
    </row>
    <row r="81" spans="1:46">
      <c r="A81">
        <v>5065</v>
      </c>
      <c r="B81" t="s">
        <v>960</v>
      </c>
      <c r="C81" t="s">
        <v>961</v>
      </c>
      <c r="D81" t="s">
        <v>962</v>
      </c>
      <c r="E81" t="s">
        <v>963</v>
      </c>
      <c r="F81" t="s">
        <v>964</v>
      </c>
      <c r="G81" t="s">
        <v>652</v>
      </c>
      <c r="H81" t="s">
        <v>517</v>
      </c>
      <c r="J81" t="s">
        <v>518</v>
      </c>
      <c r="K81" t="s">
        <v>519</v>
      </c>
      <c r="M81" t="s">
        <v>520</v>
      </c>
      <c r="N81" t="s">
        <v>571</v>
      </c>
      <c r="O81" t="s">
        <v>912</v>
      </c>
      <c r="P81" t="s">
        <v>654</v>
      </c>
      <c r="Q81" t="s">
        <v>638</v>
      </c>
      <c r="R81" t="s">
        <v>708</v>
      </c>
      <c r="S81" t="s">
        <v>913</v>
      </c>
      <c r="T81" t="s">
        <v>709</v>
      </c>
      <c r="U81">
        <v>140901</v>
      </c>
      <c r="V81" t="s">
        <v>965</v>
      </c>
      <c r="W81" t="s">
        <v>860</v>
      </c>
      <c r="X81" t="s">
        <v>642</v>
      </c>
      <c r="Y81" t="s">
        <v>643</v>
      </c>
      <c r="Z81" t="s">
        <v>644</v>
      </c>
      <c r="AA81" t="s">
        <v>645</v>
      </c>
      <c r="AB81" t="s">
        <v>646</v>
      </c>
      <c r="AC81">
        <v>99012</v>
      </c>
      <c r="AD81" t="s">
        <v>772</v>
      </c>
      <c r="AE81">
        <v>-36.932737490000001</v>
      </c>
      <c r="AF81">
        <v>174.72025907</v>
      </c>
      <c r="AG81">
        <v>40</v>
      </c>
      <c r="AH81">
        <v>0</v>
      </c>
      <c r="AI81">
        <v>0</v>
      </c>
      <c r="AJ81">
        <v>0</v>
      </c>
      <c r="AK81">
        <v>8</v>
      </c>
      <c r="AL81">
        <v>13</v>
      </c>
      <c r="AM81">
        <v>24</v>
      </c>
      <c r="AN81">
        <v>2</v>
      </c>
      <c r="AO81">
        <v>47</v>
      </c>
      <c r="AP81">
        <v>11</v>
      </c>
      <c r="AQ81">
        <v>5</v>
      </c>
      <c r="AR81">
        <v>7</v>
      </c>
      <c r="AS81">
        <v>34</v>
      </c>
      <c r="AT81">
        <v>4</v>
      </c>
    </row>
    <row r="82" spans="1:46">
      <c r="A82">
        <v>5066</v>
      </c>
      <c r="B82" t="s">
        <v>966</v>
      </c>
      <c r="C82" t="s">
        <v>967</v>
      </c>
      <c r="D82" t="s">
        <v>968</v>
      </c>
      <c r="E82" t="s">
        <v>969</v>
      </c>
      <c r="F82" t="s">
        <v>847</v>
      </c>
      <c r="G82" t="s">
        <v>652</v>
      </c>
      <c r="H82" t="s">
        <v>517</v>
      </c>
      <c r="J82" t="s">
        <v>518</v>
      </c>
      <c r="K82" t="s">
        <v>519</v>
      </c>
      <c r="M82" t="s">
        <v>520</v>
      </c>
      <c r="N82" t="s">
        <v>727</v>
      </c>
      <c r="O82" t="s">
        <v>848</v>
      </c>
      <c r="P82" t="s">
        <v>654</v>
      </c>
      <c r="Q82" t="s">
        <v>638</v>
      </c>
      <c r="R82" t="s">
        <v>729</v>
      </c>
      <c r="S82" t="s">
        <v>849</v>
      </c>
      <c r="T82" t="s">
        <v>709</v>
      </c>
      <c r="U82">
        <v>150000</v>
      </c>
      <c r="V82" t="s">
        <v>970</v>
      </c>
      <c r="W82" t="s">
        <v>732</v>
      </c>
      <c r="X82" t="s">
        <v>642</v>
      </c>
      <c r="Y82" t="s">
        <v>643</v>
      </c>
      <c r="Z82" t="s">
        <v>644</v>
      </c>
      <c r="AA82" t="s">
        <v>645</v>
      </c>
      <c r="AB82" t="s">
        <v>646</v>
      </c>
      <c r="AE82">
        <v>-36.96300171</v>
      </c>
      <c r="AF82">
        <v>174.81082168</v>
      </c>
      <c r="AG82">
        <v>30</v>
      </c>
      <c r="AH82">
        <v>0</v>
      </c>
      <c r="AI82">
        <v>0</v>
      </c>
      <c r="AJ82">
        <v>0</v>
      </c>
      <c r="AK82">
        <v>0</v>
      </c>
      <c r="AL82">
        <v>12</v>
      </c>
      <c r="AM82">
        <v>16</v>
      </c>
      <c r="AN82">
        <v>2</v>
      </c>
      <c r="AO82">
        <v>30</v>
      </c>
      <c r="AP82">
        <v>0</v>
      </c>
      <c r="AQ82">
        <v>4</v>
      </c>
      <c r="AR82">
        <v>27</v>
      </c>
      <c r="AS82">
        <v>0</v>
      </c>
      <c r="AT82">
        <v>1</v>
      </c>
    </row>
    <row r="83" spans="1:46">
      <c r="A83">
        <v>5067</v>
      </c>
      <c r="B83" t="s">
        <v>971</v>
      </c>
      <c r="C83" t="s">
        <v>972</v>
      </c>
      <c r="D83" t="s">
        <v>973</v>
      </c>
      <c r="E83" t="s">
        <v>974</v>
      </c>
      <c r="F83" t="s">
        <v>975</v>
      </c>
      <c r="G83" t="s">
        <v>652</v>
      </c>
      <c r="H83" t="s">
        <v>517</v>
      </c>
      <c r="J83" t="s">
        <v>518</v>
      </c>
      <c r="K83" t="s">
        <v>519</v>
      </c>
      <c r="M83" t="s">
        <v>520</v>
      </c>
      <c r="N83" t="s">
        <v>571</v>
      </c>
      <c r="O83" t="s">
        <v>848</v>
      </c>
      <c r="P83" t="s">
        <v>654</v>
      </c>
      <c r="Q83" t="s">
        <v>638</v>
      </c>
      <c r="R83" t="s">
        <v>708</v>
      </c>
      <c r="S83" t="s">
        <v>849</v>
      </c>
      <c r="T83" t="s">
        <v>709</v>
      </c>
      <c r="U83">
        <v>146100</v>
      </c>
      <c r="V83" t="s">
        <v>976</v>
      </c>
      <c r="W83" t="s">
        <v>732</v>
      </c>
      <c r="X83" t="s">
        <v>642</v>
      </c>
      <c r="Y83" t="s">
        <v>643</v>
      </c>
      <c r="Z83" t="s">
        <v>644</v>
      </c>
      <c r="AA83" t="s">
        <v>645</v>
      </c>
      <c r="AB83" t="s">
        <v>646</v>
      </c>
      <c r="AC83">
        <v>99190</v>
      </c>
      <c r="AD83" t="s">
        <v>831</v>
      </c>
      <c r="AE83">
        <v>-36.94696562</v>
      </c>
      <c r="AF83">
        <v>174.77322989000001</v>
      </c>
      <c r="AG83">
        <v>40</v>
      </c>
      <c r="AH83">
        <v>0</v>
      </c>
      <c r="AI83">
        <v>0</v>
      </c>
      <c r="AJ83">
        <v>0</v>
      </c>
      <c r="AK83">
        <v>0</v>
      </c>
      <c r="AL83">
        <v>19</v>
      </c>
      <c r="AM83">
        <v>22</v>
      </c>
      <c r="AN83">
        <v>2</v>
      </c>
      <c r="AO83">
        <v>43</v>
      </c>
      <c r="AP83">
        <v>27</v>
      </c>
      <c r="AQ83">
        <v>12</v>
      </c>
      <c r="AR83">
        <v>14</v>
      </c>
      <c r="AS83">
        <v>6</v>
      </c>
      <c r="AT83">
        <v>1</v>
      </c>
    </row>
    <row r="84" spans="1:46">
      <c r="A84">
        <v>5068</v>
      </c>
      <c r="B84" t="s">
        <v>977</v>
      </c>
      <c r="C84" t="s">
        <v>978</v>
      </c>
      <c r="D84" t="s">
        <v>979</v>
      </c>
      <c r="E84" t="s">
        <v>980</v>
      </c>
      <c r="F84" t="s">
        <v>737</v>
      </c>
      <c r="G84" t="s">
        <v>652</v>
      </c>
      <c r="H84" t="s">
        <v>517</v>
      </c>
      <c r="J84" t="s">
        <v>518</v>
      </c>
      <c r="K84" t="s">
        <v>519</v>
      </c>
      <c r="M84" t="s">
        <v>520</v>
      </c>
      <c r="N84" t="s">
        <v>571</v>
      </c>
      <c r="O84" t="s">
        <v>738</v>
      </c>
      <c r="P84" t="s">
        <v>654</v>
      </c>
      <c r="Q84" t="s">
        <v>638</v>
      </c>
      <c r="R84" t="s">
        <v>639</v>
      </c>
      <c r="S84" t="s">
        <v>756</v>
      </c>
      <c r="T84" t="s">
        <v>527</v>
      </c>
      <c r="U84">
        <v>124000</v>
      </c>
      <c r="V84" t="s">
        <v>981</v>
      </c>
      <c r="W84" t="s">
        <v>741</v>
      </c>
      <c r="X84" t="s">
        <v>642</v>
      </c>
      <c r="Y84" t="s">
        <v>643</v>
      </c>
      <c r="Z84" t="s">
        <v>644</v>
      </c>
      <c r="AA84" t="s">
        <v>645</v>
      </c>
      <c r="AB84" t="s">
        <v>646</v>
      </c>
      <c r="AC84">
        <v>99120</v>
      </c>
      <c r="AD84" t="s">
        <v>742</v>
      </c>
      <c r="AE84">
        <v>-36.788960770000003</v>
      </c>
      <c r="AF84">
        <v>174.72759705000001</v>
      </c>
      <c r="AG84">
        <v>40</v>
      </c>
      <c r="AH84">
        <v>0</v>
      </c>
      <c r="AI84">
        <v>0</v>
      </c>
      <c r="AJ84">
        <v>0</v>
      </c>
      <c r="AK84">
        <v>0</v>
      </c>
      <c r="AL84">
        <v>27</v>
      </c>
      <c r="AM84">
        <v>26</v>
      </c>
      <c r="AN84">
        <v>1</v>
      </c>
      <c r="AO84">
        <v>54</v>
      </c>
      <c r="AP84">
        <v>29</v>
      </c>
      <c r="AQ84">
        <v>3</v>
      </c>
      <c r="AR84">
        <v>2</v>
      </c>
      <c r="AS84">
        <v>30</v>
      </c>
      <c r="AT84">
        <v>1</v>
      </c>
    </row>
    <row r="85" spans="1:46">
      <c r="A85">
        <v>5069</v>
      </c>
      <c r="B85" t="s">
        <v>982</v>
      </c>
      <c r="C85" t="s">
        <v>983</v>
      </c>
      <c r="D85" t="s">
        <v>984</v>
      </c>
      <c r="E85" t="s">
        <v>985</v>
      </c>
      <c r="F85" t="s">
        <v>812</v>
      </c>
      <c r="G85" t="s">
        <v>652</v>
      </c>
      <c r="H85" t="s">
        <v>517</v>
      </c>
      <c r="J85" t="s">
        <v>518</v>
      </c>
      <c r="K85" t="s">
        <v>519</v>
      </c>
      <c r="M85" t="s">
        <v>520</v>
      </c>
      <c r="N85" t="s">
        <v>557</v>
      </c>
      <c r="O85" t="s">
        <v>813</v>
      </c>
      <c r="P85" t="s">
        <v>654</v>
      </c>
      <c r="Q85" t="s">
        <v>638</v>
      </c>
      <c r="R85" t="s">
        <v>639</v>
      </c>
      <c r="S85" t="s">
        <v>739</v>
      </c>
      <c r="T85" t="s">
        <v>527</v>
      </c>
      <c r="U85">
        <v>121701</v>
      </c>
      <c r="V85" t="s">
        <v>842</v>
      </c>
      <c r="W85" t="s">
        <v>815</v>
      </c>
      <c r="X85" t="s">
        <v>642</v>
      </c>
      <c r="Y85" t="s">
        <v>643</v>
      </c>
      <c r="Z85" t="s">
        <v>644</v>
      </c>
      <c r="AA85" t="s">
        <v>645</v>
      </c>
      <c r="AB85" t="s">
        <v>646</v>
      </c>
      <c r="AC85">
        <v>99125</v>
      </c>
      <c r="AD85" t="s">
        <v>816</v>
      </c>
      <c r="AE85">
        <v>-36.839429879999997</v>
      </c>
      <c r="AF85">
        <v>174.6001685</v>
      </c>
      <c r="AG85">
        <v>40</v>
      </c>
      <c r="AH85">
        <v>0</v>
      </c>
      <c r="AI85">
        <v>0</v>
      </c>
      <c r="AJ85">
        <v>0</v>
      </c>
      <c r="AK85">
        <v>8</v>
      </c>
      <c r="AL85">
        <v>15</v>
      </c>
      <c r="AM85">
        <v>27</v>
      </c>
      <c r="AN85">
        <v>0</v>
      </c>
      <c r="AO85">
        <v>50</v>
      </c>
      <c r="AP85">
        <v>30</v>
      </c>
      <c r="AQ85">
        <v>13</v>
      </c>
      <c r="AR85">
        <v>20</v>
      </c>
      <c r="AS85">
        <v>8</v>
      </c>
      <c r="AT85">
        <v>3</v>
      </c>
    </row>
    <row r="86" spans="1:46">
      <c r="A86">
        <v>5070</v>
      </c>
      <c r="B86" t="s">
        <v>986</v>
      </c>
      <c r="C86" t="s">
        <v>987</v>
      </c>
      <c r="D86" t="s">
        <v>988</v>
      </c>
      <c r="E86" t="s">
        <v>989</v>
      </c>
      <c r="F86" t="s">
        <v>726</v>
      </c>
      <c r="G86" t="s">
        <v>652</v>
      </c>
      <c r="H86" t="s">
        <v>517</v>
      </c>
      <c r="J86" t="s">
        <v>518</v>
      </c>
      <c r="K86" t="s">
        <v>519</v>
      </c>
      <c r="M86" t="s">
        <v>520</v>
      </c>
      <c r="N86" t="s">
        <v>727</v>
      </c>
      <c r="O86" t="s">
        <v>728</v>
      </c>
      <c r="P86" t="s">
        <v>654</v>
      </c>
      <c r="Q86" t="s">
        <v>638</v>
      </c>
      <c r="R86" t="s">
        <v>729</v>
      </c>
      <c r="S86" t="s">
        <v>730</v>
      </c>
      <c r="T86" t="s">
        <v>709</v>
      </c>
      <c r="U86">
        <v>155100</v>
      </c>
      <c r="V86" t="s">
        <v>990</v>
      </c>
      <c r="W86" t="s">
        <v>732</v>
      </c>
      <c r="X86" t="s">
        <v>642</v>
      </c>
      <c r="Y86" t="s">
        <v>643</v>
      </c>
      <c r="Z86" t="s">
        <v>644</v>
      </c>
      <c r="AA86" t="s">
        <v>645</v>
      </c>
      <c r="AB86" t="s">
        <v>646</v>
      </c>
      <c r="AE86">
        <v>-36.951380669999999</v>
      </c>
      <c r="AF86">
        <v>174.88744453000001</v>
      </c>
      <c r="AG86">
        <v>40</v>
      </c>
      <c r="AH86">
        <v>0</v>
      </c>
      <c r="AI86">
        <v>0</v>
      </c>
      <c r="AJ86">
        <v>0</v>
      </c>
      <c r="AK86">
        <v>5</v>
      </c>
      <c r="AL86">
        <v>12</v>
      </c>
      <c r="AM86">
        <v>16</v>
      </c>
      <c r="AN86">
        <v>0</v>
      </c>
      <c r="AO86">
        <v>33</v>
      </c>
      <c r="AP86">
        <v>0</v>
      </c>
      <c r="AQ86">
        <v>7</v>
      </c>
      <c r="AR86">
        <v>26</v>
      </c>
      <c r="AS86">
        <v>5</v>
      </c>
      <c r="AT86">
        <v>2</v>
      </c>
    </row>
    <row r="87" spans="1:46">
      <c r="A87">
        <v>5071</v>
      </c>
      <c r="B87" t="s">
        <v>991</v>
      </c>
      <c r="C87" t="s">
        <v>992</v>
      </c>
      <c r="D87" t="s">
        <v>993</v>
      </c>
      <c r="E87" t="s">
        <v>994</v>
      </c>
      <c r="F87" t="s">
        <v>995</v>
      </c>
      <c r="G87" t="s">
        <v>652</v>
      </c>
      <c r="H87" t="s">
        <v>517</v>
      </c>
      <c r="J87" t="s">
        <v>518</v>
      </c>
      <c r="K87" t="s">
        <v>519</v>
      </c>
      <c r="M87" t="s">
        <v>520</v>
      </c>
      <c r="N87" t="s">
        <v>571</v>
      </c>
      <c r="O87" t="s">
        <v>804</v>
      </c>
      <c r="P87" t="s">
        <v>654</v>
      </c>
      <c r="Q87" t="s">
        <v>638</v>
      </c>
      <c r="R87" t="s">
        <v>708</v>
      </c>
      <c r="S87" t="s">
        <v>880</v>
      </c>
      <c r="T87" t="s">
        <v>709</v>
      </c>
      <c r="U87">
        <v>141900</v>
      </c>
      <c r="V87" t="s">
        <v>996</v>
      </c>
      <c r="W87" t="s">
        <v>824</v>
      </c>
      <c r="X87" t="s">
        <v>642</v>
      </c>
      <c r="Y87" t="s">
        <v>643</v>
      </c>
      <c r="Z87" t="s">
        <v>644</v>
      </c>
      <c r="AA87" t="s">
        <v>645</v>
      </c>
      <c r="AB87" t="s">
        <v>646</v>
      </c>
      <c r="AE87">
        <v>-36.869817359999999</v>
      </c>
      <c r="AF87">
        <v>174.82329179000001</v>
      </c>
      <c r="AG87">
        <v>40</v>
      </c>
      <c r="AH87">
        <v>0</v>
      </c>
      <c r="AI87">
        <v>0</v>
      </c>
      <c r="AJ87">
        <v>0</v>
      </c>
      <c r="AK87">
        <v>4</v>
      </c>
      <c r="AL87">
        <v>22</v>
      </c>
      <c r="AM87">
        <v>17</v>
      </c>
      <c r="AN87">
        <v>1</v>
      </c>
      <c r="AO87">
        <v>44</v>
      </c>
      <c r="AP87">
        <v>27</v>
      </c>
      <c r="AQ87">
        <v>8</v>
      </c>
      <c r="AR87">
        <v>3</v>
      </c>
      <c r="AS87">
        <v>17</v>
      </c>
      <c r="AT87">
        <v>2</v>
      </c>
    </row>
    <row r="88" spans="1:46">
      <c r="A88">
        <v>5072</v>
      </c>
      <c r="B88" t="s">
        <v>997</v>
      </c>
      <c r="C88" t="s">
        <v>998</v>
      </c>
      <c r="D88" t="s">
        <v>999</v>
      </c>
      <c r="E88" t="s">
        <v>1000</v>
      </c>
      <c r="F88" t="s">
        <v>1001</v>
      </c>
      <c r="G88" t="s">
        <v>652</v>
      </c>
      <c r="H88" t="s">
        <v>517</v>
      </c>
      <c r="J88" t="s">
        <v>518</v>
      </c>
      <c r="K88" t="s">
        <v>519</v>
      </c>
      <c r="M88" t="s">
        <v>520</v>
      </c>
      <c r="N88" t="s">
        <v>571</v>
      </c>
      <c r="O88" t="s">
        <v>748</v>
      </c>
      <c r="P88" t="s">
        <v>654</v>
      </c>
      <c r="Q88" t="s">
        <v>638</v>
      </c>
      <c r="R88" t="s">
        <v>639</v>
      </c>
      <c r="S88" t="s">
        <v>682</v>
      </c>
      <c r="T88" t="s">
        <v>527</v>
      </c>
      <c r="U88">
        <v>125900</v>
      </c>
      <c r="V88" t="s">
        <v>1002</v>
      </c>
      <c r="W88" t="s">
        <v>741</v>
      </c>
      <c r="X88" t="s">
        <v>642</v>
      </c>
      <c r="Y88" t="s">
        <v>643</v>
      </c>
      <c r="Z88" t="s">
        <v>644</v>
      </c>
      <c r="AA88" t="s">
        <v>645</v>
      </c>
      <c r="AB88" t="s">
        <v>646</v>
      </c>
      <c r="AC88">
        <v>99188</v>
      </c>
      <c r="AD88" t="s">
        <v>786</v>
      </c>
      <c r="AE88">
        <v>-36.77528014</v>
      </c>
      <c r="AF88">
        <v>174.76748459000001</v>
      </c>
      <c r="AG88">
        <v>40</v>
      </c>
      <c r="AH88">
        <v>0</v>
      </c>
      <c r="AI88">
        <v>0</v>
      </c>
      <c r="AJ88">
        <v>0</v>
      </c>
      <c r="AK88">
        <v>9</v>
      </c>
      <c r="AL88">
        <v>12</v>
      </c>
      <c r="AM88">
        <v>33</v>
      </c>
      <c r="AN88">
        <v>1</v>
      </c>
      <c r="AO88">
        <v>55</v>
      </c>
      <c r="AP88">
        <v>39</v>
      </c>
      <c r="AQ88">
        <v>3</v>
      </c>
      <c r="AR88">
        <v>2</v>
      </c>
      <c r="AS88">
        <v>15</v>
      </c>
      <c r="AT88">
        <v>4</v>
      </c>
    </row>
    <row r="89" spans="1:46">
      <c r="A89">
        <v>5073</v>
      </c>
      <c r="B89" t="s">
        <v>1003</v>
      </c>
      <c r="C89" t="s">
        <v>1004</v>
      </c>
      <c r="D89" t="s">
        <v>1005</v>
      </c>
      <c r="E89" t="s">
        <v>1006</v>
      </c>
      <c r="F89" t="s">
        <v>1007</v>
      </c>
      <c r="G89" t="s">
        <v>652</v>
      </c>
      <c r="H89" t="s">
        <v>517</v>
      </c>
      <c r="J89" t="s">
        <v>518</v>
      </c>
      <c r="K89" t="s">
        <v>519</v>
      </c>
      <c r="M89" t="s">
        <v>520</v>
      </c>
      <c r="N89" t="s">
        <v>571</v>
      </c>
      <c r="O89" t="s">
        <v>804</v>
      </c>
      <c r="P89" t="s">
        <v>654</v>
      </c>
      <c r="Q89" t="s">
        <v>638</v>
      </c>
      <c r="R89" t="s">
        <v>708</v>
      </c>
      <c r="S89" t="s">
        <v>880</v>
      </c>
      <c r="T89" t="s">
        <v>709</v>
      </c>
      <c r="U89">
        <v>141101</v>
      </c>
      <c r="V89" t="s">
        <v>1007</v>
      </c>
      <c r="W89" t="s">
        <v>824</v>
      </c>
      <c r="X89" t="s">
        <v>642</v>
      </c>
      <c r="Y89" t="s">
        <v>643</v>
      </c>
      <c r="Z89" t="s">
        <v>644</v>
      </c>
      <c r="AA89" t="s">
        <v>645</v>
      </c>
      <c r="AB89" t="s">
        <v>646</v>
      </c>
      <c r="AE89">
        <v>-36.855582069999997</v>
      </c>
      <c r="AF89">
        <v>174.82883806999999</v>
      </c>
      <c r="AG89">
        <v>40</v>
      </c>
      <c r="AH89">
        <v>0</v>
      </c>
      <c r="AI89">
        <v>0</v>
      </c>
      <c r="AJ89">
        <v>0</v>
      </c>
      <c r="AK89">
        <v>4</v>
      </c>
      <c r="AL89">
        <v>14</v>
      </c>
      <c r="AM89">
        <v>28</v>
      </c>
      <c r="AN89">
        <v>3</v>
      </c>
      <c r="AO89">
        <v>49</v>
      </c>
      <c r="AP89">
        <v>40</v>
      </c>
      <c r="AQ89">
        <v>5</v>
      </c>
      <c r="AR89">
        <v>0</v>
      </c>
      <c r="AS89">
        <v>9</v>
      </c>
      <c r="AT89">
        <v>5</v>
      </c>
    </row>
    <row r="90" spans="1:46">
      <c r="A90">
        <v>5074</v>
      </c>
      <c r="B90" t="s">
        <v>1008</v>
      </c>
      <c r="C90" t="s">
        <v>1009</v>
      </c>
      <c r="D90" t="s">
        <v>1010</v>
      </c>
      <c r="E90" t="s">
        <v>1011</v>
      </c>
      <c r="F90" t="s">
        <v>855</v>
      </c>
      <c r="G90" t="s">
        <v>652</v>
      </c>
      <c r="H90" t="s">
        <v>517</v>
      </c>
      <c r="I90" t="s">
        <v>856</v>
      </c>
      <c r="J90" t="s">
        <v>518</v>
      </c>
      <c r="K90" t="s">
        <v>519</v>
      </c>
      <c r="M90" t="s">
        <v>520</v>
      </c>
      <c r="N90" t="s">
        <v>571</v>
      </c>
      <c r="O90" t="s">
        <v>857</v>
      </c>
      <c r="P90" t="s">
        <v>654</v>
      </c>
      <c r="Q90" t="s">
        <v>638</v>
      </c>
      <c r="R90" t="s">
        <v>708</v>
      </c>
      <c r="S90" t="s">
        <v>858</v>
      </c>
      <c r="T90" t="s">
        <v>709</v>
      </c>
      <c r="U90">
        <v>133600</v>
      </c>
      <c r="V90" t="s">
        <v>1012</v>
      </c>
      <c r="W90" t="s">
        <v>860</v>
      </c>
      <c r="X90" t="s">
        <v>642</v>
      </c>
      <c r="Y90" t="s">
        <v>643</v>
      </c>
      <c r="Z90" t="s">
        <v>644</v>
      </c>
      <c r="AA90" t="s">
        <v>645</v>
      </c>
      <c r="AB90" t="s">
        <v>646</v>
      </c>
      <c r="AC90">
        <v>99150</v>
      </c>
      <c r="AD90" t="s">
        <v>861</v>
      </c>
      <c r="AE90">
        <v>-36.876569099999998</v>
      </c>
      <c r="AF90">
        <v>174.73254449000001</v>
      </c>
      <c r="AG90">
        <v>40</v>
      </c>
      <c r="AH90">
        <v>0</v>
      </c>
      <c r="AI90">
        <v>0</v>
      </c>
      <c r="AJ90">
        <v>0</v>
      </c>
      <c r="AK90">
        <v>7</v>
      </c>
      <c r="AL90">
        <v>16</v>
      </c>
      <c r="AM90">
        <v>22</v>
      </c>
      <c r="AN90">
        <v>1</v>
      </c>
      <c r="AO90">
        <v>46</v>
      </c>
      <c r="AP90">
        <v>23</v>
      </c>
      <c r="AQ90">
        <v>3</v>
      </c>
      <c r="AR90">
        <v>9</v>
      </c>
      <c r="AS90">
        <v>15</v>
      </c>
      <c r="AT90">
        <v>2</v>
      </c>
    </row>
    <row r="91" spans="1:46">
      <c r="A91">
        <v>5075</v>
      </c>
      <c r="B91" t="s">
        <v>1013</v>
      </c>
      <c r="C91" t="s">
        <v>1014</v>
      </c>
      <c r="D91" t="s">
        <v>1015</v>
      </c>
      <c r="E91" t="s">
        <v>1016</v>
      </c>
      <c r="F91" t="s">
        <v>1017</v>
      </c>
      <c r="G91" t="s">
        <v>652</v>
      </c>
      <c r="H91" t="s">
        <v>517</v>
      </c>
      <c r="I91" t="s">
        <v>856</v>
      </c>
      <c r="J91" t="s">
        <v>518</v>
      </c>
      <c r="K91" t="s">
        <v>519</v>
      </c>
      <c r="M91" t="s">
        <v>520</v>
      </c>
      <c r="N91" t="s">
        <v>571</v>
      </c>
      <c r="O91" t="s">
        <v>857</v>
      </c>
      <c r="P91" t="s">
        <v>654</v>
      </c>
      <c r="Q91" t="s">
        <v>638</v>
      </c>
      <c r="R91" t="s">
        <v>708</v>
      </c>
      <c r="S91" t="s">
        <v>822</v>
      </c>
      <c r="T91" t="s">
        <v>709</v>
      </c>
      <c r="U91">
        <v>138400</v>
      </c>
      <c r="V91" t="s">
        <v>1018</v>
      </c>
      <c r="W91" t="s">
        <v>860</v>
      </c>
      <c r="X91" t="s">
        <v>642</v>
      </c>
      <c r="Y91" t="s">
        <v>643</v>
      </c>
      <c r="Z91" t="s">
        <v>644</v>
      </c>
      <c r="AA91" t="s">
        <v>645</v>
      </c>
      <c r="AB91" t="s">
        <v>646</v>
      </c>
      <c r="AE91">
        <v>-36.882062329999997</v>
      </c>
      <c r="AF91">
        <v>174.75051213</v>
      </c>
      <c r="AG91">
        <v>40</v>
      </c>
      <c r="AH91">
        <v>0</v>
      </c>
      <c r="AI91">
        <v>0</v>
      </c>
      <c r="AJ91">
        <v>0</v>
      </c>
      <c r="AK91">
        <v>0</v>
      </c>
      <c r="AL91">
        <v>20</v>
      </c>
      <c r="AM91">
        <v>32</v>
      </c>
      <c r="AN91">
        <v>3</v>
      </c>
      <c r="AO91">
        <v>55</v>
      </c>
      <c r="AP91">
        <v>50</v>
      </c>
      <c r="AQ91">
        <v>8</v>
      </c>
      <c r="AR91">
        <v>0</v>
      </c>
      <c r="AS91">
        <v>7</v>
      </c>
      <c r="AT91">
        <v>0</v>
      </c>
    </row>
    <row r="92" spans="1:46">
      <c r="A92">
        <v>5076</v>
      </c>
      <c r="B92" t="s">
        <v>1019</v>
      </c>
      <c r="C92" t="s">
        <v>1020</v>
      </c>
      <c r="D92" t="s">
        <v>1021</v>
      </c>
      <c r="E92" t="s">
        <v>1022</v>
      </c>
      <c r="F92" t="s">
        <v>1023</v>
      </c>
      <c r="G92" t="s">
        <v>652</v>
      </c>
      <c r="H92" t="s">
        <v>517</v>
      </c>
      <c r="J92" t="s">
        <v>518</v>
      </c>
      <c r="K92" t="s">
        <v>519</v>
      </c>
      <c r="M92" t="s">
        <v>520</v>
      </c>
      <c r="N92" t="s">
        <v>557</v>
      </c>
      <c r="O92" t="s">
        <v>912</v>
      </c>
      <c r="P92" t="s">
        <v>654</v>
      </c>
      <c r="Q92" t="s">
        <v>638</v>
      </c>
      <c r="R92" t="s">
        <v>708</v>
      </c>
      <c r="S92" t="s">
        <v>913</v>
      </c>
      <c r="T92" t="s">
        <v>709</v>
      </c>
      <c r="U92">
        <v>139700</v>
      </c>
      <c r="V92" t="s">
        <v>1024</v>
      </c>
      <c r="W92" t="s">
        <v>860</v>
      </c>
      <c r="X92" t="s">
        <v>642</v>
      </c>
      <c r="Y92" t="s">
        <v>643</v>
      </c>
      <c r="Z92" t="s">
        <v>644</v>
      </c>
      <c r="AA92" t="s">
        <v>645</v>
      </c>
      <c r="AB92" t="s">
        <v>646</v>
      </c>
      <c r="AE92">
        <v>-36.905513650000003</v>
      </c>
      <c r="AF92">
        <v>174.74659725999999</v>
      </c>
      <c r="AG92">
        <v>40</v>
      </c>
      <c r="AH92">
        <v>0</v>
      </c>
      <c r="AI92">
        <v>0</v>
      </c>
      <c r="AJ92">
        <v>0</v>
      </c>
      <c r="AK92">
        <v>3</v>
      </c>
      <c r="AL92">
        <v>14</v>
      </c>
      <c r="AM92">
        <v>16</v>
      </c>
      <c r="AN92">
        <v>0</v>
      </c>
      <c r="AO92">
        <v>33</v>
      </c>
      <c r="AP92">
        <v>5</v>
      </c>
      <c r="AQ92">
        <v>1</v>
      </c>
      <c r="AR92">
        <v>10</v>
      </c>
      <c r="AS92">
        <v>14</v>
      </c>
      <c r="AT92">
        <v>6</v>
      </c>
    </row>
    <row r="93" spans="1:46">
      <c r="A93">
        <v>5077</v>
      </c>
      <c r="B93" t="s">
        <v>1025</v>
      </c>
      <c r="C93" t="s">
        <v>1026</v>
      </c>
      <c r="D93" t="s">
        <v>1027</v>
      </c>
      <c r="E93" t="s">
        <v>1028</v>
      </c>
      <c r="F93" t="s">
        <v>1029</v>
      </c>
      <c r="G93" t="s">
        <v>652</v>
      </c>
      <c r="H93" t="s">
        <v>517</v>
      </c>
      <c r="J93" t="s">
        <v>518</v>
      </c>
      <c r="K93" t="s">
        <v>519</v>
      </c>
      <c r="M93" t="s">
        <v>520</v>
      </c>
      <c r="N93" t="s">
        <v>557</v>
      </c>
      <c r="O93" t="s">
        <v>829</v>
      </c>
      <c r="P93" t="s">
        <v>654</v>
      </c>
      <c r="Q93" t="s">
        <v>638</v>
      </c>
      <c r="R93" t="s">
        <v>708</v>
      </c>
      <c r="S93" t="s">
        <v>805</v>
      </c>
      <c r="T93" t="s">
        <v>709</v>
      </c>
      <c r="U93">
        <v>147202</v>
      </c>
      <c r="V93" t="s">
        <v>1030</v>
      </c>
      <c r="W93" t="s">
        <v>807</v>
      </c>
      <c r="X93" t="s">
        <v>642</v>
      </c>
      <c r="Y93" t="s">
        <v>643</v>
      </c>
      <c r="Z93" t="s">
        <v>644</v>
      </c>
      <c r="AA93" t="s">
        <v>645</v>
      </c>
      <c r="AB93" t="s">
        <v>646</v>
      </c>
      <c r="AE93">
        <v>-36.912641909999998</v>
      </c>
      <c r="AF93">
        <v>174.83685045999999</v>
      </c>
      <c r="AG93">
        <v>40</v>
      </c>
      <c r="AH93">
        <v>0</v>
      </c>
      <c r="AI93">
        <v>0</v>
      </c>
      <c r="AJ93">
        <v>0</v>
      </c>
      <c r="AK93">
        <v>9</v>
      </c>
      <c r="AL93">
        <v>19</v>
      </c>
      <c r="AM93">
        <v>16</v>
      </c>
      <c r="AN93">
        <v>3</v>
      </c>
      <c r="AO93">
        <v>47</v>
      </c>
      <c r="AP93">
        <v>14</v>
      </c>
      <c r="AQ93">
        <v>19</v>
      </c>
      <c r="AR93">
        <v>19</v>
      </c>
      <c r="AS93">
        <v>11</v>
      </c>
      <c r="AT93">
        <v>3</v>
      </c>
    </row>
    <row r="94" spans="1:46">
      <c r="A94">
        <v>5078</v>
      </c>
      <c r="B94" t="s">
        <v>1031</v>
      </c>
      <c r="C94" t="s">
        <v>1032</v>
      </c>
      <c r="D94" t="s">
        <v>1033</v>
      </c>
      <c r="E94" t="s">
        <v>1034</v>
      </c>
      <c r="F94" t="s">
        <v>1035</v>
      </c>
      <c r="G94" t="s">
        <v>652</v>
      </c>
      <c r="H94" t="s">
        <v>517</v>
      </c>
      <c r="J94" t="s">
        <v>518</v>
      </c>
      <c r="K94" t="s">
        <v>519</v>
      </c>
      <c r="M94" t="s">
        <v>520</v>
      </c>
      <c r="N94" t="s">
        <v>539</v>
      </c>
      <c r="O94" t="s">
        <v>728</v>
      </c>
      <c r="P94" t="s">
        <v>654</v>
      </c>
      <c r="Q94" t="s">
        <v>638</v>
      </c>
      <c r="R94" t="s">
        <v>729</v>
      </c>
      <c r="S94" t="s">
        <v>1036</v>
      </c>
      <c r="T94" t="s">
        <v>709</v>
      </c>
      <c r="U94">
        <v>155901</v>
      </c>
      <c r="V94" t="s">
        <v>1037</v>
      </c>
      <c r="W94" t="s">
        <v>732</v>
      </c>
      <c r="X94" t="s">
        <v>642</v>
      </c>
      <c r="Y94" t="s">
        <v>643</v>
      </c>
      <c r="Z94" t="s">
        <v>644</v>
      </c>
      <c r="AA94" t="s">
        <v>645</v>
      </c>
      <c r="AB94" t="s">
        <v>646</v>
      </c>
      <c r="AC94">
        <v>99102</v>
      </c>
      <c r="AD94" t="s">
        <v>1038</v>
      </c>
      <c r="AE94">
        <v>-36.987462899999997</v>
      </c>
      <c r="AF94">
        <v>174.84930272</v>
      </c>
      <c r="AG94">
        <v>40</v>
      </c>
      <c r="AH94">
        <v>0</v>
      </c>
      <c r="AI94">
        <v>0</v>
      </c>
      <c r="AJ94">
        <v>0</v>
      </c>
      <c r="AK94">
        <v>7</v>
      </c>
      <c r="AL94">
        <v>6</v>
      </c>
      <c r="AM94">
        <v>19</v>
      </c>
      <c r="AN94">
        <v>1</v>
      </c>
      <c r="AO94">
        <v>33</v>
      </c>
      <c r="AP94">
        <v>7</v>
      </c>
      <c r="AQ94">
        <v>12</v>
      </c>
      <c r="AR94">
        <v>15</v>
      </c>
      <c r="AS94">
        <v>11</v>
      </c>
      <c r="AT94">
        <v>1</v>
      </c>
    </row>
    <row r="95" spans="1:46">
      <c r="A95">
        <v>5081</v>
      </c>
      <c r="B95" t="s">
        <v>1039</v>
      </c>
      <c r="C95" t="s">
        <v>1040</v>
      </c>
      <c r="D95" t="s">
        <v>1041</v>
      </c>
      <c r="E95" t="s">
        <v>1042</v>
      </c>
      <c r="F95" t="s">
        <v>1043</v>
      </c>
      <c r="G95" t="s">
        <v>652</v>
      </c>
      <c r="H95" t="s">
        <v>517</v>
      </c>
      <c r="J95" t="s">
        <v>518</v>
      </c>
      <c r="K95" t="s">
        <v>519</v>
      </c>
      <c r="M95" t="s">
        <v>520</v>
      </c>
      <c r="N95" t="s">
        <v>571</v>
      </c>
      <c r="O95" t="s">
        <v>738</v>
      </c>
      <c r="P95" t="s">
        <v>654</v>
      </c>
      <c r="Q95" t="s">
        <v>638</v>
      </c>
      <c r="R95" t="s">
        <v>639</v>
      </c>
      <c r="S95" t="s">
        <v>756</v>
      </c>
      <c r="T95" t="s">
        <v>527</v>
      </c>
      <c r="U95">
        <v>127100</v>
      </c>
      <c r="V95" t="s">
        <v>1044</v>
      </c>
      <c r="W95" t="s">
        <v>741</v>
      </c>
      <c r="X95" t="s">
        <v>642</v>
      </c>
      <c r="Y95" t="s">
        <v>643</v>
      </c>
      <c r="Z95" t="s">
        <v>644</v>
      </c>
      <c r="AA95" t="s">
        <v>645</v>
      </c>
      <c r="AB95" t="s">
        <v>646</v>
      </c>
      <c r="AE95">
        <v>-36.801077229999997</v>
      </c>
      <c r="AF95">
        <v>174.74762593</v>
      </c>
      <c r="AG95">
        <v>40</v>
      </c>
      <c r="AH95">
        <v>0</v>
      </c>
      <c r="AI95">
        <v>0</v>
      </c>
      <c r="AJ95">
        <v>0</v>
      </c>
      <c r="AK95">
        <v>16</v>
      </c>
      <c r="AL95">
        <v>15</v>
      </c>
      <c r="AM95">
        <v>20</v>
      </c>
      <c r="AN95">
        <v>1</v>
      </c>
      <c r="AO95">
        <v>52</v>
      </c>
      <c r="AP95">
        <v>21</v>
      </c>
      <c r="AQ95">
        <v>7</v>
      </c>
      <c r="AR95">
        <v>10</v>
      </c>
      <c r="AS95">
        <v>23</v>
      </c>
      <c r="AT95">
        <v>1</v>
      </c>
    </row>
    <row r="96" spans="1:46">
      <c r="A96">
        <v>5082</v>
      </c>
      <c r="B96" t="s">
        <v>1045</v>
      </c>
      <c r="C96" t="s">
        <v>1046</v>
      </c>
      <c r="D96" t="s">
        <v>1047</v>
      </c>
      <c r="E96" t="s">
        <v>1048</v>
      </c>
      <c r="F96" t="s">
        <v>756</v>
      </c>
      <c r="G96" t="s">
        <v>652</v>
      </c>
      <c r="H96" t="s">
        <v>517</v>
      </c>
      <c r="J96" t="s">
        <v>518</v>
      </c>
      <c r="K96" t="s">
        <v>519</v>
      </c>
      <c r="M96" t="s">
        <v>520</v>
      </c>
      <c r="N96" t="s">
        <v>571</v>
      </c>
      <c r="O96" t="s">
        <v>738</v>
      </c>
      <c r="P96" t="s">
        <v>654</v>
      </c>
      <c r="Q96" t="s">
        <v>638</v>
      </c>
      <c r="R96" t="s">
        <v>639</v>
      </c>
      <c r="S96" t="s">
        <v>756</v>
      </c>
      <c r="T96" t="s">
        <v>527</v>
      </c>
      <c r="U96">
        <v>127300</v>
      </c>
      <c r="V96" t="s">
        <v>1049</v>
      </c>
      <c r="W96" t="s">
        <v>741</v>
      </c>
      <c r="X96" t="s">
        <v>642</v>
      </c>
      <c r="Y96" t="s">
        <v>643</v>
      </c>
      <c r="Z96" t="s">
        <v>644</v>
      </c>
      <c r="AA96" t="s">
        <v>645</v>
      </c>
      <c r="AB96" t="s">
        <v>646</v>
      </c>
      <c r="AE96">
        <v>-36.80961697</v>
      </c>
      <c r="AF96">
        <v>174.74180555999999</v>
      </c>
      <c r="AG96">
        <v>40</v>
      </c>
      <c r="AH96">
        <v>0</v>
      </c>
      <c r="AI96">
        <v>0</v>
      </c>
      <c r="AJ96">
        <v>0</v>
      </c>
      <c r="AK96">
        <v>0</v>
      </c>
      <c r="AL96">
        <v>23</v>
      </c>
      <c r="AM96">
        <v>21</v>
      </c>
      <c r="AN96">
        <v>2</v>
      </c>
      <c r="AO96">
        <v>46</v>
      </c>
      <c r="AP96">
        <v>42</v>
      </c>
      <c r="AQ96">
        <v>3</v>
      </c>
      <c r="AR96">
        <v>0</v>
      </c>
      <c r="AS96">
        <v>4</v>
      </c>
      <c r="AT96">
        <v>3</v>
      </c>
    </row>
    <row r="97" spans="1:46">
      <c r="A97">
        <v>5083</v>
      </c>
      <c r="B97" t="s">
        <v>1050</v>
      </c>
      <c r="C97" t="s">
        <v>1051</v>
      </c>
      <c r="D97" t="s">
        <v>1052</v>
      </c>
      <c r="E97" t="s">
        <v>1053</v>
      </c>
      <c r="F97" t="s">
        <v>1035</v>
      </c>
      <c r="G97" t="s">
        <v>652</v>
      </c>
      <c r="H97" t="s">
        <v>517</v>
      </c>
      <c r="J97" t="s">
        <v>518</v>
      </c>
      <c r="K97" t="s">
        <v>519</v>
      </c>
      <c r="M97" t="s">
        <v>520</v>
      </c>
      <c r="N97" t="s">
        <v>539</v>
      </c>
      <c r="O97" t="s">
        <v>728</v>
      </c>
      <c r="P97" t="s">
        <v>654</v>
      </c>
      <c r="Q97" t="s">
        <v>638</v>
      </c>
      <c r="R97" t="s">
        <v>729</v>
      </c>
      <c r="S97" t="s">
        <v>730</v>
      </c>
      <c r="T97" t="s">
        <v>709</v>
      </c>
      <c r="U97">
        <v>154001</v>
      </c>
      <c r="V97" t="s">
        <v>1054</v>
      </c>
      <c r="W97" t="s">
        <v>732</v>
      </c>
      <c r="X97" t="s">
        <v>642</v>
      </c>
      <c r="Y97" t="s">
        <v>643</v>
      </c>
      <c r="Z97" t="s">
        <v>644</v>
      </c>
      <c r="AA97" t="s">
        <v>645</v>
      </c>
      <c r="AB97" t="s">
        <v>646</v>
      </c>
      <c r="AE97">
        <v>-36.96779634</v>
      </c>
      <c r="AF97">
        <v>174.85057942</v>
      </c>
      <c r="AG97">
        <v>40</v>
      </c>
      <c r="AH97">
        <v>0</v>
      </c>
      <c r="AI97">
        <v>0</v>
      </c>
      <c r="AJ97">
        <v>0</v>
      </c>
      <c r="AK97">
        <v>6</v>
      </c>
      <c r="AL97">
        <v>8</v>
      </c>
      <c r="AM97">
        <v>15</v>
      </c>
      <c r="AN97">
        <v>2</v>
      </c>
      <c r="AO97">
        <v>31</v>
      </c>
      <c r="AP97">
        <v>1</v>
      </c>
      <c r="AQ97">
        <v>3</v>
      </c>
      <c r="AR97">
        <v>7</v>
      </c>
      <c r="AS97">
        <v>24</v>
      </c>
      <c r="AT97">
        <v>0</v>
      </c>
    </row>
    <row r="98" spans="1:46">
      <c r="A98">
        <v>5084</v>
      </c>
      <c r="B98" t="s">
        <v>1055</v>
      </c>
      <c r="C98" t="s">
        <v>1056</v>
      </c>
      <c r="D98" t="s">
        <v>1057</v>
      </c>
      <c r="E98" t="s">
        <v>1058</v>
      </c>
      <c r="F98" t="s">
        <v>1059</v>
      </c>
      <c r="G98" t="s">
        <v>652</v>
      </c>
      <c r="H98" t="s">
        <v>517</v>
      </c>
      <c r="J98" t="s">
        <v>518</v>
      </c>
      <c r="K98" t="s">
        <v>519</v>
      </c>
      <c r="M98" t="s">
        <v>520</v>
      </c>
      <c r="N98" t="s">
        <v>571</v>
      </c>
      <c r="O98" t="s">
        <v>804</v>
      </c>
      <c r="P98" t="s">
        <v>654</v>
      </c>
      <c r="Q98" t="s">
        <v>638</v>
      </c>
      <c r="R98" t="s">
        <v>708</v>
      </c>
      <c r="S98" t="s">
        <v>880</v>
      </c>
      <c r="T98" t="s">
        <v>709</v>
      </c>
      <c r="U98">
        <v>139201</v>
      </c>
      <c r="V98" t="s">
        <v>1060</v>
      </c>
      <c r="W98" t="s">
        <v>824</v>
      </c>
      <c r="X98" t="s">
        <v>642</v>
      </c>
      <c r="Y98" t="s">
        <v>643</v>
      </c>
      <c r="Z98" t="s">
        <v>644</v>
      </c>
      <c r="AA98" t="s">
        <v>645</v>
      </c>
      <c r="AB98" t="s">
        <v>646</v>
      </c>
      <c r="AC98">
        <v>99100</v>
      </c>
      <c r="AD98" t="s">
        <v>1061</v>
      </c>
      <c r="AE98">
        <v>-36.858104650000001</v>
      </c>
      <c r="AF98">
        <v>174.8164721</v>
      </c>
      <c r="AG98">
        <v>40</v>
      </c>
      <c r="AH98">
        <v>0</v>
      </c>
      <c r="AI98">
        <v>0</v>
      </c>
      <c r="AJ98">
        <v>0</v>
      </c>
      <c r="AK98">
        <v>0</v>
      </c>
      <c r="AL98">
        <v>16</v>
      </c>
      <c r="AM98">
        <v>26</v>
      </c>
      <c r="AN98">
        <v>5</v>
      </c>
      <c r="AO98">
        <v>47</v>
      </c>
      <c r="AP98">
        <v>28</v>
      </c>
      <c r="AQ98">
        <v>9</v>
      </c>
      <c r="AR98">
        <v>4</v>
      </c>
      <c r="AS98">
        <v>10</v>
      </c>
      <c r="AT98">
        <v>5</v>
      </c>
    </row>
    <row r="99" spans="1:46">
      <c r="A99">
        <v>5085</v>
      </c>
      <c r="B99" t="s">
        <v>1062</v>
      </c>
      <c r="C99" t="s">
        <v>1063</v>
      </c>
      <c r="D99" t="s">
        <v>1064</v>
      </c>
      <c r="E99" t="s">
        <v>1065</v>
      </c>
      <c r="F99" t="s">
        <v>1066</v>
      </c>
      <c r="G99" t="s">
        <v>1067</v>
      </c>
      <c r="H99" t="s">
        <v>517</v>
      </c>
      <c r="J99" t="s">
        <v>518</v>
      </c>
      <c r="K99" t="s">
        <v>519</v>
      </c>
      <c r="M99" t="s">
        <v>520</v>
      </c>
      <c r="N99" t="s">
        <v>571</v>
      </c>
      <c r="O99" t="s">
        <v>873</v>
      </c>
      <c r="P99" t="s">
        <v>572</v>
      </c>
      <c r="Q99" t="s">
        <v>638</v>
      </c>
      <c r="R99" t="s">
        <v>639</v>
      </c>
      <c r="S99" t="s">
        <v>770</v>
      </c>
      <c r="T99" t="s">
        <v>709</v>
      </c>
      <c r="U99">
        <v>130000</v>
      </c>
      <c r="V99" t="s">
        <v>1066</v>
      </c>
      <c r="W99" t="s">
        <v>815</v>
      </c>
      <c r="X99" t="s">
        <v>642</v>
      </c>
      <c r="Y99" t="s">
        <v>643</v>
      </c>
      <c r="Z99" t="s">
        <v>644</v>
      </c>
      <c r="AA99" t="s">
        <v>645</v>
      </c>
      <c r="AB99" t="s">
        <v>646</v>
      </c>
      <c r="AC99">
        <v>99029</v>
      </c>
      <c r="AD99" t="s">
        <v>901</v>
      </c>
      <c r="AE99">
        <v>-36.912494989999999</v>
      </c>
      <c r="AF99">
        <v>174.62026718999999</v>
      </c>
      <c r="AG99">
        <v>40</v>
      </c>
      <c r="AH99">
        <v>0</v>
      </c>
      <c r="AI99">
        <v>0</v>
      </c>
      <c r="AJ99">
        <v>0</v>
      </c>
      <c r="AK99">
        <v>2</v>
      </c>
      <c r="AL99">
        <v>20</v>
      </c>
      <c r="AM99">
        <v>21</v>
      </c>
      <c r="AN99">
        <v>0</v>
      </c>
      <c r="AO99">
        <v>43</v>
      </c>
      <c r="AP99">
        <v>35</v>
      </c>
      <c r="AQ99">
        <v>11</v>
      </c>
      <c r="AR99">
        <v>4</v>
      </c>
      <c r="AS99">
        <v>5</v>
      </c>
      <c r="AT99">
        <v>1</v>
      </c>
    </row>
    <row r="100" spans="1:46">
      <c r="A100">
        <v>5086</v>
      </c>
      <c r="B100" t="s">
        <v>1068</v>
      </c>
      <c r="C100" t="s">
        <v>1069</v>
      </c>
      <c r="D100" t="s">
        <v>1070</v>
      </c>
      <c r="E100" t="s">
        <v>1071</v>
      </c>
      <c r="F100" t="s">
        <v>1072</v>
      </c>
      <c r="G100" t="s">
        <v>652</v>
      </c>
      <c r="H100" t="s">
        <v>517</v>
      </c>
      <c r="J100" t="s">
        <v>518</v>
      </c>
      <c r="K100" t="s">
        <v>519</v>
      </c>
      <c r="M100" t="s">
        <v>520</v>
      </c>
      <c r="N100" t="s">
        <v>521</v>
      </c>
      <c r="O100" t="s">
        <v>848</v>
      </c>
      <c r="P100" t="s">
        <v>654</v>
      </c>
      <c r="Q100" t="s">
        <v>638</v>
      </c>
      <c r="R100" t="s">
        <v>729</v>
      </c>
      <c r="S100" t="s">
        <v>730</v>
      </c>
      <c r="T100" t="s">
        <v>709</v>
      </c>
      <c r="U100">
        <v>151900</v>
      </c>
      <c r="V100" t="s">
        <v>1073</v>
      </c>
      <c r="W100" t="s">
        <v>732</v>
      </c>
      <c r="X100" t="s">
        <v>642</v>
      </c>
      <c r="Y100" t="s">
        <v>643</v>
      </c>
      <c r="Z100" t="s">
        <v>644</v>
      </c>
      <c r="AA100" t="s">
        <v>645</v>
      </c>
      <c r="AB100" t="s">
        <v>646</v>
      </c>
      <c r="AC100">
        <v>99151</v>
      </c>
      <c r="AD100" t="s">
        <v>1074</v>
      </c>
      <c r="AE100">
        <v>-36.943614449999998</v>
      </c>
      <c r="AF100">
        <v>174.8480879</v>
      </c>
      <c r="AG100">
        <v>40</v>
      </c>
      <c r="AH100">
        <v>0</v>
      </c>
      <c r="AI100">
        <v>0</v>
      </c>
      <c r="AJ100">
        <v>0</v>
      </c>
      <c r="AK100">
        <v>8</v>
      </c>
      <c r="AL100">
        <v>10</v>
      </c>
      <c r="AM100">
        <v>15</v>
      </c>
      <c r="AN100">
        <v>0</v>
      </c>
      <c r="AO100">
        <v>33</v>
      </c>
      <c r="AP100">
        <v>3</v>
      </c>
      <c r="AQ100">
        <v>6</v>
      </c>
      <c r="AR100">
        <v>23</v>
      </c>
      <c r="AS100">
        <v>7</v>
      </c>
      <c r="AT100">
        <v>0</v>
      </c>
    </row>
    <row r="101" spans="1:46">
      <c r="A101">
        <v>5087</v>
      </c>
      <c r="B101" t="s">
        <v>1075</v>
      </c>
      <c r="C101" t="s">
        <v>1076</v>
      </c>
      <c r="D101" t="s">
        <v>1077</v>
      </c>
      <c r="E101" t="s">
        <v>1078</v>
      </c>
      <c r="F101" t="s">
        <v>1079</v>
      </c>
      <c r="G101" t="s">
        <v>652</v>
      </c>
      <c r="H101" t="s">
        <v>517</v>
      </c>
      <c r="J101" t="s">
        <v>518</v>
      </c>
      <c r="K101" t="s">
        <v>519</v>
      </c>
      <c r="M101" t="s">
        <v>520</v>
      </c>
      <c r="N101" t="s">
        <v>539</v>
      </c>
      <c r="O101" t="s">
        <v>857</v>
      </c>
      <c r="P101" t="s">
        <v>654</v>
      </c>
      <c r="Q101" t="s">
        <v>638</v>
      </c>
      <c r="R101" t="s">
        <v>708</v>
      </c>
      <c r="S101" t="s">
        <v>858</v>
      </c>
      <c r="T101" t="s">
        <v>709</v>
      </c>
      <c r="U101">
        <v>135500</v>
      </c>
      <c r="V101" t="s">
        <v>1080</v>
      </c>
      <c r="W101" t="s">
        <v>860</v>
      </c>
      <c r="X101" t="s">
        <v>642</v>
      </c>
      <c r="Y101" t="s">
        <v>643</v>
      </c>
      <c r="Z101" t="s">
        <v>644</v>
      </c>
      <c r="AA101" t="s">
        <v>645</v>
      </c>
      <c r="AB101" t="s">
        <v>646</v>
      </c>
      <c r="AC101">
        <v>99150</v>
      </c>
      <c r="AD101" t="s">
        <v>861</v>
      </c>
      <c r="AE101">
        <v>-36.894884019999999</v>
      </c>
      <c r="AF101">
        <v>174.71445169</v>
      </c>
      <c r="AG101">
        <v>40</v>
      </c>
      <c r="AH101">
        <v>0</v>
      </c>
      <c r="AI101">
        <v>0</v>
      </c>
      <c r="AJ101">
        <v>0</v>
      </c>
      <c r="AK101">
        <v>7</v>
      </c>
      <c r="AL101">
        <v>9</v>
      </c>
      <c r="AM101">
        <v>14</v>
      </c>
      <c r="AN101">
        <v>0</v>
      </c>
      <c r="AO101">
        <v>30</v>
      </c>
      <c r="AP101">
        <v>17</v>
      </c>
      <c r="AQ101">
        <v>4</v>
      </c>
      <c r="AR101">
        <v>8</v>
      </c>
      <c r="AS101">
        <v>7</v>
      </c>
      <c r="AT101">
        <v>2</v>
      </c>
    </row>
    <row r="102" spans="1:46">
      <c r="A102">
        <v>5088</v>
      </c>
      <c r="B102" t="s">
        <v>1081</v>
      </c>
      <c r="C102" t="s">
        <v>1082</v>
      </c>
      <c r="D102" t="s">
        <v>1083</v>
      </c>
      <c r="E102" t="s">
        <v>1084</v>
      </c>
      <c r="F102" t="s">
        <v>1085</v>
      </c>
      <c r="G102" t="s">
        <v>652</v>
      </c>
      <c r="H102" t="s">
        <v>517</v>
      </c>
      <c r="J102" t="s">
        <v>518</v>
      </c>
      <c r="K102" t="s">
        <v>519</v>
      </c>
      <c r="M102" t="s">
        <v>520</v>
      </c>
      <c r="N102" t="s">
        <v>571</v>
      </c>
      <c r="O102" t="s">
        <v>707</v>
      </c>
      <c r="P102" t="s">
        <v>654</v>
      </c>
      <c r="Q102" t="s">
        <v>638</v>
      </c>
      <c r="R102" t="s">
        <v>708</v>
      </c>
      <c r="S102" t="s">
        <v>706</v>
      </c>
      <c r="T102" t="s">
        <v>709</v>
      </c>
      <c r="U102">
        <v>151500</v>
      </c>
      <c r="V102" t="s">
        <v>1086</v>
      </c>
      <c r="W102" t="s">
        <v>711</v>
      </c>
      <c r="X102" t="s">
        <v>642</v>
      </c>
      <c r="Y102" t="s">
        <v>643</v>
      </c>
      <c r="Z102" t="s">
        <v>644</v>
      </c>
      <c r="AA102" t="s">
        <v>645</v>
      </c>
      <c r="AB102" t="s">
        <v>646</v>
      </c>
      <c r="AC102">
        <v>99149</v>
      </c>
      <c r="AD102" t="s">
        <v>798</v>
      </c>
      <c r="AE102">
        <v>-36.915176889999998</v>
      </c>
      <c r="AF102">
        <v>174.88331024999999</v>
      </c>
      <c r="AG102">
        <v>40</v>
      </c>
      <c r="AH102">
        <v>0</v>
      </c>
      <c r="AI102">
        <v>0</v>
      </c>
      <c r="AJ102">
        <v>0</v>
      </c>
      <c r="AK102">
        <v>4</v>
      </c>
      <c r="AL102">
        <v>25</v>
      </c>
      <c r="AM102">
        <v>19</v>
      </c>
      <c r="AN102">
        <v>0</v>
      </c>
      <c r="AO102">
        <v>48</v>
      </c>
      <c r="AP102">
        <v>24</v>
      </c>
      <c r="AQ102">
        <v>5</v>
      </c>
      <c r="AR102">
        <v>7</v>
      </c>
      <c r="AS102">
        <v>18</v>
      </c>
      <c r="AT102">
        <v>3</v>
      </c>
    </row>
    <row r="103" spans="1:46">
      <c r="A103">
        <v>5089</v>
      </c>
      <c r="B103" t="s">
        <v>1087</v>
      </c>
      <c r="C103" t="s">
        <v>1088</v>
      </c>
      <c r="D103" t="s">
        <v>1089</v>
      </c>
      <c r="E103" t="s">
        <v>1090</v>
      </c>
      <c r="F103" t="s">
        <v>1035</v>
      </c>
      <c r="G103" t="s">
        <v>652</v>
      </c>
      <c r="H103" t="s">
        <v>517</v>
      </c>
      <c r="J103" t="s">
        <v>518</v>
      </c>
      <c r="K103" t="s">
        <v>519</v>
      </c>
      <c r="M103" t="s">
        <v>520</v>
      </c>
      <c r="N103" t="s">
        <v>557</v>
      </c>
      <c r="O103" t="s">
        <v>728</v>
      </c>
      <c r="P103" t="s">
        <v>654</v>
      </c>
      <c r="Q103" t="s">
        <v>638</v>
      </c>
      <c r="R103" t="s">
        <v>729</v>
      </c>
      <c r="S103" t="s">
        <v>730</v>
      </c>
      <c r="T103" t="s">
        <v>709</v>
      </c>
      <c r="U103">
        <v>154901</v>
      </c>
      <c r="V103" t="s">
        <v>1091</v>
      </c>
      <c r="W103" t="s">
        <v>732</v>
      </c>
      <c r="X103" t="s">
        <v>642</v>
      </c>
      <c r="Y103" t="s">
        <v>643</v>
      </c>
      <c r="Z103" t="s">
        <v>644</v>
      </c>
      <c r="AA103" t="s">
        <v>645</v>
      </c>
      <c r="AB103" t="s">
        <v>646</v>
      </c>
      <c r="AC103">
        <v>99102</v>
      </c>
      <c r="AD103" t="s">
        <v>1038</v>
      </c>
      <c r="AE103">
        <v>-36.977169859999997</v>
      </c>
      <c r="AF103">
        <v>174.86093973000001</v>
      </c>
      <c r="AG103">
        <v>40</v>
      </c>
      <c r="AH103">
        <v>0</v>
      </c>
      <c r="AI103">
        <v>0</v>
      </c>
      <c r="AJ103">
        <v>0</v>
      </c>
      <c r="AK103">
        <v>6</v>
      </c>
      <c r="AL103">
        <v>13</v>
      </c>
      <c r="AM103">
        <v>20</v>
      </c>
      <c r="AN103">
        <v>0</v>
      </c>
      <c r="AO103">
        <v>39</v>
      </c>
      <c r="AP103">
        <v>10</v>
      </c>
      <c r="AQ103">
        <v>6</v>
      </c>
      <c r="AR103">
        <v>11</v>
      </c>
      <c r="AS103">
        <v>24</v>
      </c>
      <c r="AT103">
        <v>0</v>
      </c>
    </row>
    <row r="104" spans="1:46">
      <c r="A104">
        <v>5090</v>
      </c>
      <c r="B104" t="s">
        <v>1092</v>
      </c>
      <c r="C104" t="s">
        <v>1093</v>
      </c>
      <c r="D104" t="s">
        <v>1094</v>
      </c>
      <c r="E104" t="s">
        <v>1095</v>
      </c>
      <c r="F104" t="s">
        <v>1096</v>
      </c>
      <c r="G104" t="s">
        <v>652</v>
      </c>
      <c r="H104" t="s">
        <v>517</v>
      </c>
      <c r="J104" t="s">
        <v>518</v>
      </c>
      <c r="K104" t="s">
        <v>519</v>
      </c>
      <c r="M104" t="s">
        <v>520</v>
      </c>
      <c r="N104" t="s">
        <v>571</v>
      </c>
      <c r="O104" t="s">
        <v>957</v>
      </c>
      <c r="P104" t="s">
        <v>654</v>
      </c>
      <c r="Q104" t="s">
        <v>638</v>
      </c>
      <c r="R104" t="s">
        <v>708</v>
      </c>
      <c r="S104" t="s">
        <v>822</v>
      </c>
      <c r="T104" t="s">
        <v>709</v>
      </c>
      <c r="U104">
        <v>137400</v>
      </c>
      <c r="V104" t="s">
        <v>1097</v>
      </c>
      <c r="W104" t="s">
        <v>824</v>
      </c>
      <c r="X104" t="s">
        <v>642</v>
      </c>
      <c r="Y104" t="s">
        <v>643</v>
      </c>
      <c r="Z104" t="s">
        <v>644</v>
      </c>
      <c r="AA104" t="s">
        <v>645</v>
      </c>
      <c r="AB104" t="s">
        <v>646</v>
      </c>
      <c r="AE104">
        <v>-36.854603480000002</v>
      </c>
      <c r="AF104">
        <v>174.78584760000001</v>
      </c>
      <c r="AG104">
        <v>30</v>
      </c>
      <c r="AH104">
        <v>0</v>
      </c>
      <c r="AI104">
        <v>0</v>
      </c>
      <c r="AJ104">
        <v>0</v>
      </c>
      <c r="AK104">
        <v>3</v>
      </c>
      <c r="AL104">
        <v>14</v>
      </c>
      <c r="AM104">
        <v>19</v>
      </c>
      <c r="AN104">
        <v>2</v>
      </c>
      <c r="AO104">
        <v>38</v>
      </c>
      <c r="AP104">
        <v>15</v>
      </c>
      <c r="AQ104">
        <v>4</v>
      </c>
      <c r="AR104">
        <v>1</v>
      </c>
      <c r="AS104">
        <v>23</v>
      </c>
      <c r="AT104">
        <v>4</v>
      </c>
    </row>
    <row r="105" spans="1:46">
      <c r="A105">
        <v>5091</v>
      </c>
      <c r="B105" t="s">
        <v>1098</v>
      </c>
      <c r="C105" t="s">
        <v>1099</v>
      </c>
      <c r="D105" t="s">
        <v>1100</v>
      </c>
      <c r="E105" t="s">
        <v>1101</v>
      </c>
      <c r="F105" t="s">
        <v>1102</v>
      </c>
      <c r="G105" t="s">
        <v>652</v>
      </c>
      <c r="H105" t="s">
        <v>517</v>
      </c>
      <c r="J105" t="s">
        <v>518</v>
      </c>
      <c r="K105" t="s">
        <v>519</v>
      </c>
      <c r="M105" t="s">
        <v>520</v>
      </c>
      <c r="N105" t="s">
        <v>571</v>
      </c>
      <c r="O105" t="s">
        <v>957</v>
      </c>
      <c r="P105" t="s">
        <v>654</v>
      </c>
      <c r="Q105" t="s">
        <v>638</v>
      </c>
      <c r="R105" t="s">
        <v>708</v>
      </c>
      <c r="S105" t="s">
        <v>958</v>
      </c>
      <c r="T105" t="s">
        <v>709</v>
      </c>
      <c r="U105">
        <v>131200</v>
      </c>
      <c r="V105" t="s">
        <v>1103</v>
      </c>
      <c r="W105" t="s">
        <v>959</v>
      </c>
      <c r="X105" t="s">
        <v>642</v>
      </c>
      <c r="Y105" t="s">
        <v>643</v>
      </c>
      <c r="Z105" t="s">
        <v>644</v>
      </c>
      <c r="AA105" t="s">
        <v>645</v>
      </c>
      <c r="AB105" t="s">
        <v>646</v>
      </c>
      <c r="AE105">
        <v>-36.850481619999996</v>
      </c>
      <c r="AF105">
        <v>174.74181798000001</v>
      </c>
      <c r="AG105">
        <v>40</v>
      </c>
      <c r="AH105">
        <v>0</v>
      </c>
      <c r="AI105">
        <v>0</v>
      </c>
      <c r="AJ105">
        <v>0</v>
      </c>
      <c r="AK105">
        <v>8</v>
      </c>
      <c r="AL105">
        <v>15</v>
      </c>
      <c r="AM105">
        <v>17</v>
      </c>
      <c r="AN105">
        <v>0</v>
      </c>
      <c r="AO105">
        <v>40</v>
      </c>
      <c r="AP105">
        <v>28</v>
      </c>
      <c r="AQ105">
        <v>5</v>
      </c>
      <c r="AR105">
        <v>3</v>
      </c>
      <c r="AS105">
        <v>6</v>
      </c>
      <c r="AT105">
        <v>8</v>
      </c>
    </row>
    <row r="106" spans="1:46">
      <c r="A106">
        <v>5093</v>
      </c>
      <c r="B106" t="s">
        <v>1104</v>
      </c>
      <c r="C106" t="s">
        <v>1105</v>
      </c>
      <c r="D106" t="s">
        <v>1106</v>
      </c>
      <c r="E106" t="s">
        <v>1107</v>
      </c>
      <c r="F106" t="s">
        <v>1108</v>
      </c>
      <c r="G106" t="s">
        <v>652</v>
      </c>
      <c r="H106" t="s">
        <v>517</v>
      </c>
      <c r="J106" t="s">
        <v>518</v>
      </c>
      <c r="K106" t="s">
        <v>519</v>
      </c>
      <c r="M106" t="s">
        <v>520</v>
      </c>
      <c r="N106" t="s">
        <v>727</v>
      </c>
      <c r="O106" t="s">
        <v>829</v>
      </c>
      <c r="P106" t="s">
        <v>654</v>
      </c>
      <c r="Q106" t="s">
        <v>638</v>
      </c>
      <c r="R106" t="s">
        <v>708</v>
      </c>
      <c r="S106" t="s">
        <v>730</v>
      </c>
      <c r="T106" t="s">
        <v>709</v>
      </c>
      <c r="U106">
        <v>146301</v>
      </c>
      <c r="V106" t="s">
        <v>1109</v>
      </c>
      <c r="W106" t="s">
        <v>807</v>
      </c>
      <c r="X106" t="s">
        <v>642</v>
      </c>
      <c r="Y106" t="s">
        <v>643</v>
      </c>
      <c r="Z106" t="s">
        <v>644</v>
      </c>
      <c r="AA106" t="s">
        <v>645</v>
      </c>
      <c r="AB106" t="s">
        <v>646</v>
      </c>
      <c r="AE106">
        <v>-36.88297128</v>
      </c>
      <c r="AF106">
        <v>174.86734576999999</v>
      </c>
      <c r="AG106">
        <v>40</v>
      </c>
      <c r="AH106">
        <v>0</v>
      </c>
      <c r="AI106">
        <v>0</v>
      </c>
      <c r="AJ106">
        <v>0</v>
      </c>
      <c r="AK106">
        <v>3</v>
      </c>
      <c r="AL106">
        <v>12</v>
      </c>
      <c r="AM106">
        <v>15</v>
      </c>
      <c r="AN106">
        <v>0</v>
      </c>
      <c r="AO106">
        <v>30</v>
      </c>
      <c r="AP106">
        <v>4</v>
      </c>
      <c r="AQ106">
        <v>10</v>
      </c>
      <c r="AR106">
        <v>20</v>
      </c>
      <c r="AS106">
        <v>2</v>
      </c>
      <c r="AT106">
        <v>1</v>
      </c>
    </row>
    <row r="107" spans="1:46">
      <c r="A107">
        <v>5094</v>
      </c>
      <c r="B107" t="s">
        <v>1110</v>
      </c>
      <c r="C107" t="s">
        <v>1111</v>
      </c>
      <c r="D107" t="s">
        <v>1112</v>
      </c>
      <c r="E107" t="s">
        <v>1113</v>
      </c>
      <c r="F107" t="s">
        <v>1114</v>
      </c>
      <c r="G107" t="s">
        <v>652</v>
      </c>
      <c r="H107" t="s">
        <v>517</v>
      </c>
      <c r="J107" t="s">
        <v>518</v>
      </c>
      <c r="K107" t="s">
        <v>519</v>
      </c>
      <c r="M107" t="s">
        <v>520</v>
      </c>
      <c r="N107" t="s">
        <v>539</v>
      </c>
      <c r="O107" t="s">
        <v>813</v>
      </c>
      <c r="P107" t="s">
        <v>654</v>
      </c>
      <c r="Q107" t="s">
        <v>638</v>
      </c>
      <c r="R107" t="s">
        <v>639</v>
      </c>
      <c r="S107" t="s">
        <v>899</v>
      </c>
      <c r="T107" t="s">
        <v>527</v>
      </c>
      <c r="U107">
        <v>123800</v>
      </c>
      <c r="V107" t="s">
        <v>1115</v>
      </c>
      <c r="W107" t="s">
        <v>815</v>
      </c>
      <c r="X107" t="s">
        <v>642</v>
      </c>
      <c r="Y107" t="s">
        <v>643</v>
      </c>
      <c r="Z107" t="s">
        <v>644</v>
      </c>
      <c r="AA107" t="s">
        <v>645</v>
      </c>
      <c r="AB107" t="s">
        <v>646</v>
      </c>
      <c r="AE107">
        <v>-36.865769239999999</v>
      </c>
      <c r="AF107">
        <v>174.60336025000001</v>
      </c>
      <c r="AG107">
        <v>40</v>
      </c>
      <c r="AH107">
        <v>0</v>
      </c>
      <c r="AI107">
        <v>0</v>
      </c>
      <c r="AJ107">
        <v>0</v>
      </c>
      <c r="AK107">
        <v>5</v>
      </c>
      <c r="AL107">
        <v>9</v>
      </c>
      <c r="AM107">
        <v>32</v>
      </c>
      <c r="AN107">
        <v>1</v>
      </c>
      <c r="AO107">
        <v>47</v>
      </c>
      <c r="AP107">
        <v>14</v>
      </c>
      <c r="AQ107">
        <v>21</v>
      </c>
      <c r="AR107">
        <v>19</v>
      </c>
      <c r="AS107">
        <v>6</v>
      </c>
      <c r="AT107">
        <v>5</v>
      </c>
    </row>
    <row r="108" spans="1:46">
      <c r="A108">
        <v>5095</v>
      </c>
      <c r="B108" t="s">
        <v>1116</v>
      </c>
      <c r="C108" t="s">
        <v>1117</v>
      </c>
      <c r="D108" t="s">
        <v>1118</v>
      </c>
      <c r="E108" t="s">
        <v>1119</v>
      </c>
      <c r="F108" t="s">
        <v>898</v>
      </c>
      <c r="G108" t="s">
        <v>652</v>
      </c>
      <c r="H108" t="s">
        <v>517</v>
      </c>
      <c r="J108" t="s">
        <v>518</v>
      </c>
      <c r="K108" t="s">
        <v>519</v>
      </c>
      <c r="M108" t="s">
        <v>520</v>
      </c>
      <c r="N108" t="s">
        <v>539</v>
      </c>
      <c r="O108" t="s">
        <v>813</v>
      </c>
      <c r="P108" t="s">
        <v>654</v>
      </c>
      <c r="Q108" t="s">
        <v>638</v>
      </c>
      <c r="R108" t="s">
        <v>639</v>
      </c>
      <c r="S108" t="s">
        <v>899</v>
      </c>
      <c r="T108" t="s">
        <v>527</v>
      </c>
      <c r="U108">
        <v>124900</v>
      </c>
      <c r="V108" t="s">
        <v>1120</v>
      </c>
      <c r="W108" t="s">
        <v>815</v>
      </c>
      <c r="X108" t="s">
        <v>642</v>
      </c>
      <c r="Y108" t="s">
        <v>643</v>
      </c>
      <c r="Z108" t="s">
        <v>644</v>
      </c>
      <c r="AA108" t="s">
        <v>645</v>
      </c>
      <c r="AB108" t="s">
        <v>646</v>
      </c>
      <c r="AE108">
        <v>-36.857811079999998</v>
      </c>
      <c r="AF108">
        <v>174.62422508</v>
      </c>
      <c r="AG108">
        <v>40</v>
      </c>
      <c r="AH108">
        <v>0</v>
      </c>
      <c r="AI108">
        <v>0</v>
      </c>
      <c r="AJ108">
        <v>0</v>
      </c>
      <c r="AK108">
        <v>0</v>
      </c>
      <c r="AL108">
        <v>18</v>
      </c>
      <c r="AM108">
        <v>17</v>
      </c>
      <c r="AN108">
        <v>1</v>
      </c>
      <c r="AO108">
        <v>36</v>
      </c>
      <c r="AP108">
        <v>10</v>
      </c>
      <c r="AQ108">
        <v>20</v>
      </c>
      <c r="AR108">
        <v>15</v>
      </c>
      <c r="AS108">
        <v>5</v>
      </c>
      <c r="AT108">
        <v>1</v>
      </c>
    </row>
    <row r="109" spans="1:46">
      <c r="A109">
        <v>5096</v>
      </c>
      <c r="B109" t="s">
        <v>1121</v>
      </c>
      <c r="C109" t="s">
        <v>1122</v>
      </c>
      <c r="D109" t="s">
        <v>1123</v>
      </c>
      <c r="E109" t="s">
        <v>1124</v>
      </c>
      <c r="F109" t="s">
        <v>872</v>
      </c>
      <c r="G109" t="s">
        <v>652</v>
      </c>
      <c r="H109" t="s">
        <v>517</v>
      </c>
      <c r="J109" t="s">
        <v>518</v>
      </c>
      <c r="K109" t="s">
        <v>519</v>
      </c>
      <c r="M109" t="s">
        <v>520</v>
      </c>
      <c r="N109" t="s">
        <v>557</v>
      </c>
      <c r="O109" t="s">
        <v>873</v>
      </c>
      <c r="P109" t="s">
        <v>654</v>
      </c>
      <c r="Q109" t="s">
        <v>638</v>
      </c>
      <c r="R109" t="s">
        <v>639</v>
      </c>
      <c r="S109" t="s">
        <v>719</v>
      </c>
      <c r="T109" t="s">
        <v>709</v>
      </c>
      <c r="U109">
        <v>130901</v>
      </c>
      <c r="V109" t="s">
        <v>1125</v>
      </c>
      <c r="W109" t="s">
        <v>815</v>
      </c>
      <c r="X109" t="s">
        <v>642</v>
      </c>
      <c r="Y109" t="s">
        <v>643</v>
      </c>
      <c r="Z109" t="s">
        <v>644</v>
      </c>
      <c r="AA109" t="s">
        <v>645</v>
      </c>
      <c r="AB109" t="s">
        <v>646</v>
      </c>
      <c r="AE109">
        <v>-36.915397519999999</v>
      </c>
      <c r="AF109">
        <v>174.64021617</v>
      </c>
      <c r="AG109">
        <v>40</v>
      </c>
      <c r="AH109">
        <v>0</v>
      </c>
      <c r="AI109">
        <v>0</v>
      </c>
      <c r="AJ109">
        <v>0</v>
      </c>
      <c r="AK109">
        <v>8</v>
      </c>
      <c r="AL109">
        <v>11</v>
      </c>
      <c r="AM109">
        <v>14</v>
      </c>
      <c r="AN109">
        <v>0</v>
      </c>
      <c r="AO109">
        <v>33</v>
      </c>
      <c r="AP109">
        <v>9</v>
      </c>
      <c r="AQ109">
        <v>6</v>
      </c>
      <c r="AR109">
        <v>11</v>
      </c>
      <c r="AS109">
        <v>14</v>
      </c>
      <c r="AT109">
        <v>2</v>
      </c>
    </row>
    <row r="110" spans="1:46">
      <c r="A110">
        <v>5097</v>
      </c>
      <c r="B110" t="s">
        <v>1126</v>
      </c>
      <c r="C110" t="s">
        <v>1127</v>
      </c>
      <c r="D110" t="s">
        <v>1128</v>
      </c>
      <c r="E110" t="s">
        <v>1129</v>
      </c>
      <c r="F110" t="s">
        <v>1023</v>
      </c>
      <c r="G110" t="s">
        <v>652</v>
      </c>
      <c r="H110" t="s">
        <v>517</v>
      </c>
      <c r="J110" t="s">
        <v>518</v>
      </c>
      <c r="K110" t="s">
        <v>519</v>
      </c>
      <c r="M110" t="s">
        <v>520</v>
      </c>
      <c r="N110" t="s">
        <v>557</v>
      </c>
      <c r="O110" t="s">
        <v>912</v>
      </c>
      <c r="P110" t="s">
        <v>654</v>
      </c>
      <c r="Q110" t="s">
        <v>638</v>
      </c>
      <c r="R110" t="s">
        <v>708</v>
      </c>
      <c r="S110" t="s">
        <v>913</v>
      </c>
      <c r="T110" t="s">
        <v>709</v>
      </c>
      <c r="U110">
        <v>141300</v>
      </c>
      <c r="V110" t="s">
        <v>1130</v>
      </c>
      <c r="W110" t="s">
        <v>860</v>
      </c>
      <c r="X110" t="s">
        <v>642</v>
      </c>
      <c r="Y110" t="s">
        <v>643</v>
      </c>
      <c r="Z110" t="s">
        <v>644</v>
      </c>
      <c r="AA110" t="s">
        <v>645</v>
      </c>
      <c r="AB110" t="s">
        <v>646</v>
      </c>
      <c r="AE110">
        <v>-36.925567809999997</v>
      </c>
      <c r="AF110">
        <v>174.73488320000001</v>
      </c>
      <c r="AG110">
        <v>40</v>
      </c>
      <c r="AH110">
        <v>0</v>
      </c>
      <c r="AI110">
        <v>0</v>
      </c>
      <c r="AJ110">
        <v>0</v>
      </c>
      <c r="AK110">
        <v>0</v>
      </c>
      <c r="AL110">
        <v>15</v>
      </c>
      <c r="AM110">
        <v>31</v>
      </c>
      <c r="AN110">
        <v>1</v>
      </c>
      <c r="AO110">
        <v>47</v>
      </c>
      <c r="AP110">
        <v>15</v>
      </c>
      <c r="AQ110">
        <v>6</v>
      </c>
      <c r="AR110">
        <v>14</v>
      </c>
      <c r="AS110">
        <v>22</v>
      </c>
      <c r="AT110">
        <v>5</v>
      </c>
    </row>
    <row r="111" spans="1:46">
      <c r="A111">
        <v>5098</v>
      </c>
      <c r="B111" t="s">
        <v>1131</v>
      </c>
      <c r="C111" t="s">
        <v>1132</v>
      </c>
      <c r="D111" t="s">
        <v>1133</v>
      </c>
      <c r="E111" t="s">
        <v>1134</v>
      </c>
      <c r="F111" t="s">
        <v>855</v>
      </c>
      <c r="G111" t="s">
        <v>652</v>
      </c>
      <c r="H111" t="s">
        <v>517</v>
      </c>
      <c r="J111" t="s">
        <v>518</v>
      </c>
      <c r="K111" t="s">
        <v>519</v>
      </c>
      <c r="M111" t="s">
        <v>520</v>
      </c>
      <c r="N111" t="s">
        <v>571</v>
      </c>
      <c r="O111" t="s">
        <v>857</v>
      </c>
      <c r="P111" t="s">
        <v>654</v>
      </c>
      <c r="Q111" t="s">
        <v>638</v>
      </c>
      <c r="R111" t="s">
        <v>708</v>
      </c>
      <c r="S111" t="s">
        <v>858</v>
      </c>
      <c r="T111" t="s">
        <v>709</v>
      </c>
      <c r="U111">
        <v>131900</v>
      </c>
      <c r="V111" t="s">
        <v>1135</v>
      </c>
      <c r="W111" t="s">
        <v>860</v>
      </c>
      <c r="X111" t="s">
        <v>642</v>
      </c>
      <c r="Y111" t="s">
        <v>643</v>
      </c>
      <c r="Z111" t="s">
        <v>644</v>
      </c>
      <c r="AA111" t="s">
        <v>645</v>
      </c>
      <c r="AB111" t="s">
        <v>646</v>
      </c>
      <c r="AC111">
        <v>99150</v>
      </c>
      <c r="AD111" t="s">
        <v>861</v>
      </c>
      <c r="AE111">
        <v>-36.88206168</v>
      </c>
      <c r="AF111">
        <v>174.70961586000001</v>
      </c>
      <c r="AG111">
        <v>40</v>
      </c>
      <c r="AH111">
        <v>0</v>
      </c>
      <c r="AI111">
        <v>0</v>
      </c>
      <c r="AJ111">
        <v>0</v>
      </c>
      <c r="AK111">
        <v>6</v>
      </c>
      <c r="AL111">
        <v>5</v>
      </c>
      <c r="AM111">
        <v>12</v>
      </c>
      <c r="AN111">
        <v>1</v>
      </c>
      <c r="AO111">
        <v>24</v>
      </c>
      <c r="AP111">
        <v>8</v>
      </c>
      <c r="AQ111">
        <v>3</v>
      </c>
      <c r="AR111">
        <v>3</v>
      </c>
      <c r="AS111">
        <v>11</v>
      </c>
      <c r="AT111">
        <v>3</v>
      </c>
    </row>
    <row r="112" spans="1:46">
      <c r="A112">
        <v>5099</v>
      </c>
      <c r="B112" t="s">
        <v>1136</v>
      </c>
      <c r="C112" t="s">
        <v>1137</v>
      </c>
      <c r="D112" t="s">
        <v>1138</v>
      </c>
      <c r="E112" t="s">
        <v>1139</v>
      </c>
      <c r="F112" t="s">
        <v>1140</v>
      </c>
      <c r="G112" t="s">
        <v>652</v>
      </c>
      <c r="H112" t="s">
        <v>517</v>
      </c>
      <c r="J112" t="s">
        <v>518</v>
      </c>
      <c r="K112" t="s">
        <v>519</v>
      </c>
      <c r="M112" t="s">
        <v>520</v>
      </c>
      <c r="N112" t="s">
        <v>571</v>
      </c>
      <c r="O112" t="s">
        <v>804</v>
      </c>
      <c r="P112" t="s">
        <v>654</v>
      </c>
      <c r="Q112" t="s">
        <v>638</v>
      </c>
      <c r="R112" t="s">
        <v>708</v>
      </c>
      <c r="S112" t="s">
        <v>880</v>
      </c>
      <c r="T112" t="s">
        <v>709</v>
      </c>
      <c r="U112">
        <v>145101</v>
      </c>
      <c r="V112" t="s">
        <v>1141</v>
      </c>
      <c r="W112" t="s">
        <v>824</v>
      </c>
      <c r="X112" t="s">
        <v>642</v>
      </c>
      <c r="Y112" t="s">
        <v>643</v>
      </c>
      <c r="Z112" t="s">
        <v>644</v>
      </c>
      <c r="AA112" t="s">
        <v>645</v>
      </c>
      <c r="AB112" t="s">
        <v>646</v>
      </c>
      <c r="AC112">
        <v>99100</v>
      </c>
      <c r="AD112" t="s">
        <v>1061</v>
      </c>
      <c r="AE112">
        <v>-36.859026780000001</v>
      </c>
      <c r="AF112">
        <v>174.86190895999999</v>
      </c>
      <c r="AG112">
        <v>40</v>
      </c>
      <c r="AH112">
        <v>0</v>
      </c>
      <c r="AI112">
        <v>0</v>
      </c>
      <c r="AJ112">
        <v>0</v>
      </c>
      <c r="AK112">
        <v>4</v>
      </c>
      <c r="AL112">
        <v>20</v>
      </c>
      <c r="AM112">
        <v>23</v>
      </c>
      <c r="AN112">
        <v>1</v>
      </c>
      <c r="AO112">
        <v>48</v>
      </c>
      <c r="AP112">
        <v>31</v>
      </c>
      <c r="AQ112">
        <v>4</v>
      </c>
      <c r="AR112">
        <v>3</v>
      </c>
      <c r="AS112">
        <v>11</v>
      </c>
      <c r="AT112">
        <v>7</v>
      </c>
    </row>
    <row r="113" spans="1:46">
      <c r="A113">
        <v>5100</v>
      </c>
      <c r="B113" t="s">
        <v>1142</v>
      </c>
      <c r="C113" t="s">
        <v>1143</v>
      </c>
      <c r="D113" t="s">
        <v>1144</v>
      </c>
      <c r="E113" t="s">
        <v>1145</v>
      </c>
      <c r="F113" t="s">
        <v>1146</v>
      </c>
      <c r="G113" t="s">
        <v>652</v>
      </c>
      <c r="H113" t="s">
        <v>517</v>
      </c>
      <c r="J113" t="s">
        <v>518</v>
      </c>
      <c r="K113" t="s">
        <v>519</v>
      </c>
      <c r="M113" t="s">
        <v>520</v>
      </c>
      <c r="N113" t="s">
        <v>571</v>
      </c>
      <c r="O113" t="s">
        <v>957</v>
      </c>
      <c r="P113" t="s">
        <v>654</v>
      </c>
      <c r="Q113" t="s">
        <v>638</v>
      </c>
      <c r="R113" t="s">
        <v>708</v>
      </c>
      <c r="S113" t="s">
        <v>858</v>
      </c>
      <c r="T113" t="s">
        <v>709</v>
      </c>
      <c r="U113">
        <v>133500</v>
      </c>
      <c r="V113" t="s">
        <v>1147</v>
      </c>
      <c r="W113" t="s">
        <v>959</v>
      </c>
      <c r="X113" t="s">
        <v>642</v>
      </c>
      <c r="Y113" t="s">
        <v>643</v>
      </c>
      <c r="Z113" t="s">
        <v>644</v>
      </c>
      <c r="AA113" t="s">
        <v>645</v>
      </c>
      <c r="AB113" t="s">
        <v>646</v>
      </c>
      <c r="AE113">
        <v>-36.86555997</v>
      </c>
      <c r="AF113">
        <v>174.7479696</v>
      </c>
      <c r="AG113">
        <v>30</v>
      </c>
      <c r="AH113">
        <v>0</v>
      </c>
      <c r="AI113">
        <v>0</v>
      </c>
      <c r="AJ113">
        <v>0</v>
      </c>
      <c r="AK113">
        <v>0</v>
      </c>
      <c r="AL113">
        <v>9</v>
      </c>
      <c r="AM113">
        <v>22</v>
      </c>
      <c r="AN113">
        <v>0</v>
      </c>
      <c r="AO113">
        <v>31</v>
      </c>
      <c r="AP113">
        <v>21</v>
      </c>
      <c r="AQ113">
        <v>6</v>
      </c>
      <c r="AR113">
        <v>8</v>
      </c>
      <c r="AS113">
        <v>2</v>
      </c>
      <c r="AT113">
        <v>6</v>
      </c>
    </row>
    <row r="114" spans="1:46">
      <c r="A114">
        <v>5101</v>
      </c>
      <c r="B114" t="s">
        <v>1148</v>
      </c>
      <c r="C114" t="s">
        <v>1149</v>
      </c>
      <c r="D114" t="s">
        <v>1150</v>
      </c>
      <c r="E114" t="s">
        <v>1151</v>
      </c>
      <c r="F114" t="s">
        <v>879</v>
      </c>
      <c r="G114" t="s">
        <v>652</v>
      </c>
      <c r="H114" t="s">
        <v>517</v>
      </c>
      <c r="J114" t="s">
        <v>518</v>
      </c>
      <c r="K114" t="s">
        <v>519</v>
      </c>
      <c r="M114" t="s">
        <v>520</v>
      </c>
      <c r="N114" t="s">
        <v>557</v>
      </c>
      <c r="O114" t="s">
        <v>804</v>
      </c>
      <c r="P114" t="s">
        <v>654</v>
      </c>
      <c r="Q114" t="s">
        <v>638</v>
      </c>
      <c r="R114" t="s">
        <v>708</v>
      </c>
      <c r="S114" t="s">
        <v>880</v>
      </c>
      <c r="T114" t="s">
        <v>709</v>
      </c>
      <c r="U114">
        <v>144500</v>
      </c>
      <c r="V114" t="s">
        <v>1152</v>
      </c>
      <c r="W114" t="s">
        <v>807</v>
      </c>
      <c r="X114" t="s">
        <v>642</v>
      </c>
      <c r="Y114" t="s">
        <v>643</v>
      </c>
      <c r="Z114" t="s">
        <v>644</v>
      </c>
      <c r="AA114" t="s">
        <v>645</v>
      </c>
      <c r="AB114" t="s">
        <v>646</v>
      </c>
      <c r="AC114">
        <v>99100</v>
      </c>
      <c r="AD114" t="s">
        <v>1061</v>
      </c>
      <c r="AE114">
        <v>-36.878247700000003</v>
      </c>
      <c r="AF114">
        <v>174.84748754</v>
      </c>
      <c r="AG114">
        <v>40</v>
      </c>
      <c r="AH114">
        <v>0</v>
      </c>
      <c r="AI114">
        <v>0</v>
      </c>
      <c r="AJ114">
        <v>0</v>
      </c>
      <c r="AK114">
        <v>10</v>
      </c>
      <c r="AL114">
        <v>15</v>
      </c>
      <c r="AM114">
        <v>19</v>
      </c>
      <c r="AN114">
        <v>2</v>
      </c>
      <c r="AO114">
        <v>46</v>
      </c>
      <c r="AP114">
        <v>20</v>
      </c>
      <c r="AQ114">
        <v>2</v>
      </c>
      <c r="AR114">
        <v>1</v>
      </c>
      <c r="AS114">
        <v>26</v>
      </c>
      <c r="AT114">
        <v>5</v>
      </c>
    </row>
    <row r="115" spans="1:46">
      <c r="A115">
        <v>5103</v>
      </c>
      <c r="B115" t="s">
        <v>1153</v>
      </c>
      <c r="C115" t="s">
        <v>1154</v>
      </c>
      <c r="D115" t="s">
        <v>1155</v>
      </c>
      <c r="E115" t="s">
        <v>1156</v>
      </c>
      <c r="F115" t="s">
        <v>1157</v>
      </c>
      <c r="G115" t="s">
        <v>652</v>
      </c>
      <c r="H115" t="s">
        <v>517</v>
      </c>
      <c r="J115" t="s">
        <v>518</v>
      </c>
      <c r="K115" t="s">
        <v>519</v>
      </c>
      <c r="M115" t="s">
        <v>520</v>
      </c>
      <c r="N115" t="s">
        <v>571</v>
      </c>
      <c r="O115" t="s">
        <v>857</v>
      </c>
      <c r="P115" t="s">
        <v>654</v>
      </c>
      <c r="Q115" t="s">
        <v>638</v>
      </c>
      <c r="R115" t="s">
        <v>708</v>
      </c>
      <c r="S115" t="s">
        <v>858</v>
      </c>
      <c r="T115" t="s">
        <v>709</v>
      </c>
      <c r="U115">
        <v>136300</v>
      </c>
      <c r="V115" t="s">
        <v>1158</v>
      </c>
      <c r="W115" t="s">
        <v>860</v>
      </c>
      <c r="X115" t="s">
        <v>642</v>
      </c>
      <c r="Y115" t="s">
        <v>643</v>
      </c>
      <c r="Z115" t="s">
        <v>644</v>
      </c>
      <c r="AA115" t="s">
        <v>645</v>
      </c>
      <c r="AB115" t="s">
        <v>646</v>
      </c>
      <c r="AE115">
        <v>-36.879336100000003</v>
      </c>
      <c r="AF115">
        <v>174.73964384000001</v>
      </c>
      <c r="AG115">
        <v>30</v>
      </c>
      <c r="AH115">
        <v>0</v>
      </c>
      <c r="AI115">
        <v>0</v>
      </c>
      <c r="AJ115">
        <v>0</v>
      </c>
      <c r="AK115">
        <v>0</v>
      </c>
      <c r="AL115">
        <v>8</v>
      </c>
      <c r="AM115">
        <v>21</v>
      </c>
      <c r="AN115">
        <v>2</v>
      </c>
      <c r="AO115">
        <v>31</v>
      </c>
      <c r="AP115">
        <v>22</v>
      </c>
      <c r="AQ115">
        <v>4</v>
      </c>
      <c r="AR115">
        <v>4</v>
      </c>
      <c r="AS115">
        <v>6</v>
      </c>
      <c r="AT115">
        <v>3</v>
      </c>
    </row>
    <row r="116" spans="1:46">
      <c r="A116">
        <v>5104</v>
      </c>
      <c r="B116" t="s">
        <v>1159</v>
      </c>
      <c r="C116" t="s">
        <v>1160</v>
      </c>
      <c r="D116" t="s">
        <v>1161</v>
      </c>
      <c r="E116" t="s">
        <v>1162</v>
      </c>
      <c r="F116" t="s">
        <v>898</v>
      </c>
      <c r="G116" t="s">
        <v>652</v>
      </c>
      <c r="H116" t="s">
        <v>517</v>
      </c>
      <c r="J116" t="s">
        <v>518</v>
      </c>
      <c r="K116" t="s">
        <v>519</v>
      </c>
      <c r="M116" t="s">
        <v>520</v>
      </c>
      <c r="N116" t="s">
        <v>571</v>
      </c>
      <c r="O116" t="s">
        <v>813</v>
      </c>
      <c r="P116" t="s">
        <v>654</v>
      </c>
      <c r="Q116" t="s">
        <v>638</v>
      </c>
      <c r="R116" t="s">
        <v>639</v>
      </c>
      <c r="S116" t="s">
        <v>899</v>
      </c>
      <c r="T116" t="s">
        <v>527</v>
      </c>
      <c r="U116">
        <v>126702</v>
      </c>
      <c r="V116" t="s">
        <v>900</v>
      </c>
      <c r="W116" t="s">
        <v>815</v>
      </c>
      <c r="X116" t="s">
        <v>642</v>
      </c>
      <c r="Y116" t="s">
        <v>643</v>
      </c>
      <c r="Z116" t="s">
        <v>644</v>
      </c>
      <c r="AA116" t="s">
        <v>645</v>
      </c>
      <c r="AB116" t="s">
        <v>646</v>
      </c>
      <c r="AE116">
        <v>-36.88174918</v>
      </c>
      <c r="AF116">
        <v>174.61622629999999</v>
      </c>
      <c r="AG116">
        <v>40</v>
      </c>
      <c r="AH116">
        <v>0</v>
      </c>
      <c r="AI116">
        <v>0</v>
      </c>
      <c r="AJ116">
        <v>0</v>
      </c>
      <c r="AK116">
        <v>1</v>
      </c>
      <c r="AL116">
        <v>17</v>
      </c>
      <c r="AM116">
        <v>33</v>
      </c>
      <c r="AN116">
        <v>1</v>
      </c>
      <c r="AO116">
        <v>52</v>
      </c>
      <c r="AP116">
        <v>22</v>
      </c>
      <c r="AQ116">
        <v>6</v>
      </c>
      <c r="AR116">
        <v>9</v>
      </c>
      <c r="AS116">
        <v>26</v>
      </c>
      <c r="AT116">
        <v>2</v>
      </c>
    </row>
    <row r="117" spans="1:46">
      <c r="A117">
        <v>5105</v>
      </c>
      <c r="B117" t="s">
        <v>1163</v>
      </c>
      <c r="C117" t="s">
        <v>1164</v>
      </c>
      <c r="D117" t="s">
        <v>1165</v>
      </c>
      <c r="E117" t="s">
        <v>1166</v>
      </c>
      <c r="F117" t="s">
        <v>1167</v>
      </c>
      <c r="G117" t="s">
        <v>1067</v>
      </c>
      <c r="H117" t="s">
        <v>517</v>
      </c>
      <c r="J117" t="s">
        <v>518</v>
      </c>
      <c r="K117" t="s">
        <v>519</v>
      </c>
      <c r="M117" t="s">
        <v>520</v>
      </c>
      <c r="N117" t="s">
        <v>571</v>
      </c>
      <c r="O117" t="s">
        <v>1168</v>
      </c>
      <c r="P117" t="s">
        <v>654</v>
      </c>
      <c r="Q117" t="s">
        <v>638</v>
      </c>
      <c r="R117" t="s">
        <v>639</v>
      </c>
      <c r="S117" t="s">
        <v>640</v>
      </c>
      <c r="T117" t="s">
        <v>527</v>
      </c>
      <c r="U117">
        <v>117001</v>
      </c>
      <c r="V117" t="s">
        <v>1167</v>
      </c>
      <c r="W117" t="s">
        <v>657</v>
      </c>
      <c r="X117" t="s">
        <v>642</v>
      </c>
      <c r="Y117" t="s">
        <v>643</v>
      </c>
      <c r="Z117" t="s">
        <v>644</v>
      </c>
      <c r="AA117" t="s">
        <v>645</v>
      </c>
      <c r="AB117" t="s">
        <v>646</v>
      </c>
      <c r="AE117">
        <v>-36.793118839999998</v>
      </c>
      <c r="AF117">
        <v>174.61952049999999</v>
      </c>
      <c r="AG117">
        <v>40</v>
      </c>
      <c r="AH117">
        <v>0</v>
      </c>
      <c r="AI117">
        <v>0</v>
      </c>
      <c r="AJ117">
        <v>0</v>
      </c>
      <c r="AK117">
        <v>4</v>
      </c>
      <c r="AL117">
        <v>13</v>
      </c>
      <c r="AM117">
        <v>28</v>
      </c>
      <c r="AN117">
        <v>1</v>
      </c>
      <c r="AO117">
        <v>46</v>
      </c>
      <c r="AP117">
        <v>27</v>
      </c>
      <c r="AQ117">
        <v>6</v>
      </c>
      <c r="AR117">
        <v>2</v>
      </c>
      <c r="AS117">
        <v>15</v>
      </c>
      <c r="AT117">
        <v>4</v>
      </c>
    </row>
    <row r="118" spans="1:46">
      <c r="A118">
        <v>5106</v>
      </c>
      <c r="B118" t="s">
        <v>1169</v>
      </c>
      <c r="C118" t="s">
        <v>1170</v>
      </c>
      <c r="E118" t="s">
        <v>1171</v>
      </c>
      <c r="F118" t="s">
        <v>898</v>
      </c>
      <c r="G118" t="s">
        <v>652</v>
      </c>
      <c r="H118" t="s">
        <v>517</v>
      </c>
      <c r="J118" t="s">
        <v>518</v>
      </c>
      <c r="K118" t="s">
        <v>519</v>
      </c>
      <c r="M118" t="s">
        <v>520</v>
      </c>
      <c r="N118" t="s">
        <v>557</v>
      </c>
      <c r="O118" t="s">
        <v>813</v>
      </c>
      <c r="P118" t="s">
        <v>654</v>
      </c>
      <c r="Q118" t="s">
        <v>638</v>
      </c>
      <c r="R118" t="s">
        <v>639</v>
      </c>
      <c r="S118" t="s">
        <v>719</v>
      </c>
      <c r="T118" t="s">
        <v>709</v>
      </c>
      <c r="U118">
        <v>128401</v>
      </c>
      <c r="V118" t="s">
        <v>1172</v>
      </c>
      <c r="W118" t="s">
        <v>815</v>
      </c>
      <c r="X118" t="s">
        <v>642</v>
      </c>
      <c r="Y118" t="s">
        <v>643</v>
      </c>
      <c r="Z118" t="s">
        <v>644</v>
      </c>
      <c r="AA118" t="s">
        <v>645</v>
      </c>
      <c r="AB118" t="s">
        <v>646</v>
      </c>
      <c r="AC118">
        <v>99029</v>
      </c>
      <c r="AD118" t="s">
        <v>901</v>
      </c>
      <c r="AE118">
        <v>-36.891228679999998</v>
      </c>
      <c r="AF118">
        <v>174.64201007</v>
      </c>
      <c r="AG118">
        <v>40</v>
      </c>
      <c r="AH118">
        <v>0</v>
      </c>
      <c r="AI118">
        <v>0</v>
      </c>
      <c r="AJ118">
        <v>0</v>
      </c>
      <c r="AK118">
        <v>9</v>
      </c>
      <c r="AL118">
        <v>23</v>
      </c>
      <c r="AM118">
        <v>17</v>
      </c>
      <c r="AN118">
        <v>1</v>
      </c>
      <c r="AO118">
        <v>50</v>
      </c>
      <c r="AP118">
        <v>20</v>
      </c>
      <c r="AQ118">
        <v>11</v>
      </c>
      <c r="AR118">
        <v>19</v>
      </c>
      <c r="AS118">
        <v>16</v>
      </c>
      <c r="AT118">
        <v>3</v>
      </c>
    </row>
    <row r="119" spans="1:46">
      <c r="A119">
        <v>5107</v>
      </c>
      <c r="B119" t="s">
        <v>1173</v>
      </c>
      <c r="C119" t="s">
        <v>1174</v>
      </c>
      <c r="D119" t="s">
        <v>1175</v>
      </c>
      <c r="E119" t="s">
        <v>1176</v>
      </c>
      <c r="F119" t="s">
        <v>1177</v>
      </c>
      <c r="G119" t="s">
        <v>652</v>
      </c>
      <c r="H119" t="s">
        <v>517</v>
      </c>
      <c r="J119" t="s">
        <v>518</v>
      </c>
      <c r="K119" t="s">
        <v>519</v>
      </c>
      <c r="M119" t="s">
        <v>520</v>
      </c>
      <c r="N119" t="s">
        <v>571</v>
      </c>
      <c r="O119" t="s">
        <v>748</v>
      </c>
      <c r="P119" t="s">
        <v>654</v>
      </c>
      <c r="Q119" t="s">
        <v>638</v>
      </c>
      <c r="R119" t="s">
        <v>639</v>
      </c>
      <c r="S119" t="s">
        <v>682</v>
      </c>
      <c r="T119" t="s">
        <v>527</v>
      </c>
      <c r="U119">
        <v>126801</v>
      </c>
      <c r="V119" t="s">
        <v>1178</v>
      </c>
      <c r="W119" t="s">
        <v>741</v>
      </c>
      <c r="X119" t="s">
        <v>642</v>
      </c>
      <c r="Y119" t="s">
        <v>643</v>
      </c>
      <c r="Z119" t="s">
        <v>644</v>
      </c>
      <c r="AA119" t="s">
        <v>645</v>
      </c>
      <c r="AB119" t="s">
        <v>646</v>
      </c>
      <c r="AC119">
        <v>99188</v>
      </c>
      <c r="AD119" t="s">
        <v>786</v>
      </c>
      <c r="AE119">
        <v>-36.792570120000001</v>
      </c>
      <c r="AF119">
        <v>174.77294173999999</v>
      </c>
      <c r="AG119">
        <v>40</v>
      </c>
      <c r="AH119">
        <v>0</v>
      </c>
      <c r="AI119">
        <v>0</v>
      </c>
      <c r="AJ119">
        <v>0</v>
      </c>
      <c r="AK119">
        <v>0</v>
      </c>
      <c r="AL119">
        <v>14</v>
      </c>
      <c r="AM119">
        <v>36</v>
      </c>
      <c r="AN119">
        <v>3</v>
      </c>
      <c r="AO119">
        <v>53</v>
      </c>
      <c r="AP119">
        <v>43</v>
      </c>
      <c r="AQ119">
        <v>3</v>
      </c>
      <c r="AR119">
        <v>2</v>
      </c>
      <c r="AS119">
        <v>17</v>
      </c>
      <c r="AT119">
        <v>1</v>
      </c>
    </row>
    <row r="120" spans="1:46">
      <c r="A120">
        <v>5108</v>
      </c>
      <c r="B120" t="s">
        <v>1179</v>
      </c>
      <c r="C120" t="s">
        <v>1180</v>
      </c>
      <c r="D120" t="s">
        <v>1181</v>
      </c>
      <c r="E120" t="s">
        <v>1182</v>
      </c>
      <c r="F120" t="s">
        <v>1183</v>
      </c>
      <c r="G120" t="s">
        <v>652</v>
      </c>
      <c r="H120" t="s">
        <v>517</v>
      </c>
      <c r="J120" t="s">
        <v>518</v>
      </c>
      <c r="K120" t="s">
        <v>519</v>
      </c>
      <c r="M120" t="s">
        <v>520</v>
      </c>
      <c r="N120" t="s">
        <v>571</v>
      </c>
      <c r="O120" t="s">
        <v>813</v>
      </c>
      <c r="P120" t="s">
        <v>654</v>
      </c>
      <c r="Q120" t="s">
        <v>638</v>
      </c>
      <c r="R120" t="s">
        <v>639</v>
      </c>
      <c r="S120" t="s">
        <v>899</v>
      </c>
      <c r="T120" t="s">
        <v>527</v>
      </c>
      <c r="U120">
        <v>124500</v>
      </c>
      <c r="V120" t="s">
        <v>1184</v>
      </c>
      <c r="W120" t="s">
        <v>815</v>
      </c>
      <c r="X120" t="s">
        <v>642</v>
      </c>
      <c r="Y120" t="s">
        <v>643</v>
      </c>
      <c r="Z120" t="s">
        <v>644</v>
      </c>
      <c r="AA120" t="s">
        <v>645</v>
      </c>
      <c r="AB120" t="s">
        <v>646</v>
      </c>
      <c r="AE120">
        <v>-36.839914530000001</v>
      </c>
      <c r="AF120">
        <v>174.65461392</v>
      </c>
      <c r="AG120">
        <v>40</v>
      </c>
      <c r="AH120">
        <v>0</v>
      </c>
      <c r="AI120">
        <v>0</v>
      </c>
      <c r="AJ120">
        <v>0</v>
      </c>
      <c r="AK120">
        <v>8</v>
      </c>
      <c r="AL120">
        <v>12</v>
      </c>
      <c r="AM120">
        <v>26</v>
      </c>
      <c r="AN120">
        <v>4</v>
      </c>
      <c r="AO120">
        <v>50</v>
      </c>
      <c r="AP120">
        <v>18</v>
      </c>
      <c r="AQ120">
        <v>19</v>
      </c>
      <c r="AR120">
        <v>20</v>
      </c>
      <c r="AS120">
        <v>18</v>
      </c>
      <c r="AT120">
        <v>2</v>
      </c>
    </row>
    <row r="121" spans="1:46">
      <c r="A121">
        <v>5109</v>
      </c>
      <c r="B121" t="s">
        <v>1185</v>
      </c>
      <c r="C121" t="s">
        <v>1186</v>
      </c>
      <c r="D121" t="s">
        <v>1187</v>
      </c>
      <c r="E121" t="s">
        <v>1188</v>
      </c>
      <c r="F121" t="s">
        <v>1189</v>
      </c>
      <c r="G121" t="s">
        <v>652</v>
      </c>
      <c r="H121" t="s">
        <v>517</v>
      </c>
      <c r="J121" t="s">
        <v>518</v>
      </c>
      <c r="K121" t="s">
        <v>519</v>
      </c>
      <c r="M121" t="s">
        <v>520</v>
      </c>
      <c r="N121" t="s">
        <v>571</v>
      </c>
      <c r="O121" t="s">
        <v>813</v>
      </c>
      <c r="P121" t="s">
        <v>654</v>
      </c>
      <c r="Q121" t="s">
        <v>638</v>
      </c>
      <c r="R121" t="s">
        <v>639</v>
      </c>
      <c r="S121" t="s">
        <v>899</v>
      </c>
      <c r="T121" t="s">
        <v>709</v>
      </c>
      <c r="U121">
        <v>128501</v>
      </c>
      <c r="V121" t="s">
        <v>1190</v>
      </c>
      <c r="W121" t="s">
        <v>815</v>
      </c>
      <c r="X121" t="s">
        <v>642</v>
      </c>
      <c r="Y121" t="s">
        <v>643</v>
      </c>
      <c r="Z121" t="s">
        <v>644</v>
      </c>
      <c r="AA121" t="s">
        <v>645</v>
      </c>
      <c r="AB121" t="s">
        <v>646</v>
      </c>
      <c r="AC121">
        <v>99013</v>
      </c>
      <c r="AD121" t="s">
        <v>1191</v>
      </c>
      <c r="AE121">
        <v>-36.879241129999997</v>
      </c>
      <c r="AF121">
        <v>174.65222663</v>
      </c>
      <c r="AG121">
        <v>40</v>
      </c>
      <c r="AH121">
        <v>0</v>
      </c>
      <c r="AI121">
        <v>0</v>
      </c>
      <c r="AJ121">
        <v>0</v>
      </c>
      <c r="AK121">
        <v>2</v>
      </c>
      <c r="AL121">
        <v>20</v>
      </c>
      <c r="AM121">
        <v>30</v>
      </c>
      <c r="AN121">
        <v>3</v>
      </c>
      <c r="AO121">
        <v>55</v>
      </c>
      <c r="AP121">
        <v>25</v>
      </c>
      <c r="AQ121">
        <v>11</v>
      </c>
      <c r="AR121">
        <v>12</v>
      </c>
      <c r="AS121">
        <v>21</v>
      </c>
      <c r="AT121">
        <v>1</v>
      </c>
    </row>
    <row r="122" spans="1:46">
      <c r="A122">
        <v>5111</v>
      </c>
      <c r="B122" t="s">
        <v>1192</v>
      </c>
      <c r="C122" t="s">
        <v>1193</v>
      </c>
      <c r="D122" t="s">
        <v>1194</v>
      </c>
      <c r="E122" t="s">
        <v>1195</v>
      </c>
      <c r="F122" t="s">
        <v>1001</v>
      </c>
      <c r="G122" t="s">
        <v>652</v>
      </c>
      <c r="H122" t="s">
        <v>517</v>
      </c>
      <c r="J122" t="s">
        <v>518</v>
      </c>
      <c r="K122" t="s">
        <v>519</v>
      </c>
      <c r="M122" t="s">
        <v>520</v>
      </c>
      <c r="N122" t="s">
        <v>571</v>
      </c>
      <c r="O122" t="s">
        <v>748</v>
      </c>
      <c r="P122" t="s">
        <v>654</v>
      </c>
      <c r="Q122" t="s">
        <v>638</v>
      </c>
      <c r="R122" t="s">
        <v>639</v>
      </c>
      <c r="S122" t="s">
        <v>682</v>
      </c>
      <c r="T122" t="s">
        <v>527</v>
      </c>
      <c r="U122">
        <v>123600</v>
      </c>
      <c r="V122" t="s">
        <v>1196</v>
      </c>
      <c r="W122" t="s">
        <v>741</v>
      </c>
      <c r="X122" t="s">
        <v>642</v>
      </c>
      <c r="Y122" t="s">
        <v>643</v>
      </c>
      <c r="Z122" t="s">
        <v>644</v>
      </c>
      <c r="AA122" t="s">
        <v>645</v>
      </c>
      <c r="AB122" t="s">
        <v>646</v>
      </c>
      <c r="AC122">
        <v>99188</v>
      </c>
      <c r="AD122" t="s">
        <v>786</v>
      </c>
      <c r="AE122">
        <v>-36.769356940000002</v>
      </c>
      <c r="AF122">
        <v>174.75078217999999</v>
      </c>
      <c r="AG122">
        <v>40</v>
      </c>
      <c r="AH122">
        <v>0</v>
      </c>
      <c r="AI122">
        <v>0</v>
      </c>
      <c r="AJ122">
        <v>0</v>
      </c>
      <c r="AK122">
        <v>5</v>
      </c>
      <c r="AL122">
        <v>18</v>
      </c>
      <c r="AM122">
        <v>24</v>
      </c>
      <c r="AN122">
        <v>1</v>
      </c>
      <c r="AO122">
        <v>48</v>
      </c>
      <c r="AP122">
        <v>24</v>
      </c>
      <c r="AQ122">
        <v>2</v>
      </c>
      <c r="AR122">
        <v>1</v>
      </c>
      <c r="AS122">
        <v>27</v>
      </c>
      <c r="AT122">
        <v>1</v>
      </c>
    </row>
    <row r="123" spans="1:46">
      <c r="A123">
        <v>5112</v>
      </c>
      <c r="B123" t="s">
        <v>1197</v>
      </c>
      <c r="C123" t="s">
        <v>1198</v>
      </c>
      <c r="D123" t="s">
        <v>1199</v>
      </c>
      <c r="E123" t="s">
        <v>1200</v>
      </c>
      <c r="F123" t="s">
        <v>1201</v>
      </c>
      <c r="G123" t="s">
        <v>652</v>
      </c>
      <c r="H123" t="s">
        <v>517</v>
      </c>
      <c r="J123" t="s">
        <v>518</v>
      </c>
      <c r="K123" t="s">
        <v>519</v>
      </c>
      <c r="M123" t="s">
        <v>520</v>
      </c>
      <c r="N123" t="s">
        <v>571</v>
      </c>
      <c r="O123" t="s">
        <v>957</v>
      </c>
      <c r="P123" t="s">
        <v>654</v>
      </c>
      <c r="Q123" t="s">
        <v>638</v>
      </c>
      <c r="R123" t="s">
        <v>708</v>
      </c>
      <c r="S123" t="s">
        <v>858</v>
      </c>
      <c r="T123" t="s">
        <v>709</v>
      </c>
      <c r="U123">
        <v>130300</v>
      </c>
      <c r="V123" t="s">
        <v>1202</v>
      </c>
      <c r="W123" t="s">
        <v>959</v>
      </c>
      <c r="X123" t="s">
        <v>642</v>
      </c>
      <c r="Y123" t="s">
        <v>643</v>
      </c>
      <c r="Z123" t="s">
        <v>644</v>
      </c>
      <c r="AA123" t="s">
        <v>645</v>
      </c>
      <c r="AB123" t="s">
        <v>646</v>
      </c>
      <c r="AE123">
        <v>-36.857767600000003</v>
      </c>
      <c r="AF123">
        <v>174.72163112999999</v>
      </c>
      <c r="AG123">
        <v>40</v>
      </c>
      <c r="AH123">
        <v>0</v>
      </c>
      <c r="AI123">
        <v>0</v>
      </c>
      <c r="AJ123">
        <v>0</v>
      </c>
      <c r="AK123">
        <v>0</v>
      </c>
      <c r="AL123">
        <v>14</v>
      </c>
      <c r="AM123">
        <v>35</v>
      </c>
      <c r="AN123">
        <v>0</v>
      </c>
      <c r="AO123">
        <v>49</v>
      </c>
      <c r="AP123">
        <v>43</v>
      </c>
      <c r="AQ123">
        <v>11</v>
      </c>
      <c r="AR123">
        <v>3</v>
      </c>
      <c r="AS123">
        <v>8</v>
      </c>
      <c r="AT123">
        <v>0</v>
      </c>
    </row>
    <row r="124" spans="1:46">
      <c r="A124">
        <v>5113</v>
      </c>
      <c r="B124" t="s">
        <v>1203</v>
      </c>
      <c r="C124" t="s">
        <v>1204</v>
      </c>
      <c r="D124" t="s">
        <v>1205</v>
      </c>
      <c r="E124" t="s">
        <v>1206</v>
      </c>
      <c r="F124" t="s">
        <v>706</v>
      </c>
      <c r="G124" t="s">
        <v>652</v>
      </c>
      <c r="H124" t="s">
        <v>517</v>
      </c>
      <c r="J124" t="s">
        <v>518</v>
      </c>
      <c r="K124" t="s">
        <v>519</v>
      </c>
      <c r="M124" t="s">
        <v>520</v>
      </c>
      <c r="N124" t="s">
        <v>571</v>
      </c>
      <c r="O124" t="s">
        <v>707</v>
      </c>
      <c r="P124" t="s">
        <v>654</v>
      </c>
      <c r="Q124" t="s">
        <v>638</v>
      </c>
      <c r="R124" t="s">
        <v>708</v>
      </c>
      <c r="S124" t="s">
        <v>706</v>
      </c>
      <c r="T124" t="s">
        <v>709</v>
      </c>
      <c r="U124">
        <v>148401</v>
      </c>
      <c r="V124" t="s">
        <v>1207</v>
      </c>
      <c r="W124" t="s">
        <v>711</v>
      </c>
      <c r="X124" t="s">
        <v>642</v>
      </c>
      <c r="Y124" t="s">
        <v>643</v>
      </c>
      <c r="Z124" t="s">
        <v>644</v>
      </c>
      <c r="AA124" t="s">
        <v>645</v>
      </c>
      <c r="AB124" t="s">
        <v>646</v>
      </c>
      <c r="AE124">
        <v>-36.89577311</v>
      </c>
      <c r="AF124">
        <v>174.89534685000001</v>
      </c>
      <c r="AG124">
        <v>40</v>
      </c>
      <c r="AH124">
        <v>0</v>
      </c>
      <c r="AI124">
        <v>0</v>
      </c>
      <c r="AJ124">
        <v>0</v>
      </c>
      <c r="AK124">
        <v>8</v>
      </c>
      <c r="AL124">
        <v>22</v>
      </c>
      <c r="AM124">
        <v>16</v>
      </c>
      <c r="AN124">
        <v>1</v>
      </c>
      <c r="AO124">
        <v>47</v>
      </c>
      <c r="AP124">
        <v>19</v>
      </c>
      <c r="AQ124">
        <v>3</v>
      </c>
      <c r="AR124">
        <v>3</v>
      </c>
      <c r="AS124">
        <v>27</v>
      </c>
      <c r="AT124">
        <v>2</v>
      </c>
    </row>
    <row r="125" spans="1:46">
      <c r="A125">
        <v>5114</v>
      </c>
      <c r="B125" t="s">
        <v>1208</v>
      </c>
      <c r="C125" t="s">
        <v>1209</v>
      </c>
      <c r="D125" t="s">
        <v>1210</v>
      </c>
      <c r="E125" t="s">
        <v>1211</v>
      </c>
      <c r="F125" t="s">
        <v>726</v>
      </c>
      <c r="G125" t="s">
        <v>652</v>
      </c>
      <c r="H125" t="s">
        <v>517</v>
      </c>
      <c r="J125" t="s">
        <v>518</v>
      </c>
      <c r="K125" t="s">
        <v>519</v>
      </c>
      <c r="M125" t="s">
        <v>520</v>
      </c>
      <c r="N125" t="s">
        <v>727</v>
      </c>
      <c r="O125" t="s">
        <v>728</v>
      </c>
      <c r="P125" t="s">
        <v>654</v>
      </c>
      <c r="Q125" t="s">
        <v>638</v>
      </c>
      <c r="R125" t="s">
        <v>729</v>
      </c>
      <c r="S125" t="s">
        <v>730</v>
      </c>
      <c r="T125" t="s">
        <v>709</v>
      </c>
      <c r="U125">
        <v>155801</v>
      </c>
      <c r="V125" t="s">
        <v>1212</v>
      </c>
      <c r="W125" t="s">
        <v>732</v>
      </c>
      <c r="X125" t="s">
        <v>642</v>
      </c>
      <c r="Y125" t="s">
        <v>643</v>
      </c>
      <c r="Z125" t="s">
        <v>644</v>
      </c>
      <c r="AA125" t="s">
        <v>645</v>
      </c>
      <c r="AB125" t="s">
        <v>646</v>
      </c>
      <c r="AE125">
        <v>-36.966397180000001</v>
      </c>
      <c r="AF125">
        <v>174.8781329</v>
      </c>
      <c r="AG125">
        <v>30</v>
      </c>
      <c r="AH125">
        <v>0</v>
      </c>
      <c r="AI125">
        <v>0</v>
      </c>
      <c r="AJ125">
        <v>0</v>
      </c>
      <c r="AK125">
        <v>5</v>
      </c>
      <c r="AL125">
        <v>5</v>
      </c>
      <c r="AM125">
        <v>8</v>
      </c>
      <c r="AN125">
        <v>2</v>
      </c>
      <c r="AO125">
        <v>20</v>
      </c>
      <c r="AP125">
        <v>1</v>
      </c>
      <c r="AQ125">
        <v>2</v>
      </c>
      <c r="AR125">
        <v>19</v>
      </c>
      <c r="AS125">
        <v>1</v>
      </c>
      <c r="AT125">
        <v>0</v>
      </c>
    </row>
    <row r="126" spans="1:46">
      <c r="A126">
        <v>5115</v>
      </c>
      <c r="B126" t="s">
        <v>1213</v>
      </c>
      <c r="C126" t="s">
        <v>1214</v>
      </c>
      <c r="E126" t="s">
        <v>1215</v>
      </c>
      <c r="F126" t="s">
        <v>1036</v>
      </c>
      <c r="G126" t="s">
        <v>652</v>
      </c>
      <c r="H126" t="s">
        <v>517</v>
      </c>
      <c r="J126" t="s">
        <v>518</v>
      </c>
      <c r="K126" t="s">
        <v>519</v>
      </c>
      <c r="M126" t="s">
        <v>520</v>
      </c>
      <c r="N126" t="s">
        <v>521</v>
      </c>
      <c r="O126" t="s">
        <v>1216</v>
      </c>
      <c r="P126" t="s">
        <v>654</v>
      </c>
      <c r="Q126" t="s">
        <v>638</v>
      </c>
      <c r="R126" t="s">
        <v>729</v>
      </c>
      <c r="S126" t="s">
        <v>1217</v>
      </c>
      <c r="T126" t="s">
        <v>709</v>
      </c>
      <c r="U126">
        <v>160800</v>
      </c>
      <c r="V126" t="s">
        <v>1218</v>
      </c>
      <c r="W126" t="s">
        <v>1219</v>
      </c>
      <c r="X126" t="s">
        <v>1220</v>
      </c>
      <c r="Y126" t="s">
        <v>1221</v>
      </c>
      <c r="Z126" t="s">
        <v>1217</v>
      </c>
      <c r="AA126" t="s">
        <v>1222</v>
      </c>
      <c r="AB126" t="s">
        <v>1223</v>
      </c>
      <c r="AC126">
        <v>99186</v>
      </c>
      <c r="AD126" t="s">
        <v>1224</v>
      </c>
      <c r="AE126">
        <v>-37.022995280000004</v>
      </c>
      <c r="AF126">
        <v>174.90203303999999</v>
      </c>
      <c r="AG126">
        <v>40</v>
      </c>
      <c r="AH126">
        <v>0</v>
      </c>
      <c r="AI126">
        <v>0</v>
      </c>
      <c r="AJ126">
        <v>0</v>
      </c>
      <c r="AK126">
        <v>12</v>
      </c>
      <c r="AL126">
        <v>15</v>
      </c>
      <c r="AM126">
        <v>11</v>
      </c>
      <c r="AN126">
        <v>1</v>
      </c>
      <c r="AO126">
        <v>39</v>
      </c>
      <c r="AP126">
        <v>4</v>
      </c>
      <c r="AQ126">
        <v>9</v>
      </c>
      <c r="AR126">
        <v>20</v>
      </c>
      <c r="AS126">
        <v>15</v>
      </c>
      <c r="AT126">
        <v>0</v>
      </c>
    </row>
    <row r="127" spans="1:46">
      <c r="A127">
        <v>5116</v>
      </c>
      <c r="B127" t="s">
        <v>1225</v>
      </c>
      <c r="C127" t="s">
        <v>1226</v>
      </c>
      <c r="E127" t="s">
        <v>1227</v>
      </c>
      <c r="F127" t="s">
        <v>1036</v>
      </c>
      <c r="G127" t="s">
        <v>652</v>
      </c>
      <c r="H127" t="s">
        <v>517</v>
      </c>
      <c r="J127" t="s">
        <v>518</v>
      </c>
      <c r="K127" t="s">
        <v>519</v>
      </c>
      <c r="M127" t="s">
        <v>520</v>
      </c>
      <c r="N127" t="s">
        <v>727</v>
      </c>
      <c r="O127" t="s">
        <v>1216</v>
      </c>
      <c r="P127" t="s">
        <v>654</v>
      </c>
      <c r="Q127" t="s">
        <v>638</v>
      </c>
      <c r="R127" t="s">
        <v>729</v>
      </c>
      <c r="S127" t="s">
        <v>1217</v>
      </c>
      <c r="T127" t="s">
        <v>709</v>
      </c>
      <c r="U127">
        <v>161500</v>
      </c>
      <c r="V127" t="s">
        <v>1228</v>
      </c>
      <c r="W127" t="s">
        <v>1219</v>
      </c>
      <c r="X127" t="s">
        <v>1220</v>
      </c>
      <c r="Y127" t="s">
        <v>1221</v>
      </c>
      <c r="Z127" t="s">
        <v>1217</v>
      </c>
      <c r="AA127" t="s">
        <v>1222</v>
      </c>
      <c r="AB127" t="s">
        <v>1223</v>
      </c>
      <c r="AE127">
        <v>-37.040792039999999</v>
      </c>
      <c r="AF127">
        <v>174.89673977999999</v>
      </c>
      <c r="AG127">
        <v>40</v>
      </c>
      <c r="AH127">
        <v>0</v>
      </c>
      <c r="AI127">
        <v>0</v>
      </c>
      <c r="AJ127">
        <v>0</v>
      </c>
      <c r="AK127">
        <v>2</v>
      </c>
      <c r="AL127">
        <v>9</v>
      </c>
      <c r="AM127">
        <v>29</v>
      </c>
      <c r="AN127">
        <v>2</v>
      </c>
      <c r="AO127">
        <v>42</v>
      </c>
      <c r="AP127">
        <v>12</v>
      </c>
      <c r="AQ127">
        <v>11</v>
      </c>
      <c r="AR127">
        <v>20</v>
      </c>
      <c r="AS127">
        <v>13</v>
      </c>
      <c r="AT127">
        <v>0</v>
      </c>
    </row>
    <row r="128" spans="1:46">
      <c r="A128">
        <v>5117</v>
      </c>
      <c r="B128" t="s">
        <v>1229</v>
      </c>
      <c r="C128" t="s">
        <v>1230</v>
      </c>
      <c r="E128" t="s">
        <v>1231</v>
      </c>
      <c r="F128" t="s">
        <v>1232</v>
      </c>
      <c r="G128" t="s">
        <v>652</v>
      </c>
      <c r="H128" t="s">
        <v>517</v>
      </c>
      <c r="J128" t="s">
        <v>518</v>
      </c>
      <c r="K128" t="s">
        <v>519</v>
      </c>
      <c r="M128" t="s">
        <v>520</v>
      </c>
      <c r="N128" t="s">
        <v>539</v>
      </c>
      <c r="O128" t="s">
        <v>1233</v>
      </c>
      <c r="P128" t="s">
        <v>540</v>
      </c>
      <c r="Q128" t="s">
        <v>638</v>
      </c>
      <c r="R128" t="s">
        <v>729</v>
      </c>
      <c r="S128" t="s">
        <v>1234</v>
      </c>
      <c r="T128" t="s">
        <v>1235</v>
      </c>
      <c r="U128">
        <v>162701</v>
      </c>
      <c r="V128" t="s">
        <v>1236</v>
      </c>
      <c r="W128" t="s">
        <v>1237</v>
      </c>
      <c r="X128" t="s">
        <v>1220</v>
      </c>
      <c r="Y128" t="s">
        <v>1221</v>
      </c>
      <c r="Z128" t="s">
        <v>1217</v>
      </c>
      <c r="AA128" t="s">
        <v>1222</v>
      </c>
      <c r="AB128" t="s">
        <v>1223</v>
      </c>
      <c r="AC128">
        <v>99119</v>
      </c>
      <c r="AD128" t="s">
        <v>780</v>
      </c>
      <c r="AE128">
        <v>-36.950141760000001</v>
      </c>
      <c r="AF128">
        <v>175.17045870999999</v>
      </c>
      <c r="AG128">
        <v>20</v>
      </c>
      <c r="AH128">
        <v>0</v>
      </c>
      <c r="AI128">
        <v>0</v>
      </c>
      <c r="AJ128">
        <v>0</v>
      </c>
      <c r="AK128">
        <v>3</v>
      </c>
      <c r="AL128">
        <v>8</v>
      </c>
      <c r="AM128">
        <v>13</v>
      </c>
      <c r="AN128">
        <v>1</v>
      </c>
      <c r="AO128">
        <v>25</v>
      </c>
      <c r="AP128">
        <v>17</v>
      </c>
      <c r="AQ128">
        <v>11</v>
      </c>
      <c r="AR128">
        <v>1</v>
      </c>
      <c r="AS128">
        <v>0</v>
      </c>
      <c r="AT128">
        <v>2</v>
      </c>
    </row>
    <row r="129" spans="1:46">
      <c r="A129">
        <v>5118</v>
      </c>
      <c r="B129" t="s">
        <v>1238</v>
      </c>
      <c r="C129" t="s">
        <v>1239</v>
      </c>
      <c r="E129" t="s">
        <v>1240</v>
      </c>
      <c r="F129" t="s">
        <v>1036</v>
      </c>
      <c r="G129" t="s">
        <v>652</v>
      </c>
      <c r="H129" t="s">
        <v>517</v>
      </c>
      <c r="J129" t="s">
        <v>518</v>
      </c>
      <c r="K129" t="s">
        <v>519</v>
      </c>
      <c r="M129" t="s">
        <v>520</v>
      </c>
      <c r="N129" t="s">
        <v>727</v>
      </c>
      <c r="O129" t="s">
        <v>1216</v>
      </c>
      <c r="P129" t="s">
        <v>654</v>
      </c>
      <c r="Q129" t="s">
        <v>638</v>
      </c>
      <c r="R129" t="s">
        <v>729</v>
      </c>
      <c r="S129" t="s">
        <v>1036</v>
      </c>
      <c r="T129" t="s">
        <v>709</v>
      </c>
      <c r="U129">
        <v>159900</v>
      </c>
      <c r="V129" t="s">
        <v>1241</v>
      </c>
      <c r="W129" t="s">
        <v>1219</v>
      </c>
      <c r="X129" t="s">
        <v>1220</v>
      </c>
      <c r="Y129" t="s">
        <v>1221</v>
      </c>
      <c r="Z129" t="s">
        <v>1217</v>
      </c>
      <c r="AA129" t="s">
        <v>1222</v>
      </c>
      <c r="AB129" t="s">
        <v>1223</v>
      </c>
      <c r="AE129">
        <v>-37.031784930000001</v>
      </c>
      <c r="AF129">
        <v>174.87221292000001</v>
      </c>
      <c r="AG129">
        <v>40</v>
      </c>
      <c r="AH129">
        <v>0</v>
      </c>
      <c r="AI129">
        <v>0</v>
      </c>
      <c r="AJ129">
        <v>0</v>
      </c>
      <c r="AK129">
        <v>5</v>
      </c>
      <c r="AL129">
        <v>17</v>
      </c>
      <c r="AM129">
        <v>10</v>
      </c>
      <c r="AN129">
        <v>2</v>
      </c>
      <c r="AO129">
        <v>34</v>
      </c>
      <c r="AP129">
        <v>3</v>
      </c>
      <c r="AQ129">
        <v>11</v>
      </c>
      <c r="AR129">
        <v>21</v>
      </c>
      <c r="AS129">
        <v>7</v>
      </c>
      <c r="AT129">
        <v>2</v>
      </c>
    </row>
    <row r="130" spans="1:46">
      <c r="A130">
        <v>5120</v>
      </c>
      <c r="B130" t="s">
        <v>1242</v>
      </c>
      <c r="C130" t="s">
        <v>1243</v>
      </c>
      <c r="E130" t="s">
        <v>1244</v>
      </c>
      <c r="G130" t="s">
        <v>1245</v>
      </c>
      <c r="H130" t="s">
        <v>517</v>
      </c>
      <c r="J130" t="s">
        <v>518</v>
      </c>
      <c r="K130" t="s">
        <v>519</v>
      </c>
      <c r="M130" t="s">
        <v>520</v>
      </c>
      <c r="N130" t="s">
        <v>571</v>
      </c>
      <c r="O130" t="s">
        <v>1233</v>
      </c>
      <c r="P130" t="s">
        <v>523</v>
      </c>
      <c r="Q130" t="s">
        <v>638</v>
      </c>
      <c r="R130" t="s">
        <v>729</v>
      </c>
      <c r="S130" t="s">
        <v>1246</v>
      </c>
      <c r="T130" t="s">
        <v>1235</v>
      </c>
      <c r="U130">
        <v>164800</v>
      </c>
      <c r="V130" t="s">
        <v>1247</v>
      </c>
      <c r="W130" t="s">
        <v>1237</v>
      </c>
      <c r="X130" t="s">
        <v>1220</v>
      </c>
      <c r="Y130" t="s">
        <v>1221</v>
      </c>
      <c r="Z130" t="s">
        <v>1217</v>
      </c>
      <c r="AA130" t="s">
        <v>1222</v>
      </c>
      <c r="AB130" t="s">
        <v>1223</v>
      </c>
      <c r="AC130">
        <v>99033</v>
      </c>
      <c r="AD130" t="s">
        <v>1248</v>
      </c>
      <c r="AE130">
        <v>-37.255681000000003</v>
      </c>
      <c r="AF130">
        <v>174.73119367999999</v>
      </c>
      <c r="AG130">
        <v>40</v>
      </c>
      <c r="AH130">
        <v>0</v>
      </c>
      <c r="AI130">
        <v>0</v>
      </c>
      <c r="AJ130">
        <v>0</v>
      </c>
      <c r="AK130">
        <v>2</v>
      </c>
      <c r="AL130">
        <v>17</v>
      </c>
      <c r="AM130">
        <v>28</v>
      </c>
      <c r="AN130">
        <v>1</v>
      </c>
      <c r="AO130">
        <v>48</v>
      </c>
      <c r="AP130">
        <v>45</v>
      </c>
      <c r="AQ130">
        <v>6</v>
      </c>
      <c r="AR130">
        <v>4</v>
      </c>
      <c r="AS130">
        <v>2</v>
      </c>
      <c r="AT130">
        <v>2</v>
      </c>
    </row>
    <row r="131" spans="1:46">
      <c r="A131">
        <v>5121</v>
      </c>
      <c r="B131" t="s">
        <v>1249</v>
      </c>
      <c r="C131" t="s">
        <v>1250</v>
      </c>
      <c r="E131" t="s">
        <v>1251</v>
      </c>
      <c r="F131" t="s">
        <v>1036</v>
      </c>
      <c r="G131" t="s">
        <v>652</v>
      </c>
      <c r="H131" t="s">
        <v>517</v>
      </c>
      <c r="J131" t="s">
        <v>518</v>
      </c>
      <c r="K131" t="s">
        <v>519</v>
      </c>
      <c r="M131" t="s">
        <v>520</v>
      </c>
      <c r="N131" t="s">
        <v>571</v>
      </c>
      <c r="O131" t="s">
        <v>1216</v>
      </c>
      <c r="P131" t="s">
        <v>654</v>
      </c>
      <c r="Q131" t="s">
        <v>638</v>
      </c>
      <c r="R131" t="s">
        <v>729</v>
      </c>
      <c r="S131" t="s">
        <v>1036</v>
      </c>
      <c r="T131" t="s">
        <v>709</v>
      </c>
      <c r="U131">
        <v>160300</v>
      </c>
      <c r="V131" t="s">
        <v>1252</v>
      </c>
      <c r="W131" t="s">
        <v>1219</v>
      </c>
      <c r="X131" t="s">
        <v>1220</v>
      </c>
      <c r="Y131" t="s">
        <v>1221</v>
      </c>
      <c r="Z131" t="s">
        <v>1217</v>
      </c>
      <c r="AA131" t="s">
        <v>1222</v>
      </c>
      <c r="AB131" t="s">
        <v>1223</v>
      </c>
      <c r="AC131">
        <v>99186</v>
      </c>
      <c r="AD131" t="s">
        <v>1224</v>
      </c>
      <c r="AE131">
        <v>-37.012998949999997</v>
      </c>
      <c r="AF131">
        <v>174.89791661000001</v>
      </c>
      <c r="AG131">
        <v>40</v>
      </c>
      <c r="AH131">
        <v>0</v>
      </c>
      <c r="AI131">
        <v>0</v>
      </c>
      <c r="AJ131">
        <v>0</v>
      </c>
      <c r="AK131">
        <v>6</v>
      </c>
      <c r="AL131">
        <v>20</v>
      </c>
      <c r="AM131">
        <v>25</v>
      </c>
      <c r="AN131">
        <v>4</v>
      </c>
      <c r="AO131">
        <v>55</v>
      </c>
      <c r="AP131">
        <v>30</v>
      </c>
      <c r="AQ131">
        <v>14</v>
      </c>
      <c r="AR131">
        <v>18</v>
      </c>
      <c r="AS131">
        <v>16</v>
      </c>
      <c r="AT131">
        <v>2</v>
      </c>
    </row>
    <row r="132" spans="1:46">
      <c r="A132">
        <v>5122</v>
      </c>
      <c r="B132" t="s">
        <v>1253</v>
      </c>
      <c r="C132" t="s">
        <v>1254</v>
      </c>
      <c r="E132" t="s">
        <v>1255</v>
      </c>
      <c r="F132" t="s">
        <v>1036</v>
      </c>
      <c r="G132" t="s">
        <v>652</v>
      </c>
      <c r="H132" t="s">
        <v>517</v>
      </c>
      <c r="J132" t="s">
        <v>518</v>
      </c>
      <c r="K132" t="s">
        <v>519</v>
      </c>
      <c r="M132" t="s">
        <v>520</v>
      </c>
      <c r="N132" t="s">
        <v>521</v>
      </c>
      <c r="O132" t="s">
        <v>1216</v>
      </c>
      <c r="P132" t="s">
        <v>654</v>
      </c>
      <c r="Q132" t="s">
        <v>638</v>
      </c>
      <c r="R132" t="s">
        <v>729</v>
      </c>
      <c r="S132" t="s">
        <v>1036</v>
      </c>
      <c r="T132" t="s">
        <v>709</v>
      </c>
      <c r="U132">
        <v>157600</v>
      </c>
      <c r="V132" t="s">
        <v>1256</v>
      </c>
      <c r="W132" t="s">
        <v>1219</v>
      </c>
      <c r="X132" t="s">
        <v>1220</v>
      </c>
      <c r="Y132" t="s">
        <v>1221</v>
      </c>
      <c r="Z132" t="s">
        <v>1217</v>
      </c>
      <c r="AA132" t="s">
        <v>1222</v>
      </c>
      <c r="AB132" t="s">
        <v>1223</v>
      </c>
      <c r="AC132">
        <v>99187</v>
      </c>
      <c r="AD132" t="s">
        <v>1257</v>
      </c>
      <c r="AE132">
        <v>-37.016783969999999</v>
      </c>
      <c r="AF132">
        <v>174.86787219000001</v>
      </c>
      <c r="AG132">
        <v>40</v>
      </c>
      <c r="AH132">
        <v>0</v>
      </c>
      <c r="AI132">
        <v>0</v>
      </c>
      <c r="AJ132">
        <v>0</v>
      </c>
      <c r="AK132">
        <v>4</v>
      </c>
      <c r="AL132">
        <v>15</v>
      </c>
      <c r="AM132">
        <v>15</v>
      </c>
      <c r="AN132">
        <v>1</v>
      </c>
      <c r="AO132">
        <v>35</v>
      </c>
      <c r="AP132">
        <v>5</v>
      </c>
      <c r="AQ132">
        <v>12</v>
      </c>
      <c r="AR132">
        <v>24</v>
      </c>
      <c r="AS132">
        <v>6</v>
      </c>
      <c r="AT132">
        <v>1</v>
      </c>
    </row>
    <row r="133" spans="1:46">
      <c r="A133">
        <v>5124</v>
      </c>
      <c r="B133" t="s">
        <v>1258</v>
      </c>
      <c r="C133" t="s">
        <v>1259</v>
      </c>
      <c r="E133" t="s">
        <v>1260</v>
      </c>
      <c r="G133" t="s">
        <v>1261</v>
      </c>
      <c r="H133" t="s">
        <v>517</v>
      </c>
      <c r="J133" t="s">
        <v>518</v>
      </c>
      <c r="K133" t="s">
        <v>519</v>
      </c>
      <c r="M133" t="s">
        <v>520</v>
      </c>
      <c r="N133" t="s">
        <v>571</v>
      </c>
      <c r="O133" t="s">
        <v>1233</v>
      </c>
      <c r="P133" t="s">
        <v>1262</v>
      </c>
      <c r="Q133" t="s">
        <v>638</v>
      </c>
      <c r="R133" t="s">
        <v>729</v>
      </c>
      <c r="S133" t="s">
        <v>1246</v>
      </c>
      <c r="T133" t="s">
        <v>1235</v>
      </c>
      <c r="U133">
        <v>165700</v>
      </c>
      <c r="V133" t="s">
        <v>1263</v>
      </c>
      <c r="W133" t="s">
        <v>1237</v>
      </c>
      <c r="X133" t="s">
        <v>1220</v>
      </c>
      <c r="Y133" t="s">
        <v>1221</v>
      </c>
      <c r="Z133" t="s">
        <v>1217</v>
      </c>
      <c r="AA133" t="s">
        <v>1222</v>
      </c>
      <c r="AB133" t="s">
        <v>1223</v>
      </c>
      <c r="AC133">
        <v>99075</v>
      </c>
      <c r="AD133" t="s">
        <v>1264</v>
      </c>
      <c r="AE133">
        <v>-37.208595070000001</v>
      </c>
      <c r="AF133">
        <v>174.89811061</v>
      </c>
      <c r="AG133">
        <v>40</v>
      </c>
      <c r="AH133">
        <v>0</v>
      </c>
      <c r="AI133">
        <v>0</v>
      </c>
      <c r="AJ133">
        <v>0</v>
      </c>
      <c r="AK133">
        <v>5</v>
      </c>
      <c r="AL133">
        <v>18</v>
      </c>
      <c r="AM133">
        <v>26</v>
      </c>
      <c r="AN133">
        <v>2</v>
      </c>
      <c r="AO133">
        <v>51</v>
      </c>
      <c r="AP133">
        <v>46</v>
      </c>
      <c r="AQ133">
        <v>4</v>
      </c>
      <c r="AR133">
        <v>4</v>
      </c>
      <c r="AS133">
        <v>5</v>
      </c>
      <c r="AT133">
        <v>1</v>
      </c>
    </row>
    <row r="134" spans="1:46">
      <c r="A134">
        <v>5125</v>
      </c>
      <c r="B134" t="s">
        <v>1265</v>
      </c>
      <c r="C134" t="s">
        <v>1266</v>
      </c>
      <c r="E134" t="s">
        <v>1267</v>
      </c>
      <c r="G134" t="s">
        <v>1234</v>
      </c>
      <c r="H134" t="s">
        <v>517</v>
      </c>
      <c r="J134" t="s">
        <v>518</v>
      </c>
      <c r="K134" t="s">
        <v>519</v>
      </c>
      <c r="M134" t="s">
        <v>520</v>
      </c>
      <c r="N134" t="s">
        <v>557</v>
      </c>
      <c r="O134" t="s">
        <v>1268</v>
      </c>
      <c r="P134" t="s">
        <v>654</v>
      </c>
      <c r="Q134" t="s">
        <v>638</v>
      </c>
      <c r="R134" t="s">
        <v>729</v>
      </c>
      <c r="S134" t="s">
        <v>1234</v>
      </c>
      <c r="T134" t="s">
        <v>1235</v>
      </c>
      <c r="U134">
        <v>163501</v>
      </c>
      <c r="V134" t="s">
        <v>1269</v>
      </c>
      <c r="W134" t="s">
        <v>1219</v>
      </c>
      <c r="X134" t="s">
        <v>1220</v>
      </c>
      <c r="Y134" t="s">
        <v>1221</v>
      </c>
      <c r="Z134" t="s">
        <v>1217</v>
      </c>
      <c r="AA134" t="s">
        <v>1222</v>
      </c>
      <c r="AB134" t="s">
        <v>1223</v>
      </c>
      <c r="AC134">
        <v>99152</v>
      </c>
      <c r="AD134" t="s">
        <v>1270</v>
      </c>
      <c r="AE134">
        <v>-37.061439110000002</v>
      </c>
      <c r="AF134">
        <v>174.95018834000001</v>
      </c>
      <c r="AG134">
        <v>40</v>
      </c>
      <c r="AH134">
        <v>0</v>
      </c>
      <c r="AI134">
        <v>0</v>
      </c>
      <c r="AJ134">
        <v>0</v>
      </c>
      <c r="AK134">
        <v>6</v>
      </c>
      <c r="AL134">
        <v>22</v>
      </c>
      <c r="AM134">
        <v>23</v>
      </c>
      <c r="AN134">
        <v>2</v>
      </c>
      <c r="AO134">
        <v>53</v>
      </c>
      <c r="AP134">
        <v>41</v>
      </c>
      <c r="AQ134">
        <v>12</v>
      </c>
      <c r="AR134">
        <v>13</v>
      </c>
      <c r="AS134">
        <v>11</v>
      </c>
      <c r="AT134">
        <v>1</v>
      </c>
    </row>
    <row r="135" spans="1:46">
      <c r="A135">
        <v>5126</v>
      </c>
      <c r="B135" t="s">
        <v>1271</v>
      </c>
      <c r="C135" t="s">
        <v>1223</v>
      </c>
      <c r="D135" t="s">
        <v>1272</v>
      </c>
      <c r="E135" t="s">
        <v>1273</v>
      </c>
      <c r="G135" t="s">
        <v>1234</v>
      </c>
      <c r="H135" t="s">
        <v>517</v>
      </c>
      <c r="J135" t="s">
        <v>518</v>
      </c>
      <c r="K135" t="s">
        <v>519</v>
      </c>
      <c r="M135" t="s">
        <v>520</v>
      </c>
      <c r="N135" t="s">
        <v>571</v>
      </c>
      <c r="O135" t="s">
        <v>1268</v>
      </c>
      <c r="P135" t="s">
        <v>654</v>
      </c>
      <c r="Q135" t="s">
        <v>638</v>
      </c>
      <c r="R135" t="s">
        <v>729</v>
      </c>
      <c r="S135" t="s">
        <v>1234</v>
      </c>
      <c r="T135" t="s">
        <v>1235</v>
      </c>
      <c r="U135">
        <v>163100</v>
      </c>
      <c r="V135" t="s">
        <v>1274</v>
      </c>
      <c r="W135" t="s">
        <v>1219</v>
      </c>
      <c r="X135" t="s">
        <v>1220</v>
      </c>
      <c r="Y135" t="s">
        <v>1221</v>
      </c>
      <c r="Z135" t="s">
        <v>1217</v>
      </c>
      <c r="AA135" t="s">
        <v>1222</v>
      </c>
      <c r="AB135" t="s">
        <v>1223</v>
      </c>
      <c r="AE135">
        <v>-37.068678589999998</v>
      </c>
      <c r="AF135">
        <v>174.93654233999999</v>
      </c>
      <c r="AG135">
        <v>40</v>
      </c>
      <c r="AH135">
        <v>0</v>
      </c>
      <c r="AI135">
        <v>0</v>
      </c>
      <c r="AJ135">
        <v>0</v>
      </c>
      <c r="AK135">
        <v>6</v>
      </c>
      <c r="AL135">
        <v>16</v>
      </c>
      <c r="AM135">
        <v>24</v>
      </c>
      <c r="AN135">
        <v>0</v>
      </c>
      <c r="AO135">
        <v>46</v>
      </c>
      <c r="AP135">
        <v>23</v>
      </c>
      <c r="AQ135">
        <v>11</v>
      </c>
      <c r="AR135">
        <v>6</v>
      </c>
      <c r="AS135">
        <v>16</v>
      </c>
      <c r="AT135">
        <v>2</v>
      </c>
    </row>
    <row r="136" spans="1:46">
      <c r="A136">
        <v>5127</v>
      </c>
      <c r="B136" t="s">
        <v>1275</v>
      </c>
      <c r="C136" t="s">
        <v>1223</v>
      </c>
      <c r="D136" t="s">
        <v>1272</v>
      </c>
      <c r="E136" t="s">
        <v>1276</v>
      </c>
      <c r="G136" t="s">
        <v>1234</v>
      </c>
      <c r="H136" t="s">
        <v>517</v>
      </c>
      <c r="J136" t="s">
        <v>518</v>
      </c>
      <c r="K136" t="s">
        <v>519</v>
      </c>
      <c r="M136" t="s">
        <v>520</v>
      </c>
      <c r="N136" t="s">
        <v>557</v>
      </c>
      <c r="O136" t="s">
        <v>1268</v>
      </c>
      <c r="P136" t="s">
        <v>654</v>
      </c>
      <c r="Q136" t="s">
        <v>638</v>
      </c>
      <c r="R136" t="s">
        <v>729</v>
      </c>
      <c r="S136" t="s">
        <v>1234</v>
      </c>
      <c r="T136" t="s">
        <v>1235</v>
      </c>
      <c r="U136">
        <v>163001</v>
      </c>
      <c r="V136" t="s">
        <v>1277</v>
      </c>
      <c r="W136" t="s">
        <v>1219</v>
      </c>
      <c r="X136" t="s">
        <v>1220</v>
      </c>
      <c r="Y136" t="s">
        <v>1221</v>
      </c>
      <c r="Z136" t="s">
        <v>1217</v>
      </c>
      <c r="AA136" t="s">
        <v>1222</v>
      </c>
      <c r="AB136" t="s">
        <v>1223</v>
      </c>
      <c r="AC136">
        <v>99152</v>
      </c>
      <c r="AD136" t="s">
        <v>1270</v>
      </c>
      <c r="AE136">
        <v>-37.05560337</v>
      </c>
      <c r="AF136">
        <v>174.94398613999999</v>
      </c>
      <c r="AG136">
        <v>40</v>
      </c>
      <c r="AH136">
        <v>0</v>
      </c>
      <c r="AI136">
        <v>0</v>
      </c>
      <c r="AJ136">
        <v>0</v>
      </c>
      <c r="AK136">
        <v>7</v>
      </c>
      <c r="AL136">
        <v>13</v>
      </c>
      <c r="AM136">
        <v>16</v>
      </c>
      <c r="AN136">
        <v>2</v>
      </c>
      <c r="AO136">
        <v>38</v>
      </c>
      <c r="AP136">
        <v>9</v>
      </c>
      <c r="AQ136">
        <v>19</v>
      </c>
      <c r="AR136">
        <v>15</v>
      </c>
      <c r="AS136">
        <v>12</v>
      </c>
      <c r="AT136">
        <v>5</v>
      </c>
    </row>
    <row r="137" spans="1:46">
      <c r="A137">
        <v>5129</v>
      </c>
      <c r="B137" t="s">
        <v>1278</v>
      </c>
      <c r="C137" t="s">
        <v>1223</v>
      </c>
      <c r="D137" t="s">
        <v>1272</v>
      </c>
      <c r="E137" t="s">
        <v>1279</v>
      </c>
      <c r="G137" t="s">
        <v>1261</v>
      </c>
      <c r="H137" t="s">
        <v>517</v>
      </c>
      <c r="J137" t="s">
        <v>518</v>
      </c>
      <c r="K137" t="s">
        <v>519</v>
      </c>
      <c r="M137" t="s">
        <v>520</v>
      </c>
      <c r="N137" t="s">
        <v>557</v>
      </c>
      <c r="O137" t="s">
        <v>1233</v>
      </c>
      <c r="P137" t="s">
        <v>1262</v>
      </c>
      <c r="Q137" t="s">
        <v>638</v>
      </c>
      <c r="R137" t="s">
        <v>729</v>
      </c>
      <c r="S137" t="s">
        <v>1246</v>
      </c>
      <c r="T137" t="s">
        <v>1235</v>
      </c>
      <c r="U137">
        <v>166000</v>
      </c>
      <c r="V137" t="s">
        <v>1280</v>
      </c>
      <c r="W137" t="s">
        <v>1237</v>
      </c>
      <c r="X137" t="s">
        <v>1220</v>
      </c>
      <c r="Y137" t="s">
        <v>1221</v>
      </c>
      <c r="Z137" t="s">
        <v>1217</v>
      </c>
      <c r="AA137" t="s">
        <v>1222</v>
      </c>
      <c r="AB137" t="s">
        <v>1223</v>
      </c>
      <c r="AC137">
        <v>99075</v>
      </c>
      <c r="AD137" t="s">
        <v>1264</v>
      </c>
      <c r="AE137">
        <v>-37.2002472</v>
      </c>
      <c r="AF137">
        <v>174.89995060999999</v>
      </c>
      <c r="AG137">
        <v>40</v>
      </c>
      <c r="AH137">
        <v>0</v>
      </c>
      <c r="AI137">
        <v>0</v>
      </c>
      <c r="AJ137">
        <v>0</v>
      </c>
      <c r="AK137">
        <v>5</v>
      </c>
      <c r="AL137">
        <v>16</v>
      </c>
      <c r="AM137">
        <v>25</v>
      </c>
      <c r="AN137">
        <v>0</v>
      </c>
      <c r="AO137">
        <v>46</v>
      </c>
      <c r="AP137">
        <v>37</v>
      </c>
      <c r="AQ137">
        <v>11</v>
      </c>
      <c r="AR137">
        <v>7</v>
      </c>
      <c r="AS137">
        <v>7</v>
      </c>
      <c r="AT137">
        <v>3</v>
      </c>
    </row>
    <row r="138" spans="1:46">
      <c r="A138">
        <v>5130</v>
      </c>
      <c r="B138" t="s">
        <v>1281</v>
      </c>
      <c r="C138" t="s">
        <v>1223</v>
      </c>
      <c r="E138" t="s">
        <v>1282</v>
      </c>
      <c r="F138" t="s">
        <v>1283</v>
      </c>
      <c r="G138" t="s">
        <v>652</v>
      </c>
      <c r="H138" t="s">
        <v>517</v>
      </c>
      <c r="J138" t="s">
        <v>518</v>
      </c>
      <c r="K138" t="s">
        <v>519</v>
      </c>
      <c r="M138" t="s">
        <v>520</v>
      </c>
      <c r="N138" t="s">
        <v>539</v>
      </c>
      <c r="O138" t="s">
        <v>728</v>
      </c>
      <c r="P138" t="s">
        <v>654</v>
      </c>
      <c r="Q138" t="s">
        <v>638</v>
      </c>
      <c r="R138" t="s">
        <v>729</v>
      </c>
      <c r="S138" t="s">
        <v>1217</v>
      </c>
      <c r="T138" t="s">
        <v>709</v>
      </c>
      <c r="U138">
        <v>157901</v>
      </c>
      <c r="V138" t="s">
        <v>1284</v>
      </c>
      <c r="W138" t="s">
        <v>732</v>
      </c>
      <c r="X138" t="s">
        <v>1220</v>
      </c>
      <c r="Y138" t="s">
        <v>1221</v>
      </c>
      <c r="Z138" t="s">
        <v>1217</v>
      </c>
      <c r="AA138" t="s">
        <v>1222</v>
      </c>
      <c r="AB138" t="s">
        <v>1223</v>
      </c>
      <c r="AE138">
        <v>-36.986244239999998</v>
      </c>
      <c r="AF138">
        <v>174.8902061</v>
      </c>
      <c r="AG138">
        <v>40</v>
      </c>
      <c r="AH138">
        <v>0</v>
      </c>
      <c r="AI138">
        <v>0</v>
      </c>
      <c r="AJ138">
        <v>0</v>
      </c>
      <c r="AK138">
        <v>3</v>
      </c>
      <c r="AL138">
        <v>16</v>
      </c>
      <c r="AM138">
        <v>22</v>
      </c>
      <c r="AN138">
        <v>2</v>
      </c>
      <c r="AO138">
        <v>43</v>
      </c>
      <c r="AP138">
        <v>6</v>
      </c>
      <c r="AQ138">
        <v>12</v>
      </c>
      <c r="AR138">
        <v>26</v>
      </c>
      <c r="AS138">
        <v>14</v>
      </c>
      <c r="AT138">
        <v>0</v>
      </c>
    </row>
    <row r="139" spans="1:46">
      <c r="A139">
        <v>5131</v>
      </c>
      <c r="B139" t="s">
        <v>1285</v>
      </c>
      <c r="C139" t="s">
        <v>1223</v>
      </c>
      <c r="D139" t="s">
        <v>1272</v>
      </c>
      <c r="E139" t="s">
        <v>1286</v>
      </c>
      <c r="F139" t="s">
        <v>1036</v>
      </c>
      <c r="G139" t="s">
        <v>652</v>
      </c>
      <c r="H139" t="s">
        <v>517</v>
      </c>
      <c r="J139" t="s">
        <v>518</v>
      </c>
      <c r="K139" t="s">
        <v>519</v>
      </c>
      <c r="M139" t="s">
        <v>520</v>
      </c>
      <c r="N139" t="s">
        <v>727</v>
      </c>
      <c r="O139" t="s">
        <v>1216</v>
      </c>
      <c r="P139" t="s">
        <v>654</v>
      </c>
      <c r="Q139" t="s">
        <v>638</v>
      </c>
      <c r="R139" t="s">
        <v>729</v>
      </c>
      <c r="S139" t="s">
        <v>1036</v>
      </c>
      <c r="T139" t="s">
        <v>709</v>
      </c>
      <c r="U139">
        <v>158700</v>
      </c>
      <c r="V139" t="s">
        <v>1287</v>
      </c>
      <c r="W139" t="s">
        <v>1219</v>
      </c>
      <c r="X139" t="s">
        <v>1220</v>
      </c>
      <c r="Y139" t="s">
        <v>1221</v>
      </c>
      <c r="Z139" t="s">
        <v>1217</v>
      </c>
      <c r="AA139" t="s">
        <v>1222</v>
      </c>
      <c r="AB139" t="s">
        <v>1223</v>
      </c>
      <c r="AE139">
        <v>-37.0270954</v>
      </c>
      <c r="AF139">
        <v>174.86298103999999</v>
      </c>
      <c r="AG139">
        <v>40</v>
      </c>
      <c r="AH139">
        <v>0</v>
      </c>
      <c r="AI139">
        <v>0</v>
      </c>
      <c r="AJ139">
        <v>0</v>
      </c>
      <c r="AK139">
        <v>8</v>
      </c>
      <c r="AL139">
        <v>8</v>
      </c>
      <c r="AM139">
        <v>22</v>
      </c>
      <c r="AN139">
        <v>1</v>
      </c>
      <c r="AO139">
        <v>39</v>
      </c>
      <c r="AP139">
        <v>2</v>
      </c>
      <c r="AQ139">
        <v>9</v>
      </c>
      <c r="AR139">
        <v>23</v>
      </c>
      <c r="AS139">
        <v>10</v>
      </c>
      <c r="AT139">
        <v>5</v>
      </c>
    </row>
    <row r="140" spans="1:46">
      <c r="A140">
        <v>5133</v>
      </c>
      <c r="B140" t="s">
        <v>1288</v>
      </c>
      <c r="C140" t="s">
        <v>1223</v>
      </c>
      <c r="E140" t="s">
        <v>1289</v>
      </c>
      <c r="G140" t="s">
        <v>1245</v>
      </c>
      <c r="H140" t="s">
        <v>517</v>
      </c>
      <c r="J140" t="s">
        <v>518</v>
      </c>
      <c r="K140" t="s">
        <v>519</v>
      </c>
      <c r="M140" t="s">
        <v>520</v>
      </c>
      <c r="N140" t="s">
        <v>539</v>
      </c>
      <c r="O140" t="s">
        <v>1233</v>
      </c>
      <c r="P140" t="s">
        <v>523</v>
      </c>
      <c r="Q140" t="s">
        <v>638</v>
      </c>
      <c r="R140" t="s">
        <v>729</v>
      </c>
      <c r="S140" t="s">
        <v>1246</v>
      </c>
      <c r="T140" t="s">
        <v>1235</v>
      </c>
      <c r="U140">
        <v>164700</v>
      </c>
      <c r="V140" t="s">
        <v>1290</v>
      </c>
      <c r="W140" t="s">
        <v>1237</v>
      </c>
      <c r="X140" t="s">
        <v>1220</v>
      </c>
      <c r="Y140" t="s">
        <v>1221</v>
      </c>
      <c r="Z140" t="s">
        <v>1217</v>
      </c>
      <c r="AA140" t="s">
        <v>1222</v>
      </c>
      <c r="AB140" t="s">
        <v>1223</v>
      </c>
      <c r="AC140">
        <v>99033</v>
      </c>
      <c r="AD140" t="s">
        <v>1248</v>
      </c>
      <c r="AE140">
        <v>-37.249164069999999</v>
      </c>
      <c r="AF140">
        <v>174.73225962000001</v>
      </c>
      <c r="AG140">
        <v>40</v>
      </c>
      <c r="AH140">
        <v>0</v>
      </c>
      <c r="AI140">
        <v>0</v>
      </c>
      <c r="AJ140">
        <v>0</v>
      </c>
      <c r="AK140">
        <v>12</v>
      </c>
      <c r="AL140">
        <v>16</v>
      </c>
      <c r="AM140">
        <v>17</v>
      </c>
      <c r="AN140">
        <v>1</v>
      </c>
      <c r="AO140">
        <v>46</v>
      </c>
      <c r="AP140">
        <v>40</v>
      </c>
      <c r="AQ140">
        <v>17</v>
      </c>
      <c r="AR140">
        <v>8</v>
      </c>
      <c r="AS140">
        <v>0</v>
      </c>
      <c r="AT140">
        <v>1</v>
      </c>
    </row>
    <row r="141" spans="1:46">
      <c r="A141">
        <v>5134</v>
      </c>
      <c r="B141" t="s">
        <v>1291</v>
      </c>
      <c r="C141" t="s">
        <v>1292</v>
      </c>
      <c r="D141" t="s">
        <v>1293</v>
      </c>
      <c r="E141" t="s">
        <v>1294</v>
      </c>
      <c r="F141" t="s">
        <v>1295</v>
      </c>
      <c r="G141" t="s">
        <v>1296</v>
      </c>
      <c r="H141" t="s">
        <v>517</v>
      </c>
      <c r="J141" t="s">
        <v>518</v>
      </c>
      <c r="K141" t="s">
        <v>519</v>
      </c>
      <c r="M141" t="s">
        <v>1297</v>
      </c>
      <c r="N141" t="s">
        <v>571</v>
      </c>
      <c r="O141" t="s">
        <v>1298</v>
      </c>
      <c r="P141" t="s">
        <v>654</v>
      </c>
      <c r="Q141" t="s">
        <v>1299</v>
      </c>
      <c r="R141" t="s">
        <v>1300</v>
      </c>
      <c r="S141" t="s">
        <v>1301</v>
      </c>
      <c r="T141" t="s">
        <v>1235</v>
      </c>
      <c r="U141">
        <v>177901</v>
      </c>
      <c r="V141" t="s">
        <v>1302</v>
      </c>
      <c r="W141" t="s">
        <v>1303</v>
      </c>
      <c r="X141" t="s">
        <v>1304</v>
      </c>
      <c r="Y141" t="s">
        <v>1305</v>
      </c>
      <c r="AA141" t="s">
        <v>1306</v>
      </c>
      <c r="AB141" t="s">
        <v>1307</v>
      </c>
      <c r="AC141">
        <v>99035</v>
      </c>
      <c r="AD141" t="s">
        <v>1308</v>
      </c>
      <c r="AE141">
        <v>-37.789044410000002</v>
      </c>
      <c r="AF141">
        <v>175.24444715000001</v>
      </c>
      <c r="AG141">
        <v>45</v>
      </c>
      <c r="AH141">
        <v>0</v>
      </c>
      <c r="AI141">
        <v>0</v>
      </c>
      <c r="AJ141">
        <v>0</v>
      </c>
      <c r="AK141">
        <v>2</v>
      </c>
      <c r="AL141">
        <v>17</v>
      </c>
      <c r="AM141">
        <v>32</v>
      </c>
      <c r="AN141">
        <v>1</v>
      </c>
      <c r="AO141">
        <v>52</v>
      </c>
      <c r="AP141">
        <v>32</v>
      </c>
      <c r="AQ141">
        <v>16</v>
      </c>
      <c r="AR141">
        <v>6</v>
      </c>
      <c r="AS141">
        <v>9</v>
      </c>
      <c r="AT141">
        <v>6</v>
      </c>
    </row>
    <row r="142" spans="1:46">
      <c r="A142">
        <v>5135</v>
      </c>
      <c r="B142" t="s">
        <v>1309</v>
      </c>
      <c r="C142" t="s">
        <v>1310</v>
      </c>
      <c r="D142" t="s">
        <v>1293</v>
      </c>
      <c r="E142" t="s">
        <v>1311</v>
      </c>
      <c r="F142" t="s">
        <v>1295</v>
      </c>
      <c r="G142" t="s">
        <v>1296</v>
      </c>
      <c r="H142" t="s">
        <v>517</v>
      </c>
      <c r="J142" t="s">
        <v>518</v>
      </c>
      <c r="K142" t="s">
        <v>519</v>
      </c>
      <c r="M142" t="s">
        <v>1297</v>
      </c>
      <c r="N142" t="s">
        <v>557</v>
      </c>
      <c r="O142" t="s">
        <v>1298</v>
      </c>
      <c r="P142" t="s">
        <v>654</v>
      </c>
      <c r="Q142" t="s">
        <v>1299</v>
      </c>
      <c r="R142" t="s">
        <v>1300</v>
      </c>
      <c r="S142" t="s">
        <v>1312</v>
      </c>
      <c r="T142" t="s">
        <v>1235</v>
      </c>
      <c r="U142">
        <v>177300</v>
      </c>
      <c r="V142" t="s">
        <v>1313</v>
      </c>
      <c r="W142" t="s">
        <v>1314</v>
      </c>
      <c r="X142" t="s">
        <v>1304</v>
      </c>
      <c r="Y142" t="s">
        <v>1305</v>
      </c>
      <c r="AA142" t="s">
        <v>1306</v>
      </c>
      <c r="AB142" t="s">
        <v>1307</v>
      </c>
      <c r="AE142">
        <v>-37.75520057</v>
      </c>
      <c r="AF142">
        <v>175.27860183000001</v>
      </c>
      <c r="AG142">
        <v>30</v>
      </c>
      <c r="AH142">
        <v>0</v>
      </c>
      <c r="AI142">
        <v>0</v>
      </c>
      <c r="AJ142">
        <v>0</v>
      </c>
      <c r="AK142">
        <v>9</v>
      </c>
      <c r="AL142">
        <v>11</v>
      </c>
      <c r="AM142">
        <v>14</v>
      </c>
      <c r="AN142">
        <v>2</v>
      </c>
      <c r="AO142">
        <v>36</v>
      </c>
      <c r="AP142">
        <v>9</v>
      </c>
      <c r="AQ142">
        <v>19</v>
      </c>
      <c r="AR142">
        <v>10</v>
      </c>
      <c r="AS142">
        <v>5</v>
      </c>
      <c r="AT142">
        <v>1</v>
      </c>
    </row>
    <row r="143" spans="1:46">
      <c r="A143">
        <v>5136</v>
      </c>
      <c r="B143" t="s">
        <v>1315</v>
      </c>
      <c r="C143" t="s">
        <v>1316</v>
      </c>
      <c r="D143" t="s">
        <v>1293</v>
      </c>
      <c r="E143" t="s">
        <v>1317</v>
      </c>
      <c r="G143" t="s">
        <v>1318</v>
      </c>
      <c r="H143" t="s">
        <v>517</v>
      </c>
      <c r="J143" t="s">
        <v>518</v>
      </c>
      <c r="K143" t="s">
        <v>519</v>
      </c>
      <c r="M143" t="s">
        <v>1297</v>
      </c>
      <c r="N143" t="s">
        <v>571</v>
      </c>
      <c r="O143" t="s">
        <v>1319</v>
      </c>
      <c r="P143" t="s">
        <v>1262</v>
      </c>
      <c r="Q143" t="s">
        <v>1299</v>
      </c>
      <c r="R143" t="s">
        <v>1300</v>
      </c>
      <c r="S143" t="s">
        <v>1320</v>
      </c>
      <c r="T143" t="s">
        <v>1235</v>
      </c>
      <c r="U143">
        <v>182800</v>
      </c>
      <c r="V143" t="s">
        <v>1321</v>
      </c>
      <c r="W143" t="s">
        <v>1322</v>
      </c>
      <c r="X143" t="s">
        <v>1304</v>
      </c>
      <c r="Y143" t="s">
        <v>1305</v>
      </c>
      <c r="AA143" t="s">
        <v>1306</v>
      </c>
      <c r="AB143" t="s">
        <v>1307</v>
      </c>
      <c r="AE143">
        <v>-37.88771406</v>
      </c>
      <c r="AF143">
        <v>175.46624485999999</v>
      </c>
      <c r="AG143">
        <v>40</v>
      </c>
      <c r="AH143">
        <v>0</v>
      </c>
      <c r="AI143">
        <v>0</v>
      </c>
      <c r="AJ143">
        <v>0</v>
      </c>
      <c r="AK143">
        <v>5</v>
      </c>
      <c r="AL143">
        <v>24</v>
      </c>
      <c r="AM143">
        <v>27</v>
      </c>
      <c r="AN143">
        <v>1</v>
      </c>
      <c r="AO143">
        <v>57</v>
      </c>
      <c r="AP143">
        <v>53</v>
      </c>
      <c r="AQ143">
        <v>4</v>
      </c>
      <c r="AR143">
        <v>0</v>
      </c>
      <c r="AS143">
        <v>4</v>
      </c>
      <c r="AT143">
        <v>1</v>
      </c>
    </row>
    <row r="144" spans="1:46">
      <c r="A144">
        <v>5137</v>
      </c>
      <c r="B144" t="s">
        <v>1323</v>
      </c>
      <c r="C144" t="s">
        <v>1324</v>
      </c>
      <c r="D144" t="s">
        <v>1293</v>
      </c>
      <c r="E144" t="s">
        <v>1325</v>
      </c>
      <c r="F144" t="s">
        <v>1313</v>
      </c>
      <c r="G144" t="s">
        <v>1296</v>
      </c>
      <c r="H144" t="s">
        <v>517</v>
      </c>
      <c r="J144" t="s">
        <v>518</v>
      </c>
      <c r="K144" t="s">
        <v>519</v>
      </c>
      <c r="M144" t="s">
        <v>1297</v>
      </c>
      <c r="N144" t="s">
        <v>571</v>
      </c>
      <c r="O144" t="s">
        <v>1298</v>
      </c>
      <c r="P144" t="s">
        <v>654</v>
      </c>
      <c r="Q144" t="s">
        <v>1299</v>
      </c>
      <c r="R144" t="s">
        <v>1300</v>
      </c>
      <c r="S144" t="s">
        <v>1312</v>
      </c>
      <c r="T144" t="s">
        <v>1235</v>
      </c>
      <c r="U144">
        <v>176600</v>
      </c>
      <c r="V144" t="s">
        <v>1326</v>
      </c>
      <c r="W144" t="s">
        <v>1314</v>
      </c>
      <c r="X144" t="s">
        <v>1304</v>
      </c>
      <c r="Y144" t="s">
        <v>1305</v>
      </c>
      <c r="AA144" t="s">
        <v>1306</v>
      </c>
      <c r="AB144" t="s">
        <v>1307</v>
      </c>
      <c r="AE144">
        <v>-37.751896530000003</v>
      </c>
      <c r="AF144">
        <v>175.27023643000001</v>
      </c>
      <c r="AG144">
        <v>45</v>
      </c>
      <c r="AH144">
        <v>0</v>
      </c>
      <c r="AI144">
        <v>0</v>
      </c>
      <c r="AJ144">
        <v>0</v>
      </c>
      <c r="AK144">
        <v>5</v>
      </c>
      <c r="AL144">
        <v>19</v>
      </c>
      <c r="AM144">
        <v>23</v>
      </c>
      <c r="AN144">
        <v>1</v>
      </c>
      <c r="AO144">
        <v>48</v>
      </c>
      <c r="AP144">
        <v>35</v>
      </c>
      <c r="AQ144">
        <v>8</v>
      </c>
      <c r="AR144">
        <v>4</v>
      </c>
      <c r="AS144">
        <v>9</v>
      </c>
      <c r="AT144">
        <v>3</v>
      </c>
    </row>
    <row r="145" spans="1:46">
      <c r="A145">
        <v>5138</v>
      </c>
      <c r="B145" t="s">
        <v>1327</v>
      </c>
      <c r="C145" t="s">
        <v>1328</v>
      </c>
      <c r="D145" t="s">
        <v>1293</v>
      </c>
      <c r="E145" t="s">
        <v>1329</v>
      </c>
      <c r="F145" t="s">
        <v>1295</v>
      </c>
      <c r="G145" t="s">
        <v>1296</v>
      </c>
      <c r="H145" t="s">
        <v>517</v>
      </c>
      <c r="J145" t="s">
        <v>518</v>
      </c>
      <c r="K145" t="s">
        <v>519</v>
      </c>
      <c r="M145" t="s">
        <v>1297</v>
      </c>
      <c r="N145" t="s">
        <v>571</v>
      </c>
      <c r="O145" t="s">
        <v>1298</v>
      </c>
      <c r="P145" t="s">
        <v>654</v>
      </c>
      <c r="Q145" t="s">
        <v>1299</v>
      </c>
      <c r="R145" t="s">
        <v>1300</v>
      </c>
      <c r="S145" t="s">
        <v>1301</v>
      </c>
      <c r="T145" t="s">
        <v>1235</v>
      </c>
      <c r="U145">
        <v>180400</v>
      </c>
      <c r="V145" t="s">
        <v>1330</v>
      </c>
      <c r="W145" t="s">
        <v>1303</v>
      </c>
      <c r="X145" t="s">
        <v>1304</v>
      </c>
      <c r="Y145" t="s">
        <v>1305</v>
      </c>
      <c r="AA145" t="s">
        <v>1306</v>
      </c>
      <c r="AB145" t="s">
        <v>1307</v>
      </c>
      <c r="AC145">
        <v>99105</v>
      </c>
      <c r="AD145" t="s">
        <v>1331</v>
      </c>
      <c r="AE145">
        <v>-37.820253690000001</v>
      </c>
      <c r="AF145">
        <v>175.27856844999999</v>
      </c>
      <c r="AG145">
        <v>40</v>
      </c>
      <c r="AH145">
        <v>0</v>
      </c>
      <c r="AI145">
        <v>0</v>
      </c>
      <c r="AJ145">
        <v>0</v>
      </c>
      <c r="AK145">
        <v>5</v>
      </c>
      <c r="AL145">
        <v>15</v>
      </c>
      <c r="AM145">
        <v>25</v>
      </c>
      <c r="AN145">
        <v>0</v>
      </c>
      <c r="AO145">
        <v>45</v>
      </c>
      <c r="AP145">
        <v>10</v>
      </c>
      <c r="AQ145">
        <v>6</v>
      </c>
      <c r="AR145">
        <v>3</v>
      </c>
      <c r="AS145">
        <v>32</v>
      </c>
      <c r="AT145">
        <v>0</v>
      </c>
    </row>
    <row r="146" spans="1:46">
      <c r="A146">
        <v>5139</v>
      </c>
      <c r="B146" t="s">
        <v>1332</v>
      </c>
      <c r="C146" t="s">
        <v>1333</v>
      </c>
      <c r="D146" t="s">
        <v>1293</v>
      </c>
      <c r="E146" t="s">
        <v>1334</v>
      </c>
      <c r="F146" t="s">
        <v>1335</v>
      </c>
      <c r="G146" t="s">
        <v>1296</v>
      </c>
      <c r="H146" t="s">
        <v>517</v>
      </c>
      <c r="J146" t="s">
        <v>518</v>
      </c>
      <c r="K146" t="s">
        <v>519</v>
      </c>
      <c r="M146" t="s">
        <v>1297</v>
      </c>
      <c r="N146" t="s">
        <v>571</v>
      </c>
      <c r="O146" t="s">
        <v>1298</v>
      </c>
      <c r="P146" t="s">
        <v>654</v>
      </c>
      <c r="Q146" t="s">
        <v>1299</v>
      </c>
      <c r="R146" t="s">
        <v>1300</v>
      </c>
      <c r="S146" t="s">
        <v>1301</v>
      </c>
      <c r="T146" t="s">
        <v>1235</v>
      </c>
      <c r="U146">
        <v>178100</v>
      </c>
      <c r="V146" t="s">
        <v>1336</v>
      </c>
      <c r="W146" t="s">
        <v>1303</v>
      </c>
      <c r="X146" t="s">
        <v>1304</v>
      </c>
      <c r="Y146" t="s">
        <v>1305</v>
      </c>
      <c r="AA146" t="s">
        <v>1306</v>
      </c>
      <c r="AB146" t="s">
        <v>1307</v>
      </c>
      <c r="AE146">
        <v>-37.7979056</v>
      </c>
      <c r="AF146">
        <v>175.23496771000001</v>
      </c>
      <c r="AG146">
        <v>40</v>
      </c>
      <c r="AH146">
        <v>0</v>
      </c>
      <c r="AI146">
        <v>0</v>
      </c>
      <c r="AJ146">
        <v>0</v>
      </c>
      <c r="AK146">
        <v>13</v>
      </c>
      <c r="AL146">
        <v>20</v>
      </c>
      <c r="AM146">
        <v>20</v>
      </c>
      <c r="AN146">
        <v>1</v>
      </c>
      <c r="AO146">
        <v>54</v>
      </c>
      <c r="AP146">
        <v>42</v>
      </c>
      <c r="AQ146">
        <v>9</v>
      </c>
      <c r="AR146">
        <v>1</v>
      </c>
      <c r="AS146">
        <v>12</v>
      </c>
      <c r="AT146">
        <v>2</v>
      </c>
    </row>
    <row r="147" spans="1:46">
      <c r="A147">
        <v>5140</v>
      </c>
      <c r="B147" t="s">
        <v>1337</v>
      </c>
      <c r="C147" t="s">
        <v>1338</v>
      </c>
      <c r="D147" t="s">
        <v>1293</v>
      </c>
      <c r="E147" t="s">
        <v>1339</v>
      </c>
      <c r="F147" t="s">
        <v>1340</v>
      </c>
      <c r="G147" t="s">
        <v>1296</v>
      </c>
      <c r="H147" t="s">
        <v>517</v>
      </c>
      <c r="J147" t="s">
        <v>518</v>
      </c>
      <c r="K147" t="s">
        <v>519</v>
      </c>
      <c r="M147" t="s">
        <v>1297</v>
      </c>
      <c r="N147" t="s">
        <v>521</v>
      </c>
      <c r="O147" t="s">
        <v>1298</v>
      </c>
      <c r="P147" t="s">
        <v>654</v>
      </c>
      <c r="Q147" t="s">
        <v>1299</v>
      </c>
      <c r="R147" t="s">
        <v>1300</v>
      </c>
      <c r="S147" t="s">
        <v>1312</v>
      </c>
      <c r="T147" t="s">
        <v>1235</v>
      </c>
      <c r="U147">
        <v>178201</v>
      </c>
      <c r="V147" t="s">
        <v>1341</v>
      </c>
      <c r="W147" t="s">
        <v>1314</v>
      </c>
      <c r="X147" t="s">
        <v>1304</v>
      </c>
      <c r="Y147" t="s">
        <v>1305</v>
      </c>
      <c r="AA147" t="s">
        <v>1306</v>
      </c>
      <c r="AB147" t="s">
        <v>1307</v>
      </c>
      <c r="AE147">
        <v>-37.76582896</v>
      </c>
      <c r="AF147">
        <v>175.28622743</v>
      </c>
      <c r="AG147">
        <v>45</v>
      </c>
      <c r="AH147">
        <v>0</v>
      </c>
      <c r="AI147">
        <v>0</v>
      </c>
      <c r="AJ147">
        <v>0</v>
      </c>
      <c r="AK147">
        <v>9</v>
      </c>
      <c r="AL147">
        <v>10</v>
      </c>
      <c r="AM147">
        <v>21</v>
      </c>
      <c r="AN147">
        <v>3</v>
      </c>
      <c r="AO147">
        <v>43</v>
      </c>
      <c r="AP147">
        <v>17</v>
      </c>
      <c r="AQ147">
        <v>16</v>
      </c>
      <c r="AR147">
        <v>8</v>
      </c>
      <c r="AS147">
        <v>8</v>
      </c>
      <c r="AT147">
        <v>7</v>
      </c>
    </row>
    <row r="148" spans="1:46">
      <c r="A148">
        <v>5141</v>
      </c>
      <c r="B148" t="s">
        <v>1342</v>
      </c>
      <c r="C148" t="s">
        <v>1343</v>
      </c>
      <c r="D148" t="s">
        <v>1293</v>
      </c>
      <c r="E148" t="s">
        <v>1344</v>
      </c>
      <c r="F148" t="s">
        <v>1345</v>
      </c>
      <c r="G148" t="s">
        <v>1296</v>
      </c>
      <c r="H148" t="s">
        <v>517</v>
      </c>
      <c r="J148" t="s">
        <v>518</v>
      </c>
      <c r="K148" t="s">
        <v>519</v>
      </c>
      <c r="M148" t="s">
        <v>1297</v>
      </c>
      <c r="N148" t="s">
        <v>557</v>
      </c>
      <c r="O148" t="s">
        <v>1298</v>
      </c>
      <c r="P148" t="s">
        <v>654</v>
      </c>
      <c r="Q148" t="s">
        <v>1299</v>
      </c>
      <c r="R148" t="s">
        <v>1300</v>
      </c>
      <c r="S148" t="s">
        <v>1301</v>
      </c>
      <c r="T148" t="s">
        <v>1235</v>
      </c>
      <c r="U148">
        <v>178701</v>
      </c>
      <c r="V148" t="s">
        <v>1346</v>
      </c>
      <c r="W148" t="s">
        <v>1303</v>
      </c>
      <c r="X148" t="s">
        <v>1304</v>
      </c>
      <c r="Y148" t="s">
        <v>1305</v>
      </c>
      <c r="AA148" t="s">
        <v>1306</v>
      </c>
      <c r="AB148" t="s">
        <v>1307</v>
      </c>
      <c r="AC148">
        <v>99035</v>
      </c>
      <c r="AD148" t="s">
        <v>1308</v>
      </c>
      <c r="AE148">
        <v>-37.792780460000003</v>
      </c>
      <c r="AF148">
        <v>175.25192598000001</v>
      </c>
      <c r="AG148">
        <v>47</v>
      </c>
      <c r="AH148">
        <v>0</v>
      </c>
      <c r="AI148">
        <v>0</v>
      </c>
      <c r="AJ148">
        <v>0</v>
      </c>
      <c r="AK148">
        <v>1</v>
      </c>
      <c r="AL148">
        <v>17</v>
      </c>
      <c r="AM148">
        <v>20</v>
      </c>
      <c r="AN148">
        <v>6</v>
      </c>
      <c r="AO148">
        <v>44</v>
      </c>
      <c r="AP148">
        <v>17</v>
      </c>
      <c r="AQ148">
        <v>19</v>
      </c>
      <c r="AR148">
        <v>6</v>
      </c>
      <c r="AS148">
        <v>13</v>
      </c>
      <c r="AT148">
        <v>1</v>
      </c>
    </row>
    <row r="149" spans="1:46">
      <c r="A149">
        <v>5142</v>
      </c>
      <c r="B149" t="s">
        <v>1347</v>
      </c>
      <c r="C149" t="s">
        <v>1348</v>
      </c>
      <c r="D149" t="s">
        <v>1293</v>
      </c>
      <c r="E149" t="s">
        <v>1349</v>
      </c>
      <c r="G149" t="s">
        <v>1350</v>
      </c>
      <c r="H149" t="s">
        <v>517</v>
      </c>
      <c r="J149" t="s">
        <v>518</v>
      </c>
      <c r="K149" t="s">
        <v>519</v>
      </c>
      <c r="M149" t="s">
        <v>1297</v>
      </c>
      <c r="N149" t="s">
        <v>557</v>
      </c>
      <c r="O149" t="s">
        <v>1351</v>
      </c>
      <c r="P149" t="s">
        <v>523</v>
      </c>
      <c r="Q149" t="s">
        <v>1299</v>
      </c>
      <c r="R149" t="s">
        <v>1300</v>
      </c>
      <c r="S149" t="s">
        <v>1300</v>
      </c>
      <c r="T149" t="s">
        <v>1235</v>
      </c>
      <c r="U149">
        <v>172100</v>
      </c>
      <c r="V149" t="s">
        <v>1352</v>
      </c>
      <c r="W149" t="s">
        <v>1353</v>
      </c>
      <c r="X149" t="s">
        <v>1304</v>
      </c>
      <c r="Y149" t="s">
        <v>1305</v>
      </c>
      <c r="AA149" t="s">
        <v>1306</v>
      </c>
      <c r="AB149" t="s">
        <v>1307</v>
      </c>
      <c r="AC149">
        <v>99156</v>
      </c>
      <c r="AD149" t="s">
        <v>1354</v>
      </c>
      <c r="AE149">
        <v>-37.665422280000001</v>
      </c>
      <c r="AF149">
        <v>175.145296</v>
      </c>
      <c r="AG149">
        <v>40</v>
      </c>
      <c r="AH149">
        <v>0</v>
      </c>
      <c r="AI149">
        <v>0</v>
      </c>
      <c r="AJ149">
        <v>0</v>
      </c>
      <c r="AK149">
        <v>6</v>
      </c>
      <c r="AL149">
        <v>27</v>
      </c>
      <c r="AM149">
        <v>17</v>
      </c>
      <c r="AN149">
        <v>0</v>
      </c>
      <c r="AO149">
        <v>50</v>
      </c>
      <c r="AP149">
        <v>45</v>
      </c>
      <c r="AQ149">
        <v>27</v>
      </c>
      <c r="AR149">
        <v>0</v>
      </c>
      <c r="AS149">
        <v>5</v>
      </c>
      <c r="AT149">
        <v>2</v>
      </c>
    </row>
    <row r="150" spans="1:46">
      <c r="A150">
        <v>5143</v>
      </c>
      <c r="B150" t="s">
        <v>1355</v>
      </c>
      <c r="C150" t="s">
        <v>1356</v>
      </c>
      <c r="D150" t="s">
        <v>1293</v>
      </c>
      <c r="E150" t="s">
        <v>1357</v>
      </c>
      <c r="F150" t="s">
        <v>1358</v>
      </c>
      <c r="G150" t="s">
        <v>1296</v>
      </c>
      <c r="H150" t="s">
        <v>517</v>
      </c>
      <c r="J150" t="s">
        <v>518</v>
      </c>
      <c r="K150" t="s">
        <v>519</v>
      </c>
      <c r="M150" t="s">
        <v>1297</v>
      </c>
      <c r="N150" t="s">
        <v>539</v>
      </c>
      <c r="O150" t="s">
        <v>1298</v>
      </c>
      <c r="P150" t="s">
        <v>654</v>
      </c>
      <c r="Q150" t="s">
        <v>1299</v>
      </c>
      <c r="R150" t="s">
        <v>1300</v>
      </c>
      <c r="S150" t="s">
        <v>1301</v>
      </c>
      <c r="T150" t="s">
        <v>1235</v>
      </c>
      <c r="U150">
        <v>177200</v>
      </c>
      <c r="V150" t="s">
        <v>1359</v>
      </c>
      <c r="W150" t="s">
        <v>1303</v>
      </c>
      <c r="X150" t="s">
        <v>1304</v>
      </c>
      <c r="Y150" t="s">
        <v>1305</v>
      </c>
      <c r="AA150" t="s">
        <v>1306</v>
      </c>
      <c r="AB150" t="s">
        <v>1307</v>
      </c>
      <c r="AE150">
        <v>-37.779619310000001</v>
      </c>
      <c r="AF150">
        <v>175.23702241999999</v>
      </c>
      <c r="AG150">
        <v>40</v>
      </c>
      <c r="AH150">
        <v>0</v>
      </c>
      <c r="AI150">
        <v>0</v>
      </c>
      <c r="AJ150">
        <v>0</v>
      </c>
      <c r="AK150">
        <v>10</v>
      </c>
      <c r="AL150">
        <v>17</v>
      </c>
      <c r="AM150">
        <v>14</v>
      </c>
      <c r="AN150">
        <v>3</v>
      </c>
      <c r="AO150">
        <v>44</v>
      </c>
      <c r="AP150">
        <v>19</v>
      </c>
      <c r="AQ150">
        <v>17</v>
      </c>
      <c r="AR150">
        <v>8</v>
      </c>
      <c r="AS150">
        <v>12</v>
      </c>
      <c r="AT150">
        <v>2</v>
      </c>
    </row>
    <row r="151" spans="1:46">
      <c r="A151">
        <v>5144</v>
      </c>
      <c r="B151" t="s">
        <v>1360</v>
      </c>
      <c r="C151" t="s">
        <v>1361</v>
      </c>
      <c r="D151" t="s">
        <v>1293</v>
      </c>
      <c r="E151" t="s">
        <v>1362</v>
      </c>
      <c r="F151" t="s">
        <v>1295</v>
      </c>
      <c r="G151" t="s">
        <v>1296</v>
      </c>
      <c r="H151" t="s">
        <v>517</v>
      </c>
      <c r="J151" t="s">
        <v>518</v>
      </c>
      <c r="K151" t="s">
        <v>519</v>
      </c>
      <c r="M151" t="s">
        <v>1297</v>
      </c>
      <c r="N151" t="s">
        <v>571</v>
      </c>
      <c r="O151" t="s">
        <v>1298</v>
      </c>
      <c r="P151" t="s">
        <v>654</v>
      </c>
      <c r="Q151" t="s">
        <v>1299</v>
      </c>
      <c r="R151" t="s">
        <v>1300</v>
      </c>
      <c r="S151" t="s">
        <v>1301</v>
      </c>
      <c r="T151" t="s">
        <v>1235</v>
      </c>
      <c r="U151">
        <v>179502</v>
      </c>
      <c r="V151" t="s">
        <v>1363</v>
      </c>
      <c r="W151" t="s">
        <v>1303</v>
      </c>
      <c r="X151" t="s">
        <v>1304</v>
      </c>
      <c r="Y151" t="s">
        <v>1305</v>
      </c>
      <c r="AA151" t="s">
        <v>1306</v>
      </c>
      <c r="AB151" t="s">
        <v>1307</v>
      </c>
      <c r="AE151">
        <v>-37.800965120000001</v>
      </c>
      <c r="AF151">
        <v>175.28334852</v>
      </c>
      <c r="AG151">
        <v>40</v>
      </c>
      <c r="AH151">
        <v>0</v>
      </c>
      <c r="AI151">
        <v>0</v>
      </c>
      <c r="AJ151">
        <v>0</v>
      </c>
      <c r="AK151">
        <v>7</v>
      </c>
      <c r="AL151">
        <v>25</v>
      </c>
      <c r="AM151">
        <v>13</v>
      </c>
      <c r="AN151">
        <v>3</v>
      </c>
      <c r="AO151">
        <v>48</v>
      </c>
      <c r="AP151">
        <v>29</v>
      </c>
      <c r="AQ151">
        <v>6</v>
      </c>
      <c r="AR151">
        <v>2</v>
      </c>
      <c r="AS151">
        <v>17</v>
      </c>
      <c r="AT151">
        <v>2</v>
      </c>
    </row>
    <row r="152" spans="1:46">
      <c r="A152">
        <v>5145</v>
      </c>
      <c r="B152" t="s">
        <v>547</v>
      </c>
      <c r="C152" t="s">
        <v>1364</v>
      </c>
      <c r="D152" t="s">
        <v>1293</v>
      </c>
      <c r="E152" t="s">
        <v>1365</v>
      </c>
      <c r="F152" t="s">
        <v>1366</v>
      </c>
      <c r="G152" t="s">
        <v>1296</v>
      </c>
      <c r="H152" t="s">
        <v>517</v>
      </c>
      <c r="J152" t="s">
        <v>518</v>
      </c>
      <c r="K152" t="s">
        <v>519</v>
      </c>
      <c r="M152" t="s">
        <v>1297</v>
      </c>
      <c r="N152" t="s">
        <v>571</v>
      </c>
      <c r="O152" t="s">
        <v>1298</v>
      </c>
      <c r="P152" t="s">
        <v>654</v>
      </c>
      <c r="Q152" t="s">
        <v>1299</v>
      </c>
      <c r="R152" t="s">
        <v>1300</v>
      </c>
      <c r="S152" t="s">
        <v>1312</v>
      </c>
      <c r="T152" t="s">
        <v>1235</v>
      </c>
      <c r="U152">
        <v>180700</v>
      </c>
      <c r="V152" t="s">
        <v>1367</v>
      </c>
      <c r="W152" t="s">
        <v>1314</v>
      </c>
      <c r="X152" t="s">
        <v>1304</v>
      </c>
      <c r="Y152" t="s">
        <v>1305</v>
      </c>
      <c r="AA152" t="s">
        <v>1306</v>
      </c>
      <c r="AB152" t="s">
        <v>1307</v>
      </c>
      <c r="AE152">
        <v>-37.795721540000002</v>
      </c>
      <c r="AF152">
        <v>175.32058674000001</v>
      </c>
      <c r="AG152">
        <v>43</v>
      </c>
      <c r="AH152">
        <v>0</v>
      </c>
      <c r="AI152">
        <v>0</v>
      </c>
      <c r="AJ152">
        <v>0</v>
      </c>
      <c r="AK152">
        <v>6</v>
      </c>
      <c r="AL152">
        <v>19</v>
      </c>
      <c r="AM152">
        <v>27</v>
      </c>
      <c r="AN152">
        <v>2</v>
      </c>
      <c r="AO152">
        <v>54</v>
      </c>
      <c r="AP152">
        <v>29</v>
      </c>
      <c r="AQ152">
        <v>8</v>
      </c>
      <c r="AR152">
        <v>6</v>
      </c>
      <c r="AS152">
        <v>17</v>
      </c>
      <c r="AT152">
        <v>3</v>
      </c>
    </row>
    <row r="153" spans="1:46">
      <c r="A153">
        <v>5146</v>
      </c>
      <c r="B153" t="s">
        <v>1368</v>
      </c>
      <c r="C153" t="s">
        <v>1369</v>
      </c>
      <c r="D153" t="s">
        <v>1293</v>
      </c>
      <c r="E153" t="s">
        <v>1370</v>
      </c>
      <c r="F153" t="s">
        <v>1313</v>
      </c>
      <c r="G153" t="s">
        <v>1296</v>
      </c>
      <c r="H153" t="s">
        <v>517</v>
      </c>
      <c r="J153" t="s">
        <v>518</v>
      </c>
      <c r="K153" t="s">
        <v>519</v>
      </c>
      <c r="M153" t="s">
        <v>1297</v>
      </c>
      <c r="N153" t="s">
        <v>571</v>
      </c>
      <c r="O153" t="s">
        <v>1298</v>
      </c>
      <c r="P153" t="s">
        <v>654</v>
      </c>
      <c r="Q153" t="s">
        <v>1299</v>
      </c>
      <c r="R153" t="s">
        <v>1300</v>
      </c>
      <c r="S153" t="s">
        <v>1312</v>
      </c>
      <c r="T153" t="s">
        <v>1235</v>
      </c>
      <c r="U153">
        <v>177500</v>
      </c>
      <c r="V153" t="s">
        <v>1371</v>
      </c>
      <c r="W153" t="s">
        <v>1314</v>
      </c>
      <c r="X153" t="s">
        <v>1304</v>
      </c>
      <c r="Y153" t="s">
        <v>1305</v>
      </c>
      <c r="AA153" t="s">
        <v>1306</v>
      </c>
      <c r="AB153" t="s">
        <v>1307</v>
      </c>
      <c r="AE153">
        <v>-37.748220600000003</v>
      </c>
      <c r="AF153">
        <v>175.28025603</v>
      </c>
      <c r="AG153">
        <v>40</v>
      </c>
      <c r="AH153">
        <v>0</v>
      </c>
      <c r="AI153">
        <v>0</v>
      </c>
      <c r="AJ153">
        <v>0</v>
      </c>
      <c r="AK153">
        <v>7</v>
      </c>
      <c r="AL153">
        <v>16</v>
      </c>
      <c r="AM153">
        <v>23</v>
      </c>
      <c r="AN153">
        <v>1</v>
      </c>
      <c r="AO153">
        <v>47</v>
      </c>
      <c r="AP153">
        <v>32</v>
      </c>
      <c r="AQ153">
        <v>11</v>
      </c>
      <c r="AR153">
        <v>1</v>
      </c>
      <c r="AS153">
        <v>9</v>
      </c>
      <c r="AT153">
        <v>1</v>
      </c>
    </row>
    <row r="154" spans="1:46">
      <c r="A154">
        <v>5147</v>
      </c>
      <c r="B154" t="s">
        <v>1372</v>
      </c>
      <c r="C154" t="s">
        <v>1373</v>
      </c>
      <c r="D154" t="s">
        <v>1293</v>
      </c>
      <c r="E154" t="s">
        <v>1374</v>
      </c>
      <c r="F154" t="s">
        <v>1295</v>
      </c>
      <c r="G154" t="s">
        <v>1296</v>
      </c>
      <c r="H154" t="s">
        <v>517</v>
      </c>
      <c r="J154" t="s">
        <v>518</v>
      </c>
      <c r="K154" t="s">
        <v>519</v>
      </c>
      <c r="M154" t="s">
        <v>1297</v>
      </c>
      <c r="N154" t="s">
        <v>521</v>
      </c>
      <c r="O154" t="s">
        <v>1298</v>
      </c>
      <c r="P154" t="s">
        <v>654</v>
      </c>
      <c r="Q154" t="s">
        <v>1299</v>
      </c>
      <c r="R154" t="s">
        <v>1300</v>
      </c>
      <c r="S154" t="s">
        <v>1312</v>
      </c>
      <c r="T154" t="s">
        <v>1235</v>
      </c>
      <c r="U154">
        <v>178400</v>
      </c>
      <c r="V154" t="s">
        <v>1375</v>
      </c>
      <c r="W154" t="s">
        <v>1314</v>
      </c>
      <c r="X154" t="s">
        <v>1304</v>
      </c>
      <c r="Y154" t="s">
        <v>1305</v>
      </c>
      <c r="AA154" t="s">
        <v>1306</v>
      </c>
      <c r="AB154" t="s">
        <v>1307</v>
      </c>
      <c r="AE154">
        <v>-37.760182790000002</v>
      </c>
      <c r="AF154">
        <v>175.29302357</v>
      </c>
      <c r="AG154">
        <v>40</v>
      </c>
      <c r="AH154">
        <v>0</v>
      </c>
      <c r="AI154">
        <v>0</v>
      </c>
      <c r="AJ154">
        <v>0</v>
      </c>
      <c r="AK154">
        <v>7</v>
      </c>
      <c r="AL154">
        <v>18</v>
      </c>
      <c r="AM154">
        <v>17</v>
      </c>
      <c r="AN154">
        <v>1</v>
      </c>
      <c r="AO154">
        <v>43</v>
      </c>
      <c r="AP154">
        <v>13</v>
      </c>
      <c r="AQ154">
        <v>21</v>
      </c>
      <c r="AR154">
        <v>13</v>
      </c>
      <c r="AS154">
        <v>8</v>
      </c>
      <c r="AT154">
        <v>3</v>
      </c>
    </row>
    <row r="155" spans="1:46">
      <c r="A155">
        <v>5148</v>
      </c>
      <c r="B155" t="s">
        <v>1376</v>
      </c>
      <c r="C155" t="s">
        <v>1377</v>
      </c>
      <c r="D155" t="s">
        <v>1293</v>
      </c>
      <c r="E155" t="s">
        <v>1378</v>
      </c>
      <c r="F155" t="s">
        <v>1379</v>
      </c>
      <c r="G155" t="s">
        <v>1318</v>
      </c>
      <c r="H155" t="s">
        <v>517</v>
      </c>
      <c r="J155" t="s">
        <v>518</v>
      </c>
      <c r="K155" t="s">
        <v>519</v>
      </c>
      <c r="M155" t="s">
        <v>1297</v>
      </c>
      <c r="N155" t="s">
        <v>571</v>
      </c>
      <c r="O155" t="s">
        <v>1319</v>
      </c>
      <c r="P155" t="s">
        <v>1262</v>
      </c>
      <c r="Q155" t="s">
        <v>1299</v>
      </c>
      <c r="R155" t="s">
        <v>1300</v>
      </c>
      <c r="S155" t="s">
        <v>1320</v>
      </c>
      <c r="T155" t="s">
        <v>1235</v>
      </c>
      <c r="U155">
        <v>183900</v>
      </c>
      <c r="V155" t="s">
        <v>1380</v>
      </c>
      <c r="W155" t="s">
        <v>1322</v>
      </c>
      <c r="X155" t="s">
        <v>1304</v>
      </c>
      <c r="Y155" t="s">
        <v>1305</v>
      </c>
      <c r="AA155" t="s">
        <v>1306</v>
      </c>
      <c r="AB155" t="s">
        <v>1307</v>
      </c>
      <c r="AE155">
        <v>-37.899312989999999</v>
      </c>
      <c r="AF155">
        <v>175.48212343</v>
      </c>
      <c r="AG155">
        <v>45</v>
      </c>
      <c r="AH155">
        <v>0</v>
      </c>
      <c r="AI155">
        <v>0</v>
      </c>
      <c r="AJ155">
        <v>0</v>
      </c>
      <c r="AK155">
        <v>5</v>
      </c>
      <c r="AL155">
        <v>33</v>
      </c>
      <c r="AM155">
        <v>19</v>
      </c>
      <c r="AN155">
        <v>5</v>
      </c>
      <c r="AO155">
        <v>62</v>
      </c>
      <c r="AP155">
        <v>60</v>
      </c>
      <c r="AQ155">
        <v>4</v>
      </c>
      <c r="AR155">
        <v>0</v>
      </c>
      <c r="AS155">
        <v>3</v>
      </c>
      <c r="AT155">
        <v>2</v>
      </c>
    </row>
    <row r="156" spans="1:46">
      <c r="A156">
        <v>5149</v>
      </c>
      <c r="B156" t="s">
        <v>1381</v>
      </c>
      <c r="C156" t="s">
        <v>1382</v>
      </c>
      <c r="D156" t="s">
        <v>1293</v>
      </c>
      <c r="E156" t="s">
        <v>1383</v>
      </c>
      <c r="F156" t="s">
        <v>1384</v>
      </c>
      <c r="G156" t="s">
        <v>1296</v>
      </c>
      <c r="H156" t="s">
        <v>517</v>
      </c>
      <c r="J156" t="s">
        <v>518</v>
      </c>
      <c r="K156" t="s">
        <v>519</v>
      </c>
      <c r="M156" t="s">
        <v>1297</v>
      </c>
      <c r="N156" t="s">
        <v>571</v>
      </c>
      <c r="O156" t="s">
        <v>1298</v>
      </c>
      <c r="P156" t="s">
        <v>654</v>
      </c>
      <c r="Q156" t="s">
        <v>1299</v>
      </c>
      <c r="R156" t="s">
        <v>1300</v>
      </c>
      <c r="S156" t="s">
        <v>1301</v>
      </c>
      <c r="T156" t="s">
        <v>1235</v>
      </c>
      <c r="U156">
        <v>177400</v>
      </c>
      <c r="V156" t="s">
        <v>1385</v>
      </c>
      <c r="W156" t="s">
        <v>1303</v>
      </c>
      <c r="X156" t="s">
        <v>1304</v>
      </c>
      <c r="Y156" t="s">
        <v>1305</v>
      </c>
      <c r="AA156" t="s">
        <v>1306</v>
      </c>
      <c r="AB156" t="s">
        <v>1307</v>
      </c>
      <c r="AE156">
        <v>-37.77048053</v>
      </c>
      <c r="AF156">
        <v>175.25482507000001</v>
      </c>
      <c r="AG156">
        <v>45</v>
      </c>
      <c r="AH156">
        <v>0</v>
      </c>
      <c r="AI156">
        <v>0</v>
      </c>
      <c r="AJ156">
        <v>0</v>
      </c>
      <c r="AK156">
        <v>6</v>
      </c>
      <c r="AL156">
        <v>22</v>
      </c>
      <c r="AM156">
        <v>20</v>
      </c>
      <c r="AN156">
        <v>2</v>
      </c>
      <c r="AO156">
        <v>50</v>
      </c>
      <c r="AP156">
        <v>32</v>
      </c>
      <c r="AQ156">
        <v>25</v>
      </c>
      <c r="AR156">
        <v>11</v>
      </c>
      <c r="AS156">
        <v>8</v>
      </c>
      <c r="AT156">
        <v>3</v>
      </c>
    </row>
    <row r="157" spans="1:46">
      <c r="A157">
        <v>5150</v>
      </c>
      <c r="B157" t="s">
        <v>1386</v>
      </c>
      <c r="C157" t="s">
        <v>1387</v>
      </c>
      <c r="D157" t="s">
        <v>1293</v>
      </c>
      <c r="E157" t="s">
        <v>1388</v>
      </c>
      <c r="F157" t="s">
        <v>1379</v>
      </c>
      <c r="G157" t="s">
        <v>1318</v>
      </c>
      <c r="H157" t="s">
        <v>517</v>
      </c>
      <c r="J157" t="s">
        <v>518</v>
      </c>
      <c r="K157" t="s">
        <v>519</v>
      </c>
      <c r="M157" t="s">
        <v>1297</v>
      </c>
      <c r="N157" t="s">
        <v>571</v>
      </c>
      <c r="O157" t="s">
        <v>1319</v>
      </c>
      <c r="P157" t="s">
        <v>1262</v>
      </c>
      <c r="Q157" t="s">
        <v>1299</v>
      </c>
      <c r="R157" t="s">
        <v>1300</v>
      </c>
      <c r="S157" t="s">
        <v>1320</v>
      </c>
      <c r="T157" t="s">
        <v>1235</v>
      </c>
      <c r="U157">
        <v>183500</v>
      </c>
      <c r="V157" t="s">
        <v>1389</v>
      </c>
      <c r="W157" t="s">
        <v>1322</v>
      </c>
      <c r="X157" t="s">
        <v>1304</v>
      </c>
      <c r="Y157" t="s">
        <v>1305</v>
      </c>
      <c r="AA157" t="s">
        <v>1306</v>
      </c>
      <c r="AB157" t="s">
        <v>1307</v>
      </c>
      <c r="AE157">
        <v>-37.908191899999998</v>
      </c>
      <c r="AF157">
        <v>175.4733779</v>
      </c>
      <c r="AG157">
        <v>40</v>
      </c>
      <c r="AH157">
        <v>0</v>
      </c>
      <c r="AI157">
        <v>0</v>
      </c>
      <c r="AJ157">
        <v>0</v>
      </c>
      <c r="AK157">
        <v>10</v>
      </c>
      <c r="AL157">
        <v>14</v>
      </c>
      <c r="AM157">
        <v>24</v>
      </c>
      <c r="AN157">
        <v>1</v>
      </c>
      <c r="AO157">
        <v>49</v>
      </c>
      <c r="AP157">
        <v>34</v>
      </c>
      <c r="AQ157">
        <v>14</v>
      </c>
      <c r="AR157">
        <v>0</v>
      </c>
      <c r="AS157">
        <v>10</v>
      </c>
      <c r="AT157">
        <v>0</v>
      </c>
    </row>
    <row r="158" spans="1:46">
      <c r="A158">
        <v>5151</v>
      </c>
      <c r="B158" t="s">
        <v>1390</v>
      </c>
      <c r="C158" t="s">
        <v>1391</v>
      </c>
      <c r="D158" t="s">
        <v>1293</v>
      </c>
      <c r="E158" t="s">
        <v>1392</v>
      </c>
      <c r="F158" t="s">
        <v>1393</v>
      </c>
      <c r="G158" t="s">
        <v>1296</v>
      </c>
      <c r="H158" t="s">
        <v>517</v>
      </c>
      <c r="J158" t="s">
        <v>518</v>
      </c>
      <c r="K158" t="s">
        <v>519</v>
      </c>
      <c r="M158" t="s">
        <v>1297</v>
      </c>
      <c r="N158" t="s">
        <v>727</v>
      </c>
      <c r="O158" t="s">
        <v>1298</v>
      </c>
      <c r="P158" t="s">
        <v>654</v>
      </c>
      <c r="Q158" t="s">
        <v>1299</v>
      </c>
      <c r="R158" t="s">
        <v>1300</v>
      </c>
      <c r="S158" t="s">
        <v>1301</v>
      </c>
      <c r="T158" t="s">
        <v>1235</v>
      </c>
      <c r="U158">
        <v>180500</v>
      </c>
      <c r="V158" t="s">
        <v>1394</v>
      </c>
      <c r="W158" t="s">
        <v>1303</v>
      </c>
      <c r="X158" t="s">
        <v>1304</v>
      </c>
      <c r="Y158" t="s">
        <v>1305</v>
      </c>
      <c r="AA158" t="s">
        <v>1306</v>
      </c>
      <c r="AB158" t="s">
        <v>1307</v>
      </c>
      <c r="AC158">
        <v>99105</v>
      </c>
      <c r="AD158" t="s">
        <v>1331</v>
      </c>
      <c r="AE158">
        <v>-37.807539120000001</v>
      </c>
      <c r="AF158">
        <v>175.28877367999999</v>
      </c>
      <c r="AG158">
        <v>40</v>
      </c>
      <c r="AH158">
        <v>0</v>
      </c>
      <c r="AI158">
        <v>0</v>
      </c>
      <c r="AJ158">
        <v>0</v>
      </c>
      <c r="AK158">
        <v>4</v>
      </c>
      <c r="AL158">
        <v>14</v>
      </c>
      <c r="AM158">
        <v>17</v>
      </c>
      <c r="AN158">
        <v>0</v>
      </c>
      <c r="AO158">
        <v>35</v>
      </c>
      <c r="AP158">
        <v>10</v>
      </c>
      <c r="AQ158">
        <v>23</v>
      </c>
      <c r="AR158">
        <v>6</v>
      </c>
      <c r="AS158">
        <v>4</v>
      </c>
      <c r="AT158">
        <v>3</v>
      </c>
    </row>
    <row r="159" spans="1:46">
      <c r="A159">
        <v>5152</v>
      </c>
      <c r="B159" t="s">
        <v>1395</v>
      </c>
      <c r="C159" t="s">
        <v>1396</v>
      </c>
      <c r="E159" t="s">
        <v>1397</v>
      </c>
      <c r="F159" t="s">
        <v>1398</v>
      </c>
      <c r="G159" t="s">
        <v>1296</v>
      </c>
      <c r="H159" t="s">
        <v>517</v>
      </c>
      <c r="J159" t="s">
        <v>518</v>
      </c>
      <c r="K159" t="s">
        <v>519</v>
      </c>
      <c r="M159" t="s">
        <v>1297</v>
      </c>
      <c r="N159" t="s">
        <v>571</v>
      </c>
      <c r="O159" t="s">
        <v>1298</v>
      </c>
      <c r="P159" t="s">
        <v>654</v>
      </c>
      <c r="Q159" t="s">
        <v>1299</v>
      </c>
      <c r="R159" t="s">
        <v>1300</v>
      </c>
      <c r="S159" t="s">
        <v>1312</v>
      </c>
      <c r="T159" t="s">
        <v>1235</v>
      </c>
      <c r="U159">
        <v>179300</v>
      </c>
      <c r="V159" t="s">
        <v>1398</v>
      </c>
      <c r="W159" t="s">
        <v>1314</v>
      </c>
      <c r="X159" t="s">
        <v>1304</v>
      </c>
      <c r="Y159" t="s">
        <v>1305</v>
      </c>
      <c r="AA159" t="s">
        <v>1306</v>
      </c>
      <c r="AB159" t="s">
        <v>1307</v>
      </c>
      <c r="AE159">
        <v>-37.778842130000001</v>
      </c>
      <c r="AF159">
        <v>175.28190889999999</v>
      </c>
      <c r="AG159">
        <v>40</v>
      </c>
      <c r="AH159">
        <v>0</v>
      </c>
      <c r="AI159">
        <v>0</v>
      </c>
      <c r="AJ159">
        <v>0</v>
      </c>
      <c r="AK159">
        <v>11</v>
      </c>
      <c r="AL159">
        <v>19</v>
      </c>
      <c r="AM159">
        <v>22</v>
      </c>
      <c r="AN159">
        <v>3</v>
      </c>
      <c r="AO159">
        <v>55</v>
      </c>
      <c r="AP159">
        <v>41</v>
      </c>
      <c r="AQ159">
        <v>12</v>
      </c>
      <c r="AR159">
        <v>5</v>
      </c>
      <c r="AS159">
        <v>9</v>
      </c>
      <c r="AT159">
        <v>3</v>
      </c>
    </row>
    <row r="160" spans="1:46">
      <c r="A160">
        <v>5153</v>
      </c>
      <c r="B160" t="s">
        <v>1399</v>
      </c>
      <c r="C160" t="s">
        <v>1400</v>
      </c>
      <c r="D160" t="s">
        <v>1293</v>
      </c>
      <c r="E160" t="s">
        <v>1401</v>
      </c>
      <c r="G160" t="s">
        <v>1350</v>
      </c>
      <c r="H160" t="s">
        <v>517</v>
      </c>
      <c r="J160" t="s">
        <v>518</v>
      </c>
      <c r="K160" t="s">
        <v>519</v>
      </c>
      <c r="M160" t="s">
        <v>1297</v>
      </c>
      <c r="N160" t="s">
        <v>521</v>
      </c>
      <c r="O160" t="s">
        <v>1351</v>
      </c>
      <c r="P160" t="s">
        <v>523</v>
      </c>
      <c r="Q160" t="s">
        <v>1299</v>
      </c>
      <c r="R160" t="s">
        <v>1300</v>
      </c>
      <c r="S160" t="s">
        <v>1300</v>
      </c>
      <c r="T160" t="s">
        <v>1235</v>
      </c>
      <c r="U160">
        <v>172001</v>
      </c>
      <c r="V160" t="s">
        <v>1402</v>
      </c>
      <c r="W160" t="s">
        <v>1353</v>
      </c>
      <c r="X160" t="s">
        <v>1304</v>
      </c>
      <c r="Y160" t="s">
        <v>1305</v>
      </c>
      <c r="AA160" t="s">
        <v>1306</v>
      </c>
      <c r="AB160" t="s">
        <v>1307</v>
      </c>
      <c r="AE160">
        <v>-37.660027620000001</v>
      </c>
      <c r="AF160">
        <v>175.15177444</v>
      </c>
      <c r="AG160">
        <v>50</v>
      </c>
      <c r="AH160">
        <v>0</v>
      </c>
      <c r="AI160">
        <v>0</v>
      </c>
      <c r="AJ160">
        <v>0</v>
      </c>
      <c r="AK160">
        <v>5</v>
      </c>
      <c r="AL160">
        <v>12</v>
      </c>
      <c r="AM160">
        <v>18</v>
      </c>
      <c r="AN160">
        <v>0</v>
      </c>
      <c r="AO160">
        <v>35</v>
      </c>
      <c r="AP160">
        <v>25</v>
      </c>
      <c r="AQ160">
        <v>16</v>
      </c>
      <c r="AR160">
        <v>6</v>
      </c>
      <c r="AS160">
        <v>5</v>
      </c>
      <c r="AT160">
        <v>0</v>
      </c>
    </row>
    <row r="161" spans="1:46">
      <c r="A161">
        <v>5154</v>
      </c>
      <c r="B161" t="s">
        <v>1403</v>
      </c>
      <c r="C161" t="s">
        <v>1404</v>
      </c>
      <c r="D161" t="s">
        <v>1293</v>
      </c>
      <c r="E161" t="s">
        <v>1405</v>
      </c>
      <c r="F161" t="s">
        <v>1295</v>
      </c>
      <c r="G161" t="s">
        <v>1296</v>
      </c>
      <c r="H161" t="s">
        <v>517</v>
      </c>
      <c r="J161" t="s">
        <v>518</v>
      </c>
      <c r="K161" t="s">
        <v>519</v>
      </c>
      <c r="M161" t="s">
        <v>1297</v>
      </c>
      <c r="N161" t="s">
        <v>571</v>
      </c>
      <c r="O161" t="s">
        <v>1298</v>
      </c>
      <c r="P161" t="s">
        <v>654</v>
      </c>
      <c r="Q161" t="s">
        <v>1299</v>
      </c>
      <c r="R161" t="s">
        <v>1300</v>
      </c>
      <c r="S161" t="s">
        <v>1312</v>
      </c>
      <c r="T161" t="s">
        <v>1235</v>
      </c>
      <c r="U161">
        <v>180000</v>
      </c>
      <c r="V161" t="s">
        <v>1406</v>
      </c>
      <c r="W161" t="s">
        <v>1314</v>
      </c>
      <c r="X161" t="s">
        <v>1304</v>
      </c>
      <c r="Y161" t="s">
        <v>1305</v>
      </c>
      <c r="AA161" t="s">
        <v>1306</v>
      </c>
      <c r="AB161" t="s">
        <v>1307</v>
      </c>
      <c r="AE161">
        <v>-37.792503779999997</v>
      </c>
      <c r="AF161">
        <v>175.30075210999999</v>
      </c>
      <c r="AG161">
        <v>40</v>
      </c>
      <c r="AH161">
        <v>0</v>
      </c>
      <c r="AI161">
        <v>0</v>
      </c>
      <c r="AJ161">
        <v>0</v>
      </c>
      <c r="AK161">
        <v>4</v>
      </c>
      <c r="AL161">
        <v>17</v>
      </c>
      <c r="AM161">
        <v>23</v>
      </c>
      <c r="AN161">
        <v>2</v>
      </c>
      <c r="AO161">
        <v>46</v>
      </c>
      <c r="AP161">
        <v>22</v>
      </c>
      <c r="AQ161">
        <v>14</v>
      </c>
      <c r="AR161">
        <v>4</v>
      </c>
      <c r="AS161">
        <v>16</v>
      </c>
      <c r="AT161">
        <v>3</v>
      </c>
    </row>
    <row r="162" spans="1:46">
      <c r="A162">
        <v>5155</v>
      </c>
      <c r="B162" t="s">
        <v>1407</v>
      </c>
      <c r="C162" t="s">
        <v>1408</v>
      </c>
      <c r="D162" t="s">
        <v>1409</v>
      </c>
      <c r="E162" t="s">
        <v>1410</v>
      </c>
      <c r="F162" t="s">
        <v>1411</v>
      </c>
      <c r="G162" t="s">
        <v>1296</v>
      </c>
      <c r="H162" t="s">
        <v>517</v>
      </c>
      <c r="J162" t="s">
        <v>518</v>
      </c>
      <c r="K162" t="s">
        <v>519</v>
      </c>
      <c r="M162" t="s">
        <v>1297</v>
      </c>
      <c r="N162" t="s">
        <v>571</v>
      </c>
      <c r="O162" t="s">
        <v>1298</v>
      </c>
      <c r="P162" t="s">
        <v>654</v>
      </c>
      <c r="Q162" t="s">
        <v>1299</v>
      </c>
      <c r="R162" t="s">
        <v>1300</v>
      </c>
      <c r="S162" t="s">
        <v>1301</v>
      </c>
      <c r="T162" t="s">
        <v>1235</v>
      </c>
      <c r="U162">
        <v>176000</v>
      </c>
      <c r="V162" t="s">
        <v>1412</v>
      </c>
      <c r="W162" t="s">
        <v>1303</v>
      </c>
      <c r="X162" t="s">
        <v>1304</v>
      </c>
      <c r="Y162" t="s">
        <v>1305</v>
      </c>
      <c r="AA162" t="s">
        <v>1306</v>
      </c>
      <c r="AB162" t="s">
        <v>1307</v>
      </c>
      <c r="AE162">
        <v>-37.745547010000003</v>
      </c>
      <c r="AF162">
        <v>175.24190225999999</v>
      </c>
      <c r="AG162">
        <v>40</v>
      </c>
      <c r="AH162">
        <v>0</v>
      </c>
      <c r="AI162">
        <v>0</v>
      </c>
      <c r="AJ162">
        <v>0</v>
      </c>
      <c r="AK162">
        <v>5</v>
      </c>
      <c r="AL162">
        <v>20</v>
      </c>
      <c r="AM162">
        <v>24</v>
      </c>
      <c r="AN162">
        <v>1</v>
      </c>
      <c r="AO162">
        <v>50</v>
      </c>
      <c r="AP162">
        <v>35</v>
      </c>
      <c r="AQ162">
        <v>16</v>
      </c>
      <c r="AR162">
        <v>4</v>
      </c>
      <c r="AS162">
        <v>8</v>
      </c>
      <c r="AT162">
        <v>2</v>
      </c>
    </row>
    <row r="163" spans="1:46">
      <c r="A163">
        <v>5156</v>
      </c>
      <c r="B163" t="s">
        <v>1413</v>
      </c>
      <c r="C163" t="s">
        <v>1414</v>
      </c>
      <c r="E163" t="s">
        <v>1415</v>
      </c>
      <c r="G163" t="s">
        <v>1416</v>
      </c>
      <c r="H163" t="s">
        <v>517</v>
      </c>
      <c r="J163" t="s">
        <v>518</v>
      </c>
      <c r="K163" t="s">
        <v>519</v>
      </c>
      <c r="M163" t="s">
        <v>1297</v>
      </c>
      <c r="N163" t="s">
        <v>571</v>
      </c>
      <c r="O163" t="s">
        <v>1351</v>
      </c>
      <c r="P163" t="s">
        <v>523</v>
      </c>
      <c r="Q163" t="s">
        <v>1299</v>
      </c>
      <c r="R163" t="s">
        <v>1300</v>
      </c>
      <c r="S163" t="s">
        <v>1417</v>
      </c>
      <c r="T163" t="s">
        <v>1235</v>
      </c>
      <c r="U163">
        <v>171601</v>
      </c>
      <c r="V163" t="s">
        <v>1416</v>
      </c>
      <c r="W163" t="s">
        <v>1418</v>
      </c>
      <c r="X163" t="s">
        <v>1304</v>
      </c>
      <c r="Y163" t="s">
        <v>1305</v>
      </c>
      <c r="AA163" t="s">
        <v>1306</v>
      </c>
      <c r="AB163" t="s">
        <v>1307</v>
      </c>
      <c r="AE163">
        <v>-37.802866620000003</v>
      </c>
      <c r="AF163">
        <v>174.86977503</v>
      </c>
      <c r="AG163">
        <v>60</v>
      </c>
      <c r="AH163">
        <v>0</v>
      </c>
      <c r="AI163">
        <v>0</v>
      </c>
      <c r="AJ163">
        <v>0</v>
      </c>
      <c r="AK163">
        <v>1</v>
      </c>
      <c r="AL163">
        <v>15</v>
      </c>
      <c r="AM163">
        <v>31</v>
      </c>
      <c r="AN163">
        <v>4</v>
      </c>
      <c r="AO163">
        <v>51</v>
      </c>
      <c r="AP163">
        <v>42</v>
      </c>
      <c r="AQ163">
        <v>20</v>
      </c>
      <c r="AR163">
        <v>2</v>
      </c>
      <c r="AS163">
        <v>5</v>
      </c>
      <c r="AT163">
        <v>1</v>
      </c>
    </row>
    <row r="164" spans="1:46">
      <c r="A164">
        <v>5157</v>
      </c>
      <c r="B164" t="s">
        <v>1419</v>
      </c>
      <c r="C164" t="s">
        <v>1420</v>
      </c>
      <c r="D164" t="s">
        <v>1293</v>
      </c>
      <c r="E164" t="s">
        <v>1421</v>
      </c>
      <c r="F164" t="s">
        <v>1422</v>
      </c>
      <c r="G164" t="s">
        <v>1296</v>
      </c>
      <c r="H164" t="s">
        <v>517</v>
      </c>
      <c r="J164" t="s">
        <v>518</v>
      </c>
      <c r="K164" t="s">
        <v>519</v>
      </c>
      <c r="M164" t="s">
        <v>1297</v>
      </c>
      <c r="N164" t="s">
        <v>571</v>
      </c>
      <c r="O164" t="s">
        <v>1298</v>
      </c>
      <c r="P164" t="s">
        <v>654</v>
      </c>
      <c r="Q164" t="s">
        <v>1299</v>
      </c>
      <c r="R164" t="s">
        <v>1300</v>
      </c>
      <c r="S164" t="s">
        <v>1301</v>
      </c>
      <c r="T164" t="s">
        <v>1235</v>
      </c>
      <c r="U164">
        <v>176500</v>
      </c>
      <c r="V164" t="s">
        <v>1423</v>
      </c>
      <c r="W164" t="s">
        <v>1303</v>
      </c>
      <c r="X164" t="s">
        <v>1304</v>
      </c>
      <c r="Y164" t="s">
        <v>1305</v>
      </c>
      <c r="AA164" t="s">
        <v>1306</v>
      </c>
      <c r="AB164" t="s">
        <v>1307</v>
      </c>
      <c r="AE164">
        <v>-37.753186059999997</v>
      </c>
      <c r="AF164">
        <v>175.25521832999999</v>
      </c>
      <c r="AG164">
        <v>40</v>
      </c>
      <c r="AH164">
        <v>0</v>
      </c>
      <c r="AI164">
        <v>0</v>
      </c>
      <c r="AJ164">
        <v>0</v>
      </c>
      <c r="AK164">
        <v>10</v>
      </c>
      <c r="AL164">
        <v>21</v>
      </c>
      <c r="AM164">
        <v>14</v>
      </c>
      <c r="AN164">
        <v>0</v>
      </c>
      <c r="AO164">
        <v>45</v>
      </c>
      <c r="AP164">
        <v>31</v>
      </c>
      <c r="AQ164">
        <v>15</v>
      </c>
      <c r="AR164">
        <v>1</v>
      </c>
      <c r="AS164">
        <v>4</v>
      </c>
      <c r="AT164">
        <v>3</v>
      </c>
    </row>
    <row r="165" spans="1:46">
      <c r="A165">
        <v>5158</v>
      </c>
      <c r="B165" t="s">
        <v>1424</v>
      </c>
      <c r="C165" t="s">
        <v>1425</v>
      </c>
      <c r="D165" t="s">
        <v>1293</v>
      </c>
      <c r="E165" t="s">
        <v>1426</v>
      </c>
      <c r="F165" t="s">
        <v>1427</v>
      </c>
      <c r="G165" t="s">
        <v>1296</v>
      </c>
      <c r="H165" t="s">
        <v>517</v>
      </c>
      <c r="J165" t="s">
        <v>518</v>
      </c>
      <c r="K165" t="s">
        <v>519</v>
      </c>
      <c r="M165" t="s">
        <v>1297</v>
      </c>
      <c r="N165" t="s">
        <v>571</v>
      </c>
      <c r="O165" t="s">
        <v>1298</v>
      </c>
      <c r="P165" t="s">
        <v>654</v>
      </c>
      <c r="Q165" t="s">
        <v>1299</v>
      </c>
      <c r="R165" t="s">
        <v>1300</v>
      </c>
      <c r="S165" t="s">
        <v>1301</v>
      </c>
      <c r="T165" t="s">
        <v>1235</v>
      </c>
      <c r="U165">
        <v>180900</v>
      </c>
      <c r="V165" t="s">
        <v>1427</v>
      </c>
      <c r="W165" t="s">
        <v>1303</v>
      </c>
      <c r="X165" t="s">
        <v>1304</v>
      </c>
      <c r="Y165" t="s">
        <v>1305</v>
      </c>
      <c r="AA165" t="s">
        <v>1306</v>
      </c>
      <c r="AB165" t="s">
        <v>1307</v>
      </c>
      <c r="AC165">
        <v>99105</v>
      </c>
      <c r="AD165" t="s">
        <v>1331</v>
      </c>
      <c r="AE165">
        <v>-37.820552790000001</v>
      </c>
      <c r="AF165">
        <v>175.29303302</v>
      </c>
      <c r="AG165">
        <v>45</v>
      </c>
      <c r="AH165">
        <v>0</v>
      </c>
      <c r="AI165">
        <v>0</v>
      </c>
      <c r="AJ165">
        <v>0</v>
      </c>
      <c r="AK165">
        <v>10</v>
      </c>
      <c r="AL165">
        <v>12</v>
      </c>
      <c r="AM165">
        <v>18</v>
      </c>
      <c r="AN165">
        <v>2</v>
      </c>
      <c r="AO165">
        <v>42</v>
      </c>
      <c r="AP165">
        <v>32</v>
      </c>
      <c r="AQ165">
        <v>12</v>
      </c>
      <c r="AR165">
        <v>3</v>
      </c>
      <c r="AS165">
        <v>9</v>
      </c>
      <c r="AT165">
        <v>2</v>
      </c>
    </row>
    <row r="166" spans="1:46">
      <c r="A166">
        <v>5159</v>
      </c>
      <c r="B166" t="s">
        <v>1428</v>
      </c>
      <c r="C166" t="s">
        <v>1429</v>
      </c>
      <c r="D166" t="s">
        <v>1293</v>
      </c>
      <c r="E166" t="s">
        <v>1430</v>
      </c>
      <c r="F166" t="s">
        <v>1431</v>
      </c>
      <c r="G166" t="s">
        <v>1296</v>
      </c>
      <c r="H166" t="s">
        <v>517</v>
      </c>
      <c r="J166" t="s">
        <v>518</v>
      </c>
      <c r="K166" t="s">
        <v>519</v>
      </c>
      <c r="M166" t="s">
        <v>1297</v>
      </c>
      <c r="N166" t="s">
        <v>539</v>
      </c>
      <c r="O166" t="s">
        <v>1298</v>
      </c>
      <c r="P166" t="s">
        <v>654</v>
      </c>
      <c r="Q166" t="s">
        <v>1299</v>
      </c>
      <c r="R166" t="s">
        <v>1300</v>
      </c>
      <c r="S166" t="s">
        <v>1301</v>
      </c>
      <c r="T166" t="s">
        <v>1235</v>
      </c>
      <c r="U166">
        <v>178301</v>
      </c>
      <c r="V166" t="s">
        <v>1431</v>
      </c>
      <c r="W166" t="s">
        <v>1303</v>
      </c>
      <c r="X166" t="s">
        <v>1304</v>
      </c>
      <c r="Y166" t="s">
        <v>1305</v>
      </c>
      <c r="AA166" t="s">
        <v>1306</v>
      </c>
      <c r="AB166" t="s">
        <v>1307</v>
      </c>
      <c r="AE166">
        <v>-37.779083780000001</v>
      </c>
      <c r="AF166">
        <v>175.26968334</v>
      </c>
      <c r="AG166">
        <v>45</v>
      </c>
      <c r="AH166">
        <v>0</v>
      </c>
      <c r="AI166">
        <v>0</v>
      </c>
      <c r="AJ166">
        <v>0</v>
      </c>
      <c r="AK166">
        <v>6</v>
      </c>
      <c r="AL166">
        <v>13</v>
      </c>
      <c r="AM166">
        <v>17</v>
      </c>
      <c r="AN166">
        <v>1</v>
      </c>
      <c r="AO166">
        <v>37</v>
      </c>
      <c r="AP166">
        <v>6</v>
      </c>
      <c r="AQ166">
        <v>15</v>
      </c>
      <c r="AR166">
        <v>3</v>
      </c>
      <c r="AS166">
        <v>19</v>
      </c>
      <c r="AT166">
        <v>2</v>
      </c>
    </row>
    <row r="167" spans="1:46">
      <c r="A167">
        <v>5160</v>
      </c>
      <c r="B167" t="s">
        <v>1432</v>
      </c>
      <c r="C167" t="s">
        <v>1433</v>
      </c>
      <c r="D167" t="s">
        <v>1434</v>
      </c>
      <c r="E167" t="s">
        <v>1435</v>
      </c>
      <c r="G167" t="s">
        <v>1436</v>
      </c>
      <c r="H167" t="s">
        <v>517</v>
      </c>
      <c r="J167" t="s">
        <v>518</v>
      </c>
      <c r="K167" t="s">
        <v>519</v>
      </c>
      <c r="M167" t="s">
        <v>1297</v>
      </c>
      <c r="N167" t="s">
        <v>539</v>
      </c>
      <c r="O167" t="s">
        <v>1437</v>
      </c>
      <c r="P167" t="s">
        <v>523</v>
      </c>
      <c r="Q167" t="s">
        <v>1299</v>
      </c>
      <c r="R167" t="s">
        <v>1300</v>
      </c>
      <c r="S167" t="s">
        <v>1438</v>
      </c>
      <c r="T167" t="s">
        <v>1235</v>
      </c>
      <c r="U167">
        <v>169200</v>
      </c>
      <c r="V167" t="s">
        <v>1436</v>
      </c>
      <c r="W167" t="s">
        <v>1439</v>
      </c>
      <c r="X167" t="s">
        <v>1440</v>
      </c>
      <c r="Y167" t="s">
        <v>1441</v>
      </c>
      <c r="AA167" t="s">
        <v>1442</v>
      </c>
      <c r="AB167" t="s">
        <v>1443</v>
      </c>
      <c r="AC167">
        <v>99070</v>
      </c>
      <c r="AD167" t="s">
        <v>1444</v>
      </c>
      <c r="AE167">
        <v>-37.380561270000001</v>
      </c>
      <c r="AF167">
        <v>175.67400359999999</v>
      </c>
      <c r="AG167">
        <v>40</v>
      </c>
      <c r="AH167">
        <v>0</v>
      </c>
      <c r="AI167">
        <v>0</v>
      </c>
      <c r="AJ167">
        <v>0</v>
      </c>
      <c r="AK167">
        <v>3</v>
      </c>
      <c r="AL167">
        <v>11</v>
      </c>
      <c r="AM167">
        <v>17</v>
      </c>
      <c r="AN167">
        <v>0</v>
      </c>
      <c r="AO167">
        <v>31</v>
      </c>
      <c r="AP167">
        <v>23</v>
      </c>
      <c r="AQ167">
        <v>17</v>
      </c>
      <c r="AR167">
        <v>2</v>
      </c>
      <c r="AS167">
        <v>1</v>
      </c>
      <c r="AT167">
        <v>0</v>
      </c>
    </row>
    <row r="168" spans="1:46">
      <c r="A168">
        <v>5161</v>
      </c>
      <c r="B168" t="s">
        <v>1445</v>
      </c>
      <c r="C168" t="s">
        <v>1446</v>
      </c>
      <c r="D168" t="s">
        <v>1447</v>
      </c>
      <c r="E168" t="s">
        <v>1448</v>
      </c>
      <c r="G168" t="s">
        <v>1449</v>
      </c>
      <c r="H168" t="s">
        <v>517</v>
      </c>
      <c r="J168" t="s">
        <v>518</v>
      </c>
      <c r="K168" t="s">
        <v>519</v>
      </c>
      <c r="M168" t="s">
        <v>1297</v>
      </c>
      <c r="N168" t="s">
        <v>557</v>
      </c>
      <c r="O168" t="s">
        <v>1450</v>
      </c>
      <c r="P168" t="s">
        <v>523</v>
      </c>
      <c r="Q168" t="s">
        <v>1299</v>
      </c>
      <c r="R168" t="s">
        <v>1300</v>
      </c>
      <c r="S168" t="s">
        <v>1300</v>
      </c>
      <c r="T168" t="s">
        <v>1235</v>
      </c>
      <c r="U168">
        <v>174100</v>
      </c>
      <c r="V168" t="s">
        <v>1451</v>
      </c>
      <c r="W168" t="s">
        <v>1452</v>
      </c>
      <c r="X168" t="s">
        <v>1453</v>
      </c>
      <c r="Y168" t="s">
        <v>1448</v>
      </c>
      <c r="Z168" t="s">
        <v>1449</v>
      </c>
      <c r="AA168" t="s">
        <v>1454</v>
      </c>
      <c r="AB168" t="s">
        <v>1455</v>
      </c>
      <c r="AC168">
        <v>99202</v>
      </c>
      <c r="AD168" t="s">
        <v>1456</v>
      </c>
      <c r="AE168">
        <v>-37.541508970000002</v>
      </c>
      <c r="AF168">
        <v>175.71278554</v>
      </c>
      <c r="AG168">
        <v>50</v>
      </c>
      <c r="AH168">
        <v>0</v>
      </c>
      <c r="AI168">
        <v>0</v>
      </c>
      <c r="AJ168">
        <v>0</v>
      </c>
      <c r="AK168">
        <v>9</v>
      </c>
      <c r="AL168">
        <v>20</v>
      </c>
      <c r="AM168">
        <v>27</v>
      </c>
      <c r="AN168">
        <v>4</v>
      </c>
      <c r="AO168">
        <v>60</v>
      </c>
      <c r="AP168">
        <v>43</v>
      </c>
      <c r="AQ168">
        <v>18</v>
      </c>
      <c r="AR168">
        <v>4</v>
      </c>
      <c r="AS168">
        <v>6</v>
      </c>
      <c r="AT168">
        <v>1</v>
      </c>
    </row>
    <row r="169" spans="1:46">
      <c r="A169">
        <v>5162</v>
      </c>
      <c r="B169" t="s">
        <v>1457</v>
      </c>
      <c r="C169" t="s">
        <v>1433</v>
      </c>
      <c r="D169" t="s">
        <v>1458</v>
      </c>
      <c r="E169" t="s">
        <v>1459</v>
      </c>
      <c r="G169" t="s">
        <v>1460</v>
      </c>
      <c r="H169" t="s">
        <v>517</v>
      </c>
      <c r="J169" t="s">
        <v>518</v>
      </c>
      <c r="K169" t="s">
        <v>519</v>
      </c>
      <c r="M169" t="s">
        <v>1297</v>
      </c>
      <c r="N169" t="s">
        <v>521</v>
      </c>
      <c r="O169" t="s">
        <v>1461</v>
      </c>
      <c r="P169" t="s">
        <v>523</v>
      </c>
      <c r="Q169" t="s">
        <v>1299</v>
      </c>
      <c r="R169" t="s">
        <v>1300</v>
      </c>
      <c r="S169" t="s">
        <v>1438</v>
      </c>
      <c r="T169" t="s">
        <v>1235</v>
      </c>
      <c r="U169">
        <v>167700</v>
      </c>
      <c r="V169" t="s">
        <v>1462</v>
      </c>
      <c r="W169" t="s">
        <v>1463</v>
      </c>
      <c r="X169" t="s">
        <v>1440</v>
      </c>
      <c r="Y169" t="s">
        <v>1441</v>
      </c>
      <c r="AA169" t="s">
        <v>1442</v>
      </c>
      <c r="AB169" t="s">
        <v>1443</v>
      </c>
      <c r="AC169">
        <v>99087</v>
      </c>
      <c r="AD169" t="s">
        <v>1464</v>
      </c>
      <c r="AE169">
        <v>-37.144665379999999</v>
      </c>
      <c r="AF169">
        <v>175.54774447</v>
      </c>
      <c r="AG169">
        <v>40</v>
      </c>
      <c r="AH169">
        <v>0</v>
      </c>
      <c r="AI169">
        <v>0</v>
      </c>
      <c r="AJ169">
        <v>0</v>
      </c>
      <c r="AK169">
        <v>5</v>
      </c>
      <c r="AL169">
        <v>11</v>
      </c>
      <c r="AM169">
        <v>17</v>
      </c>
      <c r="AN169">
        <v>3</v>
      </c>
      <c r="AO169">
        <v>36</v>
      </c>
      <c r="AP169">
        <v>17</v>
      </c>
      <c r="AQ169">
        <v>16</v>
      </c>
      <c r="AR169">
        <v>4</v>
      </c>
      <c r="AS169">
        <v>12</v>
      </c>
      <c r="AT169">
        <v>2</v>
      </c>
    </row>
    <row r="170" spans="1:46">
      <c r="A170">
        <v>5163</v>
      </c>
      <c r="B170" t="s">
        <v>1465</v>
      </c>
      <c r="C170" t="s">
        <v>1466</v>
      </c>
      <c r="D170" t="s">
        <v>1467</v>
      </c>
      <c r="E170" t="s">
        <v>1468</v>
      </c>
      <c r="G170" t="s">
        <v>1469</v>
      </c>
      <c r="H170" t="s">
        <v>517</v>
      </c>
      <c r="J170" t="s">
        <v>518</v>
      </c>
      <c r="K170" t="s">
        <v>519</v>
      </c>
      <c r="M170" t="s">
        <v>1297</v>
      </c>
      <c r="N170" t="s">
        <v>571</v>
      </c>
      <c r="O170" t="s">
        <v>1470</v>
      </c>
      <c r="P170" t="s">
        <v>1262</v>
      </c>
      <c r="Q170" t="s">
        <v>1471</v>
      </c>
      <c r="R170" t="s">
        <v>1472</v>
      </c>
      <c r="S170" t="s">
        <v>1473</v>
      </c>
      <c r="T170" t="s">
        <v>1474</v>
      </c>
      <c r="U170">
        <v>202700</v>
      </c>
      <c r="V170" t="s">
        <v>1475</v>
      </c>
      <c r="W170" t="s">
        <v>1476</v>
      </c>
      <c r="X170" t="s">
        <v>1477</v>
      </c>
      <c r="Y170" t="s">
        <v>1441</v>
      </c>
      <c r="AA170" t="s">
        <v>1442</v>
      </c>
      <c r="AB170" t="s">
        <v>1478</v>
      </c>
      <c r="AC170">
        <v>99016</v>
      </c>
      <c r="AD170" t="s">
        <v>1479</v>
      </c>
      <c r="AE170">
        <v>-37.956750790000001</v>
      </c>
      <c r="AF170">
        <v>176.98742726</v>
      </c>
      <c r="AG170">
        <v>40</v>
      </c>
      <c r="AH170">
        <v>0</v>
      </c>
      <c r="AI170">
        <v>0</v>
      </c>
      <c r="AJ170">
        <v>0</v>
      </c>
      <c r="AK170">
        <v>6</v>
      </c>
      <c r="AL170">
        <v>19</v>
      </c>
      <c r="AM170">
        <v>22</v>
      </c>
      <c r="AN170">
        <v>5</v>
      </c>
      <c r="AO170">
        <v>52</v>
      </c>
      <c r="AP170">
        <v>45</v>
      </c>
      <c r="AQ170">
        <v>23</v>
      </c>
      <c r="AR170">
        <v>1</v>
      </c>
      <c r="AS170">
        <v>4</v>
      </c>
      <c r="AT170">
        <v>3</v>
      </c>
    </row>
    <row r="171" spans="1:46">
      <c r="A171">
        <v>5164</v>
      </c>
      <c r="B171" t="s">
        <v>1480</v>
      </c>
      <c r="C171" t="s">
        <v>1433</v>
      </c>
      <c r="D171" t="s">
        <v>1481</v>
      </c>
      <c r="E171" t="s">
        <v>1482</v>
      </c>
      <c r="G171" t="s">
        <v>1483</v>
      </c>
      <c r="H171" t="s">
        <v>517</v>
      </c>
      <c r="J171" t="s">
        <v>518</v>
      </c>
      <c r="K171" t="s">
        <v>519</v>
      </c>
      <c r="M171" t="s">
        <v>1297</v>
      </c>
      <c r="N171" t="s">
        <v>557</v>
      </c>
      <c r="O171" t="s">
        <v>1484</v>
      </c>
      <c r="P171" t="s">
        <v>1262</v>
      </c>
      <c r="Q171" t="s">
        <v>1299</v>
      </c>
      <c r="R171" t="s">
        <v>1300</v>
      </c>
      <c r="S171" t="s">
        <v>1320</v>
      </c>
      <c r="T171" t="s">
        <v>1485</v>
      </c>
      <c r="U171">
        <v>186800</v>
      </c>
      <c r="V171" t="s">
        <v>1486</v>
      </c>
      <c r="W171" t="s">
        <v>1487</v>
      </c>
      <c r="X171" t="s">
        <v>1488</v>
      </c>
      <c r="Y171" t="s">
        <v>1441</v>
      </c>
      <c r="AA171" t="s">
        <v>1442</v>
      </c>
      <c r="AB171" t="s">
        <v>1489</v>
      </c>
      <c r="AC171">
        <v>99195</v>
      </c>
      <c r="AD171" t="s">
        <v>1490</v>
      </c>
      <c r="AE171">
        <v>-38.241063529999998</v>
      </c>
      <c r="AF171">
        <v>175.86663293999999</v>
      </c>
      <c r="AG171">
        <v>40</v>
      </c>
      <c r="AH171">
        <v>0</v>
      </c>
      <c r="AI171">
        <v>0</v>
      </c>
      <c r="AJ171">
        <v>0</v>
      </c>
      <c r="AK171">
        <v>8</v>
      </c>
      <c r="AL171">
        <v>13</v>
      </c>
      <c r="AM171">
        <v>23</v>
      </c>
      <c r="AN171">
        <v>3</v>
      </c>
      <c r="AO171">
        <v>47</v>
      </c>
      <c r="AP171">
        <v>32</v>
      </c>
      <c r="AQ171">
        <v>33</v>
      </c>
      <c r="AR171">
        <v>10</v>
      </c>
      <c r="AS171">
        <v>0</v>
      </c>
      <c r="AT171">
        <v>0</v>
      </c>
    </row>
    <row r="172" spans="1:46">
      <c r="A172">
        <v>5165</v>
      </c>
      <c r="B172" t="s">
        <v>1491</v>
      </c>
      <c r="C172" t="s">
        <v>1433</v>
      </c>
      <c r="D172" t="s">
        <v>1492</v>
      </c>
      <c r="E172" t="s">
        <v>1493</v>
      </c>
      <c r="G172" t="s">
        <v>1483</v>
      </c>
      <c r="H172" t="s">
        <v>517</v>
      </c>
      <c r="J172" t="s">
        <v>518</v>
      </c>
      <c r="K172" t="s">
        <v>519</v>
      </c>
      <c r="M172" t="s">
        <v>1297</v>
      </c>
      <c r="N172" t="s">
        <v>539</v>
      </c>
      <c r="O172" t="s">
        <v>1484</v>
      </c>
      <c r="P172" t="s">
        <v>1262</v>
      </c>
      <c r="Q172" t="s">
        <v>1299</v>
      </c>
      <c r="R172" t="s">
        <v>1300</v>
      </c>
      <c r="S172" t="s">
        <v>1320</v>
      </c>
      <c r="T172" t="s">
        <v>1485</v>
      </c>
      <c r="U172">
        <v>186800</v>
      </c>
      <c r="V172" t="s">
        <v>1486</v>
      </c>
      <c r="W172" t="s">
        <v>1487</v>
      </c>
      <c r="X172" t="s">
        <v>1488</v>
      </c>
      <c r="Y172" t="s">
        <v>1441</v>
      </c>
      <c r="AA172" t="s">
        <v>1442</v>
      </c>
      <c r="AB172" t="s">
        <v>1489</v>
      </c>
      <c r="AC172">
        <v>99195</v>
      </c>
      <c r="AD172" t="s">
        <v>1490</v>
      </c>
      <c r="AE172">
        <v>-38.23732622</v>
      </c>
      <c r="AF172">
        <v>175.85890058999999</v>
      </c>
      <c r="AG172">
        <v>40</v>
      </c>
      <c r="AH172">
        <v>0</v>
      </c>
      <c r="AI172">
        <v>0</v>
      </c>
      <c r="AJ172">
        <v>0</v>
      </c>
      <c r="AK172">
        <v>6</v>
      </c>
      <c r="AL172">
        <v>20</v>
      </c>
      <c r="AM172">
        <v>16</v>
      </c>
      <c r="AN172">
        <v>2</v>
      </c>
      <c r="AO172">
        <v>44</v>
      </c>
      <c r="AP172">
        <v>27</v>
      </c>
      <c r="AQ172">
        <v>32</v>
      </c>
      <c r="AR172">
        <v>7</v>
      </c>
      <c r="AS172">
        <v>4</v>
      </c>
      <c r="AT172">
        <v>0</v>
      </c>
    </row>
    <row r="173" spans="1:46">
      <c r="A173">
        <v>5166</v>
      </c>
      <c r="B173" t="s">
        <v>1494</v>
      </c>
      <c r="C173" t="s">
        <v>1433</v>
      </c>
      <c r="D173" t="s">
        <v>1495</v>
      </c>
      <c r="E173" t="s">
        <v>1496</v>
      </c>
      <c r="G173" t="s">
        <v>1497</v>
      </c>
      <c r="H173" t="s">
        <v>517</v>
      </c>
      <c r="J173" t="s">
        <v>518</v>
      </c>
      <c r="K173" t="s">
        <v>519</v>
      </c>
      <c r="M173" t="s">
        <v>1297</v>
      </c>
      <c r="N173" t="s">
        <v>539</v>
      </c>
      <c r="O173" t="s">
        <v>1484</v>
      </c>
      <c r="P173" t="s">
        <v>523</v>
      </c>
      <c r="Q173" t="s">
        <v>1299</v>
      </c>
      <c r="R173" t="s">
        <v>1300</v>
      </c>
      <c r="S173" t="s">
        <v>1320</v>
      </c>
      <c r="T173" t="s">
        <v>1485</v>
      </c>
      <c r="U173">
        <v>186000</v>
      </c>
      <c r="V173" t="s">
        <v>1498</v>
      </c>
      <c r="W173" t="s">
        <v>1499</v>
      </c>
      <c r="X173" t="s">
        <v>1488</v>
      </c>
      <c r="Y173" t="s">
        <v>1441</v>
      </c>
      <c r="AA173" t="s">
        <v>1442</v>
      </c>
      <c r="AB173" t="s">
        <v>1489</v>
      </c>
      <c r="AC173">
        <v>99076</v>
      </c>
      <c r="AD173" t="s">
        <v>1500</v>
      </c>
      <c r="AE173">
        <v>-38.043594919999997</v>
      </c>
      <c r="AF173">
        <v>175.77774461000001</v>
      </c>
      <c r="AG173">
        <v>40</v>
      </c>
      <c r="AH173">
        <v>0</v>
      </c>
      <c r="AI173">
        <v>0</v>
      </c>
      <c r="AJ173">
        <v>0</v>
      </c>
      <c r="AK173">
        <v>6</v>
      </c>
      <c r="AL173">
        <v>12</v>
      </c>
      <c r="AM173">
        <v>15</v>
      </c>
      <c r="AN173">
        <v>1</v>
      </c>
      <c r="AO173">
        <v>34</v>
      </c>
      <c r="AP173">
        <v>21</v>
      </c>
      <c r="AQ173">
        <v>18</v>
      </c>
      <c r="AR173">
        <v>1</v>
      </c>
      <c r="AS173">
        <v>3</v>
      </c>
      <c r="AT173">
        <v>0</v>
      </c>
    </row>
    <row r="174" spans="1:46">
      <c r="A174">
        <v>5167</v>
      </c>
      <c r="B174" t="s">
        <v>1501</v>
      </c>
      <c r="C174" t="s">
        <v>1433</v>
      </c>
      <c r="D174" t="s">
        <v>1502</v>
      </c>
      <c r="E174" t="s">
        <v>1503</v>
      </c>
      <c r="G174" t="s">
        <v>1483</v>
      </c>
      <c r="H174" t="s">
        <v>517</v>
      </c>
      <c r="J174" t="s">
        <v>518</v>
      </c>
      <c r="K174" t="s">
        <v>519</v>
      </c>
      <c r="M174" t="s">
        <v>1297</v>
      </c>
      <c r="N174" t="s">
        <v>727</v>
      </c>
      <c r="O174" t="s">
        <v>1484</v>
      </c>
      <c r="P174" t="s">
        <v>1262</v>
      </c>
      <c r="Q174" t="s">
        <v>1299</v>
      </c>
      <c r="R174" t="s">
        <v>1300</v>
      </c>
      <c r="S174" t="s">
        <v>1320</v>
      </c>
      <c r="T174" t="s">
        <v>1485</v>
      </c>
      <c r="U174">
        <v>186500</v>
      </c>
      <c r="V174" t="s">
        <v>1504</v>
      </c>
      <c r="W174" t="s">
        <v>1487</v>
      </c>
      <c r="X174" t="s">
        <v>1488</v>
      </c>
      <c r="Y174" t="s">
        <v>1441</v>
      </c>
      <c r="AA174" t="s">
        <v>1442</v>
      </c>
      <c r="AB174" t="s">
        <v>1489</v>
      </c>
      <c r="AC174">
        <v>99195</v>
      </c>
      <c r="AD174" t="s">
        <v>1490</v>
      </c>
      <c r="AE174">
        <v>-38.223926949999999</v>
      </c>
      <c r="AF174">
        <v>175.86561696999999</v>
      </c>
      <c r="AG174">
        <v>40</v>
      </c>
      <c r="AH174">
        <v>0</v>
      </c>
      <c r="AI174">
        <v>0</v>
      </c>
      <c r="AJ174">
        <v>0</v>
      </c>
      <c r="AK174">
        <v>8</v>
      </c>
      <c r="AL174">
        <v>15</v>
      </c>
      <c r="AM174">
        <v>17</v>
      </c>
      <c r="AN174">
        <v>3</v>
      </c>
      <c r="AO174">
        <v>43</v>
      </c>
      <c r="AP174">
        <v>20</v>
      </c>
      <c r="AQ174">
        <v>30</v>
      </c>
      <c r="AR174">
        <v>15</v>
      </c>
      <c r="AS174">
        <v>3</v>
      </c>
      <c r="AT174">
        <v>1</v>
      </c>
    </row>
    <row r="175" spans="1:46">
      <c r="A175">
        <v>5168</v>
      </c>
      <c r="B175" t="s">
        <v>1505</v>
      </c>
      <c r="C175" t="s">
        <v>1433</v>
      </c>
      <c r="D175" t="s">
        <v>1506</v>
      </c>
      <c r="E175" t="s">
        <v>1507</v>
      </c>
      <c r="G175" t="s">
        <v>1483</v>
      </c>
      <c r="H175" t="s">
        <v>517</v>
      </c>
      <c r="J175" t="s">
        <v>518</v>
      </c>
      <c r="K175" t="s">
        <v>519</v>
      </c>
      <c r="M175" t="s">
        <v>1297</v>
      </c>
      <c r="N175" t="s">
        <v>539</v>
      </c>
      <c r="O175" t="s">
        <v>1484</v>
      </c>
      <c r="P175" t="s">
        <v>1262</v>
      </c>
      <c r="Q175" t="s">
        <v>1299</v>
      </c>
      <c r="R175" t="s">
        <v>1300</v>
      </c>
      <c r="S175" t="s">
        <v>1320</v>
      </c>
      <c r="T175" t="s">
        <v>1485</v>
      </c>
      <c r="U175">
        <v>186400</v>
      </c>
      <c r="V175" t="s">
        <v>1508</v>
      </c>
      <c r="W175" t="s">
        <v>1487</v>
      </c>
      <c r="X175" t="s">
        <v>1488</v>
      </c>
      <c r="Y175" t="s">
        <v>1441</v>
      </c>
      <c r="AA175" t="s">
        <v>1442</v>
      </c>
      <c r="AB175" t="s">
        <v>1489</v>
      </c>
      <c r="AE175">
        <v>-38.225097030000001</v>
      </c>
      <c r="AF175">
        <v>175.8523677</v>
      </c>
      <c r="AG175">
        <v>40</v>
      </c>
      <c r="AH175">
        <v>0</v>
      </c>
      <c r="AI175">
        <v>0</v>
      </c>
      <c r="AJ175">
        <v>0</v>
      </c>
      <c r="AK175">
        <v>10</v>
      </c>
      <c r="AL175">
        <v>15</v>
      </c>
      <c r="AM175">
        <v>16</v>
      </c>
      <c r="AN175">
        <v>2</v>
      </c>
      <c r="AO175">
        <v>43</v>
      </c>
      <c r="AP175">
        <v>30</v>
      </c>
      <c r="AQ175">
        <v>21</v>
      </c>
      <c r="AR175">
        <v>8</v>
      </c>
      <c r="AS175">
        <v>3</v>
      </c>
      <c r="AT175">
        <v>0</v>
      </c>
    </row>
    <row r="176" spans="1:46">
      <c r="A176">
        <v>5169</v>
      </c>
      <c r="B176" t="s">
        <v>1509</v>
      </c>
      <c r="C176" t="s">
        <v>1510</v>
      </c>
      <c r="D176" t="s">
        <v>1511</v>
      </c>
      <c r="E176" t="s">
        <v>1512</v>
      </c>
      <c r="G176" t="s">
        <v>1513</v>
      </c>
      <c r="H176" t="s">
        <v>517</v>
      </c>
      <c r="J176" t="s">
        <v>518</v>
      </c>
      <c r="K176" t="s">
        <v>519</v>
      </c>
      <c r="M176" t="s">
        <v>1297</v>
      </c>
      <c r="N176" t="s">
        <v>557</v>
      </c>
      <c r="O176" t="s">
        <v>1470</v>
      </c>
      <c r="P176" t="s">
        <v>523</v>
      </c>
      <c r="Q176" t="s">
        <v>1471</v>
      </c>
      <c r="R176" t="s">
        <v>1472</v>
      </c>
      <c r="S176" t="s">
        <v>1473</v>
      </c>
      <c r="T176" t="s">
        <v>1474</v>
      </c>
      <c r="U176">
        <v>202200</v>
      </c>
      <c r="V176" t="s">
        <v>1513</v>
      </c>
      <c r="W176" t="s">
        <v>1514</v>
      </c>
      <c r="X176" t="s">
        <v>1477</v>
      </c>
      <c r="Y176" t="s">
        <v>1441</v>
      </c>
      <c r="AA176" t="s">
        <v>1442</v>
      </c>
      <c r="AB176" t="s">
        <v>1478</v>
      </c>
      <c r="AC176">
        <v>99038</v>
      </c>
      <c r="AD176" t="s">
        <v>1515</v>
      </c>
      <c r="AE176">
        <v>-37.978074309999997</v>
      </c>
      <c r="AF176">
        <v>176.82627891000001</v>
      </c>
      <c r="AG176">
        <v>40</v>
      </c>
      <c r="AH176">
        <v>0</v>
      </c>
      <c r="AI176">
        <v>0</v>
      </c>
      <c r="AJ176">
        <v>0</v>
      </c>
      <c r="AK176">
        <v>5</v>
      </c>
      <c r="AL176">
        <v>18</v>
      </c>
      <c r="AM176">
        <v>17</v>
      </c>
      <c r="AN176">
        <v>2</v>
      </c>
      <c r="AO176">
        <v>42</v>
      </c>
      <c r="AP176">
        <v>25</v>
      </c>
      <c r="AQ176">
        <v>21</v>
      </c>
      <c r="AR176">
        <v>1</v>
      </c>
      <c r="AS176">
        <v>4</v>
      </c>
      <c r="AT176">
        <v>4</v>
      </c>
    </row>
    <row r="177" spans="1:46">
      <c r="A177">
        <v>5172</v>
      </c>
      <c r="B177" t="s">
        <v>1516</v>
      </c>
      <c r="C177" t="s">
        <v>1517</v>
      </c>
      <c r="D177" t="s">
        <v>1518</v>
      </c>
      <c r="E177" t="s">
        <v>1519</v>
      </c>
      <c r="F177" t="s">
        <v>1520</v>
      </c>
      <c r="G177" t="s">
        <v>1521</v>
      </c>
      <c r="H177" t="s">
        <v>517</v>
      </c>
      <c r="J177" t="s">
        <v>518</v>
      </c>
      <c r="K177" t="s">
        <v>519</v>
      </c>
      <c r="M177" t="s">
        <v>1297</v>
      </c>
      <c r="N177" t="s">
        <v>727</v>
      </c>
      <c r="O177" t="s">
        <v>1522</v>
      </c>
      <c r="P177" t="s">
        <v>584</v>
      </c>
      <c r="Q177" t="s">
        <v>1471</v>
      </c>
      <c r="R177" t="s">
        <v>1472</v>
      </c>
      <c r="S177" t="s">
        <v>1521</v>
      </c>
      <c r="T177" t="s">
        <v>1474</v>
      </c>
      <c r="U177">
        <v>199700</v>
      </c>
      <c r="V177" t="s">
        <v>1520</v>
      </c>
      <c r="W177" t="s">
        <v>1523</v>
      </c>
      <c r="X177" t="s">
        <v>1524</v>
      </c>
      <c r="Y177" t="s">
        <v>1441</v>
      </c>
      <c r="AA177" t="s">
        <v>1442</v>
      </c>
      <c r="AB177" t="s">
        <v>1525</v>
      </c>
      <c r="AC177">
        <v>99107</v>
      </c>
      <c r="AD177" t="s">
        <v>1526</v>
      </c>
      <c r="AE177">
        <v>-38.145137859999998</v>
      </c>
      <c r="AF177">
        <v>176.22610853</v>
      </c>
      <c r="AG177">
        <v>40</v>
      </c>
      <c r="AH177">
        <v>0</v>
      </c>
      <c r="AI177">
        <v>0</v>
      </c>
      <c r="AJ177">
        <v>0</v>
      </c>
      <c r="AK177">
        <v>9</v>
      </c>
      <c r="AL177">
        <v>15</v>
      </c>
      <c r="AM177">
        <v>12</v>
      </c>
      <c r="AN177">
        <v>1</v>
      </c>
      <c r="AO177">
        <v>37</v>
      </c>
      <c r="AP177">
        <v>7</v>
      </c>
      <c r="AQ177">
        <v>35</v>
      </c>
      <c r="AR177">
        <v>2</v>
      </c>
      <c r="AS177">
        <v>2</v>
      </c>
      <c r="AT177">
        <v>1</v>
      </c>
    </row>
    <row r="178" spans="1:46">
      <c r="A178">
        <v>5173</v>
      </c>
      <c r="B178" t="s">
        <v>1527</v>
      </c>
      <c r="C178" t="s">
        <v>1528</v>
      </c>
      <c r="D178" t="s">
        <v>1529</v>
      </c>
      <c r="E178" t="s">
        <v>1530</v>
      </c>
      <c r="G178" t="s">
        <v>1469</v>
      </c>
      <c r="H178" t="s">
        <v>517</v>
      </c>
      <c r="J178" t="s">
        <v>518</v>
      </c>
      <c r="K178" t="s">
        <v>519</v>
      </c>
      <c r="M178" t="s">
        <v>1297</v>
      </c>
      <c r="N178" t="s">
        <v>521</v>
      </c>
      <c r="O178" t="s">
        <v>1470</v>
      </c>
      <c r="P178" t="s">
        <v>1262</v>
      </c>
      <c r="Q178" t="s">
        <v>1471</v>
      </c>
      <c r="R178" t="s">
        <v>1472</v>
      </c>
      <c r="S178" t="s">
        <v>1473</v>
      </c>
      <c r="T178" t="s">
        <v>1474</v>
      </c>
      <c r="U178">
        <v>202800</v>
      </c>
      <c r="V178" t="s">
        <v>1531</v>
      </c>
      <c r="W178" t="s">
        <v>1476</v>
      </c>
      <c r="X178" t="s">
        <v>1477</v>
      </c>
      <c r="Y178" t="s">
        <v>1441</v>
      </c>
      <c r="AA178" t="s">
        <v>1442</v>
      </c>
      <c r="AB178" t="s">
        <v>1478</v>
      </c>
      <c r="AC178">
        <v>99016</v>
      </c>
      <c r="AD178" t="s">
        <v>1479</v>
      </c>
      <c r="AE178">
        <v>-37.967236249999999</v>
      </c>
      <c r="AF178">
        <v>176.97947916999999</v>
      </c>
      <c r="AG178">
        <v>80</v>
      </c>
      <c r="AH178">
        <v>10</v>
      </c>
      <c r="AI178">
        <v>0</v>
      </c>
      <c r="AJ178">
        <v>0</v>
      </c>
      <c r="AK178">
        <v>7</v>
      </c>
      <c r="AL178">
        <v>20</v>
      </c>
      <c r="AM178">
        <v>13</v>
      </c>
      <c r="AN178">
        <v>1</v>
      </c>
      <c r="AO178">
        <v>41</v>
      </c>
      <c r="AP178">
        <v>30</v>
      </c>
      <c r="AQ178">
        <v>15</v>
      </c>
      <c r="AR178">
        <v>1</v>
      </c>
      <c r="AS178">
        <v>1</v>
      </c>
      <c r="AT178">
        <v>2</v>
      </c>
    </row>
    <row r="179" spans="1:46">
      <c r="A179">
        <v>5174</v>
      </c>
      <c r="B179" t="s">
        <v>1532</v>
      </c>
      <c r="C179" t="s">
        <v>1433</v>
      </c>
      <c r="D179" t="s">
        <v>1533</v>
      </c>
      <c r="E179" t="s">
        <v>1534</v>
      </c>
      <c r="G179" t="s">
        <v>1497</v>
      </c>
      <c r="H179" t="s">
        <v>517</v>
      </c>
      <c r="J179" t="s">
        <v>518</v>
      </c>
      <c r="K179" t="s">
        <v>519</v>
      </c>
      <c r="M179" t="s">
        <v>1297</v>
      </c>
      <c r="N179" t="s">
        <v>539</v>
      </c>
      <c r="O179" t="s">
        <v>1484</v>
      </c>
      <c r="P179" t="s">
        <v>523</v>
      </c>
      <c r="Q179" t="s">
        <v>1299</v>
      </c>
      <c r="R179" t="s">
        <v>1300</v>
      </c>
      <c r="S179" t="s">
        <v>1320</v>
      </c>
      <c r="T179" t="s">
        <v>1485</v>
      </c>
      <c r="U179">
        <v>186000</v>
      </c>
      <c r="V179" t="s">
        <v>1498</v>
      </c>
      <c r="W179" t="s">
        <v>1499</v>
      </c>
      <c r="X179" t="s">
        <v>1488</v>
      </c>
      <c r="Y179" t="s">
        <v>1441</v>
      </c>
      <c r="AA179" t="s">
        <v>1442</v>
      </c>
      <c r="AB179" t="s">
        <v>1489</v>
      </c>
      <c r="AC179">
        <v>99076</v>
      </c>
      <c r="AD179" t="s">
        <v>1500</v>
      </c>
      <c r="AE179">
        <v>-38.051726019999997</v>
      </c>
      <c r="AF179">
        <v>175.77719980000001</v>
      </c>
      <c r="AG179">
        <v>40</v>
      </c>
      <c r="AH179">
        <v>0</v>
      </c>
      <c r="AI179">
        <v>0</v>
      </c>
      <c r="AJ179">
        <v>0</v>
      </c>
      <c r="AK179">
        <v>7</v>
      </c>
      <c r="AL179">
        <v>19</v>
      </c>
      <c r="AM179">
        <v>24</v>
      </c>
      <c r="AN179">
        <v>3</v>
      </c>
      <c r="AO179">
        <v>53</v>
      </c>
      <c r="AP179">
        <v>42</v>
      </c>
      <c r="AQ179">
        <v>16</v>
      </c>
      <c r="AR179">
        <v>2</v>
      </c>
      <c r="AS179">
        <v>1</v>
      </c>
      <c r="AT179">
        <v>6</v>
      </c>
    </row>
    <row r="180" spans="1:46">
      <c r="A180">
        <v>5175</v>
      </c>
      <c r="B180" t="s">
        <v>1535</v>
      </c>
      <c r="C180" t="s">
        <v>1433</v>
      </c>
      <c r="D180" t="s">
        <v>1536</v>
      </c>
      <c r="E180" t="s">
        <v>1537</v>
      </c>
      <c r="G180" t="s">
        <v>1538</v>
      </c>
      <c r="H180" t="s">
        <v>517</v>
      </c>
      <c r="J180" t="s">
        <v>518</v>
      </c>
      <c r="K180" t="s">
        <v>519</v>
      </c>
      <c r="M180" t="s">
        <v>1297</v>
      </c>
      <c r="N180" t="s">
        <v>557</v>
      </c>
      <c r="O180" t="s">
        <v>1319</v>
      </c>
      <c r="P180" t="s">
        <v>1262</v>
      </c>
      <c r="Q180" t="s">
        <v>1299</v>
      </c>
      <c r="R180" t="s">
        <v>1300</v>
      </c>
      <c r="S180" t="s">
        <v>1417</v>
      </c>
      <c r="T180" t="s">
        <v>1235</v>
      </c>
      <c r="U180">
        <v>184400</v>
      </c>
      <c r="V180" t="s">
        <v>1539</v>
      </c>
      <c r="W180" t="s">
        <v>1540</v>
      </c>
      <c r="X180" t="s">
        <v>1488</v>
      </c>
      <c r="Y180" t="s">
        <v>1441</v>
      </c>
      <c r="AA180" t="s">
        <v>1442</v>
      </c>
      <c r="AB180" t="s">
        <v>1489</v>
      </c>
      <c r="AE180">
        <v>-38.013034150000003</v>
      </c>
      <c r="AF180">
        <v>175.33335260999999</v>
      </c>
      <c r="AG180">
        <v>40</v>
      </c>
      <c r="AH180">
        <v>0</v>
      </c>
      <c r="AI180">
        <v>0</v>
      </c>
      <c r="AJ180">
        <v>0</v>
      </c>
      <c r="AK180">
        <v>8</v>
      </c>
      <c r="AL180">
        <v>19</v>
      </c>
      <c r="AM180">
        <v>17</v>
      </c>
      <c r="AN180">
        <v>2</v>
      </c>
      <c r="AO180">
        <v>46</v>
      </c>
      <c r="AP180">
        <v>31</v>
      </c>
      <c r="AQ180">
        <v>19</v>
      </c>
      <c r="AR180">
        <v>0</v>
      </c>
      <c r="AS180">
        <v>1</v>
      </c>
      <c r="AT180">
        <v>1</v>
      </c>
    </row>
    <row r="181" spans="1:46">
      <c r="A181">
        <v>5177</v>
      </c>
      <c r="B181" t="s">
        <v>1541</v>
      </c>
      <c r="C181" t="s">
        <v>1542</v>
      </c>
      <c r="D181" t="s">
        <v>1543</v>
      </c>
      <c r="E181" t="s">
        <v>1544</v>
      </c>
      <c r="G181" t="s">
        <v>1545</v>
      </c>
      <c r="H181" t="s">
        <v>517</v>
      </c>
      <c r="J181" t="s">
        <v>518</v>
      </c>
      <c r="K181" t="s">
        <v>519</v>
      </c>
      <c r="M181" t="s">
        <v>1297</v>
      </c>
      <c r="N181" t="s">
        <v>539</v>
      </c>
      <c r="O181" t="s">
        <v>1546</v>
      </c>
      <c r="P181" t="s">
        <v>1262</v>
      </c>
      <c r="Q181" t="s">
        <v>1299</v>
      </c>
      <c r="R181" t="s">
        <v>1472</v>
      </c>
      <c r="S181" t="s">
        <v>1320</v>
      </c>
      <c r="T181" t="s">
        <v>1474</v>
      </c>
      <c r="U181">
        <v>188900</v>
      </c>
      <c r="V181" t="s">
        <v>1547</v>
      </c>
      <c r="W181" t="s">
        <v>1548</v>
      </c>
      <c r="X181" t="s">
        <v>1549</v>
      </c>
      <c r="Y181" t="s">
        <v>1441</v>
      </c>
      <c r="AA181" t="s">
        <v>1442</v>
      </c>
      <c r="AC181">
        <v>99020</v>
      </c>
      <c r="AD181" t="s">
        <v>1550</v>
      </c>
      <c r="AE181">
        <v>-38.690175459999999</v>
      </c>
      <c r="AF181">
        <v>176.09733731</v>
      </c>
      <c r="AG181">
        <v>40</v>
      </c>
      <c r="AH181">
        <v>0</v>
      </c>
      <c r="AI181">
        <v>0</v>
      </c>
      <c r="AJ181">
        <v>0</v>
      </c>
      <c r="AK181">
        <v>0</v>
      </c>
      <c r="AL181">
        <v>18</v>
      </c>
      <c r="AM181">
        <v>20</v>
      </c>
      <c r="AN181">
        <v>2</v>
      </c>
      <c r="AO181">
        <v>40</v>
      </c>
      <c r="AP181">
        <v>23</v>
      </c>
      <c r="AQ181">
        <v>19</v>
      </c>
      <c r="AR181">
        <v>2</v>
      </c>
      <c r="AS181">
        <v>3</v>
      </c>
      <c r="AT181">
        <v>0</v>
      </c>
    </row>
    <row r="182" spans="1:46">
      <c r="A182">
        <v>5179</v>
      </c>
      <c r="B182" t="s">
        <v>1551</v>
      </c>
      <c r="C182" t="s">
        <v>1552</v>
      </c>
      <c r="D182" t="s">
        <v>1553</v>
      </c>
      <c r="E182" t="s">
        <v>1554</v>
      </c>
      <c r="G182" t="s">
        <v>1555</v>
      </c>
      <c r="H182" t="s">
        <v>517</v>
      </c>
      <c r="J182" t="s">
        <v>518</v>
      </c>
      <c r="K182" t="s">
        <v>519</v>
      </c>
      <c r="M182" t="s">
        <v>1297</v>
      </c>
      <c r="N182" t="s">
        <v>727</v>
      </c>
      <c r="O182" t="s">
        <v>1351</v>
      </c>
      <c r="P182" t="s">
        <v>523</v>
      </c>
      <c r="Q182" t="s">
        <v>1299</v>
      </c>
      <c r="R182" t="s">
        <v>1300</v>
      </c>
      <c r="S182" t="s">
        <v>1300</v>
      </c>
      <c r="T182" t="s">
        <v>1235</v>
      </c>
      <c r="U182">
        <v>171502</v>
      </c>
      <c r="V182" t="s">
        <v>1556</v>
      </c>
      <c r="W182" t="s">
        <v>1557</v>
      </c>
      <c r="X182" t="s">
        <v>1440</v>
      </c>
      <c r="Y182" t="s">
        <v>1441</v>
      </c>
      <c r="AA182" t="s">
        <v>1442</v>
      </c>
      <c r="AB182" t="s">
        <v>1443</v>
      </c>
      <c r="AC182">
        <v>99130</v>
      </c>
      <c r="AD182" t="s">
        <v>1558</v>
      </c>
      <c r="AE182">
        <v>-37.55529421</v>
      </c>
      <c r="AF182">
        <v>175.16075483</v>
      </c>
      <c r="AG182">
        <v>40</v>
      </c>
      <c r="AH182">
        <v>0</v>
      </c>
      <c r="AI182">
        <v>0</v>
      </c>
      <c r="AJ182">
        <v>0</v>
      </c>
      <c r="AK182">
        <v>10</v>
      </c>
      <c r="AL182">
        <v>12</v>
      </c>
      <c r="AM182">
        <v>16</v>
      </c>
      <c r="AN182">
        <v>2</v>
      </c>
      <c r="AO182">
        <v>40</v>
      </c>
      <c r="AP182">
        <v>13</v>
      </c>
      <c r="AQ182">
        <v>22</v>
      </c>
      <c r="AR182">
        <v>5</v>
      </c>
      <c r="AS182">
        <v>10</v>
      </c>
      <c r="AT182">
        <v>2</v>
      </c>
    </row>
    <row r="183" spans="1:46">
      <c r="A183">
        <v>5181</v>
      </c>
      <c r="B183" t="s">
        <v>1559</v>
      </c>
      <c r="C183" t="s">
        <v>1560</v>
      </c>
      <c r="D183" t="s">
        <v>1561</v>
      </c>
      <c r="E183" t="s">
        <v>1562</v>
      </c>
      <c r="F183" t="s">
        <v>1563</v>
      </c>
      <c r="G183" t="s">
        <v>1521</v>
      </c>
      <c r="H183" t="s">
        <v>517</v>
      </c>
      <c r="J183" t="s">
        <v>518</v>
      </c>
      <c r="K183" t="s">
        <v>519</v>
      </c>
      <c r="M183" t="s">
        <v>1297</v>
      </c>
      <c r="N183" t="s">
        <v>571</v>
      </c>
      <c r="O183" t="s">
        <v>1522</v>
      </c>
      <c r="P183" t="s">
        <v>584</v>
      </c>
      <c r="Q183" t="s">
        <v>1471</v>
      </c>
      <c r="R183" t="s">
        <v>1472</v>
      </c>
      <c r="S183" t="s">
        <v>1521</v>
      </c>
      <c r="T183" t="s">
        <v>1474</v>
      </c>
      <c r="U183">
        <v>200600</v>
      </c>
      <c r="V183" t="s">
        <v>1564</v>
      </c>
      <c r="W183" t="s">
        <v>1523</v>
      </c>
      <c r="X183" t="s">
        <v>1524</v>
      </c>
      <c r="Y183" t="s">
        <v>1441</v>
      </c>
      <c r="AA183" t="s">
        <v>1442</v>
      </c>
      <c r="AB183" t="s">
        <v>1525</v>
      </c>
      <c r="AC183">
        <v>99019</v>
      </c>
      <c r="AD183" t="s">
        <v>1565</v>
      </c>
      <c r="AE183">
        <v>-38.160319209999997</v>
      </c>
      <c r="AF183">
        <v>176.23370983999999</v>
      </c>
      <c r="AG183">
        <v>45</v>
      </c>
      <c r="AH183">
        <v>0</v>
      </c>
      <c r="AI183">
        <v>0</v>
      </c>
      <c r="AJ183">
        <v>0</v>
      </c>
      <c r="AK183">
        <v>12</v>
      </c>
      <c r="AL183">
        <v>27</v>
      </c>
      <c r="AM183">
        <v>14</v>
      </c>
      <c r="AN183">
        <v>0</v>
      </c>
      <c r="AO183">
        <v>53</v>
      </c>
      <c r="AP183">
        <v>32</v>
      </c>
      <c r="AQ183">
        <v>19</v>
      </c>
      <c r="AR183">
        <v>2</v>
      </c>
      <c r="AS183">
        <v>12</v>
      </c>
      <c r="AT183">
        <v>3</v>
      </c>
    </row>
    <row r="184" spans="1:46">
      <c r="A184">
        <v>5183</v>
      </c>
      <c r="B184" t="s">
        <v>1566</v>
      </c>
      <c r="C184" t="s">
        <v>1433</v>
      </c>
      <c r="D184" t="s">
        <v>1567</v>
      </c>
      <c r="E184" t="s">
        <v>1568</v>
      </c>
      <c r="G184" t="s">
        <v>1569</v>
      </c>
      <c r="H184" t="s">
        <v>517</v>
      </c>
      <c r="J184" t="s">
        <v>518</v>
      </c>
      <c r="K184" t="s">
        <v>519</v>
      </c>
      <c r="M184" t="s">
        <v>1297</v>
      </c>
      <c r="N184" t="s">
        <v>571</v>
      </c>
      <c r="O184" t="s">
        <v>1319</v>
      </c>
      <c r="P184" t="s">
        <v>523</v>
      </c>
      <c r="Q184" t="s">
        <v>1299</v>
      </c>
      <c r="R184" t="s">
        <v>1300</v>
      </c>
      <c r="S184" t="s">
        <v>1417</v>
      </c>
      <c r="T184" t="s">
        <v>1235</v>
      </c>
      <c r="U184">
        <v>184800</v>
      </c>
      <c r="V184" t="s">
        <v>1570</v>
      </c>
      <c r="W184" t="s">
        <v>1540</v>
      </c>
      <c r="X184" t="s">
        <v>1488</v>
      </c>
      <c r="Y184" t="s">
        <v>1441</v>
      </c>
      <c r="AA184" t="s">
        <v>1442</v>
      </c>
      <c r="AB184" t="s">
        <v>1489</v>
      </c>
      <c r="AE184">
        <v>-38.036295940000002</v>
      </c>
      <c r="AF184">
        <v>175.34604346</v>
      </c>
      <c r="AG184">
        <v>40</v>
      </c>
      <c r="AH184">
        <v>0</v>
      </c>
      <c r="AI184">
        <v>0</v>
      </c>
      <c r="AJ184">
        <v>0</v>
      </c>
      <c r="AK184">
        <v>1</v>
      </c>
      <c r="AL184">
        <v>21</v>
      </c>
      <c r="AM184">
        <v>30</v>
      </c>
      <c r="AN184">
        <v>0</v>
      </c>
      <c r="AO184">
        <v>52</v>
      </c>
      <c r="AP184">
        <v>43</v>
      </c>
      <c r="AQ184">
        <v>19</v>
      </c>
      <c r="AR184">
        <v>3</v>
      </c>
      <c r="AS184">
        <v>2</v>
      </c>
      <c r="AT184">
        <v>1</v>
      </c>
    </row>
    <row r="185" spans="1:46">
      <c r="A185">
        <v>5185</v>
      </c>
      <c r="B185" t="s">
        <v>1571</v>
      </c>
      <c r="C185" t="s">
        <v>1572</v>
      </c>
      <c r="D185" t="s">
        <v>1573</v>
      </c>
      <c r="E185" t="s">
        <v>1574</v>
      </c>
      <c r="G185" t="s">
        <v>1545</v>
      </c>
      <c r="H185" t="s">
        <v>517</v>
      </c>
      <c r="J185" t="s">
        <v>518</v>
      </c>
      <c r="K185" t="s">
        <v>519</v>
      </c>
      <c r="M185" t="s">
        <v>1297</v>
      </c>
      <c r="N185" t="s">
        <v>557</v>
      </c>
      <c r="O185" t="s">
        <v>1546</v>
      </c>
      <c r="P185" t="s">
        <v>1262</v>
      </c>
      <c r="Q185" t="s">
        <v>1299</v>
      </c>
      <c r="R185" t="s">
        <v>1472</v>
      </c>
      <c r="S185" t="s">
        <v>1320</v>
      </c>
      <c r="T185" t="s">
        <v>1474</v>
      </c>
      <c r="U185">
        <v>188800</v>
      </c>
      <c r="V185" t="s">
        <v>1575</v>
      </c>
      <c r="W185" t="s">
        <v>1548</v>
      </c>
      <c r="X185" t="s">
        <v>1549</v>
      </c>
      <c r="Y185" t="s">
        <v>1441</v>
      </c>
      <c r="AA185" t="s">
        <v>1442</v>
      </c>
      <c r="AC185">
        <v>99020</v>
      </c>
      <c r="AD185" t="s">
        <v>1550</v>
      </c>
      <c r="AE185">
        <v>-38.68631371</v>
      </c>
      <c r="AF185">
        <v>176.08214135</v>
      </c>
      <c r="AG185">
        <v>44</v>
      </c>
      <c r="AH185">
        <v>0</v>
      </c>
      <c r="AI185">
        <v>0</v>
      </c>
      <c r="AJ185">
        <v>0</v>
      </c>
      <c r="AK185">
        <v>0</v>
      </c>
      <c r="AL185">
        <v>18</v>
      </c>
      <c r="AM185">
        <v>29</v>
      </c>
      <c r="AN185">
        <v>2</v>
      </c>
      <c r="AO185">
        <v>49</v>
      </c>
      <c r="AP185">
        <v>30</v>
      </c>
      <c r="AQ185">
        <v>20</v>
      </c>
      <c r="AR185">
        <v>4</v>
      </c>
      <c r="AS185">
        <v>10</v>
      </c>
      <c r="AT185">
        <v>2</v>
      </c>
    </row>
    <row r="186" spans="1:46">
      <c r="A186">
        <v>5186</v>
      </c>
      <c r="B186" t="s">
        <v>1576</v>
      </c>
      <c r="C186" t="s">
        <v>1433</v>
      </c>
      <c r="D186" t="s">
        <v>1577</v>
      </c>
      <c r="E186" t="s">
        <v>1578</v>
      </c>
      <c r="G186" t="s">
        <v>1579</v>
      </c>
      <c r="H186" t="s">
        <v>517</v>
      </c>
      <c r="J186" t="s">
        <v>518</v>
      </c>
      <c r="K186" t="s">
        <v>519</v>
      </c>
      <c r="M186" t="s">
        <v>1297</v>
      </c>
      <c r="N186" t="s">
        <v>521</v>
      </c>
      <c r="O186" t="s">
        <v>1450</v>
      </c>
      <c r="P186" t="s">
        <v>523</v>
      </c>
      <c r="Q186" t="s">
        <v>1299</v>
      </c>
      <c r="R186" t="s">
        <v>1300</v>
      </c>
      <c r="S186" t="s">
        <v>1300</v>
      </c>
      <c r="T186" t="s">
        <v>1235</v>
      </c>
      <c r="U186">
        <v>175001</v>
      </c>
      <c r="V186" t="s">
        <v>1580</v>
      </c>
      <c r="W186" t="s">
        <v>1581</v>
      </c>
      <c r="X186" t="s">
        <v>1440</v>
      </c>
      <c r="Y186" t="s">
        <v>1441</v>
      </c>
      <c r="AA186" t="s">
        <v>1442</v>
      </c>
      <c r="AB186" t="s">
        <v>1443</v>
      </c>
      <c r="AC186">
        <v>99104</v>
      </c>
      <c r="AD186" t="s">
        <v>1582</v>
      </c>
      <c r="AE186">
        <v>-37.815334829999998</v>
      </c>
      <c r="AF186">
        <v>175.77014552</v>
      </c>
      <c r="AG186">
        <v>40</v>
      </c>
      <c r="AH186">
        <v>0</v>
      </c>
      <c r="AI186">
        <v>0</v>
      </c>
      <c r="AJ186">
        <v>0</v>
      </c>
      <c r="AK186">
        <v>8</v>
      </c>
      <c r="AL186">
        <v>22</v>
      </c>
      <c r="AM186">
        <v>22</v>
      </c>
      <c r="AN186">
        <v>2</v>
      </c>
      <c r="AO186">
        <v>54</v>
      </c>
      <c r="AP186">
        <v>43</v>
      </c>
      <c r="AQ186">
        <v>19</v>
      </c>
      <c r="AR186">
        <v>4</v>
      </c>
      <c r="AS186">
        <v>5</v>
      </c>
      <c r="AT186">
        <v>0</v>
      </c>
    </row>
    <row r="187" spans="1:46">
      <c r="A187">
        <v>5187</v>
      </c>
      <c r="B187" t="s">
        <v>1583</v>
      </c>
      <c r="C187" t="s">
        <v>1433</v>
      </c>
      <c r="D187" t="s">
        <v>1584</v>
      </c>
      <c r="E187" t="s">
        <v>1585</v>
      </c>
      <c r="G187" t="s">
        <v>1586</v>
      </c>
      <c r="H187" t="s">
        <v>517</v>
      </c>
      <c r="J187" t="s">
        <v>518</v>
      </c>
      <c r="K187" t="s">
        <v>519</v>
      </c>
      <c r="M187" t="s">
        <v>1297</v>
      </c>
      <c r="N187" t="s">
        <v>539</v>
      </c>
      <c r="O187" t="s">
        <v>1450</v>
      </c>
      <c r="P187" t="s">
        <v>523</v>
      </c>
      <c r="Q187" t="s">
        <v>1299</v>
      </c>
      <c r="R187" t="s">
        <v>1300</v>
      </c>
      <c r="S187" t="s">
        <v>1300</v>
      </c>
      <c r="T187" t="s">
        <v>1235</v>
      </c>
      <c r="U187">
        <v>173902</v>
      </c>
      <c r="V187" t="s">
        <v>1587</v>
      </c>
      <c r="W187" t="s">
        <v>1588</v>
      </c>
      <c r="X187" t="s">
        <v>1440</v>
      </c>
      <c r="Y187" t="s">
        <v>1441</v>
      </c>
      <c r="AA187" t="s">
        <v>1442</v>
      </c>
      <c r="AB187" t="s">
        <v>1443</v>
      </c>
      <c r="AC187">
        <v>99131</v>
      </c>
      <c r="AD187" t="s">
        <v>1589</v>
      </c>
      <c r="AE187">
        <v>-37.654904119999998</v>
      </c>
      <c r="AF187">
        <v>175.52665396</v>
      </c>
      <c r="AG187">
        <v>40</v>
      </c>
      <c r="AH187">
        <v>0</v>
      </c>
      <c r="AI187">
        <v>0</v>
      </c>
      <c r="AJ187">
        <v>0</v>
      </c>
      <c r="AK187">
        <v>6</v>
      </c>
      <c r="AL187">
        <v>15</v>
      </c>
      <c r="AM187">
        <v>19</v>
      </c>
      <c r="AN187">
        <v>0</v>
      </c>
      <c r="AO187">
        <v>40</v>
      </c>
      <c r="AP187">
        <v>23</v>
      </c>
      <c r="AQ187">
        <v>13</v>
      </c>
      <c r="AR187">
        <v>2</v>
      </c>
      <c r="AS187">
        <v>12</v>
      </c>
      <c r="AT187">
        <v>1</v>
      </c>
    </row>
    <row r="188" spans="1:46">
      <c r="A188">
        <v>5188</v>
      </c>
      <c r="B188" t="s">
        <v>1590</v>
      </c>
      <c r="C188" t="s">
        <v>1591</v>
      </c>
      <c r="D188" t="s">
        <v>1592</v>
      </c>
      <c r="E188" t="s">
        <v>1593</v>
      </c>
      <c r="G188" t="s">
        <v>1594</v>
      </c>
      <c r="H188" t="s">
        <v>517</v>
      </c>
      <c r="J188" t="s">
        <v>518</v>
      </c>
      <c r="K188" t="s">
        <v>519</v>
      </c>
      <c r="M188" t="s">
        <v>1297</v>
      </c>
      <c r="N188" t="s">
        <v>539</v>
      </c>
      <c r="O188" t="s">
        <v>1470</v>
      </c>
      <c r="P188" t="s">
        <v>523</v>
      </c>
      <c r="Q188" t="s">
        <v>1471</v>
      </c>
      <c r="R188" t="s">
        <v>1472</v>
      </c>
      <c r="S188" t="s">
        <v>1473</v>
      </c>
      <c r="T188" t="s">
        <v>1474</v>
      </c>
      <c r="U188">
        <v>203600</v>
      </c>
      <c r="V188" t="s">
        <v>1594</v>
      </c>
      <c r="W188" t="s">
        <v>1595</v>
      </c>
      <c r="X188" t="s">
        <v>1596</v>
      </c>
      <c r="Y188" t="s">
        <v>1597</v>
      </c>
      <c r="Z188" t="s">
        <v>1598</v>
      </c>
      <c r="AA188" t="s">
        <v>1599</v>
      </c>
      <c r="AB188" t="s">
        <v>1600</v>
      </c>
      <c r="AC188">
        <v>99038</v>
      </c>
      <c r="AD188" t="s">
        <v>1515</v>
      </c>
      <c r="AE188">
        <v>-38.460571119999997</v>
      </c>
      <c r="AF188">
        <v>176.7077749</v>
      </c>
      <c r="AG188">
        <v>45</v>
      </c>
      <c r="AH188">
        <v>0</v>
      </c>
      <c r="AI188">
        <v>0</v>
      </c>
      <c r="AJ188">
        <v>0</v>
      </c>
      <c r="AK188">
        <v>5</v>
      </c>
      <c r="AL188">
        <v>13</v>
      </c>
      <c r="AM188">
        <v>18</v>
      </c>
      <c r="AN188">
        <v>1</v>
      </c>
      <c r="AO188">
        <v>37</v>
      </c>
      <c r="AP188">
        <v>7</v>
      </c>
      <c r="AQ188">
        <v>36</v>
      </c>
      <c r="AR188">
        <v>0</v>
      </c>
      <c r="AS188">
        <v>1</v>
      </c>
      <c r="AT188">
        <v>1</v>
      </c>
    </row>
    <row r="189" spans="1:46">
      <c r="A189">
        <v>5189</v>
      </c>
      <c r="B189" t="s">
        <v>1601</v>
      </c>
      <c r="C189" t="s">
        <v>1602</v>
      </c>
      <c r="D189" t="s">
        <v>1603</v>
      </c>
      <c r="E189" t="s">
        <v>1604</v>
      </c>
      <c r="F189" t="s">
        <v>1605</v>
      </c>
      <c r="G189" t="s">
        <v>1521</v>
      </c>
      <c r="H189" t="s">
        <v>517</v>
      </c>
      <c r="J189" t="s">
        <v>518</v>
      </c>
      <c r="K189" t="s">
        <v>519</v>
      </c>
      <c r="M189" t="s">
        <v>1297</v>
      </c>
      <c r="N189" t="s">
        <v>539</v>
      </c>
      <c r="O189" t="s">
        <v>1522</v>
      </c>
      <c r="P189" t="s">
        <v>523</v>
      </c>
      <c r="Q189" t="s">
        <v>1471</v>
      </c>
      <c r="R189" t="s">
        <v>1472</v>
      </c>
      <c r="S189" t="s">
        <v>1521</v>
      </c>
      <c r="T189" t="s">
        <v>1474</v>
      </c>
      <c r="U189">
        <v>198200</v>
      </c>
      <c r="V189" t="s">
        <v>1606</v>
      </c>
      <c r="W189" t="s">
        <v>1523</v>
      </c>
      <c r="X189" t="s">
        <v>1524</v>
      </c>
      <c r="Y189" t="s">
        <v>1441</v>
      </c>
      <c r="AA189" t="s">
        <v>1442</v>
      </c>
      <c r="AB189" t="s">
        <v>1525</v>
      </c>
      <c r="AC189">
        <v>99107</v>
      </c>
      <c r="AD189" t="s">
        <v>1526</v>
      </c>
      <c r="AE189">
        <v>-38.079497089999997</v>
      </c>
      <c r="AF189">
        <v>176.21088716</v>
      </c>
      <c r="AG189">
        <v>45</v>
      </c>
      <c r="AH189">
        <v>0</v>
      </c>
      <c r="AI189">
        <v>0</v>
      </c>
      <c r="AJ189">
        <v>0</v>
      </c>
      <c r="AK189">
        <v>12</v>
      </c>
      <c r="AL189">
        <v>12</v>
      </c>
      <c r="AM189">
        <v>16</v>
      </c>
      <c r="AN189">
        <v>0</v>
      </c>
      <c r="AO189">
        <v>40</v>
      </c>
      <c r="AP189">
        <v>20</v>
      </c>
      <c r="AQ189">
        <v>21</v>
      </c>
      <c r="AR189">
        <v>3</v>
      </c>
      <c r="AS189">
        <v>1</v>
      </c>
      <c r="AT189">
        <v>6</v>
      </c>
    </row>
    <row r="190" spans="1:46">
      <c r="A190">
        <v>5190</v>
      </c>
      <c r="B190" t="s">
        <v>1607</v>
      </c>
      <c r="C190" t="s">
        <v>1608</v>
      </c>
      <c r="D190" t="s">
        <v>1609</v>
      </c>
      <c r="E190" t="s">
        <v>1610</v>
      </c>
      <c r="G190" t="s">
        <v>1611</v>
      </c>
      <c r="H190" t="s">
        <v>517</v>
      </c>
      <c r="J190" t="s">
        <v>518</v>
      </c>
      <c r="K190" t="s">
        <v>519</v>
      </c>
      <c r="M190" t="s">
        <v>1297</v>
      </c>
      <c r="N190" t="s">
        <v>727</v>
      </c>
      <c r="O190" t="s">
        <v>1612</v>
      </c>
      <c r="P190" t="s">
        <v>523</v>
      </c>
      <c r="Q190" t="s">
        <v>1471</v>
      </c>
      <c r="R190" t="s">
        <v>1472</v>
      </c>
      <c r="S190" t="s">
        <v>1473</v>
      </c>
      <c r="T190" t="s">
        <v>1474</v>
      </c>
      <c r="U190">
        <v>204400</v>
      </c>
      <c r="V190" t="s">
        <v>1613</v>
      </c>
      <c r="W190" t="s">
        <v>1614</v>
      </c>
      <c r="X190" t="s">
        <v>1477</v>
      </c>
      <c r="Y190" t="s">
        <v>1441</v>
      </c>
      <c r="AA190" t="s">
        <v>1442</v>
      </c>
      <c r="AB190" t="s">
        <v>1478</v>
      </c>
      <c r="AC190">
        <v>99037</v>
      </c>
      <c r="AD190" t="s">
        <v>1615</v>
      </c>
      <c r="AE190">
        <v>-38.010435409999999</v>
      </c>
      <c r="AF190">
        <v>177.28811372000001</v>
      </c>
      <c r="AG190">
        <v>50</v>
      </c>
      <c r="AH190">
        <v>0</v>
      </c>
      <c r="AI190">
        <v>0</v>
      </c>
      <c r="AJ190">
        <v>0</v>
      </c>
      <c r="AK190">
        <v>5</v>
      </c>
      <c r="AL190">
        <v>22</v>
      </c>
      <c r="AM190">
        <v>20</v>
      </c>
      <c r="AN190">
        <v>1</v>
      </c>
      <c r="AO190">
        <v>48</v>
      </c>
      <c r="AP190">
        <v>21</v>
      </c>
      <c r="AQ190">
        <v>37</v>
      </c>
      <c r="AR190">
        <v>5</v>
      </c>
      <c r="AS190">
        <v>1</v>
      </c>
      <c r="AT190">
        <v>0</v>
      </c>
    </row>
    <row r="191" spans="1:46">
      <c r="A191">
        <v>5191</v>
      </c>
      <c r="B191" t="s">
        <v>1616</v>
      </c>
      <c r="C191" t="s">
        <v>1433</v>
      </c>
      <c r="D191" t="s">
        <v>1617</v>
      </c>
      <c r="E191" t="s">
        <v>1618</v>
      </c>
      <c r="G191" t="s">
        <v>1619</v>
      </c>
      <c r="H191" t="s">
        <v>517</v>
      </c>
      <c r="J191" t="s">
        <v>518</v>
      </c>
      <c r="K191" t="s">
        <v>519</v>
      </c>
      <c r="M191" t="s">
        <v>1297</v>
      </c>
      <c r="N191" t="s">
        <v>539</v>
      </c>
      <c r="O191" t="s">
        <v>1620</v>
      </c>
      <c r="P191" t="s">
        <v>523</v>
      </c>
      <c r="Q191" t="s">
        <v>1299</v>
      </c>
      <c r="R191" t="s">
        <v>1300</v>
      </c>
      <c r="S191" t="s">
        <v>1417</v>
      </c>
      <c r="T191" t="s">
        <v>1485</v>
      </c>
      <c r="U191">
        <v>185500</v>
      </c>
      <c r="V191" t="s">
        <v>1621</v>
      </c>
      <c r="W191" t="s">
        <v>1622</v>
      </c>
      <c r="X191" t="s">
        <v>1488</v>
      </c>
      <c r="Y191" t="s">
        <v>1441</v>
      </c>
      <c r="AA191" t="s">
        <v>1442</v>
      </c>
      <c r="AB191" t="s">
        <v>1489</v>
      </c>
      <c r="AC191">
        <v>99194</v>
      </c>
      <c r="AD191" t="s">
        <v>1623</v>
      </c>
      <c r="AE191">
        <v>-38.184118249999997</v>
      </c>
      <c r="AF191">
        <v>175.20936462</v>
      </c>
      <c r="AG191">
        <v>40</v>
      </c>
      <c r="AH191">
        <v>0</v>
      </c>
      <c r="AI191">
        <v>0</v>
      </c>
      <c r="AJ191">
        <v>0</v>
      </c>
      <c r="AK191">
        <v>6</v>
      </c>
      <c r="AL191">
        <v>17</v>
      </c>
      <c r="AM191">
        <v>26</v>
      </c>
      <c r="AN191">
        <v>0</v>
      </c>
      <c r="AO191">
        <v>49</v>
      </c>
      <c r="AP191">
        <v>36</v>
      </c>
      <c r="AQ191">
        <v>24</v>
      </c>
      <c r="AR191">
        <v>4</v>
      </c>
      <c r="AS191">
        <v>3</v>
      </c>
      <c r="AT191">
        <v>0</v>
      </c>
    </row>
    <row r="192" spans="1:46">
      <c r="A192">
        <v>5192</v>
      </c>
      <c r="B192" t="s">
        <v>1624</v>
      </c>
      <c r="C192" t="s">
        <v>1625</v>
      </c>
      <c r="D192" t="s">
        <v>1626</v>
      </c>
      <c r="E192" t="s">
        <v>1627</v>
      </c>
      <c r="F192" t="s">
        <v>1628</v>
      </c>
      <c r="G192" t="s">
        <v>1521</v>
      </c>
      <c r="H192" t="s">
        <v>517</v>
      </c>
      <c r="J192" t="s">
        <v>518</v>
      </c>
      <c r="K192" t="s">
        <v>519</v>
      </c>
      <c r="M192" t="s">
        <v>1297</v>
      </c>
      <c r="N192" t="s">
        <v>521</v>
      </c>
      <c r="O192" t="s">
        <v>1522</v>
      </c>
      <c r="P192" t="s">
        <v>584</v>
      </c>
      <c r="Q192" t="s">
        <v>1471</v>
      </c>
      <c r="R192" t="s">
        <v>1472</v>
      </c>
      <c r="S192" t="s">
        <v>1521</v>
      </c>
      <c r="T192" t="s">
        <v>1474</v>
      </c>
      <c r="U192">
        <v>201401</v>
      </c>
      <c r="V192" t="s">
        <v>1629</v>
      </c>
      <c r="W192" t="s">
        <v>1523</v>
      </c>
      <c r="X192" t="s">
        <v>1524</v>
      </c>
      <c r="Y192" t="s">
        <v>1441</v>
      </c>
      <c r="AA192" t="s">
        <v>1442</v>
      </c>
      <c r="AB192" t="s">
        <v>1525</v>
      </c>
      <c r="AC192">
        <v>99017</v>
      </c>
      <c r="AD192" t="s">
        <v>1630</v>
      </c>
      <c r="AE192">
        <v>-38.134545260000003</v>
      </c>
      <c r="AF192">
        <v>176.30352998000001</v>
      </c>
      <c r="AG192">
        <v>40</v>
      </c>
      <c r="AH192">
        <v>0</v>
      </c>
      <c r="AI192">
        <v>0</v>
      </c>
      <c r="AJ192">
        <v>0</v>
      </c>
      <c r="AK192">
        <v>8</v>
      </c>
      <c r="AL192">
        <v>18</v>
      </c>
      <c r="AM192">
        <v>14</v>
      </c>
      <c r="AN192">
        <v>0</v>
      </c>
      <c r="AO192">
        <v>40</v>
      </c>
      <c r="AP192">
        <v>25</v>
      </c>
      <c r="AQ192">
        <v>25</v>
      </c>
      <c r="AR192">
        <v>5</v>
      </c>
      <c r="AS192">
        <v>4</v>
      </c>
      <c r="AT192">
        <v>0</v>
      </c>
    </row>
    <row r="193" spans="1:46">
      <c r="A193">
        <v>5193</v>
      </c>
      <c r="B193" t="s">
        <v>1631</v>
      </c>
      <c r="C193" t="s">
        <v>1433</v>
      </c>
      <c r="D193" t="s">
        <v>1632</v>
      </c>
      <c r="E193" t="s">
        <v>1633</v>
      </c>
      <c r="G193" t="s">
        <v>1634</v>
      </c>
      <c r="H193" t="s">
        <v>517</v>
      </c>
      <c r="J193" t="s">
        <v>518</v>
      </c>
      <c r="K193" t="s">
        <v>519</v>
      </c>
      <c r="M193" t="s">
        <v>1297</v>
      </c>
      <c r="N193" t="s">
        <v>521</v>
      </c>
      <c r="O193" t="s">
        <v>1635</v>
      </c>
      <c r="P193" t="s">
        <v>523</v>
      </c>
      <c r="Q193" t="s">
        <v>1636</v>
      </c>
      <c r="R193" t="s">
        <v>1300</v>
      </c>
      <c r="S193" t="s">
        <v>1637</v>
      </c>
      <c r="T193" t="s">
        <v>1485</v>
      </c>
      <c r="U193">
        <v>222600</v>
      </c>
      <c r="V193" t="s">
        <v>1638</v>
      </c>
      <c r="W193" t="s">
        <v>1639</v>
      </c>
      <c r="X193" t="s">
        <v>1488</v>
      </c>
      <c r="Y193" t="s">
        <v>1441</v>
      </c>
      <c r="AA193" t="s">
        <v>1442</v>
      </c>
      <c r="AB193" t="s">
        <v>1489</v>
      </c>
      <c r="AC193">
        <v>99201</v>
      </c>
      <c r="AD193" t="s">
        <v>1640</v>
      </c>
      <c r="AE193">
        <v>-38.883092660000003</v>
      </c>
      <c r="AF193">
        <v>175.27377921999999</v>
      </c>
      <c r="AG193">
        <v>40</v>
      </c>
      <c r="AH193">
        <v>0</v>
      </c>
      <c r="AI193">
        <v>0</v>
      </c>
      <c r="AJ193">
        <v>0</v>
      </c>
      <c r="AK193">
        <v>5</v>
      </c>
      <c r="AL193">
        <v>12</v>
      </c>
      <c r="AM193">
        <v>17</v>
      </c>
      <c r="AN193">
        <v>5</v>
      </c>
      <c r="AO193">
        <v>39</v>
      </c>
      <c r="AP193">
        <v>19</v>
      </c>
      <c r="AQ193">
        <v>28</v>
      </c>
      <c r="AR193">
        <v>7</v>
      </c>
      <c r="AS193">
        <v>2</v>
      </c>
      <c r="AT193">
        <v>2</v>
      </c>
    </row>
    <row r="194" spans="1:46">
      <c r="A194">
        <v>5194</v>
      </c>
      <c r="B194" t="s">
        <v>1641</v>
      </c>
      <c r="C194" t="s">
        <v>1433</v>
      </c>
      <c r="D194" t="s">
        <v>1642</v>
      </c>
      <c r="E194" t="s">
        <v>1643</v>
      </c>
      <c r="G194" t="s">
        <v>1483</v>
      </c>
      <c r="H194" t="s">
        <v>517</v>
      </c>
      <c r="J194" t="s">
        <v>518</v>
      </c>
      <c r="K194" t="s">
        <v>519</v>
      </c>
      <c r="M194" t="s">
        <v>1297</v>
      </c>
      <c r="N194" t="s">
        <v>557</v>
      </c>
      <c r="O194" t="s">
        <v>1484</v>
      </c>
      <c r="P194" t="s">
        <v>1262</v>
      </c>
      <c r="Q194" t="s">
        <v>1299</v>
      </c>
      <c r="R194" t="s">
        <v>1300</v>
      </c>
      <c r="S194" t="s">
        <v>1320</v>
      </c>
      <c r="T194" t="s">
        <v>1485</v>
      </c>
      <c r="U194">
        <v>186200</v>
      </c>
      <c r="V194" t="s">
        <v>1644</v>
      </c>
      <c r="W194" t="s">
        <v>1487</v>
      </c>
      <c r="X194" t="s">
        <v>1488</v>
      </c>
      <c r="Y194" t="s">
        <v>1441</v>
      </c>
      <c r="AA194" t="s">
        <v>1442</v>
      </c>
      <c r="AB194" t="s">
        <v>1489</v>
      </c>
      <c r="AC194">
        <v>99195</v>
      </c>
      <c r="AD194" t="s">
        <v>1490</v>
      </c>
      <c r="AE194">
        <v>-38.214936510000001</v>
      </c>
      <c r="AF194">
        <v>175.85483499</v>
      </c>
      <c r="AG194">
        <v>40</v>
      </c>
      <c r="AH194">
        <v>0</v>
      </c>
      <c r="AI194">
        <v>0</v>
      </c>
      <c r="AJ194">
        <v>0</v>
      </c>
      <c r="AK194">
        <v>3</v>
      </c>
      <c r="AL194">
        <v>20</v>
      </c>
      <c r="AM194">
        <v>21</v>
      </c>
      <c r="AN194">
        <v>0</v>
      </c>
      <c r="AO194">
        <v>44</v>
      </c>
      <c r="AP194">
        <v>28</v>
      </c>
      <c r="AQ194">
        <v>17</v>
      </c>
      <c r="AR194">
        <v>4</v>
      </c>
      <c r="AS194">
        <v>11</v>
      </c>
      <c r="AT194">
        <v>2</v>
      </c>
    </row>
    <row r="195" spans="1:46">
      <c r="A195">
        <v>5195</v>
      </c>
      <c r="B195" t="s">
        <v>1645</v>
      </c>
      <c r="C195" t="s">
        <v>1646</v>
      </c>
      <c r="D195" t="s">
        <v>1647</v>
      </c>
      <c r="E195" t="s">
        <v>1648</v>
      </c>
      <c r="G195" t="s">
        <v>1649</v>
      </c>
      <c r="H195" t="s">
        <v>517</v>
      </c>
      <c r="J195" t="s">
        <v>518</v>
      </c>
      <c r="K195" t="s">
        <v>519</v>
      </c>
      <c r="M195" t="s">
        <v>1297</v>
      </c>
      <c r="N195" t="s">
        <v>727</v>
      </c>
      <c r="O195" t="s">
        <v>1650</v>
      </c>
      <c r="P195" t="s">
        <v>523</v>
      </c>
      <c r="Q195" t="s">
        <v>1471</v>
      </c>
      <c r="R195" t="s">
        <v>1472</v>
      </c>
      <c r="S195" t="s">
        <v>1473</v>
      </c>
      <c r="T195" t="s">
        <v>1474</v>
      </c>
      <c r="U195">
        <v>203700</v>
      </c>
      <c r="V195" t="s">
        <v>1651</v>
      </c>
      <c r="W195" t="s">
        <v>1652</v>
      </c>
      <c r="X195" t="s">
        <v>1477</v>
      </c>
      <c r="Y195" t="s">
        <v>1441</v>
      </c>
      <c r="AA195" t="s">
        <v>1442</v>
      </c>
      <c r="AB195" t="s">
        <v>1478</v>
      </c>
      <c r="AC195">
        <v>99038</v>
      </c>
      <c r="AD195" t="s">
        <v>1515</v>
      </c>
      <c r="AE195">
        <v>-38.088724139999997</v>
      </c>
      <c r="AF195">
        <v>176.68690429</v>
      </c>
      <c r="AG195">
        <v>40</v>
      </c>
      <c r="AH195">
        <v>0</v>
      </c>
      <c r="AI195">
        <v>0</v>
      </c>
      <c r="AJ195">
        <v>0</v>
      </c>
      <c r="AK195">
        <v>5</v>
      </c>
      <c r="AL195">
        <v>11</v>
      </c>
      <c r="AM195">
        <v>11</v>
      </c>
      <c r="AN195">
        <v>0</v>
      </c>
      <c r="AO195">
        <v>27</v>
      </c>
      <c r="AP195">
        <v>9</v>
      </c>
      <c r="AQ195">
        <v>22</v>
      </c>
      <c r="AR195">
        <v>2</v>
      </c>
      <c r="AS195">
        <v>0</v>
      </c>
      <c r="AT195">
        <v>1</v>
      </c>
    </row>
    <row r="196" spans="1:46">
      <c r="A196">
        <v>5196</v>
      </c>
      <c r="B196" t="s">
        <v>1653</v>
      </c>
      <c r="C196" t="s">
        <v>1433</v>
      </c>
      <c r="D196" t="s">
        <v>1654</v>
      </c>
      <c r="E196" t="s">
        <v>1655</v>
      </c>
      <c r="G196" t="s">
        <v>1579</v>
      </c>
      <c r="H196" t="s">
        <v>517</v>
      </c>
      <c r="J196" t="s">
        <v>518</v>
      </c>
      <c r="K196" t="s">
        <v>519</v>
      </c>
      <c r="M196" t="s">
        <v>1297</v>
      </c>
      <c r="N196" t="s">
        <v>571</v>
      </c>
      <c r="O196" t="s">
        <v>1450</v>
      </c>
      <c r="P196" t="s">
        <v>523</v>
      </c>
      <c r="Q196" t="s">
        <v>1299</v>
      </c>
      <c r="R196" t="s">
        <v>1300</v>
      </c>
      <c r="S196" t="s">
        <v>1300</v>
      </c>
      <c r="T196" t="s">
        <v>1235</v>
      </c>
      <c r="U196">
        <v>174901</v>
      </c>
      <c r="V196" t="s">
        <v>1656</v>
      </c>
      <c r="W196" t="s">
        <v>1581</v>
      </c>
      <c r="X196" t="s">
        <v>1440</v>
      </c>
      <c r="Y196" t="s">
        <v>1441</v>
      </c>
      <c r="AA196" t="s">
        <v>1442</v>
      </c>
      <c r="AB196" t="s">
        <v>1443</v>
      </c>
      <c r="AC196">
        <v>99104</v>
      </c>
      <c r="AD196" t="s">
        <v>1582</v>
      </c>
      <c r="AE196">
        <v>-37.810886199999999</v>
      </c>
      <c r="AF196">
        <v>175.78431617999999</v>
      </c>
      <c r="AG196">
        <v>40</v>
      </c>
      <c r="AH196">
        <v>0</v>
      </c>
      <c r="AI196">
        <v>0</v>
      </c>
      <c r="AJ196">
        <v>0</v>
      </c>
      <c r="AK196">
        <v>7</v>
      </c>
      <c r="AL196">
        <v>18</v>
      </c>
      <c r="AM196">
        <v>24</v>
      </c>
      <c r="AN196">
        <v>0</v>
      </c>
      <c r="AO196">
        <v>49</v>
      </c>
      <c r="AP196">
        <v>46</v>
      </c>
      <c r="AQ196">
        <v>14</v>
      </c>
      <c r="AR196">
        <v>0</v>
      </c>
      <c r="AS196">
        <v>3</v>
      </c>
      <c r="AT196">
        <v>0</v>
      </c>
    </row>
    <row r="197" spans="1:46">
      <c r="A197">
        <v>5197</v>
      </c>
      <c r="B197" t="s">
        <v>1657</v>
      </c>
      <c r="C197" t="s">
        <v>1433</v>
      </c>
      <c r="D197" t="s">
        <v>1658</v>
      </c>
      <c r="E197" t="s">
        <v>1659</v>
      </c>
      <c r="G197" t="s">
        <v>1538</v>
      </c>
      <c r="H197" t="s">
        <v>517</v>
      </c>
      <c r="J197" t="s">
        <v>518</v>
      </c>
      <c r="K197" t="s">
        <v>519</v>
      </c>
      <c r="M197" t="s">
        <v>1297</v>
      </c>
      <c r="N197" t="s">
        <v>571</v>
      </c>
      <c r="O197" t="s">
        <v>1319</v>
      </c>
      <c r="P197" t="s">
        <v>1262</v>
      </c>
      <c r="Q197" t="s">
        <v>1299</v>
      </c>
      <c r="R197" t="s">
        <v>1300</v>
      </c>
      <c r="S197" t="s">
        <v>1417</v>
      </c>
      <c r="T197" t="s">
        <v>1235</v>
      </c>
      <c r="U197">
        <v>183600</v>
      </c>
      <c r="V197" t="s">
        <v>1660</v>
      </c>
      <c r="W197" t="s">
        <v>1540</v>
      </c>
      <c r="X197" t="s">
        <v>1488</v>
      </c>
      <c r="Y197" t="s">
        <v>1441</v>
      </c>
      <c r="AA197" t="s">
        <v>1442</v>
      </c>
      <c r="AB197" t="s">
        <v>1489</v>
      </c>
      <c r="AE197">
        <v>-38.009156359999999</v>
      </c>
      <c r="AF197">
        <v>175.32021598</v>
      </c>
      <c r="AG197">
        <v>40</v>
      </c>
      <c r="AH197">
        <v>0</v>
      </c>
      <c r="AI197">
        <v>0</v>
      </c>
      <c r="AJ197">
        <v>0</v>
      </c>
      <c r="AK197">
        <v>8</v>
      </c>
      <c r="AL197">
        <v>15</v>
      </c>
      <c r="AM197">
        <v>21</v>
      </c>
      <c r="AN197">
        <v>0</v>
      </c>
      <c r="AO197">
        <v>44</v>
      </c>
      <c r="AP197">
        <v>33</v>
      </c>
      <c r="AQ197">
        <v>17</v>
      </c>
      <c r="AR197">
        <v>2</v>
      </c>
      <c r="AS197">
        <v>5</v>
      </c>
      <c r="AT197">
        <v>3</v>
      </c>
    </row>
    <row r="198" spans="1:46">
      <c r="A198">
        <v>5198</v>
      </c>
      <c r="B198" t="s">
        <v>1661</v>
      </c>
      <c r="C198" t="s">
        <v>1662</v>
      </c>
      <c r="D198" t="s">
        <v>1663</v>
      </c>
      <c r="E198" t="s">
        <v>1664</v>
      </c>
      <c r="F198" t="s">
        <v>1665</v>
      </c>
      <c r="G198" t="s">
        <v>1521</v>
      </c>
      <c r="H198" t="s">
        <v>517</v>
      </c>
      <c r="J198" t="s">
        <v>518</v>
      </c>
      <c r="K198" t="s">
        <v>519</v>
      </c>
      <c r="M198" t="s">
        <v>1297</v>
      </c>
      <c r="N198" t="s">
        <v>571</v>
      </c>
      <c r="O198" t="s">
        <v>1522</v>
      </c>
      <c r="P198" t="s">
        <v>584</v>
      </c>
      <c r="Q198" t="s">
        <v>1471</v>
      </c>
      <c r="R198" t="s">
        <v>1472</v>
      </c>
      <c r="S198" t="s">
        <v>1521</v>
      </c>
      <c r="T198" t="s">
        <v>1474</v>
      </c>
      <c r="U198">
        <v>201401</v>
      </c>
      <c r="V198" t="s">
        <v>1629</v>
      </c>
      <c r="W198" t="s">
        <v>1523</v>
      </c>
      <c r="X198" t="s">
        <v>1524</v>
      </c>
      <c r="Y198" t="s">
        <v>1441</v>
      </c>
      <c r="AA198" t="s">
        <v>1442</v>
      </c>
      <c r="AB198" t="s">
        <v>1525</v>
      </c>
      <c r="AC198">
        <v>99017</v>
      </c>
      <c r="AD198" t="s">
        <v>1630</v>
      </c>
      <c r="AE198">
        <v>-38.141813509999999</v>
      </c>
      <c r="AF198">
        <v>176.29118958999999</v>
      </c>
      <c r="AG198">
        <v>40</v>
      </c>
      <c r="AH198">
        <v>0</v>
      </c>
      <c r="AI198">
        <v>0</v>
      </c>
      <c r="AJ198">
        <v>0</v>
      </c>
      <c r="AK198">
        <v>8</v>
      </c>
      <c r="AL198">
        <v>12</v>
      </c>
      <c r="AM198">
        <v>20</v>
      </c>
      <c r="AN198">
        <v>3</v>
      </c>
      <c r="AO198">
        <v>43</v>
      </c>
      <c r="AP198">
        <v>28</v>
      </c>
      <c r="AQ198">
        <v>9</v>
      </c>
      <c r="AR198">
        <v>4</v>
      </c>
      <c r="AS198">
        <v>8</v>
      </c>
      <c r="AT198">
        <v>4</v>
      </c>
    </row>
    <row r="199" spans="1:46">
      <c r="A199">
        <v>5199</v>
      </c>
      <c r="B199" t="s">
        <v>1666</v>
      </c>
      <c r="C199" t="s">
        <v>1667</v>
      </c>
      <c r="D199" t="s">
        <v>1668</v>
      </c>
      <c r="E199" t="s">
        <v>1669</v>
      </c>
      <c r="F199" t="s">
        <v>1670</v>
      </c>
      <c r="G199" t="s">
        <v>1521</v>
      </c>
      <c r="H199" t="s">
        <v>517</v>
      </c>
      <c r="J199" t="s">
        <v>518</v>
      </c>
      <c r="K199" t="s">
        <v>519</v>
      </c>
      <c r="M199" t="s">
        <v>1297</v>
      </c>
      <c r="N199" t="s">
        <v>727</v>
      </c>
      <c r="O199" t="s">
        <v>1522</v>
      </c>
      <c r="P199" t="s">
        <v>584</v>
      </c>
      <c r="Q199" t="s">
        <v>1471</v>
      </c>
      <c r="R199" t="s">
        <v>1472</v>
      </c>
      <c r="S199" t="s">
        <v>1521</v>
      </c>
      <c r="T199" t="s">
        <v>1474</v>
      </c>
      <c r="U199">
        <v>198500</v>
      </c>
      <c r="V199" t="s">
        <v>1670</v>
      </c>
      <c r="W199" t="s">
        <v>1523</v>
      </c>
      <c r="X199" t="s">
        <v>1524</v>
      </c>
      <c r="Y199" t="s">
        <v>1441</v>
      </c>
      <c r="AA199" t="s">
        <v>1442</v>
      </c>
      <c r="AB199" t="s">
        <v>1525</v>
      </c>
      <c r="AC199">
        <v>99107</v>
      </c>
      <c r="AD199" t="s">
        <v>1526</v>
      </c>
      <c r="AE199">
        <v>-38.11358242</v>
      </c>
      <c r="AF199">
        <v>176.22398132000001</v>
      </c>
      <c r="AG199">
        <v>45</v>
      </c>
      <c r="AH199">
        <v>0</v>
      </c>
      <c r="AI199">
        <v>0</v>
      </c>
      <c r="AJ199">
        <v>0</v>
      </c>
      <c r="AK199">
        <v>10</v>
      </c>
      <c r="AL199">
        <v>14</v>
      </c>
      <c r="AM199">
        <v>15</v>
      </c>
      <c r="AN199">
        <v>1</v>
      </c>
      <c r="AO199">
        <v>40</v>
      </c>
      <c r="AP199">
        <v>20</v>
      </c>
      <c r="AQ199">
        <v>24</v>
      </c>
      <c r="AR199">
        <v>7</v>
      </c>
      <c r="AS199">
        <v>2</v>
      </c>
      <c r="AT199">
        <v>1</v>
      </c>
    </row>
    <row r="200" spans="1:46">
      <c r="A200">
        <v>5201</v>
      </c>
      <c r="B200" t="s">
        <v>1671</v>
      </c>
      <c r="C200" t="s">
        <v>1433</v>
      </c>
      <c r="D200" t="s">
        <v>1672</v>
      </c>
      <c r="E200" t="s">
        <v>1673</v>
      </c>
      <c r="G200" t="s">
        <v>1634</v>
      </c>
      <c r="H200" t="s">
        <v>517</v>
      </c>
      <c r="J200" t="s">
        <v>518</v>
      </c>
      <c r="K200" t="s">
        <v>519</v>
      </c>
      <c r="M200" t="s">
        <v>1297</v>
      </c>
      <c r="N200" t="s">
        <v>539</v>
      </c>
      <c r="O200" t="s">
        <v>1635</v>
      </c>
      <c r="P200" t="s">
        <v>523</v>
      </c>
      <c r="Q200" t="s">
        <v>1636</v>
      </c>
      <c r="R200" t="s">
        <v>1300</v>
      </c>
      <c r="S200" t="s">
        <v>1637</v>
      </c>
      <c r="T200" t="s">
        <v>1485</v>
      </c>
      <c r="U200">
        <v>222500</v>
      </c>
      <c r="V200" t="s">
        <v>1674</v>
      </c>
      <c r="W200" t="s">
        <v>1639</v>
      </c>
      <c r="X200" t="s">
        <v>1488</v>
      </c>
      <c r="Y200" t="s">
        <v>1441</v>
      </c>
      <c r="AA200" t="s">
        <v>1442</v>
      </c>
      <c r="AB200" t="s">
        <v>1489</v>
      </c>
      <c r="AC200">
        <v>99201</v>
      </c>
      <c r="AD200" t="s">
        <v>1640</v>
      </c>
      <c r="AE200">
        <v>-38.868009290000003</v>
      </c>
      <c r="AF200">
        <v>175.25240385999999</v>
      </c>
      <c r="AG200">
        <v>40</v>
      </c>
      <c r="AH200">
        <v>0</v>
      </c>
      <c r="AI200">
        <v>0</v>
      </c>
      <c r="AJ200">
        <v>0</v>
      </c>
      <c r="AK200">
        <v>9</v>
      </c>
      <c r="AL200">
        <v>9</v>
      </c>
      <c r="AM200">
        <v>20</v>
      </c>
      <c r="AN200">
        <v>1</v>
      </c>
      <c r="AO200">
        <v>39</v>
      </c>
      <c r="AP200">
        <v>24</v>
      </c>
      <c r="AQ200">
        <v>23</v>
      </c>
      <c r="AR200">
        <v>1</v>
      </c>
      <c r="AS200">
        <v>1</v>
      </c>
      <c r="AT200">
        <v>5</v>
      </c>
    </row>
    <row r="201" spans="1:46">
      <c r="A201">
        <v>5204</v>
      </c>
      <c r="B201" t="s">
        <v>1675</v>
      </c>
      <c r="C201" t="s">
        <v>1676</v>
      </c>
      <c r="D201" t="s">
        <v>1677</v>
      </c>
      <c r="E201" t="s">
        <v>1678</v>
      </c>
      <c r="G201" t="s">
        <v>1679</v>
      </c>
      <c r="H201" t="s">
        <v>517</v>
      </c>
      <c r="J201" t="s">
        <v>518</v>
      </c>
      <c r="K201" t="s">
        <v>519</v>
      </c>
      <c r="M201" t="s">
        <v>1297</v>
      </c>
      <c r="N201" t="s">
        <v>521</v>
      </c>
      <c r="O201" t="s">
        <v>1546</v>
      </c>
      <c r="P201" t="s">
        <v>523</v>
      </c>
      <c r="Q201" t="s">
        <v>1299</v>
      </c>
      <c r="R201" t="s">
        <v>1472</v>
      </c>
      <c r="S201" t="s">
        <v>1320</v>
      </c>
      <c r="T201" t="s">
        <v>1474</v>
      </c>
      <c r="U201">
        <v>189700</v>
      </c>
      <c r="V201" t="s">
        <v>1680</v>
      </c>
      <c r="W201" t="s">
        <v>1681</v>
      </c>
      <c r="X201" t="s">
        <v>1549</v>
      </c>
      <c r="Y201" t="s">
        <v>1441</v>
      </c>
      <c r="AA201" t="s">
        <v>1442</v>
      </c>
      <c r="AC201">
        <v>99020</v>
      </c>
      <c r="AD201" t="s">
        <v>1550</v>
      </c>
      <c r="AE201">
        <v>-38.984840310000003</v>
      </c>
      <c r="AF201">
        <v>175.81029509000001</v>
      </c>
      <c r="AG201">
        <v>40</v>
      </c>
      <c r="AH201">
        <v>0</v>
      </c>
      <c r="AI201">
        <v>0</v>
      </c>
      <c r="AJ201">
        <v>0</v>
      </c>
      <c r="AK201">
        <v>2</v>
      </c>
      <c r="AL201">
        <v>15</v>
      </c>
      <c r="AM201">
        <v>18</v>
      </c>
      <c r="AN201">
        <v>2</v>
      </c>
      <c r="AO201">
        <v>37</v>
      </c>
      <c r="AP201">
        <v>16</v>
      </c>
      <c r="AQ201">
        <v>30</v>
      </c>
      <c r="AR201">
        <v>4</v>
      </c>
      <c r="AS201">
        <v>3</v>
      </c>
      <c r="AT201">
        <v>2</v>
      </c>
    </row>
    <row r="202" spans="1:46">
      <c r="A202">
        <v>5205</v>
      </c>
      <c r="B202" t="s">
        <v>1682</v>
      </c>
      <c r="C202" t="s">
        <v>1683</v>
      </c>
      <c r="D202" t="s">
        <v>1684</v>
      </c>
      <c r="E202" t="s">
        <v>1685</v>
      </c>
      <c r="G202" t="s">
        <v>1545</v>
      </c>
      <c r="H202" t="s">
        <v>517</v>
      </c>
      <c r="J202" t="s">
        <v>518</v>
      </c>
      <c r="K202" t="s">
        <v>519</v>
      </c>
      <c r="M202" t="s">
        <v>1297</v>
      </c>
      <c r="N202" t="s">
        <v>571</v>
      </c>
      <c r="O202" t="s">
        <v>1546</v>
      </c>
      <c r="P202" t="s">
        <v>1262</v>
      </c>
      <c r="Q202" t="s">
        <v>1299</v>
      </c>
      <c r="R202" t="s">
        <v>1472</v>
      </c>
      <c r="S202" t="s">
        <v>1320</v>
      </c>
      <c r="T202" t="s">
        <v>1474</v>
      </c>
      <c r="U202">
        <v>189300</v>
      </c>
      <c r="V202" t="s">
        <v>1686</v>
      </c>
      <c r="W202" t="s">
        <v>1548</v>
      </c>
      <c r="X202" t="s">
        <v>1549</v>
      </c>
      <c r="Y202" t="s">
        <v>1441</v>
      </c>
      <c r="AA202" t="s">
        <v>1442</v>
      </c>
      <c r="AC202">
        <v>99020</v>
      </c>
      <c r="AD202" t="s">
        <v>1550</v>
      </c>
      <c r="AE202">
        <v>-38.71791949</v>
      </c>
      <c r="AF202">
        <v>176.08841674000001</v>
      </c>
      <c r="AG202">
        <v>40</v>
      </c>
      <c r="AH202">
        <v>0</v>
      </c>
      <c r="AI202">
        <v>0</v>
      </c>
      <c r="AJ202">
        <v>0</v>
      </c>
      <c r="AK202">
        <v>2</v>
      </c>
      <c r="AL202">
        <v>17</v>
      </c>
      <c r="AM202">
        <v>22</v>
      </c>
      <c r="AN202">
        <v>2</v>
      </c>
      <c r="AO202">
        <v>43</v>
      </c>
      <c r="AP202">
        <v>31</v>
      </c>
      <c r="AQ202">
        <v>10</v>
      </c>
      <c r="AR202">
        <v>2</v>
      </c>
      <c r="AS202">
        <v>3</v>
      </c>
      <c r="AT202">
        <v>6</v>
      </c>
    </row>
    <row r="203" spans="1:46">
      <c r="A203">
        <v>5206</v>
      </c>
      <c r="B203" t="s">
        <v>1687</v>
      </c>
      <c r="C203" t="s">
        <v>1688</v>
      </c>
      <c r="D203" t="s">
        <v>1689</v>
      </c>
      <c r="E203" t="s">
        <v>1690</v>
      </c>
      <c r="F203" t="s">
        <v>1691</v>
      </c>
      <c r="G203" t="s">
        <v>1521</v>
      </c>
      <c r="H203" t="s">
        <v>517</v>
      </c>
      <c r="J203" t="s">
        <v>518</v>
      </c>
      <c r="K203" t="s">
        <v>519</v>
      </c>
      <c r="M203" t="s">
        <v>1297</v>
      </c>
      <c r="N203" t="s">
        <v>521</v>
      </c>
      <c r="O203" t="s">
        <v>1522</v>
      </c>
      <c r="P203" t="s">
        <v>584</v>
      </c>
      <c r="Q203" t="s">
        <v>1471</v>
      </c>
      <c r="R203" t="s">
        <v>1472</v>
      </c>
      <c r="S203" t="s">
        <v>1521</v>
      </c>
      <c r="T203" t="s">
        <v>1474</v>
      </c>
      <c r="U203">
        <v>199000</v>
      </c>
      <c r="V203" t="s">
        <v>1692</v>
      </c>
      <c r="W203" t="s">
        <v>1523</v>
      </c>
      <c r="X203" t="s">
        <v>1524</v>
      </c>
      <c r="Y203" t="s">
        <v>1441</v>
      </c>
      <c r="AA203" t="s">
        <v>1442</v>
      </c>
      <c r="AB203" t="s">
        <v>1525</v>
      </c>
      <c r="AC203">
        <v>99107</v>
      </c>
      <c r="AD203" t="s">
        <v>1526</v>
      </c>
      <c r="AE203">
        <v>-38.123955219999999</v>
      </c>
      <c r="AF203">
        <v>176.21902370999999</v>
      </c>
      <c r="AG203">
        <v>40</v>
      </c>
      <c r="AH203">
        <v>0</v>
      </c>
      <c r="AI203">
        <v>0</v>
      </c>
      <c r="AJ203">
        <v>0</v>
      </c>
      <c r="AK203">
        <v>7</v>
      </c>
      <c r="AL203">
        <v>10</v>
      </c>
      <c r="AM203">
        <v>10</v>
      </c>
      <c r="AN203">
        <v>2</v>
      </c>
      <c r="AO203">
        <v>29</v>
      </c>
      <c r="AP203">
        <v>10</v>
      </c>
      <c r="AQ203">
        <v>22</v>
      </c>
      <c r="AR203">
        <v>5</v>
      </c>
      <c r="AS203">
        <v>1</v>
      </c>
      <c r="AT203">
        <v>0</v>
      </c>
    </row>
    <row r="204" spans="1:46">
      <c r="A204">
        <v>5207</v>
      </c>
      <c r="B204" t="s">
        <v>1693</v>
      </c>
      <c r="C204" t="s">
        <v>1694</v>
      </c>
      <c r="D204" t="s">
        <v>1695</v>
      </c>
      <c r="E204" t="s">
        <v>1696</v>
      </c>
      <c r="G204" t="s">
        <v>1697</v>
      </c>
      <c r="H204" t="s">
        <v>517</v>
      </c>
      <c r="J204" t="s">
        <v>518</v>
      </c>
      <c r="K204" t="s">
        <v>519</v>
      </c>
      <c r="M204" t="s">
        <v>1297</v>
      </c>
      <c r="N204" t="s">
        <v>571</v>
      </c>
      <c r="O204" t="s">
        <v>1698</v>
      </c>
      <c r="P204" t="s">
        <v>654</v>
      </c>
      <c r="Q204" t="s">
        <v>1471</v>
      </c>
      <c r="R204" t="s">
        <v>1472</v>
      </c>
      <c r="S204" t="s">
        <v>1699</v>
      </c>
      <c r="T204" t="s">
        <v>1474</v>
      </c>
      <c r="U204">
        <v>195800</v>
      </c>
      <c r="V204" t="s">
        <v>1700</v>
      </c>
      <c r="W204" t="s">
        <v>1701</v>
      </c>
      <c r="X204" t="s">
        <v>1596</v>
      </c>
      <c r="Y204" t="s">
        <v>1597</v>
      </c>
      <c r="Z204" t="s">
        <v>1598</v>
      </c>
      <c r="AA204" t="s">
        <v>1599</v>
      </c>
      <c r="AB204" t="s">
        <v>1600</v>
      </c>
      <c r="AC204">
        <v>99064</v>
      </c>
      <c r="AD204" t="s">
        <v>1702</v>
      </c>
      <c r="AE204">
        <v>-37.675286870000001</v>
      </c>
      <c r="AF204">
        <v>176.23321695999999</v>
      </c>
      <c r="AG204">
        <v>45</v>
      </c>
      <c r="AH204">
        <v>0</v>
      </c>
      <c r="AI204">
        <v>0</v>
      </c>
      <c r="AJ204">
        <v>0</v>
      </c>
      <c r="AK204">
        <v>0</v>
      </c>
      <c r="AL204">
        <v>8</v>
      </c>
      <c r="AM204">
        <v>31</v>
      </c>
      <c r="AN204">
        <v>2</v>
      </c>
      <c r="AO204">
        <v>41</v>
      </c>
      <c r="AP204">
        <v>35</v>
      </c>
      <c r="AQ204">
        <v>9</v>
      </c>
      <c r="AR204">
        <v>0</v>
      </c>
      <c r="AS204">
        <v>2</v>
      </c>
      <c r="AT204">
        <v>2</v>
      </c>
    </row>
    <row r="205" spans="1:46">
      <c r="A205">
        <v>5208</v>
      </c>
      <c r="B205" t="s">
        <v>1703</v>
      </c>
      <c r="C205" t="s">
        <v>1704</v>
      </c>
      <c r="D205" t="s">
        <v>1705</v>
      </c>
      <c r="E205" t="s">
        <v>1706</v>
      </c>
      <c r="F205" t="s">
        <v>1707</v>
      </c>
      <c r="G205" t="s">
        <v>1598</v>
      </c>
      <c r="H205" t="s">
        <v>517</v>
      </c>
      <c r="J205" t="s">
        <v>518</v>
      </c>
      <c r="K205" t="s">
        <v>519</v>
      </c>
      <c r="M205" t="s">
        <v>1297</v>
      </c>
      <c r="N205" t="s">
        <v>557</v>
      </c>
      <c r="O205" t="s">
        <v>1698</v>
      </c>
      <c r="P205" t="s">
        <v>654</v>
      </c>
      <c r="Q205" t="s">
        <v>1471</v>
      </c>
      <c r="R205" t="s">
        <v>1472</v>
      </c>
      <c r="S205" t="s">
        <v>1598</v>
      </c>
      <c r="T205" t="s">
        <v>1474</v>
      </c>
      <c r="U205">
        <v>193600</v>
      </c>
      <c r="V205" t="s">
        <v>1708</v>
      </c>
      <c r="W205" t="s">
        <v>1709</v>
      </c>
      <c r="X205" t="s">
        <v>1596</v>
      </c>
      <c r="Y205" t="s">
        <v>1597</v>
      </c>
      <c r="Z205" t="s">
        <v>1598</v>
      </c>
      <c r="AA205" t="s">
        <v>1599</v>
      </c>
      <c r="AB205" t="s">
        <v>1600</v>
      </c>
      <c r="AC205">
        <v>99036</v>
      </c>
      <c r="AD205" t="s">
        <v>1710</v>
      </c>
      <c r="AE205">
        <v>-37.691905820000002</v>
      </c>
      <c r="AF205">
        <v>176.13640576</v>
      </c>
      <c r="AG205">
        <v>42</v>
      </c>
      <c r="AH205">
        <v>0</v>
      </c>
      <c r="AI205">
        <v>0</v>
      </c>
      <c r="AJ205">
        <v>0</v>
      </c>
      <c r="AK205">
        <v>2</v>
      </c>
      <c r="AL205">
        <v>16</v>
      </c>
      <c r="AM205">
        <v>12</v>
      </c>
      <c r="AN205">
        <v>0</v>
      </c>
      <c r="AO205">
        <v>30</v>
      </c>
      <c r="AP205">
        <v>24</v>
      </c>
      <c r="AQ205">
        <v>13</v>
      </c>
      <c r="AR205">
        <v>2</v>
      </c>
      <c r="AS205">
        <v>3</v>
      </c>
      <c r="AT205">
        <v>1</v>
      </c>
    </row>
    <row r="206" spans="1:46">
      <c r="A206">
        <v>5209</v>
      </c>
      <c r="B206" t="s">
        <v>1711</v>
      </c>
      <c r="C206" t="s">
        <v>1712</v>
      </c>
      <c r="D206" t="s">
        <v>1713</v>
      </c>
      <c r="E206" t="s">
        <v>1714</v>
      </c>
      <c r="F206" t="s">
        <v>1715</v>
      </c>
      <c r="G206" t="s">
        <v>1598</v>
      </c>
      <c r="H206" t="s">
        <v>517</v>
      </c>
      <c r="J206" t="s">
        <v>518</v>
      </c>
      <c r="K206" t="s">
        <v>519</v>
      </c>
      <c r="M206" t="s">
        <v>1297</v>
      </c>
      <c r="N206" t="s">
        <v>557</v>
      </c>
      <c r="O206" t="s">
        <v>1698</v>
      </c>
      <c r="P206" t="s">
        <v>654</v>
      </c>
      <c r="Q206" t="s">
        <v>1471</v>
      </c>
      <c r="R206" t="s">
        <v>1472</v>
      </c>
      <c r="S206" t="s">
        <v>1598</v>
      </c>
      <c r="T206" t="s">
        <v>1474</v>
      </c>
      <c r="U206">
        <v>194700</v>
      </c>
      <c r="V206" t="s">
        <v>1716</v>
      </c>
      <c r="W206" t="s">
        <v>1717</v>
      </c>
      <c r="X206" t="s">
        <v>1596</v>
      </c>
      <c r="Y206" t="s">
        <v>1597</v>
      </c>
      <c r="Z206" t="s">
        <v>1598</v>
      </c>
      <c r="AA206" t="s">
        <v>1599</v>
      </c>
      <c r="AB206" t="s">
        <v>1600</v>
      </c>
      <c r="AC206">
        <v>99085</v>
      </c>
      <c r="AD206" t="s">
        <v>1718</v>
      </c>
      <c r="AE206">
        <v>-37.728114140000002</v>
      </c>
      <c r="AF206">
        <v>176.13308710000001</v>
      </c>
      <c r="AG206">
        <v>45</v>
      </c>
      <c r="AH206">
        <v>0</v>
      </c>
      <c r="AI206">
        <v>0</v>
      </c>
      <c r="AJ206">
        <v>0</v>
      </c>
      <c r="AK206">
        <v>0</v>
      </c>
      <c r="AL206">
        <v>15</v>
      </c>
      <c r="AM206">
        <v>24</v>
      </c>
      <c r="AN206">
        <v>2</v>
      </c>
      <c r="AO206">
        <v>41</v>
      </c>
      <c r="AP206">
        <v>18</v>
      </c>
      <c r="AQ206">
        <v>13</v>
      </c>
      <c r="AR206">
        <v>8</v>
      </c>
      <c r="AS206">
        <v>7</v>
      </c>
      <c r="AT206">
        <v>2</v>
      </c>
    </row>
    <row r="207" spans="1:46">
      <c r="A207">
        <v>5210</v>
      </c>
      <c r="B207" t="s">
        <v>1719</v>
      </c>
      <c r="C207" t="s">
        <v>1720</v>
      </c>
      <c r="D207" t="s">
        <v>1721</v>
      </c>
      <c r="E207" t="s">
        <v>1722</v>
      </c>
      <c r="G207" t="s">
        <v>1697</v>
      </c>
      <c r="H207" t="s">
        <v>517</v>
      </c>
      <c r="J207" t="s">
        <v>518</v>
      </c>
      <c r="K207" t="s">
        <v>519</v>
      </c>
      <c r="M207" t="s">
        <v>1297</v>
      </c>
      <c r="N207" t="s">
        <v>571</v>
      </c>
      <c r="O207" t="s">
        <v>1698</v>
      </c>
      <c r="P207" t="s">
        <v>654</v>
      </c>
      <c r="Q207" t="s">
        <v>1471</v>
      </c>
      <c r="R207" t="s">
        <v>1472</v>
      </c>
      <c r="S207" t="s">
        <v>1598</v>
      </c>
      <c r="T207" t="s">
        <v>1474</v>
      </c>
      <c r="U207">
        <v>194300</v>
      </c>
      <c r="V207" t="s">
        <v>1723</v>
      </c>
      <c r="W207" t="s">
        <v>1724</v>
      </c>
      <c r="X207" t="s">
        <v>1596</v>
      </c>
      <c r="Y207" t="s">
        <v>1597</v>
      </c>
      <c r="Z207" t="s">
        <v>1598</v>
      </c>
      <c r="AA207" t="s">
        <v>1599</v>
      </c>
      <c r="AB207" t="s">
        <v>1600</v>
      </c>
      <c r="AC207">
        <v>99064</v>
      </c>
      <c r="AD207" t="s">
        <v>1702</v>
      </c>
      <c r="AE207">
        <v>-37.659361410000002</v>
      </c>
      <c r="AF207">
        <v>176.20556794000001</v>
      </c>
      <c r="AG207">
        <v>45</v>
      </c>
      <c r="AH207">
        <v>0</v>
      </c>
      <c r="AI207">
        <v>0</v>
      </c>
      <c r="AJ207">
        <v>0</v>
      </c>
      <c r="AK207">
        <v>0</v>
      </c>
      <c r="AL207">
        <v>13</v>
      </c>
      <c r="AM207">
        <v>29</v>
      </c>
      <c r="AN207">
        <v>3</v>
      </c>
      <c r="AO207">
        <v>45</v>
      </c>
      <c r="AP207">
        <v>42</v>
      </c>
      <c r="AQ207">
        <v>8</v>
      </c>
      <c r="AR207">
        <v>1</v>
      </c>
      <c r="AS207">
        <v>0</v>
      </c>
      <c r="AT207">
        <v>5</v>
      </c>
    </row>
    <row r="208" spans="1:46">
      <c r="A208">
        <v>5211</v>
      </c>
      <c r="B208" t="s">
        <v>1725</v>
      </c>
      <c r="C208" t="s">
        <v>1726</v>
      </c>
      <c r="D208" t="s">
        <v>1727</v>
      </c>
      <c r="E208" t="s">
        <v>1728</v>
      </c>
      <c r="F208" t="s">
        <v>1729</v>
      </c>
      <c r="G208" t="s">
        <v>1598</v>
      </c>
      <c r="H208" t="s">
        <v>517</v>
      </c>
      <c r="J208" t="s">
        <v>518</v>
      </c>
      <c r="K208" t="s">
        <v>519</v>
      </c>
      <c r="M208" t="s">
        <v>1297</v>
      </c>
      <c r="N208" t="s">
        <v>571</v>
      </c>
      <c r="O208" t="s">
        <v>1698</v>
      </c>
      <c r="P208" t="s">
        <v>654</v>
      </c>
      <c r="Q208" t="s">
        <v>1471</v>
      </c>
      <c r="R208" t="s">
        <v>1472</v>
      </c>
      <c r="S208" t="s">
        <v>1699</v>
      </c>
      <c r="T208" t="s">
        <v>1474</v>
      </c>
      <c r="U208">
        <v>195900</v>
      </c>
      <c r="V208" t="s">
        <v>1730</v>
      </c>
      <c r="W208" t="s">
        <v>1731</v>
      </c>
      <c r="X208" t="s">
        <v>1596</v>
      </c>
      <c r="Y208" t="s">
        <v>1597</v>
      </c>
      <c r="Z208" t="s">
        <v>1598</v>
      </c>
      <c r="AA208" t="s">
        <v>1599</v>
      </c>
      <c r="AB208" t="s">
        <v>1600</v>
      </c>
      <c r="AC208">
        <v>99085</v>
      </c>
      <c r="AD208" t="s">
        <v>1718</v>
      </c>
      <c r="AE208">
        <v>-37.715414629999998</v>
      </c>
      <c r="AF208">
        <v>176.18308786</v>
      </c>
      <c r="AG208">
        <v>45</v>
      </c>
      <c r="AH208">
        <v>0</v>
      </c>
      <c r="AI208">
        <v>0</v>
      </c>
      <c r="AJ208">
        <v>0</v>
      </c>
      <c r="AK208">
        <v>6</v>
      </c>
      <c r="AL208">
        <v>18</v>
      </c>
      <c r="AM208">
        <v>22</v>
      </c>
      <c r="AN208">
        <v>4</v>
      </c>
      <c r="AO208">
        <v>50</v>
      </c>
      <c r="AP208">
        <v>44</v>
      </c>
      <c r="AQ208">
        <v>11</v>
      </c>
      <c r="AR208">
        <v>2</v>
      </c>
      <c r="AS208">
        <v>5</v>
      </c>
      <c r="AT208">
        <v>1</v>
      </c>
    </row>
    <row r="209" spans="1:46">
      <c r="A209">
        <v>5212</v>
      </c>
      <c r="B209" t="s">
        <v>1732</v>
      </c>
      <c r="C209" t="s">
        <v>1733</v>
      </c>
      <c r="D209" t="s">
        <v>1734</v>
      </c>
      <c r="E209" t="s">
        <v>1735</v>
      </c>
      <c r="F209" t="s">
        <v>1707</v>
      </c>
      <c r="G209" t="s">
        <v>1598</v>
      </c>
      <c r="H209" t="s">
        <v>517</v>
      </c>
      <c r="J209" t="s">
        <v>518</v>
      </c>
      <c r="K209" t="s">
        <v>519</v>
      </c>
      <c r="M209" t="s">
        <v>1297</v>
      </c>
      <c r="N209" t="s">
        <v>571</v>
      </c>
      <c r="O209" t="s">
        <v>1698</v>
      </c>
      <c r="P209" t="s">
        <v>654</v>
      </c>
      <c r="Q209" t="s">
        <v>1471</v>
      </c>
      <c r="R209" t="s">
        <v>1472</v>
      </c>
      <c r="S209" t="s">
        <v>1598</v>
      </c>
      <c r="T209" t="s">
        <v>1474</v>
      </c>
      <c r="U209">
        <v>193202</v>
      </c>
      <c r="V209" t="s">
        <v>1736</v>
      </c>
      <c r="W209" t="s">
        <v>1737</v>
      </c>
      <c r="X209" t="s">
        <v>1596</v>
      </c>
      <c r="Y209" t="s">
        <v>1597</v>
      </c>
      <c r="Z209" t="s">
        <v>1598</v>
      </c>
      <c r="AA209" t="s">
        <v>1599</v>
      </c>
      <c r="AB209" t="s">
        <v>1600</v>
      </c>
      <c r="AC209">
        <v>99036</v>
      </c>
      <c r="AD209" t="s">
        <v>1710</v>
      </c>
      <c r="AE209">
        <v>-37.67445043</v>
      </c>
      <c r="AF209">
        <v>176.14974824000001</v>
      </c>
      <c r="AG209">
        <v>45</v>
      </c>
      <c r="AH209">
        <v>0</v>
      </c>
      <c r="AI209">
        <v>0</v>
      </c>
      <c r="AJ209">
        <v>0</v>
      </c>
      <c r="AK209">
        <v>9</v>
      </c>
      <c r="AL209">
        <v>16</v>
      </c>
      <c r="AM209">
        <v>25</v>
      </c>
      <c r="AN209">
        <v>0</v>
      </c>
      <c r="AO209">
        <v>50</v>
      </c>
      <c r="AP209">
        <v>50</v>
      </c>
      <c r="AQ209">
        <v>2</v>
      </c>
      <c r="AR209">
        <v>1</v>
      </c>
      <c r="AS209">
        <v>0</v>
      </c>
      <c r="AT209">
        <v>0</v>
      </c>
    </row>
    <row r="210" spans="1:46">
      <c r="A210">
        <v>5214</v>
      </c>
      <c r="B210" t="s">
        <v>1738</v>
      </c>
      <c r="C210" t="s">
        <v>1739</v>
      </c>
      <c r="D210" t="s">
        <v>1740</v>
      </c>
      <c r="E210" t="s">
        <v>1741</v>
      </c>
      <c r="G210" t="s">
        <v>1742</v>
      </c>
      <c r="H210" t="s">
        <v>517</v>
      </c>
      <c r="J210" t="s">
        <v>518</v>
      </c>
      <c r="K210" t="s">
        <v>519</v>
      </c>
      <c r="M210" t="s">
        <v>1297</v>
      </c>
      <c r="N210" t="s">
        <v>571</v>
      </c>
      <c r="O210" t="s">
        <v>1743</v>
      </c>
      <c r="P210" t="s">
        <v>523</v>
      </c>
      <c r="Q210" t="s">
        <v>1471</v>
      </c>
      <c r="R210" t="s">
        <v>1472</v>
      </c>
      <c r="S210" t="s">
        <v>1521</v>
      </c>
      <c r="T210" t="s">
        <v>1474</v>
      </c>
      <c r="U210">
        <v>192101</v>
      </c>
      <c r="V210" t="s">
        <v>1744</v>
      </c>
      <c r="W210" t="s">
        <v>1745</v>
      </c>
      <c r="X210" t="s">
        <v>1596</v>
      </c>
      <c r="Y210" t="s">
        <v>1597</v>
      </c>
      <c r="Z210" t="s">
        <v>1598</v>
      </c>
      <c r="AA210" t="s">
        <v>1599</v>
      </c>
      <c r="AB210" t="s">
        <v>1600</v>
      </c>
      <c r="AC210">
        <v>99086</v>
      </c>
      <c r="AD210" t="s">
        <v>1746</v>
      </c>
      <c r="AE210">
        <v>-37.787610069999999</v>
      </c>
      <c r="AF210">
        <v>176.32373826</v>
      </c>
      <c r="AG210">
        <v>42</v>
      </c>
      <c r="AH210">
        <v>0</v>
      </c>
      <c r="AI210">
        <v>0</v>
      </c>
      <c r="AJ210">
        <v>0</v>
      </c>
      <c r="AK210">
        <v>3</v>
      </c>
      <c r="AL210">
        <v>14</v>
      </c>
      <c r="AM210">
        <v>19</v>
      </c>
      <c r="AN210">
        <v>2</v>
      </c>
      <c r="AO210">
        <v>38</v>
      </c>
      <c r="AP210">
        <v>20</v>
      </c>
      <c r="AQ210">
        <v>20</v>
      </c>
      <c r="AR210">
        <v>2</v>
      </c>
      <c r="AS210">
        <v>5</v>
      </c>
      <c r="AT210">
        <v>1</v>
      </c>
    </row>
    <row r="211" spans="1:46">
      <c r="A211">
        <v>5215</v>
      </c>
      <c r="B211" t="s">
        <v>1747</v>
      </c>
      <c r="C211" t="s">
        <v>1748</v>
      </c>
      <c r="D211" t="s">
        <v>1749</v>
      </c>
      <c r="E211" t="s">
        <v>1750</v>
      </c>
      <c r="G211" t="s">
        <v>1742</v>
      </c>
      <c r="H211" t="s">
        <v>517</v>
      </c>
      <c r="J211" t="s">
        <v>518</v>
      </c>
      <c r="K211" t="s">
        <v>519</v>
      </c>
      <c r="M211" t="s">
        <v>1297</v>
      </c>
      <c r="N211" t="s">
        <v>571</v>
      </c>
      <c r="O211" t="s">
        <v>1743</v>
      </c>
      <c r="P211" t="s">
        <v>540</v>
      </c>
      <c r="Q211" t="s">
        <v>1471</v>
      </c>
      <c r="R211" t="s">
        <v>1472</v>
      </c>
      <c r="S211" t="s">
        <v>1473</v>
      </c>
      <c r="T211" t="s">
        <v>1474</v>
      </c>
      <c r="U211">
        <v>192500</v>
      </c>
      <c r="V211" t="s">
        <v>1751</v>
      </c>
      <c r="W211" t="s">
        <v>1745</v>
      </c>
      <c r="X211" t="s">
        <v>1596</v>
      </c>
      <c r="Y211" t="s">
        <v>1597</v>
      </c>
      <c r="Z211" t="s">
        <v>1598</v>
      </c>
      <c r="AA211" t="s">
        <v>1599</v>
      </c>
      <c r="AB211" t="s">
        <v>1600</v>
      </c>
      <c r="AC211">
        <v>99086</v>
      </c>
      <c r="AD211" t="s">
        <v>1746</v>
      </c>
      <c r="AE211">
        <v>-37.825635669999997</v>
      </c>
      <c r="AF211">
        <v>176.41436568</v>
      </c>
      <c r="AG211">
        <v>43</v>
      </c>
      <c r="AH211">
        <v>0</v>
      </c>
      <c r="AI211">
        <v>0</v>
      </c>
      <c r="AJ211">
        <v>0</v>
      </c>
      <c r="AK211">
        <v>2</v>
      </c>
      <c r="AL211">
        <v>19</v>
      </c>
      <c r="AM211">
        <v>27</v>
      </c>
      <c r="AN211">
        <v>1</v>
      </c>
      <c r="AO211">
        <v>49</v>
      </c>
      <c r="AP211">
        <v>42</v>
      </c>
      <c r="AQ211">
        <v>14</v>
      </c>
      <c r="AR211">
        <v>1</v>
      </c>
      <c r="AS211">
        <v>4</v>
      </c>
      <c r="AT211">
        <v>1</v>
      </c>
    </row>
    <row r="212" spans="1:46">
      <c r="A212">
        <v>5216</v>
      </c>
      <c r="B212" t="s">
        <v>1752</v>
      </c>
      <c r="C212" t="s">
        <v>1753</v>
      </c>
      <c r="D212" t="s">
        <v>1754</v>
      </c>
      <c r="E212" t="s">
        <v>1755</v>
      </c>
      <c r="F212" t="s">
        <v>1756</v>
      </c>
      <c r="G212" t="s">
        <v>1757</v>
      </c>
      <c r="H212" t="s">
        <v>517</v>
      </c>
      <c r="J212" t="s">
        <v>518</v>
      </c>
      <c r="K212" t="s">
        <v>519</v>
      </c>
      <c r="M212" t="s">
        <v>1297</v>
      </c>
      <c r="N212" t="s">
        <v>571</v>
      </c>
      <c r="O212" t="s">
        <v>1758</v>
      </c>
      <c r="P212" t="s">
        <v>584</v>
      </c>
      <c r="Q212" t="s">
        <v>1759</v>
      </c>
      <c r="R212" t="s">
        <v>1760</v>
      </c>
      <c r="S212" t="s">
        <v>1757</v>
      </c>
      <c r="T212" t="s">
        <v>1485</v>
      </c>
      <c r="U212">
        <v>217501</v>
      </c>
      <c r="V212" t="s">
        <v>1761</v>
      </c>
      <c r="W212" t="s">
        <v>1762</v>
      </c>
      <c r="X212" t="s">
        <v>1763</v>
      </c>
      <c r="Y212" t="s">
        <v>1764</v>
      </c>
      <c r="AA212" t="s">
        <v>1765</v>
      </c>
      <c r="AB212" t="s">
        <v>1766</v>
      </c>
      <c r="AE212">
        <v>-39.033430459999998</v>
      </c>
      <c r="AF212">
        <v>174.14667417000001</v>
      </c>
      <c r="AG212">
        <v>31</v>
      </c>
      <c r="AH212">
        <v>0</v>
      </c>
      <c r="AI212">
        <v>0</v>
      </c>
      <c r="AJ212">
        <v>0</v>
      </c>
      <c r="AK212">
        <v>8</v>
      </c>
      <c r="AL212">
        <v>17</v>
      </c>
      <c r="AM212">
        <v>11</v>
      </c>
      <c r="AN212">
        <v>1</v>
      </c>
      <c r="AO212">
        <v>37</v>
      </c>
      <c r="AP212">
        <v>23</v>
      </c>
      <c r="AQ212">
        <v>11</v>
      </c>
      <c r="AR212">
        <v>1</v>
      </c>
      <c r="AS212">
        <v>8</v>
      </c>
      <c r="AT212">
        <v>5</v>
      </c>
    </row>
    <row r="213" spans="1:46">
      <c r="A213">
        <v>5217</v>
      </c>
      <c r="B213" t="s">
        <v>1767</v>
      </c>
      <c r="C213" t="s">
        <v>1768</v>
      </c>
      <c r="D213" t="s">
        <v>1769</v>
      </c>
      <c r="E213" t="s">
        <v>1770</v>
      </c>
      <c r="G213" t="s">
        <v>1757</v>
      </c>
      <c r="H213" t="s">
        <v>517</v>
      </c>
      <c r="J213" t="s">
        <v>518</v>
      </c>
      <c r="K213" t="s">
        <v>519</v>
      </c>
      <c r="M213" t="s">
        <v>1297</v>
      </c>
      <c r="N213" t="s">
        <v>557</v>
      </c>
      <c r="O213" t="s">
        <v>1758</v>
      </c>
      <c r="P213" t="s">
        <v>584</v>
      </c>
      <c r="Q213" t="s">
        <v>1759</v>
      </c>
      <c r="R213" t="s">
        <v>1760</v>
      </c>
      <c r="S213" t="s">
        <v>1757</v>
      </c>
      <c r="T213" t="s">
        <v>1485</v>
      </c>
      <c r="U213">
        <v>218600</v>
      </c>
      <c r="V213" t="s">
        <v>1771</v>
      </c>
      <c r="W213" t="s">
        <v>1762</v>
      </c>
      <c r="X213" t="s">
        <v>1763</v>
      </c>
      <c r="Y213" t="s">
        <v>1764</v>
      </c>
      <c r="AA213" t="s">
        <v>1765</v>
      </c>
      <c r="AB213" t="s">
        <v>1766</v>
      </c>
      <c r="AE213">
        <v>-39.077224639999997</v>
      </c>
      <c r="AF213">
        <v>174.08613101</v>
      </c>
      <c r="AG213">
        <v>40</v>
      </c>
      <c r="AH213">
        <v>0</v>
      </c>
      <c r="AI213">
        <v>0</v>
      </c>
      <c r="AJ213">
        <v>0</v>
      </c>
      <c r="AK213">
        <v>3</v>
      </c>
      <c r="AL213">
        <v>19</v>
      </c>
      <c r="AM213">
        <v>28</v>
      </c>
      <c r="AN213">
        <v>1</v>
      </c>
      <c r="AO213">
        <v>51</v>
      </c>
      <c r="AP213">
        <v>40</v>
      </c>
      <c r="AQ213">
        <v>14</v>
      </c>
      <c r="AR213">
        <v>3</v>
      </c>
      <c r="AS213">
        <v>7</v>
      </c>
      <c r="AT213">
        <v>0</v>
      </c>
    </row>
    <row r="214" spans="1:46">
      <c r="A214">
        <v>5218</v>
      </c>
      <c r="B214" t="s">
        <v>1772</v>
      </c>
      <c r="C214" t="s">
        <v>1773</v>
      </c>
      <c r="D214" t="s">
        <v>1774</v>
      </c>
      <c r="E214" t="s">
        <v>1775</v>
      </c>
      <c r="G214" t="s">
        <v>1757</v>
      </c>
      <c r="H214" t="s">
        <v>517</v>
      </c>
      <c r="J214" t="s">
        <v>518</v>
      </c>
      <c r="K214" t="s">
        <v>519</v>
      </c>
      <c r="M214" t="s">
        <v>1297</v>
      </c>
      <c r="N214" t="s">
        <v>539</v>
      </c>
      <c r="O214" t="s">
        <v>1758</v>
      </c>
      <c r="P214" t="s">
        <v>584</v>
      </c>
      <c r="Q214" t="s">
        <v>1759</v>
      </c>
      <c r="R214" t="s">
        <v>1760</v>
      </c>
      <c r="S214" t="s">
        <v>1757</v>
      </c>
      <c r="T214" t="s">
        <v>1485</v>
      </c>
      <c r="U214">
        <v>216600</v>
      </c>
      <c r="V214" t="s">
        <v>1776</v>
      </c>
      <c r="W214" t="s">
        <v>1762</v>
      </c>
      <c r="X214" t="s">
        <v>1763</v>
      </c>
      <c r="Y214" t="s">
        <v>1764</v>
      </c>
      <c r="AA214" t="s">
        <v>1765</v>
      </c>
      <c r="AB214" t="s">
        <v>1766</v>
      </c>
      <c r="AE214">
        <v>-39.061264250000001</v>
      </c>
      <c r="AF214">
        <v>174.05118196000001</v>
      </c>
      <c r="AG214">
        <v>34</v>
      </c>
      <c r="AH214">
        <v>0</v>
      </c>
      <c r="AI214">
        <v>0</v>
      </c>
      <c r="AJ214">
        <v>0</v>
      </c>
      <c r="AK214">
        <v>0</v>
      </c>
      <c r="AL214">
        <v>8</v>
      </c>
      <c r="AM214">
        <v>31</v>
      </c>
      <c r="AN214">
        <v>1</v>
      </c>
      <c r="AO214">
        <v>40</v>
      </c>
      <c r="AP214">
        <v>30</v>
      </c>
      <c r="AQ214">
        <v>8</v>
      </c>
      <c r="AR214">
        <v>3</v>
      </c>
      <c r="AS214">
        <v>6</v>
      </c>
      <c r="AT214">
        <v>1</v>
      </c>
    </row>
    <row r="215" spans="1:46">
      <c r="A215">
        <v>5219</v>
      </c>
      <c r="B215" t="s">
        <v>1777</v>
      </c>
      <c r="C215" t="s">
        <v>1778</v>
      </c>
      <c r="D215" t="s">
        <v>1779</v>
      </c>
      <c r="E215" t="s">
        <v>1780</v>
      </c>
      <c r="F215" t="s">
        <v>1781</v>
      </c>
      <c r="G215" t="s">
        <v>1757</v>
      </c>
      <c r="H215" t="s">
        <v>517</v>
      </c>
      <c r="J215" t="s">
        <v>518</v>
      </c>
      <c r="K215" t="s">
        <v>519</v>
      </c>
      <c r="M215" t="s">
        <v>1297</v>
      </c>
      <c r="N215" t="s">
        <v>571</v>
      </c>
      <c r="O215" t="s">
        <v>1758</v>
      </c>
      <c r="P215" t="s">
        <v>584</v>
      </c>
      <c r="Q215" t="s">
        <v>1759</v>
      </c>
      <c r="R215" t="s">
        <v>1760</v>
      </c>
      <c r="S215" t="s">
        <v>1757</v>
      </c>
      <c r="T215" t="s">
        <v>1485</v>
      </c>
      <c r="U215">
        <v>218401</v>
      </c>
      <c r="V215" t="s">
        <v>1782</v>
      </c>
      <c r="W215" t="s">
        <v>1762</v>
      </c>
      <c r="X215" t="s">
        <v>1763</v>
      </c>
      <c r="Y215" t="s">
        <v>1764</v>
      </c>
      <c r="AA215" t="s">
        <v>1765</v>
      </c>
      <c r="AB215" t="s">
        <v>1766</v>
      </c>
      <c r="AE215">
        <v>-39.047134759999999</v>
      </c>
      <c r="AF215">
        <v>174.10026490999999</v>
      </c>
      <c r="AG215">
        <v>34</v>
      </c>
      <c r="AH215">
        <v>0</v>
      </c>
      <c r="AI215">
        <v>0</v>
      </c>
      <c r="AJ215">
        <v>0</v>
      </c>
      <c r="AK215">
        <v>0</v>
      </c>
      <c r="AL215">
        <v>18</v>
      </c>
      <c r="AM215">
        <v>31</v>
      </c>
      <c r="AN215">
        <v>0</v>
      </c>
      <c r="AO215">
        <v>49</v>
      </c>
      <c r="AP215">
        <v>44</v>
      </c>
      <c r="AQ215">
        <v>9</v>
      </c>
      <c r="AR215">
        <v>0</v>
      </c>
      <c r="AS215">
        <v>5</v>
      </c>
      <c r="AT215">
        <v>0</v>
      </c>
    </row>
    <row r="216" spans="1:46">
      <c r="A216">
        <v>5220</v>
      </c>
      <c r="B216" t="s">
        <v>1783</v>
      </c>
      <c r="C216" t="s">
        <v>1784</v>
      </c>
      <c r="D216" t="s">
        <v>1785</v>
      </c>
      <c r="E216" t="s">
        <v>1786</v>
      </c>
      <c r="G216" t="s">
        <v>1757</v>
      </c>
      <c r="H216" t="s">
        <v>517</v>
      </c>
      <c r="J216" t="s">
        <v>518</v>
      </c>
      <c r="K216" t="s">
        <v>519</v>
      </c>
      <c r="M216" t="s">
        <v>1297</v>
      </c>
      <c r="N216" t="s">
        <v>571</v>
      </c>
      <c r="O216" t="s">
        <v>1758</v>
      </c>
      <c r="P216" t="s">
        <v>584</v>
      </c>
      <c r="Q216" t="s">
        <v>1759</v>
      </c>
      <c r="R216" t="s">
        <v>1760</v>
      </c>
      <c r="S216" t="s">
        <v>1757</v>
      </c>
      <c r="T216" t="s">
        <v>1485</v>
      </c>
      <c r="U216">
        <v>218201</v>
      </c>
      <c r="V216" t="s">
        <v>1787</v>
      </c>
      <c r="W216" t="s">
        <v>1762</v>
      </c>
      <c r="X216" t="s">
        <v>1763</v>
      </c>
      <c r="Y216" t="s">
        <v>1764</v>
      </c>
      <c r="AA216" t="s">
        <v>1765</v>
      </c>
      <c r="AB216" t="s">
        <v>1766</v>
      </c>
      <c r="AE216">
        <v>-39.090663679999999</v>
      </c>
      <c r="AF216">
        <v>174.05621869999999</v>
      </c>
      <c r="AG216">
        <v>44</v>
      </c>
      <c r="AH216">
        <v>0</v>
      </c>
      <c r="AI216">
        <v>0</v>
      </c>
      <c r="AJ216">
        <v>0</v>
      </c>
      <c r="AK216">
        <v>11</v>
      </c>
      <c r="AL216">
        <v>21</v>
      </c>
      <c r="AM216">
        <v>26</v>
      </c>
      <c r="AN216">
        <v>3</v>
      </c>
      <c r="AO216">
        <v>61</v>
      </c>
      <c r="AP216">
        <v>52</v>
      </c>
      <c r="AQ216">
        <v>14</v>
      </c>
      <c r="AR216">
        <v>1</v>
      </c>
      <c r="AS216">
        <v>7</v>
      </c>
      <c r="AT216">
        <v>1</v>
      </c>
    </row>
    <row r="217" spans="1:46">
      <c r="A217">
        <v>5221</v>
      </c>
      <c r="B217" t="s">
        <v>1788</v>
      </c>
      <c r="C217" t="s">
        <v>1789</v>
      </c>
      <c r="D217" t="s">
        <v>1790</v>
      </c>
      <c r="E217" t="s">
        <v>1791</v>
      </c>
      <c r="G217" t="s">
        <v>1792</v>
      </c>
      <c r="H217" t="s">
        <v>517</v>
      </c>
      <c r="J217" t="s">
        <v>518</v>
      </c>
      <c r="K217" t="s">
        <v>519</v>
      </c>
      <c r="M217" t="s">
        <v>1297</v>
      </c>
      <c r="N217" t="s">
        <v>571</v>
      </c>
      <c r="O217" t="s">
        <v>1758</v>
      </c>
      <c r="P217" t="s">
        <v>523</v>
      </c>
      <c r="Q217" t="s">
        <v>1759</v>
      </c>
      <c r="R217" t="s">
        <v>1760</v>
      </c>
      <c r="S217" t="s">
        <v>1417</v>
      </c>
      <c r="T217" t="s">
        <v>1485</v>
      </c>
      <c r="U217">
        <v>219601</v>
      </c>
      <c r="V217" t="s">
        <v>1792</v>
      </c>
      <c r="W217" t="s">
        <v>1793</v>
      </c>
      <c r="X217" t="s">
        <v>1763</v>
      </c>
      <c r="Y217" t="s">
        <v>1764</v>
      </c>
      <c r="AA217" t="s">
        <v>1765</v>
      </c>
      <c r="AB217" t="s">
        <v>1766</v>
      </c>
      <c r="AC217">
        <v>99059</v>
      </c>
      <c r="AD217" t="s">
        <v>1794</v>
      </c>
      <c r="AE217">
        <v>-39.158539060000003</v>
      </c>
      <c r="AF217">
        <v>174.19862658</v>
      </c>
      <c r="AG217">
        <v>40</v>
      </c>
      <c r="AH217">
        <v>0</v>
      </c>
      <c r="AI217">
        <v>0</v>
      </c>
      <c r="AJ217">
        <v>0</v>
      </c>
      <c r="AK217">
        <v>6</v>
      </c>
      <c r="AL217">
        <v>27</v>
      </c>
      <c r="AM217">
        <v>24</v>
      </c>
      <c r="AN217">
        <v>2</v>
      </c>
      <c r="AO217">
        <v>59</v>
      </c>
      <c r="AP217">
        <v>49</v>
      </c>
      <c r="AQ217">
        <v>18</v>
      </c>
      <c r="AR217">
        <v>4</v>
      </c>
      <c r="AS217">
        <v>7</v>
      </c>
      <c r="AT217">
        <v>1</v>
      </c>
    </row>
    <row r="218" spans="1:46">
      <c r="A218">
        <v>5222</v>
      </c>
      <c r="B218" t="s">
        <v>1795</v>
      </c>
      <c r="C218" t="s">
        <v>1796</v>
      </c>
      <c r="D218" t="s">
        <v>1797</v>
      </c>
      <c r="E218" t="s">
        <v>1798</v>
      </c>
      <c r="F218" t="s">
        <v>1799</v>
      </c>
      <c r="G218" t="s">
        <v>1757</v>
      </c>
      <c r="H218" t="s">
        <v>517</v>
      </c>
      <c r="J218" t="s">
        <v>518</v>
      </c>
      <c r="K218" t="s">
        <v>519</v>
      </c>
      <c r="M218" t="s">
        <v>1297</v>
      </c>
      <c r="N218" t="s">
        <v>521</v>
      </c>
      <c r="O218" t="s">
        <v>1758</v>
      </c>
      <c r="P218" t="s">
        <v>584</v>
      </c>
      <c r="Q218" t="s">
        <v>1759</v>
      </c>
      <c r="R218" t="s">
        <v>1760</v>
      </c>
      <c r="S218" t="s">
        <v>1757</v>
      </c>
      <c r="T218" t="s">
        <v>1485</v>
      </c>
      <c r="U218">
        <v>217100</v>
      </c>
      <c r="V218" t="s">
        <v>1799</v>
      </c>
      <c r="W218" t="s">
        <v>1762</v>
      </c>
      <c r="X218" t="s">
        <v>1763</v>
      </c>
      <c r="Y218" t="s">
        <v>1764</v>
      </c>
      <c r="AA218" t="s">
        <v>1765</v>
      </c>
      <c r="AB218" t="s">
        <v>1766</v>
      </c>
      <c r="AE218">
        <v>-39.07695245</v>
      </c>
      <c r="AF218">
        <v>174.04921924999999</v>
      </c>
      <c r="AG218">
        <v>47</v>
      </c>
      <c r="AH218">
        <v>0</v>
      </c>
      <c r="AI218">
        <v>0</v>
      </c>
      <c r="AJ218">
        <v>0</v>
      </c>
      <c r="AK218">
        <v>6</v>
      </c>
      <c r="AL218">
        <v>10</v>
      </c>
      <c r="AM218">
        <v>16</v>
      </c>
      <c r="AN218">
        <v>1</v>
      </c>
      <c r="AO218">
        <v>33</v>
      </c>
      <c r="AP218">
        <v>12</v>
      </c>
      <c r="AQ218">
        <v>19</v>
      </c>
      <c r="AR218">
        <v>3</v>
      </c>
      <c r="AS218">
        <v>4</v>
      </c>
      <c r="AT218">
        <v>2</v>
      </c>
    </row>
    <row r="219" spans="1:46">
      <c r="A219">
        <v>5223</v>
      </c>
      <c r="B219" t="s">
        <v>1800</v>
      </c>
      <c r="C219" t="s">
        <v>1801</v>
      </c>
      <c r="D219" t="s">
        <v>1802</v>
      </c>
      <c r="E219" t="s">
        <v>1803</v>
      </c>
      <c r="F219" t="s">
        <v>1804</v>
      </c>
      <c r="G219" t="s">
        <v>1757</v>
      </c>
      <c r="H219" t="s">
        <v>517</v>
      </c>
      <c r="J219" t="s">
        <v>518</v>
      </c>
      <c r="K219" t="s">
        <v>519</v>
      </c>
      <c r="M219" t="s">
        <v>1297</v>
      </c>
      <c r="N219" t="s">
        <v>557</v>
      </c>
      <c r="O219" t="s">
        <v>1758</v>
      </c>
      <c r="P219" t="s">
        <v>584</v>
      </c>
      <c r="Q219" t="s">
        <v>1759</v>
      </c>
      <c r="R219" t="s">
        <v>1760</v>
      </c>
      <c r="S219" t="s">
        <v>1757</v>
      </c>
      <c r="T219" t="s">
        <v>1485</v>
      </c>
      <c r="U219">
        <v>218100</v>
      </c>
      <c r="V219" t="s">
        <v>1804</v>
      </c>
      <c r="W219" t="s">
        <v>1762</v>
      </c>
      <c r="X219" t="s">
        <v>1763</v>
      </c>
      <c r="Y219" t="s">
        <v>1764</v>
      </c>
      <c r="AA219" t="s">
        <v>1765</v>
      </c>
      <c r="AB219" t="s">
        <v>1766</v>
      </c>
      <c r="AE219">
        <v>-39.06006395</v>
      </c>
      <c r="AF219">
        <v>174.10186186999999</v>
      </c>
      <c r="AG219">
        <v>40</v>
      </c>
      <c r="AH219">
        <v>0</v>
      </c>
      <c r="AI219">
        <v>0</v>
      </c>
      <c r="AJ219">
        <v>0</v>
      </c>
      <c r="AK219">
        <v>6</v>
      </c>
      <c r="AL219">
        <v>14</v>
      </c>
      <c r="AM219">
        <v>23</v>
      </c>
      <c r="AN219">
        <v>1</v>
      </c>
      <c r="AO219">
        <v>44</v>
      </c>
      <c r="AP219">
        <v>34</v>
      </c>
      <c r="AQ219">
        <v>13</v>
      </c>
      <c r="AR219">
        <v>3</v>
      </c>
      <c r="AS219">
        <v>8</v>
      </c>
      <c r="AT219">
        <v>0</v>
      </c>
    </row>
    <row r="220" spans="1:46">
      <c r="A220">
        <v>5224</v>
      </c>
      <c r="B220" t="s">
        <v>1805</v>
      </c>
      <c r="C220" t="s">
        <v>1806</v>
      </c>
      <c r="D220" t="s">
        <v>1807</v>
      </c>
      <c r="E220" t="s">
        <v>1808</v>
      </c>
      <c r="G220" t="s">
        <v>1757</v>
      </c>
      <c r="H220" t="s">
        <v>517</v>
      </c>
      <c r="J220" t="s">
        <v>518</v>
      </c>
      <c r="K220" t="s">
        <v>519</v>
      </c>
      <c r="M220" t="s">
        <v>1297</v>
      </c>
      <c r="N220" t="s">
        <v>571</v>
      </c>
      <c r="O220" t="s">
        <v>1758</v>
      </c>
      <c r="P220" t="s">
        <v>584</v>
      </c>
      <c r="Q220" t="s">
        <v>1759</v>
      </c>
      <c r="R220" t="s">
        <v>1760</v>
      </c>
      <c r="S220" t="s">
        <v>1757</v>
      </c>
      <c r="T220" t="s">
        <v>1485</v>
      </c>
      <c r="U220">
        <v>218301</v>
      </c>
      <c r="V220" t="s">
        <v>1809</v>
      </c>
      <c r="W220" t="s">
        <v>1762</v>
      </c>
      <c r="X220" t="s">
        <v>1763</v>
      </c>
      <c r="Y220" t="s">
        <v>1764</v>
      </c>
      <c r="AA220" t="s">
        <v>1765</v>
      </c>
      <c r="AB220" t="s">
        <v>1766</v>
      </c>
      <c r="AE220">
        <v>-39.061915769999999</v>
      </c>
      <c r="AF220">
        <v>174.08060498</v>
      </c>
      <c r="AG220">
        <v>40</v>
      </c>
      <c r="AH220">
        <v>0</v>
      </c>
      <c r="AI220">
        <v>0</v>
      </c>
      <c r="AJ220">
        <v>0</v>
      </c>
      <c r="AK220">
        <v>4</v>
      </c>
      <c r="AL220">
        <v>21</v>
      </c>
      <c r="AM220">
        <v>21</v>
      </c>
      <c r="AN220">
        <v>2</v>
      </c>
      <c r="AO220">
        <v>48</v>
      </c>
      <c r="AP220">
        <v>40</v>
      </c>
      <c r="AQ220">
        <v>8</v>
      </c>
      <c r="AR220">
        <v>3</v>
      </c>
      <c r="AS220">
        <v>13</v>
      </c>
      <c r="AT220">
        <v>4</v>
      </c>
    </row>
    <row r="221" spans="1:46">
      <c r="A221">
        <v>5225</v>
      </c>
      <c r="B221" t="s">
        <v>1810</v>
      </c>
      <c r="C221" t="s">
        <v>1811</v>
      </c>
      <c r="D221" t="s">
        <v>1812</v>
      </c>
      <c r="E221" t="s">
        <v>1813</v>
      </c>
      <c r="F221" t="s">
        <v>1756</v>
      </c>
      <c r="G221" t="s">
        <v>1757</v>
      </c>
      <c r="H221" t="s">
        <v>517</v>
      </c>
      <c r="J221" t="s">
        <v>518</v>
      </c>
      <c r="K221" t="s">
        <v>519</v>
      </c>
      <c r="M221" t="s">
        <v>1297</v>
      </c>
      <c r="N221" t="s">
        <v>557</v>
      </c>
      <c r="O221" t="s">
        <v>1758</v>
      </c>
      <c r="P221" t="s">
        <v>584</v>
      </c>
      <c r="Q221" t="s">
        <v>1759</v>
      </c>
      <c r="R221" t="s">
        <v>1760</v>
      </c>
      <c r="S221" t="s">
        <v>1757</v>
      </c>
      <c r="T221" t="s">
        <v>1485</v>
      </c>
      <c r="U221">
        <v>217502</v>
      </c>
      <c r="V221" t="s">
        <v>1814</v>
      </c>
      <c r="W221" t="s">
        <v>1762</v>
      </c>
      <c r="X221" t="s">
        <v>1763</v>
      </c>
      <c r="Y221" t="s">
        <v>1764</v>
      </c>
      <c r="AA221" t="s">
        <v>1765</v>
      </c>
      <c r="AB221" t="s">
        <v>1766</v>
      </c>
      <c r="AE221">
        <v>-39.025493500000003</v>
      </c>
      <c r="AF221">
        <v>174.15113177000001</v>
      </c>
      <c r="AG221">
        <v>40</v>
      </c>
      <c r="AH221">
        <v>0</v>
      </c>
      <c r="AI221">
        <v>0</v>
      </c>
      <c r="AJ221">
        <v>0</v>
      </c>
      <c r="AK221">
        <v>12</v>
      </c>
      <c r="AL221">
        <v>14</v>
      </c>
      <c r="AM221">
        <v>13</v>
      </c>
      <c r="AN221">
        <v>1</v>
      </c>
      <c r="AO221">
        <v>40</v>
      </c>
      <c r="AP221">
        <v>29</v>
      </c>
      <c r="AQ221">
        <v>16</v>
      </c>
      <c r="AR221">
        <v>2</v>
      </c>
      <c r="AS221">
        <v>3</v>
      </c>
      <c r="AT221">
        <v>4</v>
      </c>
    </row>
    <row r="222" spans="1:46">
      <c r="A222">
        <v>5226</v>
      </c>
      <c r="B222" t="s">
        <v>1815</v>
      </c>
      <c r="C222" t="s">
        <v>1816</v>
      </c>
      <c r="D222" t="s">
        <v>1817</v>
      </c>
      <c r="E222" t="s">
        <v>1818</v>
      </c>
      <c r="F222" t="s">
        <v>1819</v>
      </c>
      <c r="G222" t="s">
        <v>1757</v>
      </c>
      <c r="H222" t="s">
        <v>517</v>
      </c>
      <c r="J222" t="s">
        <v>518</v>
      </c>
      <c r="K222" t="s">
        <v>519</v>
      </c>
      <c r="M222" t="s">
        <v>1297</v>
      </c>
      <c r="N222" t="s">
        <v>521</v>
      </c>
      <c r="O222" t="s">
        <v>1758</v>
      </c>
      <c r="P222" t="s">
        <v>584</v>
      </c>
      <c r="Q222" t="s">
        <v>1759</v>
      </c>
      <c r="R222" t="s">
        <v>1760</v>
      </c>
      <c r="S222" t="s">
        <v>1757</v>
      </c>
      <c r="T222" t="s">
        <v>1485</v>
      </c>
      <c r="U222">
        <v>216300</v>
      </c>
      <c r="V222" t="s">
        <v>1819</v>
      </c>
      <c r="W222" t="s">
        <v>1762</v>
      </c>
      <c r="X222" t="s">
        <v>1763</v>
      </c>
      <c r="Y222" t="s">
        <v>1764</v>
      </c>
      <c r="AA222" t="s">
        <v>1765</v>
      </c>
      <c r="AB222" t="s">
        <v>1766</v>
      </c>
      <c r="AE222">
        <v>-39.067268630000001</v>
      </c>
      <c r="AF222">
        <v>174.02432744999999</v>
      </c>
      <c r="AG222">
        <v>34</v>
      </c>
      <c r="AH222">
        <v>0</v>
      </c>
      <c r="AI222">
        <v>0</v>
      </c>
      <c r="AJ222">
        <v>0</v>
      </c>
      <c r="AK222">
        <v>7</v>
      </c>
      <c r="AL222">
        <v>13</v>
      </c>
      <c r="AM222">
        <v>11</v>
      </c>
      <c r="AN222">
        <v>0</v>
      </c>
      <c r="AO222">
        <v>31</v>
      </c>
      <c r="AP222">
        <v>22</v>
      </c>
      <c r="AQ222">
        <v>20</v>
      </c>
      <c r="AR222">
        <v>3</v>
      </c>
      <c r="AS222">
        <v>2</v>
      </c>
      <c r="AT222">
        <v>0</v>
      </c>
    </row>
    <row r="223" spans="1:46">
      <c r="A223">
        <v>5227</v>
      </c>
      <c r="B223" t="s">
        <v>1820</v>
      </c>
      <c r="C223" t="s">
        <v>1821</v>
      </c>
      <c r="D223" t="s">
        <v>1822</v>
      </c>
      <c r="E223" t="s">
        <v>1823</v>
      </c>
      <c r="G223" t="s">
        <v>1824</v>
      </c>
      <c r="H223" t="s">
        <v>517</v>
      </c>
      <c r="J223" t="s">
        <v>518</v>
      </c>
      <c r="K223" t="s">
        <v>519</v>
      </c>
      <c r="M223" t="s">
        <v>1297</v>
      </c>
      <c r="N223" t="s">
        <v>539</v>
      </c>
      <c r="O223" t="s">
        <v>1758</v>
      </c>
      <c r="P223" t="s">
        <v>523</v>
      </c>
      <c r="Q223" t="s">
        <v>1759</v>
      </c>
      <c r="R223" t="s">
        <v>1760</v>
      </c>
      <c r="S223" t="s">
        <v>1757</v>
      </c>
      <c r="T223" t="s">
        <v>1485</v>
      </c>
      <c r="U223">
        <v>218500</v>
      </c>
      <c r="V223" t="s">
        <v>1825</v>
      </c>
      <c r="W223" t="s">
        <v>1826</v>
      </c>
      <c r="X223" t="s">
        <v>1763</v>
      </c>
      <c r="Y223" t="s">
        <v>1764</v>
      </c>
      <c r="AA223" t="s">
        <v>1765</v>
      </c>
      <c r="AB223" t="s">
        <v>1766</v>
      </c>
      <c r="AE223">
        <v>-39.003863500000001</v>
      </c>
      <c r="AF223">
        <v>174.23542713000001</v>
      </c>
      <c r="AG223">
        <v>40</v>
      </c>
      <c r="AH223">
        <v>0</v>
      </c>
      <c r="AI223">
        <v>0</v>
      </c>
      <c r="AJ223">
        <v>0</v>
      </c>
      <c r="AK223">
        <v>3</v>
      </c>
      <c r="AL223">
        <v>17</v>
      </c>
      <c r="AM223">
        <v>10</v>
      </c>
      <c r="AN223">
        <v>2</v>
      </c>
      <c r="AO223">
        <v>32</v>
      </c>
      <c r="AP223">
        <v>19</v>
      </c>
      <c r="AQ223">
        <v>23</v>
      </c>
      <c r="AR223">
        <v>5</v>
      </c>
      <c r="AS223">
        <v>1</v>
      </c>
      <c r="AT223">
        <v>0</v>
      </c>
    </row>
    <row r="224" spans="1:46">
      <c r="A224">
        <v>5228</v>
      </c>
      <c r="B224" t="s">
        <v>1827</v>
      </c>
      <c r="C224" t="s">
        <v>1828</v>
      </c>
      <c r="D224" t="s">
        <v>1829</v>
      </c>
      <c r="E224" t="s">
        <v>1830</v>
      </c>
      <c r="G224" t="s">
        <v>1824</v>
      </c>
      <c r="H224" t="s">
        <v>517</v>
      </c>
      <c r="J224" t="s">
        <v>518</v>
      </c>
      <c r="K224" t="s">
        <v>519</v>
      </c>
      <c r="M224" t="s">
        <v>1297</v>
      </c>
      <c r="N224" t="s">
        <v>521</v>
      </c>
      <c r="O224" t="s">
        <v>1758</v>
      </c>
      <c r="P224" t="s">
        <v>523</v>
      </c>
      <c r="Q224" t="s">
        <v>1759</v>
      </c>
      <c r="R224" t="s">
        <v>1760</v>
      </c>
      <c r="S224" t="s">
        <v>1757</v>
      </c>
      <c r="T224" t="s">
        <v>1485</v>
      </c>
      <c r="U224">
        <v>218500</v>
      </c>
      <c r="V224" t="s">
        <v>1825</v>
      </c>
      <c r="W224" t="s">
        <v>1826</v>
      </c>
      <c r="X224" t="s">
        <v>1763</v>
      </c>
      <c r="Y224" t="s">
        <v>1764</v>
      </c>
      <c r="AA224" t="s">
        <v>1765</v>
      </c>
      <c r="AB224" t="s">
        <v>1766</v>
      </c>
      <c r="AE224">
        <v>-38.992448770000003</v>
      </c>
      <c r="AF224">
        <v>174.22414986000001</v>
      </c>
      <c r="AG224">
        <v>40</v>
      </c>
      <c r="AH224">
        <v>0</v>
      </c>
      <c r="AI224">
        <v>0</v>
      </c>
      <c r="AJ224">
        <v>0</v>
      </c>
      <c r="AK224">
        <v>2</v>
      </c>
      <c r="AL224">
        <v>9</v>
      </c>
      <c r="AM224">
        <v>22</v>
      </c>
      <c r="AN224">
        <v>0</v>
      </c>
      <c r="AO224">
        <v>33</v>
      </c>
      <c r="AP224">
        <v>30</v>
      </c>
      <c r="AQ224">
        <v>18</v>
      </c>
      <c r="AR224">
        <v>2</v>
      </c>
      <c r="AS224">
        <v>2</v>
      </c>
      <c r="AT224">
        <v>0</v>
      </c>
    </row>
    <row r="225" spans="1:46">
      <c r="A225">
        <v>5229</v>
      </c>
      <c r="B225" t="s">
        <v>1831</v>
      </c>
      <c r="C225" t="s">
        <v>1832</v>
      </c>
      <c r="D225" t="s">
        <v>1833</v>
      </c>
      <c r="E225" t="s">
        <v>1834</v>
      </c>
      <c r="G225" t="s">
        <v>1757</v>
      </c>
      <c r="H225" t="s">
        <v>517</v>
      </c>
      <c r="J225" t="s">
        <v>518</v>
      </c>
      <c r="K225" t="s">
        <v>519</v>
      </c>
      <c r="M225" t="s">
        <v>1297</v>
      </c>
      <c r="N225" t="s">
        <v>539</v>
      </c>
      <c r="O225" t="s">
        <v>1758</v>
      </c>
      <c r="P225" t="s">
        <v>584</v>
      </c>
      <c r="Q225" t="s">
        <v>1759</v>
      </c>
      <c r="R225" t="s">
        <v>1760</v>
      </c>
      <c r="S225" t="s">
        <v>1757</v>
      </c>
      <c r="T225" t="s">
        <v>1485</v>
      </c>
      <c r="U225">
        <v>217400</v>
      </c>
      <c r="V225" t="s">
        <v>1835</v>
      </c>
      <c r="W225" t="s">
        <v>1762</v>
      </c>
      <c r="X225" t="s">
        <v>1763</v>
      </c>
      <c r="Y225" t="s">
        <v>1764</v>
      </c>
      <c r="AA225" t="s">
        <v>1765</v>
      </c>
      <c r="AB225" t="s">
        <v>1766</v>
      </c>
      <c r="AE225">
        <v>-39.07398225</v>
      </c>
      <c r="AF225">
        <v>174.06042189999999</v>
      </c>
      <c r="AG225">
        <v>40</v>
      </c>
      <c r="AH225">
        <v>0</v>
      </c>
      <c r="AI225">
        <v>0</v>
      </c>
      <c r="AJ225">
        <v>0</v>
      </c>
      <c r="AK225">
        <v>8</v>
      </c>
      <c r="AL225">
        <v>16</v>
      </c>
      <c r="AM225">
        <v>16</v>
      </c>
      <c r="AN225">
        <v>0</v>
      </c>
      <c r="AO225">
        <v>40</v>
      </c>
      <c r="AP225">
        <v>25</v>
      </c>
      <c r="AQ225">
        <v>11</v>
      </c>
      <c r="AR225">
        <v>1</v>
      </c>
      <c r="AS225">
        <v>10</v>
      </c>
      <c r="AT225">
        <v>2</v>
      </c>
    </row>
    <row r="226" spans="1:46">
      <c r="A226">
        <v>5230</v>
      </c>
      <c r="B226" t="s">
        <v>1836</v>
      </c>
      <c r="C226" t="s">
        <v>1837</v>
      </c>
      <c r="D226" t="s">
        <v>1838</v>
      </c>
      <c r="E226" t="s">
        <v>1839</v>
      </c>
      <c r="G226" t="s">
        <v>1840</v>
      </c>
      <c r="H226" t="s">
        <v>517</v>
      </c>
      <c r="J226" t="s">
        <v>518</v>
      </c>
      <c r="K226" t="s">
        <v>519</v>
      </c>
      <c r="M226" t="s">
        <v>1297</v>
      </c>
      <c r="N226" t="s">
        <v>539</v>
      </c>
      <c r="O226" t="s">
        <v>1841</v>
      </c>
      <c r="P226" t="s">
        <v>523</v>
      </c>
      <c r="Q226" t="s">
        <v>1759</v>
      </c>
      <c r="R226" t="s">
        <v>1760</v>
      </c>
      <c r="S226" t="s">
        <v>1842</v>
      </c>
      <c r="T226" t="s">
        <v>1485</v>
      </c>
      <c r="U226">
        <v>220400</v>
      </c>
      <c r="V226" t="s">
        <v>1843</v>
      </c>
      <c r="W226" t="s">
        <v>1844</v>
      </c>
      <c r="X226" t="s">
        <v>1763</v>
      </c>
      <c r="Y226" t="s">
        <v>1764</v>
      </c>
      <c r="AA226" t="s">
        <v>1765</v>
      </c>
      <c r="AB226" t="s">
        <v>1766</v>
      </c>
      <c r="AC226">
        <v>99108</v>
      </c>
      <c r="AD226" t="s">
        <v>1845</v>
      </c>
      <c r="AE226">
        <v>-39.350845239999998</v>
      </c>
      <c r="AF226">
        <v>174.28191242</v>
      </c>
      <c r="AG226">
        <v>39</v>
      </c>
      <c r="AH226">
        <v>0</v>
      </c>
      <c r="AI226">
        <v>0</v>
      </c>
      <c r="AJ226">
        <v>0</v>
      </c>
      <c r="AK226">
        <v>7</v>
      </c>
      <c r="AL226">
        <v>11</v>
      </c>
      <c r="AM226">
        <v>15</v>
      </c>
      <c r="AN226">
        <v>0</v>
      </c>
      <c r="AO226">
        <v>33</v>
      </c>
      <c r="AP226">
        <v>31</v>
      </c>
      <c r="AQ226">
        <v>12</v>
      </c>
      <c r="AR226">
        <v>1</v>
      </c>
      <c r="AS226">
        <v>0</v>
      </c>
      <c r="AT226">
        <v>1</v>
      </c>
    </row>
    <row r="227" spans="1:46">
      <c r="A227">
        <v>5231</v>
      </c>
      <c r="B227" t="s">
        <v>1846</v>
      </c>
      <c r="C227" t="s">
        <v>1847</v>
      </c>
      <c r="D227" t="s">
        <v>1848</v>
      </c>
      <c r="E227" t="s">
        <v>1849</v>
      </c>
      <c r="G227" t="s">
        <v>1850</v>
      </c>
      <c r="H227" t="s">
        <v>517</v>
      </c>
      <c r="J227" t="s">
        <v>518</v>
      </c>
      <c r="K227" t="s">
        <v>519</v>
      </c>
      <c r="M227" t="s">
        <v>1297</v>
      </c>
      <c r="N227" t="s">
        <v>539</v>
      </c>
      <c r="O227" t="s">
        <v>1851</v>
      </c>
      <c r="P227" t="s">
        <v>523</v>
      </c>
      <c r="Q227" t="s">
        <v>1759</v>
      </c>
      <c r="R227" t="s">
        <v>1760</v>
      </c>
      <c r="S227" t="s">
        <v>1842</v>
      </c>
      <c r="T227" t="s">
        <v>1485</v>
      </c>
      <c r="U227">
        <v>221001</v>
      </c>
      <c r="V227" t="s">
        <v>1850</v>
      </c>
      <c r="W227" t="s">
        <v>1852</v>
      </c>
      <c r="X227" t="s">
        <v>1763</v>
      </c>
      <c r="Y227" t="s">
        <v>1764</v>
      </c>
      <c r="AA227" t="s">
        <v>1765</v>
      </c>
      <c r="AB227" t="s">
        <v>1766</v>
      </c>
      <c r="AC227">
        <v>99108</v>
      </c>
      <c r="AD227" t="s">
        <v>1845</v>
      </c>
      <c r="AE227">
        <v>-39.432761630000002</v>
      </c>
      <c r="AF227">
        <v>174.29804102</v>
      </c>
      <c r="AG227">
        <v>45</v>
      </c>
      <c r="AH227">
        <v>0</v>
      </c>
      <c r="AI227">
        <v>0</v>
      </c>
      <c r="AJ227">
        <v>0</v>
      </c>
      <c r="AK227">
        <v>2</v>
      </c>
      <c r="AL227">
        <v>10</v>
      </c>
      <c r="AM227">
        <v>16</v>
      </c>
      <c r="AN227">
        <v>1</v>
      </c>
      <c r="AO227">
        <v>29</v>
      </c>
      <c r="AP227">
        <v>24</v>
      </c>
      <c r="AQ227">
        <v>14</v>
      </c>
      <c r="AR227">
        <v>1</v>
      </c>
      <c r="AS227">
        <v>3</v>
      </c>
      <c r="AT227">
        <v>0</v>
      </c>
    </row>
    <row r="228" spans="1:46">
      <c r="A228">
        <v>5232</v>
      </c>
      <c r="B228" t="s">
        <v>1853</v>
      </c>
      <c r="C228" t="s">
        <v>1854</v>
      </c>
      <c r="D228" t="s">
        <v>1855</v>
      </c>
      <c r="E228" t="s">
        <v>1856</v>
      </c>
      <c r="G228" t="s">
        <v>1857</v>
      </c>
      <c r="H228" t="s">
        <v>517</v>
      </c>
      <c r="J228" t="s">
        <v>518</v>
      </c>
      <c r="K228" t="s">
        <v>519</v>
      </c>
      <c r="M228" t="s">
        <v>1297</v>
      </c>
      <c r="N228" t="s">
        <v>557</v>
      </c>
      <c r="O228" t="s">
        <v>1851</v>
      </c>
      <c r="P228" t="s">
        <v>523</v>
      </c>
      <c r="Q228" t="s">
        <v>1759</v>
      </c>
      <c r="R228" t="s">
        <v>1760</v>
      </c>
      <c r="S228" t="s">
        <v>1842</v>
      </c>
      <c r="T228" t="s">
        <v>1485</v>
      </c>
      <c r="U228">
        <v>221800</v>
      </c>
      <c r="V228" t="s">
        <v>1858</v>
      </c>
      <c r="W228" t="s">
        <v>1859</v>
      </c>
      <c r="X228" t="s">
        <v>1763</v>
      </c>
      <c r="Y228" t="s">
        <v>1764</v>
      </c>
      <c r="AA228" t="s">
        <v>1765</v>
      </c>
      <c r="AB228" t="s">
        <v>1766</v>
      </c>
      <c r="AC228">
        <v>99167</v>
      </c>
      <c r="AD228" t="s">
        <v>1860</v>
      </c>
      <c r="AE228">
        <v>-39.592770229999999</v>
      </c>
      <c r="AF228">
        <v>174.27291957</v>
      </c>
      <c r="AG228">
        <v>41</v>
      </c>
      <c r="AH228">
        <v>0</v>
      </c>
      <c r="AI228">
        <v>0</v>
      </c>
      <c r="AJ228">
        <v>0</v>
      </c>
      <c r="AK228">
        <v>4</v>
      </c>
      <c r="AL228">
        <v>20</v>
      </c>
      <c r="AM228">
        <v>16</v>
      </c>
      <c r="AN228">
        <v>1</v>
      </c>
      <c r="AO228">
        <v>41</v>
      </c>
      <c r="AP228">
        <v>34</v>
      </c>
      <c r="AQ228">
        <v>16</v>
      </c>
      <c r="AR228">
        <v>5</v>
      </c>
      <c r="AS228">
        <v>4</v>
      </c>
      <c r="AT228">
        <v>0</v>
      </c>
    </row>
    <row r="229" spans="1:46">
      <c r="A229">
        <v>5233</v>
      </c>
      <c r="B229" t="s">
        <v>1861</v>
      </c>
      <c r="C229" t="s">
        <v>1862</v>
      </c>
      <c r="D229" t="s">
        <v>1863</v>
      </c>
      <c r="E229" t="s">
        <v>1864</v>
      </c>
      <c r="G229" t="s">
        <v>1857</v>
      </c>
      <c r="H229" t="s">
        <v>517</v>
      </c>
      <c r="J229" t="s">
        <v>518</v>
      </c>
      <c r="K229" t="s">
        <v>519</v>
      </c>
      <c r="M229" t="s">
        <v>1297</v>
      </c>
      <c r="N229" t="s">
        <v>557</v>
      </c>
      <c r="O229" t="s">
        <v>1851</v>
      </c>
      <c r="P229" t="s">
        <v>523</v>
      </c>
      <c r="Q229" t="s">
        <v>1759</v>
      </c>
      <c r="R229" t="s">
        <v>1760</v>
      </c>
      <c r="S229" t="s">
        <v>1842</v>
      </c>
      <c r="T229" t="s">
        <v>1485</v>
      </c>
      <c r="U229">
        <v>221600</v>
      </c>
      <c r="V229" t="s">
        <v>1865</v>
      </c>
      <c r="W229" t="s">
        <v>1859</v>
      </c>
      <c r="X229" t="s">
        <v>1763</v>
      </c>
      <c r="Y229" t="s">
        <v>1764</v>
      </c>
      <c r="AA229" t="s">
        <v>1765</v>
      </c>
      <c r="AB229" t="s">
        <v>1766</v>
      </c>
      <c r="AC229">
        <v>99167</v>
      </c>
      <c r="AD229" t="s">
        <v>1860</v>
      </c>
      <c r="AE229">
        <v>-39.574148989999998</v>
      </c>
      <c r="AF229">
        <v>174.27592064000001</v>
      </c>
      <c r="AG229">
        <v>37</v>
      </c>
      <c r="AH229">
        <v>0</v>
      </c>
      <c r="AI229">
        <v>0</v>
      </c>
      <c r="AJ229">
        <v>0</v>
      </c>
      <c r="AK229">
        <v>11</v>
      </c>
      <c r="AL229">
        <v>12</v>
      </c>
      <c r="AM229">
        <v>17</v>
      </c>
      <c r="AN229">
        <v>0</v>
      </c>
      <c r="AO229">
        <v>40</v>
      </c>
      <c r="AP229">
        <v>38</v>
      </c>
      <c r="AQ229">
        <v>15</v>
      </c>
      <c r="AR229">
        <v>4</v>
      </c>
      <c r="AS229">
        <v>0</v>
      </c>
      <c r="AT229">
        <v>0</v>
      </c>
    </row>
    <row r="230" spans="1:46">
      <c r="A230">
        <v>5234</v>
      </c>
      <c r="B230" t="s">
        <v>1866</v>
      </c>
      <c r="C230" t="s">
        <v>1867</v>
      </c>
      <c r="D230" t="s">
        <v>1868</v>
      </c>
      <c r="E230" t="s">
        <v>1869</v>
      </c>
      <c r="G230" t="s">
        <v>1870</v>
      </c>
      <c r="H230" t="s">
        <v>517</v>
      </c>
      <c r="J230" t="s">
        <v>518</v>
      </c>
      <c r="K230" t="s">
        <v>519</v>
      </c>
      <c r="M230" t="s">
        <v>1297</v>
      </c>
      <c r="N230" t="s">
        <v>557</v>
      </c>
      <c r="O230" t="s">
        <v>1851</v>
      </c>
      <c r="P230" t="s">
        <v>523</v>
      </c>
      <c r="Q230" t="s">
        <v>1759</v>
      </c>
      <c r="R230" t="s">
        <v>1760</v>
      </c>
      <c r="S230" t="s">
        <v>1842</v>
      </c>
      <c r="T230" t="s">
        <v>1485</v>
      </c>
      <c r="U230">
        <v>222201</v>
      </c>
      <c r="V230" t="s">
        <v>1871</v>
      </c>
      <c r="W230" t="s">
        <v>1872</v>
      </c>
      <c r="X230" t="s">
        <v>1763</v>
      </c>
      <c r="Y230" t="s">
        <v>1764</v>
      </c>
      <c r="AA230" t="s">
        <v>1765</v>
      </c>
      <c r="AB230" t="s">
        <v>1766</v>
      </c>
      <c r="AC230">
        <v>99167</v>
      </c>
      <c r="AD230" t="s">
        <v>1860</v>
      </c>
      <c r="AE230">
        <v>-39.752943440000003</v>
      </c>
      <c r="AF230">
        <v>174.47309781000001</v>
      </c>
      <c r="AG230">
        <v>40</v>
      </c>
      <c r="AH230">
        <v>0</v>
      </c>
      <c r="AI230">
        <v>0</v>
      </c>
      <c r="AJ230">
        <v>0</v>
      </c>
      <c r="AK230">
        <v>6</v>
      </c>
      <c r="AL230">
        <v>14</v>
      </c>
      <c r="AM230">
        <v>23</v>
      </c>
      <c r="AN230">
        <v>1</v>
      </c>
      <c r="AO230">
        <v>44</v>
      </c>
      <c r="AP230">
        <v>36</v>
      </c>
      <c r="AQ230">
        <v>13</v>
      </c>
      <c r="AR230">
        <v>2</v>
      </c>
      <c r="AS230">
        <v>4</v>
      </c>
      <c r="AT230">
        <v>1</v>
      </c>
    </row>
    <row r="231" spans="1:46">
      <c r="A231">
        <v>5235</v>
      </c>
      <c r="B231" t="s">
        <v>1873</v>
      </c>
      <c r="C231" t="s">
        <v>1874</v>
      </c>
      <c r="D231" t="s">
        <v>1875</v>
      </c>
      <c r="E231" t="s">
        <v>1876</v>
      </c>
      <c r="G231" t="s">
        <v>1840</v>
      </c>
      <c r="H231" t="s">
        <v>517</v>
      </c>
      <c r="J231" t="s">
        <v>518</v>
      </c>
      <c r="K231" t="s">
        <v>519</v>
      </c>
      <c r="M231" t="s">
        <v>1297</v>
      </c>
      <c r="N231" t="s">
        <v>557</v>
      </c>
      <c r="O231" t="s">
        <v>1841</v>
      </c>
      <c r="P231" t="s">
        <v>523</v>
      </c>
      <c r="Q231" t="s">
        <v>1759</v>
      </c>
      <c r="R231" t="s">
        <v>1760</v>
      </c>
      <c r="S231" t="s">
        <v>1842</v>
      </c>
      <c r="T231" t="s">
        <v>1485</v>
      </c>
      <c r="U231">
        <v>220301</v>
      </c>
      <c r="V231" t="s">
        <v>1877</v>
      </c>
      <c r="W231" t="s">
        <v>1844</v>
      </c>
      <c r="X231" t="s">
        <v>1763</v>
      </c>
      <c r="Y231" t="s">
        <v>1764</v>
      </c>
      <c r="AA231" t="s">
        <v>1765</v>
      </c>
      <c r="AB231" t="s">
        <v>1766</v>
      </c>
      <c r="AC231">
        <v>99108</v>
      </c>
      <c r="AD231" t="s">
        <v>1845</v>
      </c>
      <c r="AE231">
        <v>-39.33796984</v>
      </c>
      <c r="AF231">
        <v>174.29016486</v>
      </c>
      <c r="AG231">
        <v>50</v>
      </c>
      <c r="AH231">
        <v>0</v>
      </c>
      <c r="AI231">
        <v>0</v>
      </c>
      <c r="AJ231">
        <v>0</v>
      </c>
      <c r="AK231">
        <v>9</v>
      </c>
      <c r="AL231">
        <v>15</v>
      </c>
      <c r="AM231">
        <v>29</v>
      </c>
      <c r="AN231">
        <v>1</v>
      </c>
      <c r="AO231">
        <v>54</v>
      </c>
      <c r="AP231">
        <v>50</v>
      </c>
      <c r="AQ231">
        <v>13</v>
      </c>
      <c r="AR231">
        <v>0</v>
      </c>
      <c r="AS231">
        <v>0</v>
      </c>
      <c r="AT231">
        <v>2</v>
      </c>
    </row>
    <row r="232" spans="1:46">
      <c r="A232">
        <v>5236</v>
      </c>
      <c r="B232" t="s">
        <v>1878</v>
      </c>
      <c r="C232" t="s">
        <v>1879</v>
      </c>
      <c r="D232" t="s">
        <v>1880</v>
      </c>
      <c r="E232" t="s">
        <v>1881</v>
      </c>
      <c r="G232" t="s">
        <v>1857</v>
      </c>
      <c r="H232" t="s">
        <v>517</v>
      </c>
      <c r="J232" t="s">
        <v>518</v>
      </c>
      <c r="K232" t="s">
        <v>519</v>
      </c>
      <c r="M232" t="s">
        <v>1297</v>
      </c>
      <c r="N232" t="s">
        <v>557</v>
      </c>
      <c r="O232" t="s">
        <v>1851</v>
      </c>
      <c r="P232" t="s">
        <v>523</v>
      </c>
      <c r="Q232" t="s">
        <v>1759</v>
      </c>
      <c r="R232" t="s">
        <v>1760</v>
      </c>
      <c r="S232" t="s">
        <v>1842</v>
      </c>
      <c r="T232" t="s">
        <v>1485</v>
      </c>
      <c r="U232">
        <v>221600</v>
      </c>
      <c r="V232" t="s">
        <v>1865</v>
      </c>
      <c r="W232" t="s">
        <v>1859</v>
      </c>
      <c r="X232" t="s">
        <v>1763</v>
      </c>
      <c r="Y232" t="s">
        <v>1764</v>
      </c>
      <c r="AA232" t="s">
        <v>1765</v>
      </c>
      <c r="AB232" t="s">
        <v>1766</v>
      </c>
      <c r="AC232">
        <v>99167</v>
      </c>
      <c r="AD232" t="s">
        <v>1860</v>
      </c>
      <c r="AE232">
        <v>-39.5853021</v>
      </c>
      <c r="AF232">
        <v>174.2933707</v>
      </c>
      <c r="AG232">
        <v>40</v>
      </c>
      <c r="AH232">
        <v>0</v>
      </c>
      <c r="AI232">
        <v>0</v>
      </c>
      <c r="AJ232">
        <v>0</v>
      </c>
      <c r="AK232">
        <v>5</v>
      </c>
      <c r="AL232">
        <v>17</v>
      </c>
      <c r="AM232">
        <v>8</v>
      </c>
      <c r="AN232">
        <v>2</v>
      </c>
      <c r="AO232">
        <v>32</v>
      </c>
      <c r="AP232">
        <v>23</v>
      </c>
      <c r="AQ232">
        <v>13</v>
      </c>
      <c r="AR232">
        <v>0</v>
      </c>
      <c r="AS232">
        <v>5</v>
      </c>
      <c r="AT232">
        <v>2</v>
      </c>
    </row>
    <row r="233" spans="1:46">
      <c r="A233">
        <v>5237</v>
      </c>
      <c r="B233" t="s">
        <v>1882</v>
      </c>
      <c r="C233" t="s">
        <v>1883</v>
      </c>
      <c r="D233" t="s">
        <v>1884</v>
      </c>
      <c r="E233" t="s">
        <v>1885</v>
      </c>
      <c r="F233" t="s">
        <v>1886</v>
      </c>
      <c r="G233" t="s">
        <v>1842</v>
      </c>
      <c r="H233" t="s">
        <v>517</v>
      </c>
      <c r="J233" t="s">
        <v>518</v>
      </c>
      <c r="K233" t="s">
        <v>519</v>
      </c>
      <c r="M233" t="s">
        <v>1297</v>
      </c>
      <c r="N233" t="s">
        <v>557</v>
      </c>
      <c r="O233" t="s">
        <v>1887</v>
      </c>
      <c r="P233" t="s">
        <v>584</v>
      </c>
      <c r="Q233" t="s">
        <v>1636</v>
      </c>
      <c r="R233" t="s">
        <v>1760</v>
      </c>
      <c r="S233" t="s">
        <v>1842</v>
      </c>
      <c r="T233" t="s">
        <v>1485</v>
      </c>
      <c r="U233">
        <v>224000</v>
      </c>
      <c r="V233" t="s">
        <v>1888</v>
      </c>
      <c r="W233" t="s">
        <v>1652</v>
      </c>
      <c r="X233" t="s">
        <v>1889</v>
      </c>
      <c r="Y233" t="s">
        <v>1890</v>
      </c>
      <c r="AA233" t="s">
        <v>1891</v>
      </c>
      <c r="AB233" t="s">
        <v>1892</v>
      </c>
      <c r="AC233">
        <v>99218</v>
      </c>
      <c r="AD233" t="s">
        <v>1893</v>
      </c>
      <c r="AE233">
        <v>-39.901912000000003</v>
      </c>
      <c r="AF233">
        <v>175.06160886000001</v>
      </c>
      <c r="AG233">
        <v>40</v>
      </c>
      <c r="AH233">
        <v>0</v>
      </c>
      <c r="AI233">
        <v>0</v>
      </c>
      <c r="AJ233">
        <v>0</v>
      </c>
      <c r="AK233">
        <v>4</v>
      </c>
      <c r="AL233">
        <v>10</v>
      </c>
      <c r="AM233">
        <v>14</v>
      </c>
      <c r="AN233">
        <v>0</v>
      </c>
      <c r="AO233">
        <v>28</v>
      </c>
      <c r="AP233">
        <v>23</v>
      </c>
      <c r="AQ233">
        <v>8</v>
      </c>
      <c r="AR233">
        <v>2</v>
      </c>
      <c r="AS233">
        <v>1</v>
      </c>
      <c r="AT233">
        <v>3</v>
      </c>
    </row>
    <row r="234" spans="1:46">
      <c r="A234">
        <v>5238</v>
      </c>
      <c r="B234" t="s">
        <v>1894</v>
      </c>
      <c r="C234" t="s">
        <v>1895</v>
      </c>
      <c r="D234" t="s">
        <v>1896</v>
      </c>
      <c r="E234" t="s">
        <v>1897</v>
      </c>
      <c r="F234" t="s">
        <v>1898</v>
      </c>
      <c r="G234" t="s">
        <v>1842</v>
      </c>
      <c r="H234" t="s">
        <v>517</v>
      </c>
      <c r="J234" t="s">
        <v>518</v>
      </c>
      <c r="K234" t="s">
        <v>519</v>
      </c>
      <c r="M234" t="s">
        <v>1297</v>
      </c>
      <c r="N234" t="s">
        <v>727</v>
      </c>
      <c r="O234" t="s">
        <v>1887</v>
      </c>
      <c r="P234" t="s">
        <v>584</v>
      </c>
      <c r="Q234" t="s">
        <v>1636</v>
      </c>
      <c r="R234" t="s">
        <v>1760</v>
      </c>
      <c r="S234" t="s">
        <v>1842</v>
      </c>
      <c r="T234" t="s">
        <v>1485</v>
      </c>
      <c r="U234">
        <v>224301</v>
      </c>
      <c r="V234" t="s">
        <v>1899</v>
      </c>
      <c r="W234" t="s">
        <v>1652</v>
      </c>
      <c r="X234" t="s">
        <v>1889</v>
      </c>
      <c r="Y234" t="s">
        <v>1890</v>
      </c>
      <c r="AA234" t="s">
        <v>1891</v>
      </c>
      <c r="AB234" t="s">
        <v>1892</v>
      </c>
      <c r="AC234">
        <v>99219</v>
      </c>
      <c r="AD234" t="s">
        <v>1900</v>
      </c>
      <c r="AE234">
        <v>-39.938772839999999</v>
      </c>
      <c r="AF234">
        <v>175.00800903999999</v>
      </c>
      <c r="AG234">
        <v>40</v>
      </c>
      <c r="AH234">
        <v>0</v>
      </c>
      <c r="AI234">
        <v>0</v>
      </c>
      <c r="AJ234">
        <v>0</v>
      </c>
      <c r="AK234">
        <v>11</v>
      </c>
      <c r="AL234">
        <v>7</v>
      </c>
      <c r="AM234">
        <v>6</v>
      </c>
      <c r="AN234">
        <v>0</v>
      </c>
      <c r="AO234">
        <v>24</v>
      </c>
      <c r="AP234">
        <v>18</v>
      </c>
      <c r="AQ234">
        <v>6</v>
      </c>
      <c r="AR234">
        <v>5</v>
      </c>
      <c r="AS234">
        <v>1</v>
      </c>
      <c r="AT234">
        <v>0</v>
      </c>
    </row>
    <row r="235" spans="1:46">
      <c r="A235">
        <v>5239</v>
      </c>
      <c r="B235" t="s">
        <v>1901</v>
      </c>
      <c r="C235" t="s">
        <v>1902</v>
      </c>
      <c r="D235" t="s">
        <v>1903</v>
      </c>
      <c r="E235" t="s">
        <v>1904</v>
      </c>
      <c r="G235" t="s">
        <v>1842</v>
      </c>
      <c r="H235" t="s">
        <v>517</v>
      </c>
      <c r="J235" t="s">
        <v>518</v>
      </c>
      <c r="K235" t="s">
        <v>519</v>
      </c>
      <c r="M235" t="s">
        <v>1297</v>
      </c>
      <c r="N235" t="s">
        <v>521</v>
      </c>
      <c r="O235" t="s">
        <v>1887</v>
      </c>
      <c r="P235" t="s">
        <v>584</v>
      </c>
      <c r="Q235" t="s">
        <v>1636</v>
      </c>
      <c r="R235" t="s">
        <v>1760</v>
      </c>
      <c r="S235" t="s">
        <v>1842</v>
      </c>
      <c r="T235" t="s">
        <v>1485</v>
      </c>
      <c r="U235">
        <v>224800</v>
      </c>
      <c r="V235" t="s">
        <v>1905</v>
      </c>
      <c r="W235" t="s">
        <v>1652</v>
      </c>
      <c r="X235" t="s">
        <v>1889</v>
      </c>
      <c r="Y235" t="s">
        <v>1890</v>
      </c>
      <c r="AA235" t="s">
        <v>1891</v>
      </c>
      <c r="AB235" t="s">
        <v>1892</v>
      </c>
      <c r="AC235">
        <v>99220</v>
      </c>
      <c r="AD235" t="s">
        <v>1906</v>
      </c>
      <c r="AE235">
        <v>-39.923016220000001</v>
      </c>
      <c r="AF235">
        <v>175.04731726</v>
      </c>
      <c r="AG235">
        <v>30</v>
      </c>
      <c r="AH235">
        <v>0</v>
      </c>
      <c r="AI235">
        <v>0</v>
      </c>
      <c r="AJ235">
        <v>0</v>
      </c>
      <c r="AK235">
        <v>11</v>
      </c>
      <c r="AL235">
        <v>10</v>
      </c>
      <c r="AM235">
        <v>5</v>
      </c>
      <c r="AN235">
        <v>0</v>
      </c>
      <c r="AO235">
        <v>26</v>
      </c>
      <c r="AP235">
        <v>18</v>
      </c>
      <c r="AQ235">
        <v>8</v>
      </c>
      <c r="AR235">
        <v>5</v>
      </c>
      <c r="AS235">
        <v>3</v>
      </c>
      <c r="AT235">
        <v>0</v>
      </c>
    </row>
    <row r="236" spans="1:46">
      <c r="A236">
        <v>5240</v>
      </c>
      <c r="B236" t="s">
        <v>1907</v>
      </c>
      <c r="C236" t="s">
        <v>1908</v>
      </c>
      <c r="D236" t="s">
        <v>1909</v>
      </c>
      <c r="E236" t="s">
        <v>1910</v>
      </c>
      <c r="F236" t="s">
        <v>1911</v>
      </c>
      <c r="G236" t="s">
        <v>1842</v>
      </c>
      <c r="H236" t="s">
        <v>517</v>
      </c>
      <c r="J236" t="s">
        <v>518</v>
      </c>
      <c r="K236" t="s">
        <v>519</v>
      </c>
      <c r="M236" t="s">
        <v>1297</v>
      </c>
      <c r="N236" t="s">
        <v>539</v>
      </c>
      <c r="O236" t="s">
        <v>1887</v>
      </c>
      <c r="P236" t="s">
        <v>584</v>
      </c>
      <c r="Q236" t="s">
        <v>1636</v>
      </c>
      <c r="R236" t="s">
        <v>1760</v>
      </c>
      <c r="S236" t="s">
        <v>1842</v>
      </c>
      <c r="T236" t="s">
        <v>1485</v>
      </c>
      <c r="U236">
        <v>225300</v>
      </c>
      <c r="V236" t="s">
        <v>1912</v>
      </c>
      <c r="W236" t="s">
        <v>1652</v>
      </c>
      <c r="X236" t="s">
        <v>1889</v>
      </c>
      <c r="Y236" t="s">
        <v>1890</v>
      </c>
      <c r="AA236" t="s">
        <v>1891</v>
      </c>
      <c r="AB236" t="s">
        <v>1892</v>
      </c>
      <c r="AC236">
        <v>99219</v>
      </c>
      <c r="AD236" t="s">
        <v>1900</v>
      </c>
      <c r="AE236">
        <v>-39.93981805</v>
      </c>
      <c r="AF236">
        <v>175.02463098999999</v>
      </c>
      <c r="AG236">
        <v>40</v>
      </c>
      <c r="AH236">
        <v>0</v>
      </c>
      <c r="AI236">
        <v>0</v>
      </c>
      <c r="AJ236">
        <v>0</v>
      </c>
      <c r="AK236">
        <v>10</v>
      </c>
      <c r="AL236">
        <v>11</v>
      </c>
      <c r="AM236">
        <v>15</v>
      </c>
      <c r="AN236">
        <v>1</v>
      </c>
      <c r="AO236">
        <v>37</v>
      </c>
      <c r="AP236">
        <v>26</v>
      </c>
      <c r="AQ236">
        <v>12</v>
      </c>
      <c r="AR236">
        <v>8</v>
      </c>
      <c r="AS236">
        <v>0</v>
      </c>
      <c r="AT236">
        <v>0</v>
      </c>
    </row>
    <row r="237" spans="1:46">
      <c r="A237">
        <v>5241</v>
      </c>
      <c r="B237" t="s">
        <v>1913</v>
      </c>
      <c r="C237" t="s">
        <v>1914</v>
      </c>
      <c r="D237" t="s">
        <v>1915</v>
      </c>
      <c r="E237" t="s">
        <v>1916</v>
      </c>
      <c r="G237" t="s">
        <v>1842</v>
      </c>
      <c r="H237" t="s">
        <v>517</v>
      </c>
      <c r="J237" t="s">
        <v>518</v>
      </c>
      <c r="K237" t="s">
        <v>519</v>
      </c>
      <c r="M237" t="s">
        <v>1297</v>
      </c>
      <c r="N237" t="s">
        <v>571</v>
      </c>
      <c r="O237" t="s">
        <v>1887</v>
      </c>
      <c r="P237" t="s">
        <v>584</v>
      </c>
      <c r="Q237" t="s">
        <v>1636</v>
      </c>
      <c r="R237" t="s">
        <v>1760</v>
      </c>
      <c r="S237" t="s">
        <v>1842</v>
      </c>
      <c r="T237" t="s">
        <v>1485</v>
      </c>
      <c r="U237">
        <v>225300</v>
      </c>
      <c r="V237" t="s">
        <v>1912</v>
      </c>
      <c r="W237" t="s">
        <v>1652</v>
      </c>
      <c r="X237" t="s">
        <v>1889</v>
      </c>
      <c r="Y237" t="s">
        <v>1890</v>
      </c>
      <c r="AA237" t="s">
        <v>1891</v>
      </c>
      <c r="AB237" t="s">
        <v>1892</v>
      </c>
      <c r="AC237">
        <v>99220</v>
      </c>
      <c r="AD237" t="s">
        <v>1906</v>
      </c>
      <c r="AE237">
        <v>-39.938540230000001</v>
      </c>
      <c r="AF237">
        <v>175.03407472000001</v>
      </c>
      <c r="AG237">
        <v>40</v>
      </c>
      <c r="AH237">
        <v>0</v>
      </c>
      <c r="AI237">
        <v>0</v>
      </c>
      <c r="AJ237">
        <v>0</v>
      </c>
      <c r="AK237">
        <v>7</v>
      </c>
      <c r="AL237">
        <v>9</v>
      </c>
      <c r="AM237">
        <v>11</v>
      </c>
      <c r="AN237">
        <v>2</v>
      </c>
      <c r="AO237">
        <v>29</v>
      </c>
      <c r="AP237">
        <v>24</v>
      </c>
      <c r="AQ237">
        <v>7</v>
      </c>
      <c r="AR237">
        <v>1</v>
      </c>
      <c r="AS237">
        <v>1</v>
      </c>
      <c r="AT237">
        <v>1</v>
      </c>
    </row>
    <row r="238" spans="1:46">
      <c r="A238">
        <v>5243</v>
      </c>
      <c r="B238" t="s">
        <v>1917</v>
      </c>
      <c r="C238" t="s">
        <v>1918</v>
      </c>
      <c r="D238" t="s">
        <v>1919</v>
      </c>
      <c r="E238" t="s">
        <v>1920</v>
      </c>
      <c r="G238" t="s">
        <v>1842</v>
      </c>
      <c r="H238" t="s">
        <v>517</v>
      </c>
      <c r="J238" t="s">
        <v>518</v>
      </c>
      <c r="K238" t="s">
        <v>519</v>
      </c>
      <c r="M238" t="s">
        <v>1297</v>
      </c>
      <c r="N238" t="s">
        <v>727</v>
      </c>
      <c r="O238" t="s">
        <v>1887</v>
      </c>
      <c r="P238" t="s">
        <v>584</v>
      </c>
      <c r="Q238" t="s">
        <v>1636</v>
      </c>
      <c r="R238" t="s">
        <v>1760</v>
      </c>
      <c r="S238" t="s">
        <v>1842</v>
      </c>
      <c r="T238" t="s">
        <v>1485</v>
      </c>
      <c r="U238">
        <v>223800</v>
      </c>
      <c r="V238" t="s">
        <v>1921</v>
      </c>
      <c r="W238" t="s">
        <v>1652</v>
      </c>
      <c r="X238" t="s">
        <v>1889</v>
      </c>
      <c r="Y238" t="s">
        <v>1890</v>
      </c>
      <c r="AA238" t="s">
        <v>1891</v>
      </c>
      <c r="AB238" t="s">
        <v>1892</v>
      </c>
      <c r="AC238">
        <v>99218</v>
      </c>
      <c r="AD238" t="s">
        <v>1893</v>
      </c>
      <c r="AE238">
        <v>-39.940280459999997</v>
      </c>
      <c r="AF238">
        <v>174.98561251999999</v>
      </c>
      <c r="AG238">
        <v>40</v>
      </c>
      <c r="AH238">
        <v>0</v>
      </c>
      <c r="AI238">
        <v>0</v>
      </c>
      <c r="AJ238">
        <v>0</v>
      </c>
      <c r="AK238">
        <v>7</v>
      </c>
      <c r="AL238">
        <v>14</v>
      </c>
      <c r="AM238">
        <v>11</v>
      </c>
      <c r="AN238">
        <v>3</v>
      </c>
      <c r="AO238">
        <v>35</v>
      </c>
      <c r="AP238">
        <v>13</v>
      </c>
      <c r="AQ238">
        <v>24</v>
      </c>
      <c r="AR238">
        <v>4</v>
      </c>
      <c r="AS238">
        <v>3</v>
      </c>
      <c r="AT238">
        <v>0</v>
      </c>
    </row>
    <row r="239" spans="1:46">
      <c r="A239">
        <v>5244</v>
      </c>
      <c r="B239" t="s">
        <v>1922</v>
      </c>
      <c r="C239" t="s">
        <v>1923</v>
      </c>
      <c r="D239" t="s">
        <v>1924</v>
      </c>
      <c r="E239" t="s">
        <v>1925</v>
      </c>
      <c r="G239" t="s">
        <v>1926</v>
      </c>
      <c r="H239" t="s">
        <v>517</v>
      </c>
      <c r="J239" t="s">
        <v>518</v>
      </c>
      <c r="K239" t="s">
        <v>519</v>
      </c>
      <c r="M239" t="s">
        <v>1297</v>
      </c>
      <c r="N239" t="s">
        <v>571</v>
      </c>
      <c r="O239" t="s">
        <v>1635</v>
      </c>
      <c r="P239" t="s">
        <v>523</v>
      </c>
      <c r="Q239" t="s">
        <v>1636</v>
      </c>
      <c r="R239" t="s">
        <v>1760</v>
      </c>
      <c r="S239" t="s">
        <v>1637</v>
      </c>
      <c r="T239" t="s">
        <v>1485</v>
      </c>
      <c r="U239">
        <v>223100</v>
      </c>
      <c r="V239" t="s">
        <v>1927</v>
      </c>
      <c r="W239" t="s">
        <v>1639</v>
      </c>
      <c r="X239" t="s">
        <v>1889</v>
      </c>
      <c r="Y239" t="s">
        <v>1890</v>
      </c>
      <c r="AA239" t="s">
        <v>1891</v>
      </c>
      <c r="AB239" t="s">
        <v>1892</v>
      </c>
      <c r="AE239">
        <v>-39.41473397</v>
      </c>
      <c r="AF239">
        <v>175.40600026999999</v>
      </c>
      <c r="AG239">
        <v>30</v>
      </c>
      <c r="AH239">
        <v>0</v>
      </c>
      <c r="AI239">
        <v>0</v>
      </c>
      <c r="AJ239">
        <v>0</v>
      </c>
      <c r="AK239">
        <v>6</v>
      </c>
      <c r="AL239">
        <v>9</v>
      </c>
      <c r="AM239">
        <v>25</v>
      </c>
      <c r="AN239">
        <v>3</v>
      </c>
      <c r="AO239">
        <v>43</v>
      </c>
      <c r="AP239">
        <v>40</v>
      </c>
      <c r="AQ239">
        <v>22</v>
      </c>
      <c r="AR239">
        <v>0</v>
      </c>
      <c r="AS239">
        <v>2</v>
      </c>
      <c r="AT239">
        <v>1</v>
      </c>
    </row>
    <row r="240" spans="1:46">
      <c r="A240">
        <v>5245</v>
      </c>
      <c r="B240" t="s">
        <v>1928</v>
      </c>
      <c r="C240" t="s">
        <v>1929</v>
      </c>
      <c r="D240" t="s">
        <v>1930</v>
      </c>
      <c r="E240" t="s">
        <v>1931</v>
      </c>
      <c r="F240" t="s">
        <v>1932</v>
      </c>
      <c r="G240" t="s">
        <v>1842</v>
      </c>
      <c r="H240" t="s">
        <v>517</v>
      </c>
      <c r="J240" t="s">
        <v>518</v>
      </c>
      <c r="K240" t="s">
        <v>519</v>
      </c>
      <c r="M240" t="s">
        <v>1297</v>
      </c>
      <c r="N240" t="s">
        <v>571</v>
      </c>
      <c r="O240" t="s">
        <v>1887</v>
      </c>
      <c r="P240" t="s">
        <v>584</v>
      </c>
      <c r="Q240" t="s">
        <v>1636</v>
      </c>
      <c r="R240" t="s">
        <v>1760</v>
      </c>
      <c r="S240" t="s">
        <v>1842</v>
      </c>
      <c r="T240" t="s">
        <v>1485</v>
      </c>
      <c r="U240">
        <v>225900</v>
      </c>
      <c r="V240" t="s">
        <v>1933</v>
      </c>
      <c r="W240" t="s">
        <v>1652</v>
      </c>
      <c r="X240" t="s">
        <v>1889</v>
      </c>
      <c r="Y240" t="s">
        <v>1890</v>
      </c>
      <c r="AA240" t="s">
        <v>1891</v>
      </c>
      <c r="AB240" t="s">
        <v>1892</v>
      </c>
      <c r="AC240">
        <v>99218</v>
      </c>
      <c r="AD240" t="s">
        <v>1893</v>
      </c>
      <c r="AE240">
        <v>-39.937715169999997</v>
      </c>
      <c r="AF240">
        <v>175.0640204</v>
      </c>
      <c r="AG240">
        <v>40</v>
      </c>
      <c r="AH240">
        <v>0</v>
      </c>
      <c r="AI240">
        <v>0</v>
      </c>
      <c r="AJ240">
        <v>0</v>
      </c>
      <c r="AK240">
        <v>7</v>
      </c>
      <c r="AL240">
        <v>9</v>
      </c>
      <c r="AM240">
        <v>8</v>
      </c>
      <c r="AN240">
        <v>0</v>
      </c>
      <c r="AO240">
        <v>24</v>
      </c>
      <c r="AP240">
        <v>20</v>
      </c>
      <c r="AQ240">
        <v>7</v>
      </c>
      <c r="AR240">
        <v>2</v>
      </c>
      <c r="AS240">
        <v>0</v>
      </c>
      <c r="AT240">
        <v>4</v>
      </c>
    </row>
    <row r="241" spans="1:46">
      <c r="A241">
        <v>5246</v>
      </c>
      <c r="B241" t="s">
        <v>1934</v>
      </c>
      <c r="C241" t="s">
        <v>1935</v>
      </c>
      <c r="D241" t="s">
        <v>1936</v>
      </c>
      <c r="E241" t="s">
        <v>1937</v>
      </c>
      <c r="F241" t="s">
        <v>1938</v>
      </c>
      <c r="G241" t="s">
        <v>1842</v>
      </c>
      <c r="H241" t="s">
        <v>517</v>
      </c>
      <c r="J241" t="s">
        <v>518</v>
      </c>
      <c r="K241" t="s">
        <v>519</v>
      </c>
      <c r="M241" t="s">
        <v>1297</v>
      </c>
      <c r="N241" t="s">
        <v>571</v>
      </c>
      <c r="O241" t="s">
        <v>1887</v>
      </c>
      <c r="P241" t="s">
        <v>584</v>
      </c>
      <c r="Q241" t="s">
        <v>1636</v>
      </c>
      <c r="R241" t="s">
        <v>1760</v>
      </c>
      <c r="S241" t="s">
        <v>1842</v>
      </c>
      <c r="T241" t="s">
        <v>1485</v>
      </c>
      <c r="U241">
        <v>226000</v>
      </c>
      <c r="V241" t="s">
        <v>1938</v>
      </c>
      <c r="W241" t="s">
        <v>1652</v>
      </c>
      <c r="X241" t="s">
        <v>1889</v>
      </c>
      <c r="Y241" t="s">
        <v>1890</v>
      </c>
      <c r="AA241" t="s">
        <v>1891</v>
      </c>
      <c r="AB241" t="s">
        <v>1892</v>
      </c>
      <c r="AC241">
        <v>99218</v>
      </c>
      <c r="AD241" t="s">
        <v>1893</v>
      </c>
      <c r="AE241">
        <v>-39.947247429999997</v>
      </c>
      <c r="AF241">
        <v>175.0496464</v>
      </c>
      <c r="AG241">
        <v>40</v>
      </c>
      <c r="AH241">
        <v>0</v>
      </c>
      <c r="AI241">
        <v>0</v>
      </c>
      <c r="AJ241">
        <v>0</v>
      </c>
      <c r="AK241">
        <v>8</v>
      </c>
      <c r="AL241">
        <v>14</v>
      </c>
      <c r="AM241">
        <v>8</v>
      </c>
      <c r="AN241">
        <v>0</v>
      </c>
      <c r="AO241">
        <v>30</v>
      </c>
      <c r="AP241">
        <v>20</v>
      </c>
      <c r="AQ241">
        <v>16</v>
      </c>
      <c r="AR241">
        <v>1</v>
      </c>
      <c r="AS241">
        <v>1</v>
      </c>
      <c r="AT241">
        <v>0</v>
      </c>
    </row>
    <row r="242" spans="1:46">
      <c r="A242">
        <v>5247</v>
      </c>
      <c r="B242" t="s">
        <v>1939</v>
      </c>
      <c r="C242" t="s">
        <v>1940</v>
      </c>
      <c r="D242" t="s">
        <v>1941</v>
      </c>
      <c r="E242" t="s">
        <v>1942</v>
      </c>
      <c r="F242" t="s">
        <v>1943</v>
      </c>
      <c r="G242" t="s">
        <v>1842</v>
      </c>
      <c r="H242" t="s">
        <v>517</v>
      </c>
      <c r="J242" t="s">
        <v>518</v>
      </c>
      <c r="K242" t="s">
        <v>519</v>
      </c>
      <c r="M242" t="s">
        <v>1297</v>
      </c>
      <c r="N242" t="s">
        <v>571</v>
      </c>
      <c r="O242" t="s">
        <v>1887</v>
      </c>
      <c r="P242" t="s">
        <v>584</v>
      </c>
      <c r="Q242" t="s">
        <v>1636</v>
      </c>
      <c r="R242" t="s">
        <v>1760</v>
      </c>
      <c r="S242" t="s">
        <v>1842</v>
      </c>
      <c r="T242" t="s">
        <v>1485</v>
      </c>
      <c r="U242">
        <v>225000</v>
      </c>
      <c r="V242" t="s">
        <v>1944</v>
      </c>
      <c r="W242" t="s">
        <v>1652</v>
      </c>
      <c r="X242" t="s">
        <v>1889</v>
      </c>
      <c r="Y242" t="s">
        <v>1890</v>
      </c>
      <c r="AA242" t="s">
        <v>1891</v>
      </c>
      <c r="AB242" t="s">
        <v>1892</v>
      </c>
      <c r="AC242">
        <v>99219</v>
      </c>
      <c r="AD242" t="s">
        <v>1900</v>
      </c>
      <c r="AE242">
        <v>-39.921967789999997</v>
      </c>
      <c r="AF242">
        <v>175.03673029000001</v>
      </c>
      <c r="AG242">
        <v>40</v>
      </c>
      <c r="AH242">
        <v>0</v>
      </c>
      <c r="AI242">
        <v>0</v>
      </c>
      <c r="AJ242">
        <v>0</v>
      </c>
      <c r="AK242">
        <v>1</v>
      </c>
      <c r="AL242">
        <v>23</v>
      </c>
      <c r="AM242">
        <v>26</v>
      </c>
      <c r="AN242">
        <v>1</v>
      </c>
      <c r="AO242">
        <v>51</v>
      </c>
      <c r="AP242">
        <v>45</v>
      </c>
      <c r="AQ242">
        <v>10</v>
      </c>
      <c r="AR242">
        <v>1</v>
      </c>
      <c r="AS242">
        <v>4</v>
      </c>
      <c r="AT242">
        <v>0</v>
      </c>
    </row>
    <row r="243" spans="1:46">
      <c r="A243">
        <v>5248</v>
      </c>
      <c r="B243" t="s">
        <v>1945</v>
      </c>
      <c r="C243" t="s">
        <v>1946</v>
      </c>
      <c r="D243" t="s">
        <v>1947</v>
      </c>
      <c r="E243" t="s">
        <v>1948</v>
      </c>
      <c r="F243" t="s">
        <v>1949</v>
      </c>
      <c r="G243" t="s">
        <v>1842</v>
      </c>
      <c r="H243" t="s">
        <v>517</v>
      </c>
      <c r="J243" t="s">
        <v>518</v>
      </c>
      <c r="K243" t="s">
        <v>519</v>
      </c>
      <c r="M243" t="s">
        <v>1297</v>
      </c>
      <c r="N243" t="s">
        <v>557</v>
      </c>
      <c r="O243" t="s">
        <v>1887</v>
      </c>
      <c r="P243" t="s">
        <v>584</v>
      </c>
      <c r="Q243" t="s">
        <v>1636</v>
      </c>
      <c r="R243" t="s">
        <v>1760</v>
      </c>
      <c r="S243" t="s">
        <v>1842</v>
      </c>
      <c r="T243" t="s">
        <v>1485</v>
      </c>
      <c r="U243">
        <v>225500</v>
      </c>
      <c r="V243" t="s">
        <v>1950</v>
      </c>
      <c r="W243" t="s">
        <v>1652</v>
      </c>
      <c r="X243" t="s">
        <v>1889</v>
      </c>
      <c r="Y243" t="s">
        <v>1890</v>
      </c>
      <c r="AA243" t="s">
        <v>1891</v>
      </c>
      <c r="AB243" t="s">
        <v>1892</v>
      </c>
      <c r="AC243">
        <v>99220</v>
      </c>
      <c r="AD243" t="s">
        <v>1906</v>
      </c>
      <c r="AE243">
        <v>-39.92163978</v>
      </c>
      <c r="AF243">
        <v>175.06453023</v>
      </c>
      <c r="AG243">
        <v>40</v>
      </c>
      <c r="AH243">
        <v>0</v>
      </c>
      <c r="AI243">
        <v>0</v>
      </c>
      <c r="AJ243">
        <v>0</v>
      </c>
      <c r="AK243">
        <v>5</v>
      </c>
      <c r="AL243">
        <v>14</v>
      </c>
      <c r="AM243">
        <v>15</v>
      </c>
      <c r="AN243">
        <v>2</v>
      </c>
      <c r="AO243">
        <v>36</v>
      </c>
      <c r="AP243">
        <v>30</v>
      </c>
      <c r="AQ243">
        <v>7</v>
      </c>
      <c r="AR243">
        <v>1</v>
      </c>
      <c r="AS243">
        <v>3</v>
      </c>
      <c r="AT243">
        <v>3</v>
      </c>
    </row>
    <row r="244" spans="1:46">
      <c r="A244">
        <v>5249</v>
      </c>
      <c r="B244" t="s">
        <v>1951</v>
      </c>
      <c r="C244" t="s">
        <v>1952</v>
      </c>
      <c r="D244" t="s">
        <v>1953</v>
      </c>
      <c r="E244" t="s">
        <v>1954</v>
      </c>
      <c r="G244" t="s">
        <v>1955</v>
      </c>
      <c r="H244" t="s">
        <v>517</v>
      </c>
      <c r="J244" t="s">
        <v>518</v>
      </c>
      <c r="K244" t="s">
        <v>519</v>
      </c>
      <c r="M244" t="s">
        <v>1297</v>
      </c>
      <c r="N244" t="s">
        <v>571</v>
      </c>
      <c r="O244" t="s">
        <v>1956</v>
      </c>
      <c r="P244" t="s">
        <v>523</v>
      </c>
      <c r="Q244" t="s">
        <v>1636</v>
      </c>
      <c r="R244" t="s">
        <v>1760</v>
      </c>
      <c r="S244" t="s">
        <v>1637</v>
      </c>
      <c r="T244" t="s">
        <v>1485</v>
      </c>
      <c r="U244">
        <v>232200</v>
      </c>
      <c r="V244" t="s">
        <v>1955</v>
      </c>
      <c r="W244" t="s">
        <v>1957</v>
      </c>
      <c r="X244" t="s">
        <v>1958</v>
      </c>
      <c r="Y244" t="s">
        <v>1959</v>
      </c>
      <c r="AA244" t="s">
        <v>1960</v>
      </c>
      <c r="AB244" t="s">
        <v>1961</v>
      </c>
      <c r="AC244">
        <v>99052</v>
      </c>
      <c r="AD244" t="s">
        <v>1962</v>
      </c>
      <c r="AE244">
        <v>-40.285540089999998</v>
      </c>
      <c r="AF244">
        <v>175.75721573000001</v>
      </c>
      <c r="AG244">
        <v>40</v>
      </c>
      <c r="AH244">
        <v>0</v>
      </c>
      <c r="AI244">
        <v>0</v>
      </c>
      <c r="AJ244">
        <v>0</v>
      </c>
      <c r="AK244">
        <v>0</v>
      </c>
      <c r="AL244">
        <v>14</v>
      </c>
      <c r="AM244">
        <v>20</v>
      </c>
      <c r="AN244">
        <v>2</v>
      </c>
      <c r="AO244">
        <v>36</v>
      </c>
      <c r="AP244">
        <v>28</v>
      </c>
      <c r="AQ244">
        <v>12</v>
      </c>
      <c r="AR244">
        <v>1</v>
      </c>
      <c r="AS244">
        <v>3</v>
      </c>
      <c r="AT244">
        <v>3</v>
      </c>
    </row>
    <row r="245" spans="1:46">
      <c r="A245">
        <v>5251</v>
      </c>
      <c r="B245" t="s">
        <v>1963</v>
      </c>
      <c r="C245" t="s">
        <v>1964</v>
      </c>
      <c r="E245" t="s">
        <v>1965</v>
      </c>
      <c r="G245" t="s">
        <v>1966</v>
      </c>
      <c r="H245" t="s">
        <v>517</v>
      </c>
      <c r="J245" t="s">
        <v>518</v>
      </c>
      <c r="K245" t="s">
        <v>519</v>
      </c>
      <c r="M245" t="s">
        <v>1297</v>
      </c>
      <c r="N245" t="s">
        <v>571</v>
      </c>
      <c r="O245" t="s">
        <v>1967</v>
      </c>
      <c r="P245" t="s">
        <v>523</v>
      </c>
      <c r="Q245" t="s">
        <v>1636</v>
      </c>
      <c r="R245" t="s">
        <v>1760</v>
      </c>
      <c r="S245" t="s">
        <v>1637</v>
      </c>
      <c r="T245" t="s">
        <v>1485</v>
      </c>
      <c r="U245">
        <v>227000</v>
      </c>
      <c r="V245" t="s">
        <v>1966</v>
      </c>
      <c r="W245" t="s">
        <v>1968</v>
      </c>
      <c r="X245" t="s">
        <v>1958</v>
      </c>
      <c r="Y245" t="s">
        <v>1959</v>
      </c>
      <c r="AA245" t="s">
        <v>1960</v>
      </c>
      <c r="AB245" t="s">
        <v>1961</v>
      </c>
      <c r="AC245">
        <v>99078</v>
      </c>
      <c r="AD245" t="s">
        <v>1969</v>
      </c>
      <c r="AE245">
        <v>-40.168857359999997</v>
      </c>
      <c r="AF245">
        <v>175.38605031</v>
      </c>
      <c r="AG245">
        <v>40</v>
      </c>
      <c r="AH245">
        <v>0</v>
      </c>
      <c r="AI245">
        <v>0</v>
      </c>
      <c r="AJ245">
        <v>0</v>
      </c>
      <c r="AK245">
        <v>1</v>
      </c>
      <c r="AL245">
        <v>12</v>
      </c>
      <c r="AM245">
        <v>21</v>
      </c>
      <c r="AN245">
        <v>0</v>
      </c>
      <c r="AO245">
        <v>34</v>
      </c>
      <c r="AP245">
        <v>24</v>
      </c>
      <c r="AQ245">
        <v>14</v>
      </c>
      <c r="AR245">
        <v>5</v>
      </c>
      <c r="AS245">
        <v>0</v>
      </c>
      <c r="AT245">
        <v>2</v>
      </c>
    </row>
    <row r="246" spans="1:46">
      <c r="A246">
        <v>5252</v>
      </c>
      <c r="B246" t="s">
        <v>1970</v>
      </c>
      <c r="C246" t="s">
        <v>1971</v>
      </c>
      <c r="D246" t="s">
        <v>1972</v>
      </c>
      <c r="E246" t="s">
        <v>1973</v>
      </c>
      <c r="G246" t="s">
        <v>1974</v>
      </c>
      <c r="H246" t="s">
        <v>517</v>
      </c>
      <c r="J246" t="s">
        <v>518</v>
      </c>
      <c r="K246" t="s">
        <v>519</v>
      </c>
      <c r="M246" t="s">
        <v>1297</v>
      </c>
      <c r="N246" t="s">
        <v>557</v>
      </c>
      <c r="O246" t="s">
        <v>1956</v>
      </c>
      <c r="P246" t="s">
        <v>584</v>
      </c>
      <c r="Q246" t="s">
        <v>1636</v>
      </c>
      <c r="R246" t="s">
        <v>1760</v>
      </c>
      <c r="S246" t="s">
        <v>1974</v>
      </c>
      <c r="T246" t="s">
        <v>1485</v>
      </c>
      <c r="U246">
        <v>230600</v>
      </c>
      <c r="V246" t="s">
        <v>1975</v>
      </c>
      <c r="W246" t="s">
        <v>1957</v>
      </c>
      <c r="X246" t="s">
        <v>1958</v>
      </c>
      <c r="Y246" t="s">
        <v>1959</v>
      </c>
      <c r="AA246" t="s">
        <v>1960</v>
      </c>
      <c r="AB246" t="s">
        <v>1961</v>
      </c>
      <c r="AC246">
        <v>99165</v>
      </c>
      <c r="AD246" t="s">
        <v>1976</v>
      </c>
      <c r="AE246">
        <v>-40.353670510000001</v>
      </c>
      <c r="AF246">
        <v>175.60444620000001</v>
      </c>
      <c r="AG246">
        <v>49</v>
      </c>
      <c r="AH246">
        <v>10</v>
      </c>
      <c r="AI246">
        <v>0</v>
      </c>
      <c r="AJ246">
        <v>2</v>
      </c>
      <c r="AK246">
        <v>6</v>
      </c>
      <c r="AL246">
        <v>18</v>
      </c>
      <c r="AM246">
        <v>15</v>
      </c>
      <c r="AN246">
        <v>1</v>
      </c>
      <c r="AO246">
        <v>42</v>
      </c>
      <c r="AP246">
        <v>30</v>
      </c>
      <c r="AQ246">
        <v>16</v>
      </c>
      <c r="AR246">
        <v>3</v>
      </c>
      <c r="AS246">
        <v>8</v>
      </c>
      <c r="AT246">
        <v>0</v>
      </c>
    </row>
    <row r="247" spans="1:46">
      <c r="A247">
        <v>5253</v>
      </c>
      <c r="B247" t="s">
        <v>1977</v>
      </c>
      <c r="C247" t="s">
        <v>1978</v>
      </c>
      <c r="D247" t="s">
        <v>1979</v>
      </c>
      <c r="E247" t="s">
        <v>1980</v>
      </c>
      <c r="F247" t="s">
        <v>1981</v>
      </c>
      <c r="G247" t="s">
        <v>1974</v>
      </c>
      <c r="H247" t="s">
        <v>517</v>
      </c>
      <c r="J247" t="s">
        <v>518</v>
      </c>
      <c r="K247" t="s">
        <v>519</v>
      </c>
      <c r="M247" t="s">
        <v>1297</v>
      </c>
      <c r="N247" t="s">
        <v>557</v>
      </c>
      <c r="O247" t="s">
        <v>1956</v>
      </c>
      <c r="P247" t="s">
        <v>584</v>
      </c>
      <c r="Q247" t="s">
        <v>1636</v>
      </c>
      <c r="R247" t="s">
        <v>1760</v>
      </c>
      <c r="S247" t="s">
        <v>1974</v>
      </c>
      <c r="T247" t="s">
        <v>1485</v>
      </c>
      <c r="U247">
        <v>229100</v>
      </c>
      <c r="V247" t="s">
        <v>1982</v>
      </c>
      <c r="W247" t="s">
        <v>1957</v>
      </c>
      <c r="X247" t="s">
        <v>1958</v>
      </c>
      <c r="Y247" t="s">
        <v>1959</v>
      </c>
      <c r="AA247" t="s">
        <v>1960</v>
      </c>
      <c r="AB247" t="s">
        <v>1961</v>
      </c>
      <c r="AC247">
        <v>99165</v>
      </c>
      <c r="AD247" t="s">
        <v>1976</v>
      </c>
      <c r="AE247">
        <v>-40.345417470000001</v>
      </c>
      <c r="AF247">
        <v>175.58543653000001</v>
      </c>
      <c r="AG247">
        <v>40</v>
      </c>
      <c r="AH247">
        <v>0</v>
      </c>
      <c r="AI247">
        <v>0</v>
      </c>
      <c r="AJ247">
        <v>0</v>
      </c>
      <c r="AK247">
        <v>5</v>
      </c>
      <c r="AL247">
        <v>15</v>
      </c>
      <c r="AM247">
        <v>7</v>
      </c>
      <c r="AN247">
        <v>0</v>
      </c>
      <c r="AO247">
        <v>27</v>
      </c>
      <c r="AP247">
        <v>24</v>
      </c>
      <c r="AQ247">
        <v>8</v>
      </c>
      <c r="AR247">
        <v>3</v>
      </c>
      <c r="AS247">
        <v>2</v>
      </c>
      <c r="AT247">
        <v>0</v>
      </c>
    </row>
    <row r="248" spans="1:46">
      <c r="A248">
        <v>5254</v>
      </c>
      <c r="B248" t="s">
        <v>1983</v>
      </c>
      <c r="C248" t="s">
        <v>1984</v>
      </c>
      <c r="D248" t="s">
        <v>1985</v>
      </c>
      <c r="E248" t="s">
        <v>1986</v>
      </c>
      <c r="G248" t="s">
        <v>1987</v>
      </c>
      <c r="H248" t="s">
        <v>517</v>
      </c>
      <c r="I248" t="s">
        <v>856</v>
      </c>
      <c r="J248" t="s">
        <v>518</v>
      </c>
      <c r="K248" t="s">
        <v>519</v>
      </c>
      <c r="M248" t="s">
        <v>1297</v>
      </c>
      <c r="N248" t="s">
        <v>557</v>
      </c>
      <c r="O248" t="s">
        <v>1988</v>
      </c>
      <c r="P248" t="s">
        <v>1262</v>
      </c>
      <c r="Q248" t="s">
        <v>1636</v>
      </c>
      <c r="R248" t="s">
        <v>1760</v>
      </c>
      <c r="S248" t="s">
        <v>1637</v>
      </c>
      <c r="T248" t="s">
        <v>1485</v>
      </c>
      <c r="U248">
        <v>228500</v>
      </c>
      <c r="V248" t="s">
        <v>1989</v>
      </c>
      <c r="W248" t="s">
        <v>1990</v>
      </c>
      <c r="X248" t="s">
        <v>1958</v>
      </c>
      <c r="Y248" t="s">
        <v>1959</v>
      </c>
      <c r="AA248" t="s">
        <v>1960</v>
      </c>
      <c r="AB248" t="s">
        <v>1961</v>
      </c>
      <c r="AC248">
        <v>99134</v>
      </c>
      <c r="AD248" t="s">
        <v>1991</v>
      </c>
      <c r="AE248">
        <v>-40.224646579999998</v>
      </c>
      <c r="AF248">
        <v>175.57279818000001</v>
      </c>
      <c r="AG248">
        <v>40</v>
      </c>
      <c r="AH248">
        <v>0</v>
      </c>
      <c r="AI248">
        <v>0</v>
      </c>
      <c r="AJ248">
        <v>0</v>
      </c>
      <c r="AK248">
        <v>1</v>
      </c>
      <c r="AL248">
        <v>10</v>
      </c>
      <c r="AM248">
        <v>13</v>
      </c>
      <c r="AN248">
        <v>0</v>
      </c>
      <c r="AO248">
        <v>24</v>
      </c>
      <c r="AP248">
        <v>19</v>
      </c>
      <c r="AQ248">
        <v>9</v>
      </c>
      <c r="AR248">
        <v>1</v>
      </c>
      <c r="AS248">
        <v>1</v>
      </c>
      <c r="AT248">
        <v>1</v>
      </c>
    </row>
    <row r="249" spans="1:46">
      <c r="A249">
        <v>5255</v>
      </c>
      <c r="B249" t="s">
        <v>1992</v>
      </c>
      <c r="C249" t="s">
        <v>1993</v>
      </c>
      <c r="D249" t="s">
        <v>1994</v>
      </c>
      <c r="E249" t="s">
        <v>1995</v>
      </c>
      <c r="F249" t="s">
        <v>1996</v>
      </c>
      <c r="G249" t="s">
        <v>1974</v>
      </c>
      <c r="H249" t="s">
        <v>517</v>
      </c>
      <c r="J249" t="s">
        <v>518</v>
      </c>
      <c r="K249" t="s">
        <v>519</v>
      </c>
      <c r="M249" t="s">
        <v>1297</v>
      </c>
      <c r="N249" t="s">
        <v>539</v>
      </c>
      <c r="O249" t="s">
        <v>1956</v>
      </c>
      <c r="P249" t="s">
        <v>584</v>
      </c>
      <c r="Q249" t="s">
        <v>1636</v>
      </c>
      <c r="R249" t="s">
        <v>1760</v>
      </c>
      <c r="S249" t="s">
        <v>1974</v>
      </c>
      <c r="T249" t="s">
        <v>1485</v>
      </c>
      <c r="U249">
        <v>229500</v>
      </c>
      <c r="V249" t="s">
        <v>1997</v>
      </c>
      <c r="W249" t="s">
        <v>1957</v>
      </c>
      <c r="X249" t="s">
        <v>1958</v>
      </c>
      <c r="Y249" t="s">
        <v>1959</v>
      </c>
      <c r="AA249" t="s">
        <v>1960</v>
      </c>
      <c r="AB249" t="s">
        <v>1961</v>
      </c>
      <c r="AC249">
        <v>99166</v>
      </c>
      <c r="AD249" t="s">
        <v>1998</v>
      </c>
      <c r="AE249">
        <v>-40.353586610000001</v>
      </c>
      <c r="AF249">
        <v>175.58561162000001</v>
      </c>
      <c r="AG249">
        <v>40</v>
      </c>
      <c r="AH249">
        <v>0</v>
      </c>
      <c r="AI249">
        <v>0</v>
      </c>
      <c r="AJ249">
        <v>0</v>
      </c>
      <c r="AK249">
        <v>0</v>
      </c>
      <c r="AL249">
        <v>14</v>
      </c>
      <c r="AM249">
        <v>17</v>
      </c>
      <c r="AN249">
        <v>0</v>
      </c>
      <c r="AO249">
        <v>31</v>
      </c>
      <c r="AP249">
        <v>12</v>
      </c>
      <c r="AQ249">
        <v>12</v>
      </c>
      <c r="AR249">
        <v>11</v>
      </c>
      <c r="AS249">
        <v>6</v>
      </c>
      <c r="AT249">
        <v>0</v>
      </c>
    </row>
    <row r="250" spans="1:46">
      <c r="A250">
        <v>5256</v>
      </c>
      <c r="B250" t="s">
        <v>1999</v>
      </c>
      <c r="C250" t="s">
        <v>2000</v>
      </c>
      <c r="D250" t="s">
        <v>2001</v>
      </c>
      <c r="E250" t="s">
        <v>2002</v>
      </c>
      <c r="F250" t="s">
        <v>2003</v>
      </c>
      <c r="G250" t="s">
        <v>1974</v>
      </c>
      <c r="H250" t="s">
        <v>517</v>
      </c>
      <c r="J250" t="s">
        <v>518</v>
      </c>
      <c r="K250" t="s">
        <v>519</v>
      </c>
      <c r="M250" t="s">
        <v>1297</v>
      </c>
      <c r="N250" t="s">
        <v>571</v>
      </c>
      <c r="O250" t="s">
        <v>1956</v>
      </c>
      <c r="P250" t="s">
        <v>584</v>
      </c>
      <c r="Q250" t="s">
        <v>1636</v>
      </c>
      <c r="R250" t="s">
        <v>1760</v>
      </c>
      <c r="S250" t="s">
        <v>1974</v>
      </c>
      <c r="T250" t="s">
        <v>1485</v>
      </c>
      <c r="U250">
        <v>231800</v>
      </c>
      <c r="V250" t="s">
        <v>2004</v>
      </c>
      <c r="W250" t="s">
        <v>1957</v>
      </c>
      <c r="X250" t="s">
        <v>1958</v>
      </c>
      <c r="Y250" t="s">
        <v>1959</v>
      </c>
      <c r="AA250" t="s">
        <v>1960</v>
      </c>
      <c r="AB250" t="s">
        <v>1961</v>
      </c>
      <c r="AC250">
        <v>99165</v>
      </c>
      <c r="AD250" t="s">
        <v>1976</v>
      </c>
      <c r="AE250">
        <v>-40.358655339999999</v>
      </c>
      <c r="AF250">
        <v>175.63626887000001</v>
      </c>
      <c r="AG250">
        <v>40</v>
      </c>
      <c r="AH250">
        <v>0</v>
      </c>
      <c r="AI250">
        <v>0</v>
      </c>
      <c r="AJ250">
        <v>0</v>
      </c>
      <c r="AK250">
        <v>0</v>
      </c>
      <c r="AL250">
        <v>26</v>
      </c>
      <c r="AM250">
        <v>29</v>
      </c>
      <c r="AN250">
        <v>0</v>
      </c>
      <c r="AO250">
        <v>55</v>
      </c>
      <c r="AP250">
        <v>44</v>
      </c>
      <c r="AQ250">
        <v>10</v>
      </c>
      <c r="AR250">
        <v>3</v>
      </c>
      <c r="AS250">
        <v>13</v>
      </c>
      <c r="AT250">
        <v>0</v>
      </c>
    </row>
    <row r="251" spans="1:46">
      <c r="A251">
        <v>5258</v>
      </c>
      <c r="B251" t="s">
        <v>2005</v>
      </c>
      <c r="C251" t="s">
        <v>2006</v>
      </c>
      <c r="D251" t="s">
        <v>2007</v>
      </c>
      <c r="E251" t="s">
        <v>2008</v>
      </c>
      <c r="G251" t="s">
        <v>2009</v>
      </c>
      <c r="H251" t="s">
        <v>517</v>
      </c>
      <c r="J251" t="s">
        <v>518</v>
      </c>
      <c r="K251" t="s">
        <v>519</v>
      </c>
      <c r="M251" t="s">
        <v>1297</v>
      </c>
      <c r="N251" t="s">
        <v>571</v>
      </c>
      <c r="O251" t="s">
        <v>1635</v>
      </c>
      <c r="P251" t="s">
        <v>540</v>
      </c>
      <c r="Q251" t="s">
        <v>1636</v>
      </c>
      <c r="R251" t="s">
        <v>1760</v>
      </c>
      <c r="S251" t="s">
        <v>1637</v>
      </c>
      <c r="T251" t="s">
        <v>1485</v>
      </c>
      <c r="U251">
        <v>223200</v>
      </c>
      <c r="V251" t="s">
        <v>2010</v>
      </c>
      <c r="W251" t="s">
        <v>1639</v>
      </c>
      <c r="X251" t="s">
        <v>1889</v>
      </c>
      <c r="Y251" t="s">
        <v>1890</v>
      </c>
      <c r="AA251" t="s">
        <v>1891</v>
      </c>
      <c r="AB251" t="s">
        <v>1892</v>
      </c>
      <c r="AC251">
        <v>99079</v>
      </c>
      <c r="AD251" t="s">
        <v>2011</v>
      </c>
      <c r="AE251">
        <v>-39.467557399999997</v>
      </c>
      <c r="AF251">
        <v>175.67604875000001</v>
      </c>
      <c r="AG251">
        <v>40</v>
      </c>
      <c r="AH251">
        <v>10</v>
      </c>
      <c r="AI251">
        <v>0</v>
      </c>
      <c r="AJ251">
        <v>1</v>
      </c>
      <c r="AK251">
        <v>4</v>
      </c>
      <c r="AL251">
        <v>7</v>
      </c>
      <c r="AM251">
        <v>7</v>
      </c>
      <c r="AN251">
        <v>0</v>
      </c>
      <c r="AO251">
        <v>19</v>
      </c>
      <c r="AP251">
        <v>14</v>
      </c>
      <c r="AQ251">
        <v>9</v>
      </c>
      <c r="AR251">
        <v>1</v>
      </c>
      <c r="AS251">
        <v>1</v>
      </c>
      <c r="AT251">
        <v>0</v>
      </c>
    </row>
    <row r="252" spans="1:46">
      <c r="A252">
        <v>5259</v>
      </c>
      <c r="B252" t="s">
        <v>2012</v>
      </c>
      <c r="C252" t="s">
        <v>2013</v>
      </c>
      <c r="D252" t="s">
        <v>2014</v>
      </c>
      <c r="E252" t="s">
        <v>2015</v>
      </c>
      <c r="G252" t="s">
        <v>2016</v>
      </c>
      <c r="H252" t="s">
        <v>517</v>
      </c>
      <c r="J252" t="s">
        <v>518</v>
      </c>
      <c r="K252" t="s">
        <v>519</v>
      </c>
      <c r="M252" t="s">
        <v>1297</v>
      </c>
      <c r="N252" t="s">
        <v>571</v>
      </c>
      <c r="O252" t="s">
        <v>1956</v>
      </c>
      <c r="P252" t="s">
        <v>584</v>
      </c>
      <c r="Q252" t="s">
        <v>1636</v>
      </c>
      <c r="R252" t="s">
        <v>1760</v>
      </c>
      <c r="S252" t="s">
        <v>1637</v>
      </c>
      <c r="T252" t="s">
        <v>1485</v>
      </c>
      <c r="U252">
        <v>232101</v>
      </c>
      <c r="V252" t="s">
        <v>2016</v>
      </c>
      <c r="W252" t="s">
        <v>1957</v>
      </c>
      <c r="X252" t="s">
        <v>1958</v>
      </c>
      <c r="Y252" t="s">
        <v>1959</v>
      </c>
      <c r="AA252" t="s">
        <v>1960</v>
      </c>
      <c r="AB252" t="s">
        <v>1961</v>
      </c>
      <c r="AC252">
        <v>99166</v>
      </c>
      <c r="AD252" t="s">
        <v>1998</v>
      </c>
      <c r="AE252">
        <v>-40.409356279999997</v>
      </c>
      <c r="AF252">
        <v>175.58785603000001</v>
      </c>
      <c r="AG252">
        <v>30</v>
      </c>
      <c r="AH252">
        <v>0</v>
      </c>
      <c r="AI252">
        <v>0</v>
      </c>
      <c r="AJ252">
        <v>0</v>
      </c>
      <c r="AK252">
        <v>1</v>
      </c>
      <c r="AL252">
        <v>5</v>
      </c>
      <c r="AM252">
        <v>13</v>
      </c>
      <c r="AN252">
        <v>0</v>
      </c>
      <c r="AO252">
        <v>19</v>
      </c>
      <c r="AP252">
        <v>15</v>
      </c>
      <c r="AQ252">
        <v>10</v>
      </c>
      <c r="AR252">
        <v>3</v>
      </c>
      <c r="AS252">
        <v>4</v>
      </c>
      <c r="AT252">
        <v>0</v>
      </c>
    </row>
    <row r="253" spans="1:46">
      <c r="A253">
        <v>5260</v>
      </c>
      <c r="B253" t="s">
        <v>2017</v>
      </c>
      <c r="C253" t="s">
        <v>2018</v>
      </c>
      <c r="D253" t="s">
        <v>2019</v>
      </c>
      <c r="E253" t="s">
        <v>2020</v>
      </c>
      <c r="F253" t="s">
        <v>2021</v>
      </c>
      <c r="G253" t="s">
        <v>1974</v>
      </c>
      <c r="H253" t="s">
        <v>517</v>
      </c>
      <c r="J253" t="s">
        <v>518</v>
      </c>
      <c r="K253" t="s">
        <v>519</v>
      </c>
      <c r="M253" t="s">
        <v>1297</v>
      </c>
      <c r="N253" t="s">
        <v>571</v>
      </c>
      <c r="O253" t="s">
        <v>1956</v>
      </c>
      <c r="P253" t="s">
        <v>584</v>
      </c>
      <c r="Q253" t="s">
        <v>1636</v>
      </c>
      <c r="R253" t="s">
        <v>1760</v>
      </c>
      <c r="S253" t="s">
        <v>1974</v>
      </c>
      <c r="T253" t="s">
        <v>1485</v>
      </c>
      <c r="U253">
        <v>229001</v>
      </c>
      <c r="V253" t="s">
        <v>2022</v>
      </c>
      <c r="W253" t="s">
        <v>1957</v>
      </c>
      <c r="X253" t="s">
        <v>1958</v>
      </c>
      <c r="Y253" t="s">
        <v>1959</v>
      </c>
      <c r="AA253" t="s">
        <v>1960</v>
      </c>
      <c r="AB253" t="s">
        <v>1961</v>
      </c>
      <c r="AC253">
        <v>99052</v>
      </c>
      <c r="AD253" t="s">
        <v>1962</v>
      </c>
      <c r="AE253">
        <v>-40.3308654</v>
      </c>
      <c r="AF253">
        <v>175.61114778999999</v>
      </c>
      <c r="AG253">
        <v>40</v>
      </c>
      <c r="AH253">
        <v>0</v>
      </c>
      <c r="AI253">
        <v>0</v>
      </c>
      <c r="AJ253">
        <v>0</v>
      </c>
      <c r="AK253">
        <v>2</v>
      </c>
      <c r="AL253">
        <v>18</v>
      </c>
      <c r="AM253">
        <v>23</v>
      </c>
      <c r="AN253">
        <v>1</v>
      </c>
      <c r="AO253">
        <v>44</v>
      </c>
      <c r="AP253">
        <v>27</v>
      </c>
      <c r="AQ253">
        <v>8</v>
      </c>
      <c r="AR253">
        <v>1</v>
      </c>
      <c r="AS253">
        <v>13</v>
      </c>
      <c r="AT253">
        <v>4</v>
      </c>
    </row>
    <row r="254" spans="1:46">
      <c r="A254">
        <v>5261</v>
      </c>
      <c r="B254" t="s">
        <v>2023</v>
      </c>
      <c r="C254" t="s">
        <v>2024</v>
      </c>
      <c r="D254" t="s">
        <v>2025</v>
      </c>
      <c r="E254" t="s">
        <v>2026</v>
      </c>
      <c r="G254" t="s">
        <v>1987</v>
      </c>
      <c r="H254" t="s">
        <v>517</v>
      </c>
      <c r="I254" t="s">
        <v>856</v>
      </c>
      <c r="J254" t="s">
        <v>518</v>
      </c>
      <c r="K254" t="s">
        <v>519</v>
      </c>
      <c r="M254" t="s">
        <v>1297</v>
      </c>
      <c r="N254" t="s">
        <v>571</v>
      </c>
      <c r="O254" t="s">
        <v>1988</v>
      </c>
      <c r="P254" t="s">
        <v>1262</v>
      </c>
      <c r="Q254" t="s">
        <v>1636</v>
      </c>
      <c r="R254" t="s">
        <v>1760</v>
      </c>
      <c r="S254" t="s">
        <v>1637</v>
      </c>
      <c r="T254" t="s">
        <v>1485</v>
      </c>
      <c r="U254">
        <v>228200</v>
      </c>
      <c r="V254" t="s">
        <v>2027</v>
      </c>
      <c r="W254" t="s">
        <v>1990</v>
      </c>
      <c r="X254" t="s">
        <v>1958</v>
      </c>
      <c r="Y254" t="s">
        <v>1959</v>
      </c>
      <c r="AA254" t="s">
        <v>1960</v>
      </c>
      <c r="AB254" t="s">
        <v>1961</v>
      </c>
      <c r="AC254">
        <v>99134</v>
      </c>
      <c r="AD254" t="s">
        <v>1991</v>
      </c>
      <c r="AE254">
        <v>-40.222821019999998</v>
      </c>
      <c r="AF254">
        <v>175.55930475</v>
      </c>
      <c r="AG254">
        <v>40</v>
      </c>
      <c r="AH254">
        <v>0</v>
      </c>
      <c r="AI254">
        <v>0</v>
      </c>
      <c r="AJ254">
        <v>0</v>
      </c>
      <c r="AK254">
        <v>0</v>
      </c>
      <c r="AL254">
        <v>17</v>
      </c>
      <c r="AM254">
        <v>35</v>
      </c>
      <c r="AN254">
        <v>0</v>
      </c>
      <c r="AO254">
        <v>52</v>
      </c>
      <c r="AP254">
        <v>46</v>
      </c>
      <c r="AQ254">
        <v>9</v>
      </c>
      <c r="AR254">
        <v>2</v>
      </c>
      <c r="AS254">
        <v>7</v>
      </c>
      <c r="AT254">
        <v>4</v>
      </c>
    </row>
    <row r="255" spans="1:46">
      <c r="A255">
        <v>5262</v>
      </c>
      <c r="B255" t="s">
        <v>2028</v>
      </c>
      <c r="C255" t="s">
        <v>2029</v>
      </c>
      <c r="E255" t="s">
        <v>2030</v>
      </c>
      <c r="G255" t="s">
        <v>2031</v>
      </c>
      <c r="H255" t="s">
        <v>517</v>
      </c>
      <c r="J255" t="s">
        <v>518</v>
      </c>
      <c r="K255" t="s">
        <v>519</v>
      </c>
      <c r="M255" t="s">
        <v>1297</v>
      </c>
      <c r="N255" t="s">
        <v>557</v>
      </c>
      <c r="O255" t="s">
        <v>1967</v>
      </c>
      <c r="P255" t="s">
        <v>523</v>
      </c>
      <c r="Q255" t="s">
        <v>1636</v>
      </c>
      <c r="R255" t="s">
        <v>1760</v>
      </c>
      <c r="S255" t="s">
        <v>1637</v>
      </c>
      <c r="T255" t="s">
        <v>1485</v>
      </c>
      <c r="U255">
        <v>226900</v>
      </c>
      <c r="V255" t="s">
        <v>2032</v>
      </c>
      <c r="W255" t="s">
        <v>2033</v>
      </c>
      <c r="X255" t="s">
        <v>1958</v>
      </c>
      <c r="Y255" t="s">
        <v>1959</v>
      </c>
      <c r="AA255" t="s">
        <v>1960</v>
      </c>
      <c r="AB255" t="s">
        <v>1961</v>
      </c>
      <c r="AC255">
        <v>99078</v>
      </c>
      <c r="AD255" t="s">
        <v>1969</v>
      </c>
      <c r="AE255">
        <v>-40.077834320000001</v>
      </c>
      <c r="AF255">
        <v>175.37387426000001</v>
      </c>
      <c r="AG255">
        <v>45</v>
      </c>
      <c r="AH255">
        <v>10</v>
      </c>
      <c r="AI255">
        <v>0</v>
      </c>
      <c r="AJ255">
        <v>4</v>
      </c>
      <c r="AK255">
        <v>12</v>
      </c>
      <c r="AL255">
        <v>26</v>
      </c>
      <c r="AM255">
        <v>21</v>
      </c>
      <c r="AN255">
        <v>0</v>
      </c>
      <c r="AO255">
        <v>63</v>
      </c>
      <c r="AP255">
        <v>52</v>
      </c>
      <c r="AQ255">
        <v>21</v>
      </c>
      <c r="AR255">
        <v>7</v>
      </c>
      <c r="AS255">
        <v>3</v>
      </c>
      <c r="AT255">
        <v>3</v>
      </c>
    </row>
    <row r="256" spans="1:46">
      <c r="A256">
        <v>5263</v>
      </c>
      <c r="B256" t="s">
        <v>2034</v>
      </c>
      <c r="C256" t="s">
        <v>2035</v>
      </c>
      <c r="D256" t="s">
        <v>2036</v>
      </c>
      <c r="E256" t="s">
        <v>2037</v>
      </c>
      <c r="F256" t="s">
        <v>2038</v>
      </c>
      <c r="G256" t="s">
        <v>1974</v>
      </c>
      <c r="H256" t="s">
        <v>517</v>
      </c>
      <c r="J256" t="s">
        <v>518</v>
      </c>
      <c r="K256" t="s">
        <v>519</v>
      </c>
      <c r="M256" t="s">
        <v>1297</v>
      </c>
      <c r="N256" t="s">
        <v>571</v>
      </c>
      <c r="O256" t="s">
        <v>1956</v>
      </c>
      <c r="P256" t="s">
        <v>584</v>
      </c>
      <c r="Q256" t="s">
        <v>1636</v>
      </c>
      <c r="R256" t="s">
        <v>1760</v>
      </c>
      <c r="S256" t="s">
        <v>1974</v>
      </c>
      <c r="T256" t="s">
        <v>1485</v>
      </c>
      <c r="U256">
        <v>231500</v>
      </c>
      <c r="V256" t="s">
        <v>2039</v>
      </c>
      <c r="W256" t="s">
        <v>1957</v>
      </c>
      <c r="X256" t="s">
        <v>1958</v>
      </c>
      <c r="Y256" t="s">
        <v>1959</v>
      </c>
      <c r="AA256" t="s">
        <v>1960</v>
      </c>
      <c r="AB256" t="s">
        <v>1961</v>
      </c>
      <c r="AC256">
        <v>99052</v>
      </c>
      <c r="AD256" t="s">
        <v>1962</v>
      </c>
      <c r="AE256">
        <v>-40.350547560000003</v>
      </c>
      <c r="AF256">
        <v>175.64069502000001</v>
      </c>
      <c r="AG256">
        <v>50</v>
      </c>
      <c r="AH256">
        <v>0</v>
      </c>
      <c r="AI256">
        <v>0</v>
      </c>
      <c r="AJ256">
        <v>0</v>
      </c>
      <c r="AK256">
        <v>0</v>
      </c>
      <c r="AL256">
        <v>24</v>
      </c>
      <c r="AM256">
        <v>23</v>
      </c>
      <c r="AN256">
        <v>5</v>
      </c>
      <c r="AO256">
        <v>52</v>
      </c>
      <c r="AP256">
        <v>39</v>
      </c>
      <c r="AQ256">
        <v>19</v>
      </c>
      <c r="AR256">
        <v>2</v>
      </c>
      <c r="AS256">
        <v>10</v>
      </c>
      <c r="AT256">
        <v>3</v>
      </c>
    </row>
    <row r="257" spans="1:46">
      <c r="A257">
        <v>5264</v>
      </c>
      <c r="B257" t="s">
        <v>2040</v>
      </c>
      <c r="C257" t="s">
        <v>2041</v>
      </c>
      <c r="D257" t="s">
        <v>2042</v>
      </c>
      <c r="E257" t="s">
        <v>2043</v>
      </c>
      <c r="G257" t="s">
        <v>1974</v>
      </c>
      <c r="H257" t="s">
        <v>517</v>
      </c>
      <c r="J257" t="s">
        <v>518</v>
      </c>
      <c r="K257" t="s">
        <v>519</v>
      </c>
      <c r="M257" t="s">
        <v>1297</v>
      </c>
      <c r="N257" t="s">
        <v>571</v>
      </c>
      <c r="O257" t="s">
        <v>1956</v>
      </c>
      <c r="P257" t="s">
        <v>584</v>
      </c>
      <c r="Q257" t="s">
        <v>1636</v>
      </c>
      <c r="R257" t="s">
        <v>1760</v>
      </c>
      <c r="S257" t="s">
        <v>1974</v>
      </c>
      <c r="T257" t="s">
        <v>1485</v>
      </c>
      <c r="U257">
        <v>231300</v>
      </c>
      <c r="V257" t="s">
        <v>2044</v>
      </c>
      <c r="W257" t="s">
        <v>1957</v>
      </c>
      <c r="X257" t="s">
        <v>1958</v>
      </c>
      <c r="Y257" t="s">
        <v>1959</v>
      </c>
      <c r="AA257" t="s">
        <v>1960</v>
      </c>
      <c r="AB257" t="s">
        <v>1961</v>
      </c>
      <c r="AC257">
        <v>99165</v>
      </c>
      <c r="AD257" t="s">
        <v>1976</v>
      </c>
      <c r="AE257">
        <v>-40.377021259999999</v>
      </c>
      <c r="AF257">
        <v>175.59799484999999</v>
      </c>
      <c r="AG257">
        <v>40</v>
      </c>
      <c r="AH257">
        <v>0</v>
      </c>
      <c r="AI257">
        <v>0</v>
      </c>
      <c r="AJ257">
        <v>0</v>
      </c>
      <c r="AK257">
        <v>1</v>
      </c>
      <c r="AL257">
        <v>15</v>
      </c>
      <c r="AM257">
        <v>35</v>
      </c>
      <c r="AN257">
        <v>0</v>
      </c>
      <c r="AO257">
        <v>51</v>
      </c>
      <c r="AP257">
        <v>35</v>
      </c>
      <c r="AQ257">
        <v>8</v>
      </c>
      <c r="AR257">
        <v>4</v>
      </c>
      <c r="AS257">
        <v>14</v>
      </c>
      <c r="AT257">
        <v>1</v>
      </c>
    </row>
    <row r="258" spans="1:46">
      <c r="A258">
        <v>5265</v>
      </c>
      <c r="B258" t="s">
        <v>2045</v>
      </c>
      <c r="C258" t="s">
        <v>2046</v>
      </c>
      <c r="D258" t="s">
        <v>2047</v>
      </c>
      <c r="E258" t="s">
        <v>2048</v>
      </c>
      <c r="F258" t="s">
        <v>2049</v>
      </c>
      <c r="G258" t="s">
        <v>1974</v>
      </c>
      <c r="H258" t="s">
        <v>517</v>
      </c>
      <c r="J258" t="s">
        <v>518</v>
      </c>
      <c r="K258" t="s">
        <v>519</v>
      </c>
      <c r="M258" t="s">
        <v>1297</v>
      </c>
      <c r="N258" t="s">
        <v>557</v>
      </c>
      <c r="O258" t="s">
        <v>1956</v>
      </c>
      <c r="P258" t="s">
        <v>584</v>
      </c>
      <c r="Q258" t="s">
        <v>1636</v>
      </c>
      <c r="R258" t="s">
        <v>1760</v>
      </c>
      <c r="S258" t="s">
        <v>1974</v>
      </c>
      <c r="T258" t="s">
        <v>1485</v>
      </c>
      <c r="U258">
        <v>230800</v>
      </c>
      <c r="V258" t="s">
        <v>2038</v>
      </c>
      <c r="W258" t="s">
        <v>1957</v>
      </c>
      <c r="X258" t="s">
        <v>1958</v>
      </c>
      <c r="Y258" t="s">
        <v>1959</v>
      </c>
      <c r="AA258" t="s">
        <v>1960</v>
      </c>
      <c r="AB258" t="s">
        <v>1961</v>
      </c>
      <c r="AC258">
        <v>99052</v>
      </c>
      <c r="AD258" t="s">
        <v>1962</v>
      </c>
      <c r="AE258">
        <v>-40.341196410000002</v>
      </c>
      <c r="AF258">
        <v>175.63152545</v>
      </c>
      <c r="AG258">
        <v>40</v>
      </c>
      <c r="AH258">
        <v>0</v>
      </c>
      <c r="AI258">
        <v>0</v>
      </c>
      <c r="AJ258">
        <v>0</v>
      </c>
      <c r="AK258">
        <v>0</v>
      </c>
      <c r="AL258">
        <v>19</v>
      </c>
      <c r="AM258">
        <v>17</v>
      </c>
      <c r="AN258">
        <v>1</v>
      </c>
      <c r="AO258">
        <v>37</v>
      </c>
      <c r="AP258">
        <v>16</v>
      </c>
      <c r="AQ258">
        <v>17</v>
      </c>
      <c r="AR258">
        <v>6</v>
      </c>
      <c r="AS258">
        <v>12</v>
      </c>
      <c r="AT258">
        <v>0</v>
      </c>
    </row>
    <row r="259" spans="1:46">
      <c r="A259">
        <v>5266</v>
      </c>
      <c r="B259" t="s">
        <v>2050</v>
      </c>
      <c r="C259" t="s">
        <v>2051</v>
      </c>
      <c r="E259" t="s">
        <v>2052</v>
      </c>
      <c r="F259" t="s">
        <v>2053</v>
      </c>
      <c r="G259" t="s">
        <v>1974</v>
      </c>
      <c r="H259" t="s">
        <v>517</v>
      </c>
      <c r="J259" t="s">
        <v>518</v>
      </c>
      <c r="K259" t="s">
        <v>519</v>
      </c>
      <c r="M259" t="s">
        <v>1297</v>
      </c>
      <c r="N259" t="s">
        <v>539</v>
      </c>
      <c r="O259" t="s">
        <v>1956</v>
      </c>
      <c r="P259" t="s">
        <v>584</v>
      </c>
      <c r="Q259" t="s">
        <v>1636</v>
      </c>
      <c r="R259" t="s">
        <v>1760</v>
      </c>
      <c r="S259" t="s">
        <v>1974</v>
      </c>
      <c r="T259" t="s">
        <v>1485</v>
      </c>
      <c r="U259">
        <v>229900</v>
      </c>
      <c r="V259" t="s">
        <v>2054</v>
      </c>
      <c r="W259" t="s">
        <v>1957</v>
      </c>
      <c r="X259" t="s">
        <v>1958</v>
      </c>
      <c r="Y259" t="s">
        <v>1959</v>
      </c>
      <c r="AA259" t="s">
        <v>1960</v>
      </c>
      <c r="AB259" t="s">
        <v>1961</v>
      </c>
      <c r="AC259">
        <v>99166</v>
      </c>
      <c r="AD259" t="s">
        <v>1998</v>
      </c>
      <c r="AE259">
        <v>-40.360704849999998</v>
      </c>
      <c r="AF259">
        <v>175.58922992000001</v>
      </c>
      <c r="AG259">
        <v>35</v>
      </c>
      <c r="AH259">
        <v>0</v>
      </c>
      <c r="AI259">
        <v>0</v>
      </c>
      <c r="AJ259">
        <v>0</v>
      </c>
      <c r="AK259">
        <v>3</v>
      </c>
      <c r="AL259">
        <v>8</v>
      </c>
      <c r="AM259">
        <v>12</v>
      </c>
      <c r="AN259">
        <v>0</v>
      </c>
      <c r="AO259">
        <v>23</v>
      </c>
      <c r="AP259">
        <v>5</v>
      </c>
      <c r="AQ259">
        <v>11</v>
      </c>
      <c r="AR259">
        <v>4</v>
      </c>
      <c r="AS259">
        <v>5</v>
      </c>
      <c r="AT259">
        <v>2</v>
      </c>
    </row>
    <row r="260" spans="1:46">
      <c r="A260">
        <v>5268</v>
      </c>
      <c r="B260" t="s">
        <v>2055</v>
      </c>
      <c r="C260" t="s">
        <v>2056</v>
      </c>
      <c r="D260" t="s">
        <v>2057</v>
      </c>
      <c r="E260" t="s">
        <v>2058</v>
      </c>
      <c r="F260" t="s">
        <v>2059</v>
      </c>
      <c r="G260" t="s">
        <v>1974</v>
      </c>
      <c r="H260" t="s">
        <v>517</v>
      </c>
      <c r="J260" t="s">
        <v>518</v>
      </c>
      <c r="K260" t="s">
        <v>519</v>
      </c>
      <c r="M260" t="s">
        <v>1297</v>
      </c>
      <c r="N260" t="s">
        <v>571</v>
      </c>
      <c r="O260" t="s">
        <v>1956</v>
      </c>
      <c r="P260" t="s">
        <v>584</v>
      </c>
      <c r="Q260" t="s">
        <v>1636</v>
      </c>
      <c r="R260" t="s">
        <v>1760</v>
      </c>
      <c r="S260" t="s">
        <v>1974</v>
      </c>
      <c r="T260" t="s">
        <v>1485</v>
      </c>
      <c r="U260">
        <v>230700</v>
      </c>
      <c r="V260" t="s">
        <v>2060</v>
      </c>
      <c r="W260" t="s">
        <v>1957</v>
      </c>
      <c r="X260" t="s">
        <v>1958</v>
      </c>
      <c r="Y260" t="s">
        <v>1959</v>
      </c>
      <c r="AA260" t="s">
        <v>1960</v>
      </c>
      <c r="AB260" t="s">
        <v>1961</v>
      </c>
      <c r="AC260">
        <v>99166</v>
      </c>
      <c r="AD260" t="s">
        <v>1998</v>
      </c>
      <c r="AE260">
        <v>-40.368708589999997</v>
      </c>
      <c r="AF260">
        <v>175.58910843000001</v>
      </c>
      <c r="AG260">
        <v>40</v>
      </c>
      <c r="AH260">
        <v>0</v>
      </c>
      <c r="AI260">
        <v>0</v>
      </c>
      <c r="AJ260">
        <v>0</v>
      </c>
      <c r="AK260">
        <v>0</v>
      </c>
      <c r="AL260">
        <v>14</v>
      </c>
      <c r="AM260">
        <v>20</v>
      </c>
      <c r="AN260">
        <v>5</v>
      </c>
      <c r="AO260">
        <v>39</v>
      </c>
      <c r="AP260">
        <v>25</v>
      </c>
      <c r="AQ260">
        <v>15</v>
      </c>
      <c r="AR260">
        <v>4</v>
      </c>
      <c r="AS260">
        <v>6</v>
      </c>
      <c r="AT260">
        <v>2</v>
      </c>
    </row>
    <row r="261" spans="1:46">
      <c r="A261">
        <v>5269</v>
      </c>
      <c r="B261" t="s">
        <v>2061</v>
      </c>
      <c r="C261" t="s">
        <v>2062</v>
      </c>
      <c r="D261" t="s">
        <v>2063</v>
      </c>
      <c r="E261" t="s">
        <v>2064</v>
      </c>
      <c r="G261" t="s">
        <v>2065</v>
      </c>
      <c r="H261" t="s">
        <v>517</v>
      </c>
      <c r="J261" t="s">
        <v>518</v>
      </c>
      <c r="K261" t="s">
        <v>519</v>
      </c>
      <c r="M261" t="s">
        <v>1297</v>
      </c>
      <c r="N261" t="s">
        <v>521</v>
      </c>
      <c r="O261" t="s">
        <v>2066</v>
      </c>
      <c r="P261" t="s">
        <v>523</v>
      </c>
      <c r="Q261" t="s">
        <v>1636</v>
      </c>
      <c r="R261" t="s">
        <v>1760</v>
      </c>
      <c r="S261" t="s">
        <v>2067</v>
      </c>
      <c r="T261" t="s">
        <v>1485</v>
      </c>
      <c r="U261">
        <v>234301</v>
      </c>
      <c r="V261" t="s">
        <v>2068</v>
      </c>
      <c r="W261" t="s">
        <v>2069</v>
      </c>
      <c r="X261" t="s">
        <v>1958</v>
      </c>
      <c r="Y261" t="s">
        <v>1959</v>
      </c>
      <c r="AA261" t="s">
        <v>1960</v>
      </c>
      <c r="AB261" t="s">
        <v>1961</v>
      </c>
      <c r="AE261">
        <v>-40.476326460000003</v>
      </c>
      <c r="AF261">
        <v>175.29324066000001</v>
      </c>
      <c r="AG261">
        <v>40</v>
      </c>
      <c r="AH261">
        <v>0</v>
      </c>
      <c r="AI261">
        <v>0</v>
      </c>
      <c r="AJ261">
        <v>0</v>
      </c>
      <c r="AK261">
        <v>1</v>
      </c>
      <c r="AL261">
        <v>17</v>
      </c>
      <c r="AM261">
        <v>20</v>
      </c>
      <c r="AN261">
        <v>3</v>
      </c>
      <c r="AO261">
        <v>41</v>
      </c>
      <c r="AP261">
        <v>26</v>
      </c>
      <c r="AQ261">
        <v>16</v>
      </c>
      <c r="AR261">
        <v>3</v>
      </c>
      <c r="AS261">
        <v>5</v>
      </c>
      <c r="AT261">
        <v>3</v>
      </c>
    </row>
    <row r="262" spans="1:46">
      <c r="A262">
        <v>5270</v>
      </c>
      <c r="B262" t="s">
        <v>2070</v>
      </c>
      <c r="C262" t="s">
        <v>2071</v>
      </c>
      <c r="D262" t="s">
        <v>2072</v>
      </c>
      <c r="E262" t="s">
        <v>2073</v>
      </c>
      <c r="G262" t="s">
        <v>2074</v>
      </c>
      <c r="H262" t="s">
        <v>517</v>
      </c>
      <c r="J262" t="s">
        <v>518</v>
      </c>
      <c r="K262" t="s">
        <v>519</v>
      </c>
      <c r="M262" t="s">
        <v>1297</v>
      </c>
      <c r="N262" t="s">
        <v>571</v>
      </c>
      <c r="O262" t="s">
        <v>1967</v>
      </c>
      <c r="P262" t="s">
        <v>523</v>
      </c>
      <c r="Q262" t="s">
        <v>1636</v>
      </c>
      <c r="R262" t="s">
        <v>1760</v>
      </c>
      <c r="S262" t="s">
        <v>1637</v>
      </c>
      <c r="T262" t="s">
        <v>1485</v>
      </c>
      <c r="U262">
        <v>226500</v>
      </c>
      <c r="V262" t="s">
        <v>2074</v>
      </c>
      <c r="W262" t="s">
        <v>2075</v>
      </c>
      <c r="X262" t="s">
        <v>1889</v>
      </c>
      <c r="Y262" t="s">
        <v>1890</v>
      </c>
      <c r="AA262" t="s">
        <v>1891</v>
      </c>
      <c r="AB262" t="s">
        <v>1892</v>
      </c>
      <c r="AE262">
        <v>-39.674187840000002</v>
      </c>
      <c r="AF262">
        <v>175.79488001000001</v>
      </c>
      <c r="AG262">
        <v>40</v>
      </c>
      <c r="AH262">
        <v>0</v>
      </c>
      <c r="AI262">
        <v>0</v>
      </c>
      <c r="AJ262">
        <v>0</v>
      </c>
      <c r="AK262">
        <v>3</v>
      </c>
      <c r="AL262">
        <v>24</v>
      </c>
      <c r="AM262">
        <v>24</v>
      </c>
      <c r="AN262">
        <v>0</v>
      </c>
      <c r="AO262">
        <v>51</v>
      </c>
      <c r="AP262">
        <v>42</v>
      </c>
      <c r="AQ262">
        <v>26</v>
      </c>
      <c r="AR262">
        <v>3</v>
      </c>
      <c r="AS262">
        <v>3</v>
      </c>
      <c r="AT262">
        <v>1</v>
      </c>
    </row>
    <row r="263" spans="1:46">
      <c r="A263">
        <v>5271</v>
      </c>
      <c r="B263" t="s">
        <v>2076</v>
      </c>
      <c r="C263" t="s">
        <v>2077</v>
      </c>
      <c r="D263" t="s">
        <v>2078</v>
      </c>
      <c r="E263" t="s">
        <v>2079</v>
      </c>
      <c r="F263" t="s">
        <v>2080</v>
      </c>
      <c r="G263" t="s">
        <v>2081</v>
      </c>
      <c r="H263" t="s">
        <v>517</v>
      </c>
      <c r="J263" t="s">
        <v>518</v>
      </c>
      <c r="K263" t="s">
        <v>519</v>
      </c>
      <c r="M263" t="s">
        <v>1297</v>
      </c>
      <c r="N263" t="s">
        <v>539</v>
      </c>
      <c r="O263" t="s">
        <v>2082</v>
      </c>
      <c r="P263" t="s">
        <v>584</v>
      </c>
      <c r="Q263" t="s">
        <v>2083</v>
      </c>
      <c r="R263" t="s">
        <v>2084</v>
      </c>
      <c r="S263" t="s">
        <v>1473</v>
      </c>
      <c r="T263" t="s">
        <v>2085</v>
      </c>
      <c r="U263">
        <v>206000</v>
      </c>
      <c r="V263" t="s">
        <v>2086</v>
      </c>
      <c r="W263" t="s">
        <v>2087</v>
      </c>
      <c r="X263" t="s">
        <v>2088</v>
      </c>
      <c r="Y263" t="s">
        <v>2089</v>
      </c>
      <c r="AA263" t="s">
        <v>2090</v>
      </c>
      <c r="AB263" t="s">
        <v>2091</v>
      </c>
      <c r="AC263">
        <v>99082</v>
      </c>
      <c r="AD263" t="s">
        <v>2092</v>
      </c>
      <c r="AE263">
        <v>-38.6547524</v>
      </c>
      <c r="AF263">
        <v>177.99394939999999</v>
      </c>
      <c r="AG263">
        <v>40</v>
      </c>
      <c r="AH263">
        <v>0</v>
      </c>
      <c r="AI263">
        <v>0</v>
      </c>
      <c r="AJ263">
        <v>0</v>
      </c>
      <c r="AK263">
        <v>8</v>
      </c>
      <c r="AL263">
        <v>14</v>
      </c>
      <c r="AM263">
        <v>14</v>
      </c>
      <c r="AN263">
        <v>0</v>
      </c>
      <c r="AO263">
        <v>36</v>
      </c>
      <c r="AP263">
        <v>15</v>
      </c>
      <c r="AQ263">
        <v>21</v>
      </c>
      <c r="AR263">
        <v>6</v>
      </c>
      <c r="AS263">
        <v>0</v>
      </c>
      <c r="AT263">
        <v>0</v>
      </c>
    </row>
    <row r="264" spans="1:46">
      <c r="A264">
        <v>5272</v>
      </c>
      <c r="B264" t="s">
        <v>2093</v>
      </c>
      <c r="C264" t="s">
        <v>2094</v>
      </c>
      <c r="D264" t="s">
        <v>2095</v>
      </c>
      <c r="E264" t="s">
        <v>2096</v>
      </c>
      <c r="F264" t="s">
        <v>2097</v>
      </c>
      <c r="G264" t="s">
        <v>2081</v>
      </c>
      <c r="H264" t="s">
        <v>517</v>
      </c>
      <c r="J264" t="s">
        <v>518</v>
      </c>
      <c r="K264" t="s">
        <v>519</v>
      </c>
      <c r="M264" t="s">
        <v>1297</v>
      </c>
      <c r="N264" t="s">
        <v>539</v>
      </c>
      <c r="O264" t="s">
        <v>2082</v>
      </c>
      <c r="P264" t="s">
        <v>584</v>
      </c>
      <c r="Q264" t="s">
        <v>2083</v>
      </c>
      <c r="R264" t="s">
        <v>2084</v>
      </c>
      <c r="S264" t="s">
        <v>1473</v>
      </c>
      <c r="T264" t="s">
        <v>2085</v>
      </c>
      <c r="U264">
        <v>206200</v>
      </c>
      <c r="V264" t="s">
        <v>2098</v>
      </c>
      <c r="W264" t="s">
        <v>2087</v>
      </c>
      <c r="X264" t="s">
        <v>2088</v>
      </c>
      <c r="Y264" t="s">
        <v>2089</v>
      </c>
      <c r="AA264" t="s">
        <v>2090</v>
      </c>
      <c r="AB264" t="s">
        <v>2091</v>
      </c>
      <c r="AC264">
        <v>99083</v>
      </c>
      <c r="AD264" t="s">
        <v>2099</v>
      </c>
      <c r="AE264">
        <v>-38.648135099999998</v>
      </c>
      <c r="AF264">
        <v>178.01872433</v>
      </c>
      <c r="AG264">
        <v>45</v>
      </c>
      <c r="AH264">
        <v>0</v>
      </c>
      <c r="AI264">
        <v>0</v>
      </c>
      <c r="AJ264">
        <v>0</v>
      </c>
      <c r="AK264">
        <v>3</v>
      </c>
      <c r="AL264">
        <v>7</v>
      </c>
      <c r="AM264">
        <v>12</v>
      </c>
      <c r="AN264">
        <v>1</v>
      </c>
      <c r="AO264">
        <v>23</v>
      </c>
      <c r="AP264">
        <v>16</v>
      </c>
      <c r="AQ264">
        <v>16</v>
      </c>
      <c r="AR264">
        <v>4</v>
      </c>
      <c r="AS264">
        <v>1</v>
      </c>
      <c r="AT264">
        <v>0</v>
      </c>
    </row>
    <row r="265" spans="1:46">
      <c r="A265">
        <v>5273</v>
      </c>
      <c r="B265" t="s">
        <v>2100</v>
      </c>
      <c r="C265" t="s">
        <v>2101</v>
      </c>
      <c r="D265" t="s">
        <v>2102</v>
      </c>
      <c r="E265" t="s">
        <v>2103</v>
      </c>
      <c r="F265" t="s">
        <v>2104</v>
      </c>
      <c r="G265" t="s">
        <v>2081</v>
      </c>
      <c r="H265" t="s">
        <v>517</v>
      </c>
      <c r="J265" t="s">
        <v>518</v>
      </c>
      <c r="K265" t="s">
        <v>519</v>
      </c>
      <c r="M265" t="s">
        <v>1297</v>
      </c>
      <c r="N265" t="s">
        <v>727</v>
      </c>
      <c r="O265" t="s">
        <v>2082</v>
      </c>
      <c r="P265" t="s">
        <v>584</v>
      </c>
      <c r="Q265" t="s">
        <v>2083</v>
      </c>
      <c r="R265" t="s">
        <v>2084</v>
      </c>
      <c r="S265" t="s">
        <v>1473</v>
      </c>
      <c r="T265" t="s">
        <v>2085</v>
      </c>
      <c r="U265">
        <v>207100</v>
      </c>
      <c r="V265" t="s">
        <v>2105</v>
      </c>
      <c r="W265" t="s">
        <v>2087</v>
      </c>
      <c r="X265" t="s">
        <v>2088</v>
      </c>
      <c r="Y265" t="s">
        <v>2089</v>
      </c>
      <c r="AA265" t="s">
        <v>2090</v>
      </c>
      <c r="AB265" t="s">
        <v>2091</v>
      </c>
      <c r="AC265">
        <v>99050</v>
      </c>
      <c r="AD265" t="s">
        <v>2106</v>
      </c>
      <c r="AE265">
        <v>-38.674384230000001</v>
      </c>
      <c r="AF265">
        <v>178.05612521</v>
      </c>
      <c r="AG265">
        <v>40</v>
      </c>
      <c r="AH265">
        <v>0</v>
      </c>
      <c r="AI265">
        <v>0</v>
      </c>
      <c r="AJ265">
        <v>0</v>
      </c>
      <c r="AK265">
        <v>6</v>
      </c>
      <c r="AL265">
        <v>8</v>
      </c>
      <c r="AM265">
        <v>10</v>
      </c>
      <c r="AN265">
        <v>4</v>
      </c>
      <c r="AO265">
        <v>28</v>
      </c>
      <c r="AP265">
        <v>1</v>
      </c>
      <c r="AQ265">
        <v>28</v>
      </c>
      <c r="AR265">
        <v>4</v>
      </c>
      <c r="AS265">
        <v>3</v>
      </c>
      <c r="AT265">
        <v>0</v>
      </c>
    </row>
    <row r="266" spans="1:46">
      <c r="A266">
        <v>5274</v>
      </c>
      <c r="B266" t="s">
        <v>2107</v>
      </c>
      <c r="C266" t="s">
        <v>2108</v>
      </c>
      <c r="D266" t="s">
        <v>2109</v>
      </c>
      <c r="E266" t="s">
        <v>2110</v>
      </c>
      <c r="F266" t="s">
        <v>2104</v>
      </c>
      <c r="G266" t="s">
        <v>2081</v>
      </c>
      <c r="H266" t="s">
        <v>517</v>
      </c>
      <c r="J266" t="s">
        <v>518</v>
      </c>
      <c r="K266" t="s">
        <v>519</v>
      </c>
      <c r="M266" t="s">
        <v>1297</v>
      </c>
      <c r="N266" t="s">
        <v>571</v>
      </c>
      <c r="O266" t="s">
        <v>2082</v>
      </c>
      <c r="P266" t="s">
        <v>584</v>
      </c>
      <c r="Q266" t="s">
        <v>2083</v>
      </c>
      <c r="R266" t="s">
        <v>2084</v>
      </c>
      <c r="S266" t="s">
        <v>1473</v>
      </c>
      <c r="T266" t="s">
        <v>2085</v>
      </c>
      <c r="U266">
        <v>206900</v>
      </c>
      <c r="V266" t="s">
        <v>2111</v>
      </c>
      <c r="W266" t="s">
        <v>2087</v>
      </c>
      <c r="X266" t="s">
        <v>2088</v>
      </c>
      <c r="Y266" t="s">
        <v>2089</v>
      </c>
      <c r="AA266" t="s">
        <v>2090</v>
      </c>
      <c r="AB266" t="s">
        <v>2091</v>
      </c>
      <c r="AC266">
        <v>99082</v>
      </c>
      <c r="AD266" t="s">
        <v>2092</v>
      </c>
      <c r="AE266">
        <v>-38.668472749999999</v>
      </c>
      <c r="AF266">
        <v>178.03649798999999</v>
      </c>
      <c r="AG266">
        <v>45</v>
      </c>
      <c r="AH266">
        <v>0</v>
      </c>
      <c r="AI266">
        <v>0</v>
      </c>
      <c r="AJ266">
        <v>0</v>
      </c>
      <c r="AK266">
        <v>2</v>
      </c>
      <c r="AL266">
        <v>19</v>
      </c>
      <c r="AM266">
        <v>16</v>
      </c>
      <c r="AN266">
        <v>5</v>
      </c>
      <c r="AO266">
        <v>42</v>
      </c>
      <c r="AP266">
        <v>36</v>
      </c>
      <c r="AQ266">
        <v>11</v>
      </c>
      <c r="AR266">
        <v>1</v>
      </c>
      <c r="AS266">
        <v>3</v>
      </c>
      <c r="AT266">
        <v>3</v>
      </c>
    </row>
    <row r="267" spans="1:46">
      <c r="A267">
        <v>5275</v>
      </c>
      <c r="B267" t="s">
        <v>2112</v>
      </c>
      <c r="C267" t="s">
        <v>2113</v>
      </c>
      <c r="D267" t="s">
        <v>2114</v>
      </c>
      <c r="E267" t="s">
        <v>2115</v>
      </c>
      <c r="G267" t="s">
        <v>2116</v>
      </c>
      <c r="H267" t="s">
        <v>517</v>
      </c>
      <c r="I267" t="s">
        <v>856</v>
      </c>
      <c r="J267" t="s">
        <v>518</v>
      </c>
      <c r="K267" t="s">
        <v>519</v>
      </c>
      <c r="M267" t="s">
        <v>1297</v>
      </c>
      <c r="N267" t="s">
        <v>521</v>
      </c>
      <c r="O267" t="s">
        <v>2117</v>
      </c>
      <c r="P267" t="s">
        <v>523</v>
      </c>
      <c r="Q267" t="s">
        <v>2118</v>
      </c>
      <c r="R267" t="s">
        <v>2084</v>
      </c>
      <c r="S267" t="s">
        <v>2119</v>
      </c>
      <c r="T267" t="s">
        <v>2085</v>
      </c>
      <c r="U267">
        <v>207800</v>
      </c>
      <c r="V267" t="s">
        <v>2116</v>
      </c>
      <c r="W267" t="s">
        <v>565</v>
      </c>
      <c r="X267" t="s">
        <v>2120</v>
      </c>
      <c r="Y267" t="s">
        <v>2121</v>
      </c>
      <c r="Z267" t="s">
        <v>2122</v>
      </c>
      <c r="AA267" t="s">
        <v>2123</v>
      </c>
      <c r="AB267" t="s">
        <v>2124</v>
      </c>
      <c r="AC267">
        <v>99091</v>
      </c>
      <c r="AD267" t="s">
        <v>2125</v>
      </c>
      <c r="AE267">
        <v>-39.038770309999997</v>
      </c>
      <c r="AF267">
        <v>177.42260995999999</v>
      </c>
      <c r="AG267">
        <v>43</v>
      </c>
      <c r="AH267">
        <v>0</v>
      </c>
      <c r="AI267">
        <v>0</v>
      </c>
      <c r="AJ267">
        <v>0</v>
      </c>
      <c r="AK267">
        <v>7</v>
      </c>
      <c r="AL267">
        <v>12</v>
      </c>
      <c r="AM267">
        <v>11</v>
      </c>
      <c r="AN267">
        <v>1</v>
      </c>
      <c r="AO267">
        <v>31</v>
      </c>
      <c r="AP267">
        <v>19</v>
      </c>
      <c r="AQ267">
        <v>22</v>
      </c>
      <c r="AR267">
        <v>2</v>
      </c>
      <c r="AS267">
        <v>2</v>
      </c>
      <c r="AT267">
        <v>0</v>
      </c>
    </row>
    <row r="268" spans="1:46">
      <c r="A268">
        <v>5277</v>
      </c>
      <c r="B268" t="s">
        <v>2126</v>
      </c>
      <c r="C268" t="s">
        <v>2127</v>
      </c>
      <c r="D268" t="s">
        <v>2128</v>
      </c>
      <c r="E268" t="s">
        <v>2129</v>
      </c>
      <c r="F268" t="s">
        <v>2130</v>
      </c>
      <c r="G268" t="s">
        <v>2119</v>
      </c>
      <c r="H268" t="s">
        <v>517</v>
      </c>
      <c r="I268" t="s">
        <v>856</v>
      </c>
      <c r="J268" t="s">
        <v>518</v>
      </c>
      <c r="K268" t="s">
        <v>519</v>
      </c>
      <c r="M268" t="s">
        <v>1297</v>
      </c>
      <c r="N268" t="s">
        <v>727</v>
      </c>
      <c r="O268" t="s">
        <v>2131</v>
      </c>
      <c r="P268" t="s">
        <v>584</v>
      </c>
      <c r="Q268" t="s">
        <v>2118</v>
      </c>
      <c r="R268" t="s">
        <v>2084</v>
      </c>
      <c r="S268" t="s">
        <v>2119</v>
      </c>
      <c r="T268" t="s">
        <v>2085</v>
      </c>
      <c r="U268">
        <v>215300</v>
      </c>
      <c r="V268" t="s">
        <v>2130</v>
      </c>
      <c r="W268" t="s">
        <v>2132</v>
      </c>
      <c r="X268" t="s">
        <v>2120</v>
      </c>
      <c r="Y268" t="s">
        <v>2121</v>
      </c>
      <c r="Z268" t="s">
        <v>2122</v>
      </c>
      <c r="AA268" t="s">
        <v>2123</v>
      </c>
      <c r="AB268" t="s">
        <v>2124</v>
      </c>
      <c r="AC268">
        <v>99002</v>
      </c>
      <c r="AD268" t="s">
        <v>2133</v>
      </c>
      <c r="AE268">
        <v>-39.520220729999998</v>
      </c>
      <c r="AF268">
        <v>176.90364400999999</v>
      </c>
      <c r="AG268">
        <v>42</v>
      </c>
      <c r="AH268">
        <v>0</v>
      </c>
      <c r="AI268">
        <v>0</v>
      </c>
      <c r="AJ268">
        <v>0</v>
      </c>
      <c r="AK268">
        <v>2</v>
      </c>
      <c r="AL268">
        <v>7</v>
      </c>
      <c r="AM268">
        <v>15</v>
      </c>
      <c r="AN268">
        <v>0</v>
      </c>
      <c r="AO268">
        <v>24</v>
      </c>
      <c r="AP268">
        <v>12</v>
      </c>
      <c r="AQ268">
        <v>20</v>
      </c>
      <c r="AR268">
        <v>3</v>
      </c>
      <c r="AS268">
        <v>0</v>
      </c>
      <c r="AT268">
        <v>1</v>
      </c>
    </row>
    <row r="269" spans="1:46">
      <c r="A269">
        <v>5278</v>
      </c>
      <c r="B269" t="s">
        <v>2134</v>
      </c>
      <c r="C269" t="s">
        <v>2135</v>
      </c>
      <c r="D269" t="s">
        <v>2136</v>
      </c>
      <c r="E269" t="s">
        <v>2137</v>
      </c>
      <c r="F269" t="s">
        <v>2138</v>
      </c>
      <c r="G269" t="s">
        <v>2119</v>
      </c>
      <c r="H269" t="s">
        <v>517</v>
      </c>
      <c r="I269" t="s">
        <v>856</v>
      </c>
      <c r="J269" t="s">
        <v>518</v>
      </c>
      <c r="K269" t="s">
        <v>519</v>
      </c>
      <c r="M269" t="s">
        <v>1297</v>
      </c>
      <c r="N269" t="s">
        <v>571</v>
      </c>
      <c r="O269" t="s">
        <v>2131</v>
      </c>
      <c r="P269" t="s">
        <v>584</v>
      </c>
      <c r="Q269" t="s">
        <v>2118</v>
      </c>
      <c r="R269" t="s">
        <v>2084</v>
      </c>
      <c r="S269" t="s">
        <v>2119</v>
      </c>
      <c r="T269" t="s">
        <v>2085</v>
      </c>
      <c r="U269">
        <v>214000</v>
      </c>
      <c r="V269" t="s">
        <v>2139</v>
      </c>
      <c r="W269" t="s">
        <v>2140</v>
      </c>
      <c r="X269" t="s">
        <v>2120</v>
      </c>
      <c r="Y269" t="s">
        <v>2121</v>
      </c>
      <c r="Z269" t="s">
        <v>2122</v>
      </c>
      <c r="AA269" t="s">
        <v>2123</v>
      </c>
      <c r="AB269" t="s">
        <v>2124</v>
      </c>
      <c r="AC269">
        <v>99217</v>
      </c>
      <c r="AD269" t="s">
        <v>2141</v>
      </c>
      <c r="AE269">
        <v>-39.527740790000003</v>
      </c>
      <c r="AF269">
        <v>176.8576084</v>
      </c>
      <c r="AG269">
        <v>45</v>
      </c>
      <c r="AH269">
        <v>0</v>
      </c>
      <c r="AI269">
        <v>0</v>
      </c>
      <c r="AJ269">
        <v>0</v>
      </c>
      <c r="AK269">
        <v>6</v>
      </c>
      <c r="AL269">
        <v>25</v>
      </c>
      <c r="AM269">
        <v>17</v>
      </c>
      <c r="AN269">
        <v>1</v>
      </c>
      <c r="AO269">
        <v>49</v>
      </c>
      <c r="AP269">
        <v>45</v>
      </c>
      <c r="AQ269">
        <v>10</v>
      </c>
      <c r="AR269">
        <v>4</v>
      </c>
      <c r="AS269">
        <v>3</v>
      </c>
      <c r="AT269">
        <v>1</v>
      </c>
    </row>
    <row r="270" spans="1:46">
      <c r="A270">
        <v>5279</v>
      </c>
      <c r="B270" t="s">
        <v>2142</v>
      </c>
      <c r="C270" t="s">
        <v>2143</v>
      </c>
      <c r="D270" t="s">
        <v>2144</v>
      </c>
      <c r="E270" t="s">
        <v>2145</v>
      </c>
      <c r="F270" t="s">
        <v>2122</v>
      </c>
      <c r="G270" t="s">
        <v>2119</v>
      </c>
      <c r="H270" t="s">
        <v>517</v>
      </c>
      <c r="I270" t="s">
        <v>856</v>
      </c>
      <c r="J270" t="s">
        <v>518</v>
      </c>
      <c r="K270" t="s">
        <v>519</v>
      </c>
      <c r="M270" t="s">
        <v>1297</v>
      </c>
      <c r="N270" t="s">
        <v>557</v>
      </c>
      <c r="O270" t="s">
        <v>2131</v>
      </c>
      <c r="P270" t="s">
        <v>584</v>
      </c>
      <c r="Q270" t="s">
        <v>2118</v>
      </c>
      <c r="R270" t="s">
        <v>2084</v>
      </c>
      <c r="S270" t="s">
        <v>2119</v>
      </c>
      <c r="T270" t="s">
        <v>2085</v>
      </c>
      <c r="U270">
        <v>215000</v>
      </c>
      <c r="V270" t="s">
        <v>2146</v>
      </c>
      <c r="W270" t="s">
        <v>2132</v>
      </c>
      <c r="X270" t="s">
        <v>2120</v>
      </c>
      <c r="Y270" t="s">
        <v>2121</v>
      </c>
      <c r="Z270" t="s">
        <v>2122</v>
      </c>
      <c r="AA270" t="s">
        <v>2123</v>
      </c>
      <c r="AB270" t="s">
        <v>2124</v>
      </c>
      <c r="AC270">
        <v>99003</v>
      </c>
      <c r="AD270" t="s">
        <v>2147</v>
      </c>
      <c r="AE270">
        <v>-39.50064441</v>
      </c>
      <c r="AF270">
        <v>176.90366186</v>
      </c>
      <c r="AG270">
        <v>46</v>
      </c>
      <c r="AH270">
        <v>0</v>
      </c>
      <c r="AI270">
        <v>0</v>
      </c>
      <c r="AJ270">
        <v>0</v>
      </c>
      <c r="AK270">
        <v>6</v>
      </c>
      <c r="AL270">
        <v>18</v>
      </c>
      <c r="AM270">
        <v>17</v>
      </c>
      <c r="AN270">
        <v>1</v>
      </c>
      <c r="AO270">
        <v>42</v>
      </c>
      <c r="AP270">
        <v>32</v>
      </c>
      <c r="AQ270">
        <v>14</v>
      </c>
      <c r="AR270">
        <v>3</v>
      </c>
      <c r="AS270">
        <v>10</v>
      </c>
      <c r="AT270">
        <v>0</v>
      </c>
    </row>
    <row r="271" spans="1:46">
      <c r="A271">
        <v>5280</v>
      </c>
      <c r="B271" t="s">
        <v>2148</v>
      </c>
      <c r="C271" t="s">
        <v>2149</v>
      </c>
      <c r="D271" t="s">
        <v>2150</v>
      </c>
      <c r="E271" t="s">
        <v>2151</v>
      </c>
      <c r="F271" t="s">
        <v>2130</v>
      </c>
      <c r="G271" t="s">
        <v>2119</v>
      </c>
      <c r="H271" t="s">
        <v>517</v>
      </c>
      <c r="I271" t="s">
        <v>856</v>
      </c>
      <c r="J271" t="s">
        <v>518</v>
      </c>
      <c r="K271" t="s">
        <v>519</v>
      </c>
      <c r="M271" t="s">
        <v>1297</v>
      </c>
      <c r="N271" t="s">
        <v>727</v>
      </c>
      <c r="O271" t="s">
        <v>2131</v>
      </c>
      <c r="P271" t="s">
        <v>584</v>
      </c>
      <c r="Q271" t="s">
        <v>2118</v>
      </c>
      <c r="R271" t="s">
        <v>2084</v>
      </c>
      <c r="S271" t="s">
        <v>2119</v>
      </c>
      <c r="T271" t="s">
        <v>2085</v>
      </c>
      <c r="U271">
        <v>215300</v>
      </c>
      <c r="V271" t="s">
        <v>2130</v>
      </c>
      <c r="W271" t="s">
        <v>2132</v>
      </c>
      <c r="X271" t="s">
        <v>2120</v>
      </c>
      <c r="Y271" t="s">
        <v>2121</v>
      </c>
      <c r="Z271" t="s">
        <v>2122</v>
      </c>
      <c r="AA271" t="s">
        <v>2123</v>
      </c>
      <c r="AB271" t="s">
        <v>2124</v>
      </c>
      <c r="AE271">
        <v>-39.51299495</v>
      </c>
      <c r="AF271">
        <v>176.90620933</v>
      </c>
      <c r="AG271">
        <v>43</v>
      </c>
      <c r="AH271">
        <v>0</v>
      </c>
      <c r="AI271">
        <v>0</v>
      </c>
      <c r="AJ271">
        <v>0</v>
      </c>
      <c r="AK271">
        <v>5</v>
      </c>
      <c r="AL271">
        <v>4</v>
      </c>
      <c r="AM271">
        <v>11</v>
      </c>
      <c r="AN271">
        <v>0</v>
      </c>
      <c r="AO271">
        <v>20</v>
      </c>
      <c r="AP271">
        <v>7</v>
      </c>
      <c r="AQ271">
        <v>17</v>
      </c>
      <c r="AR271">
        <v>2</v>
      </c>
      <c r="AS271">
        <v>0</v>
      </c>
      <c r="AT271">
        <v>1</v>
      </c>
    </row>
    <row r="272" spans="1:46">
      <c r="A272">
        <v>5281</v>
      </c>
      <c r="B272" t="s">
        <v>2152</v>
      </c>
      <c r="C272" t="s">
        <v>2153</v>
      </c>
      <c r="D272" t="s">
        <v>2154</v>
      </c>
      <c r="E272" t="s">
        <v>2155</v>
      </c>
      <c r="F272" t="s">
        <v>2156</v>
      </c>
      <c r="G272" t="s">
        <v>2119</v>
      </c>
      <c r="H272" t="s">
        <v>517</v>
      </c>
      <c r="I272" t="s">
        <v>856</v>
      </c>
      <c r="J272" t="s">
        <v>518</v>
      </c>
      <c r="K272" t="s">
        <v>519</v>
      </c>
      <c r="M272" t="s">
        <v>1297</v>
      </c>
      <c r="N272" t="s">
        <v>727</v>
      </c>
      <c r="O272" t="s">
        <v>2131</v>
      </c>
      <c r="P272" t="s">
        <v>584</v>
      </c>
      <c r="Q272" t="s">
        <v>2118</v>
      </c>
      <c r="R272" t="s">
        <v>2084</v>
      </c>
      <c r="S272" t="s">
        <v>2119</v>
      </c>
      <c r="T272" t="s">
        <v>2085</v>
      </c>
      <c r="U272">
        <v>214800</v>
      </c>
      <c r="V272" t="s">
        <v>2157</v>
      </c>
      <c r="W272" t="s">
        <v>2132</v>
      </c>
      <c r="X272" t="s">
        <v>2120</v>
      </c>
      <c r="Y272" t="s">
        <v>2121</v>
      </c>
      <c r="Z272" t="s">
        <v>2122</v>
      </c>
      <c r="AA272" t="s">
        <v>2123</v>
      </c>
      <c r="AB272" t="s">
        <v>2124</v>
      </c>
      <c r="AE272">
        <v>-39.512330589999998</v>
      </c>
      <c r="AF272">
        <v>176.89687520000001</v>
      </c>
      <c r="AG272">
        <v>41</v>
      </c>
      <c r="AH272">
        <v>0</v>
      </c>
      <c r="AI272">
        <v>0</v>
      </c>
      <c r="AJ272">
        <v>0</v>
      </c>
      <c r="AK272">
        <v>3</v>
      </c>
      <c r="AL272">
        <v>8</v>
      </c>
      <c r="AM272">
        <v>9</v>
      </c>
      <c r="AN272">
        <v>1</v>
      </c>
      <c r="AO272">
        <v>21</v>
      </c>
      <c r="AP272">
        <v>8</v>
      </c>
      <c r="AQ272">
        <v>18</v>
      </c>
      <c r="AR272">
        <v>3</v>
      </c>
      <c r="AS272">
        <v>1</v>
      </c>
      <c r="AT272">
        <v>1</v>
      </c>
    </row>
    <row r="273" spans="1:46">
      <c r="A273">
        <v>5282</v>
      </c>
      <c r="B273" t="s">
        <v>2158</v>
      </c>
      <c r="C273" t="s">
        <v>2159</v>
      </c>
      <c r="D273" t="s">
        <v>2160</v>
      </c>
      <c r="E273" t="s">
        <v>2161</v>
      </c>
      <c r="F273" t="s">
        <v>2156</v>
      </c>
      <c r="G273" t="s">
        <v>2119</v>
      </c>
      <c r="H273" t="s">
        <v>517</v>
      </c>
      <c r="I273" t="s">
        <v>856</v>
      </c>
      <c r="J273" t="s">
        <v>518</v>
      </c>
      <c r="K273" t="s">
        <v>519</v>
      </c>
      <c r="M273" t="s">
        <v>1297</v>
      </c>
      <c r="N273" t="s">
        <v>557</v>
      </c>
      <c r="O273" t="s">
        <v>2131</v>
      </c>
      <c r="P273" t="s">
        <v>584</v>
      </c>
      <c r="Q273" t="s">
        <v>2118</v>
      </c>
      <c r="R273" t="s">
        <v>2084</v>
      </c>
      <c r="S273" t="s">
        <v>2119</v>
      </c>
      <c r="T273" t="s">
        <v>2085</v>
      </c>
      <c r="U273">
        <v>214100</v>
      </c>
      <c r="V273" t="s">
        <v>2162</v>
      </c>
      <c r="W273" t="s">
        <v>2163</v>
      </c>
      <c r="X273" t="s">
        <v>2120</v>
      </c>
      <c r="Y273" t="s">
        <v>2121</v>
      </c>
      <c r="Z273" t="s">
        <v>2122</v>
      </c>
      <c r="AA273" t="s">
        <v>2123</v>
      </c>
      <c r="AB273" t="s">
        <v>2124</v>
      </c>
      <c r="AC273">
        <v>99021</v>
      </c>
      <c r="AD273" t="s">
        <v>2164</v>
      </c>
      <c r="AE273">
        <v>-39.507940410000003</v>
      </c>
      <c r="AF273">
        <v>176.88768820000001</v>
      </c>
      <c r="AG273">
        <v>44</v>
      </c>
      <c r="AH273">
        <v>0</v>
      </c>
      <c r="AI273">
        <v>0</v>
      </c>
      <c r="AJ273">
        <v>0</v>
      </c>
      <c r="AK273">
        <v>7</v>
      </c>
      <c r="AL273">
        <v>18</v>
      </c>
      <c r="AM273">
        <v>19</v>
      </c>
      <c r="AN273">
        <v>1</v>
      </c>
      <c r="AO273">
        <v>45</v>
      </c>
      <c r="AP273">
        <v>30</v>
      </c>
      <c r="AQ273">
        <v>10</v>
      </c>
      <c r="AR273">
        <v>2</v>
      </c>
      <c r="AS273">
        <v>9</v>
      </c>
      <c r="AT273">
        <v>2</v>
      </c>
    </row>
    <row r="274" spans="1:46">
      <c r="A274">
        <v>5283</v>
      </c>
      <c r="B274" t="s">
        <v>2165</v>
      </c>
      <c r="C274" t="s">
        <v>2166</v>
      </c>
      <c r="D274" t="s">
        <v>2167</v>
      </c>
      <c r="E274" t="s">
        <v>2168</v>
      </c>
      <c r="F274" t="s">
        <v>2169</v>
      </c>
      <c r="G274" t="s">
        <v>2119</v>
      </c>
      <c r="H274" t="s">
        <v>517</v>
      </c>
      <c r="J274" t="s">
        <v>518</v>
      </c>
      <c r="K274" t="s">
        <v>519</v>
      </c>
      <c r="M274" t="s">
        <v>1297</v>
      </c>
      <c r="N274" t="s">
        <v>557</v>
      </c>
      <c r="O274" t="s">
        <v>2131</v>
      </c>
      <c r="P274" t="s">
        <v>584</v>
      </c>
      <c r="Q274" t="s">
        <v>2118</v>
      </c>
      <c r="R274" t="s">
        <v>2084</v>
      </c>
      <c r="S274" t="s">
        <v>2119</v>
      </c>
      <c r="T274" t="s">
        <v>2085</v>
      </c>
      <c r="U274">
        <v>214700</v>
      </c>
      <c r="V274" t="s">
        <v>2170</v>
      </c>
      <c r="W274" t="s">
        <v>2132</v>
      </c>
      <c r="X274" t="s">
        <v>2120</v>
      </c>
      <c r="Y274" t="s">
        <v>2121</v>
      </c>
      <c r="Z274" t="s">
        <v>2122</v>
      </c>
      <c r="AA274" t="s">
        <v>2123</v>
      </c>
      <c r="AB274" t="s">
        <v>2124</v>
      </c>
      <c r="AC274">
        <v>99217</v>
      </c>
      <c r="AD274" t="s">
        <v>2141</v>
      </c>
      <c r="AE274">
        <v>-39.518250649999999</v>
      </c>
      <c r="AF274">
        <v>176.88272788</v>
      </c>
      <c r="AG274">
        <v>44</v>
      </c>
      <c r="AH274">
        <v>0</v>
      </c>
      <c r="AI274">
        <v>0</v>
      </c>
      <c r="AJ274">
        <v>0</v>
      </c>
      <c r="AK274">
        <v>10</v>
      </c>
      <c r="AL274">
        <v>14</v>
      </c>
      <c r="AM274">
        <v>14</v>
      </c>
      <c r="AN274">
        <v>1</v>
      </c>
      <c r="AO274">
        <v>39</v>
      </c>
      <c r="AP274">
        <v>30</v>
      </c>
      <c r="AQ274">
        <v>13</v>
      </c>
      <c r="AR274">
        <v>0</v>
      </c>
      <c r="AS274">
        <v>3</v>
      </c>
      <c r="AT274">
        <v>0</v>
      </c>
    </row>
    <row r="275" spans="1:46">
      <c r="A275">
        <v>5284</v>
      </c>
      <c r="B275" t="s">
        <v>2171</v>
      </c>
      <c r="C275" t="s">
        <v>2172</v>
      </c>
      <c r="D275" t="s">
        <v>2173</v>
      </c>
      <c r="E275" t="s">
        <v>2174</v>
      </c>
      <c r="F275" t="s">
        <v>2175</v>
      </c>
      <c r="G275" t="s">
        <v>2119</v>
      </c>
      <c r="H275" t="s">
        <v>517</v>
      </c>
      <c r="J275" t="s">
        <v>518</v>
      </c>
      <c r="K275" t="s">
        <v>519</v>
      </c>
      <c r="M275" t="s">
        <v>1297</v>
      </c>
      <c r="N275" t="s">
        <v>571</v>
      </c>
      <c r="O275" t="s">
        <v>2131</v>
      </c>
      <c r="P275" t="s">
        <v>584</v>
      </c>
      <c r="Q275" t="s">
        <v>2118</v>
      </c>
      <c r="R275" t="s">
        <v>2084</v>
      </c>
      <c r="S275" t="s">
        <v>2119</v>
      </c>
      <c r="T275" t="s">
        <v>2085</v>
      </c>
      <c r="U275">
        <v>214900</v>
      </c>
      <c r="V275" t="s">
        <v>2176</v>
      </c>
      <c r="W275" t="s">
        <v>2140</v>
      </c>
      <c r="X275" t="s">
        <v>2120</v>
      </c>
      <c r="Y275" t="s">
        <v>2121</v>
      </c>
      <c r="Z275" t="s">
        <v>2122</v>
      </c>
      <c r="AA275" t="s">
        <v>2123</v>
      </c>
      <c r="AB275" t="s">
        <v>2124</v>
      </c>
      <c r="AC275">
        <v>99217</v>
      </c>
      <c r="AD275" t="s">
        <v>2141</v>
      </c>
      <c r="AE275">
        <v>-39.543295030000003</v>
      </c>
      <c r="AF275">
        <v>176.85026264000001</v>
      </c>
      <c r="AG275">
        <v>40</v>
      </c>
      <c r="AH275">
        <v>0</v>
      </c>
      <c r="AI275">
        <v>0</v>
      </c>
      <c r="AJ275">
        <v>0</v>
      </c>
      <c r="AK275">
        <v>7</v>
      </c>
      <c r="AL275">
        <v>13</v>
      </c>
      <c r="AM275">
        <v>20</v>
      </c>
      <c r="AN275">
        <v>2</v>
      </c>
      <c r="AO275">
        <v>42</v>
      </c>
      <c r="AP275">
        <v>22</v>
      </c>
      <c r="AQ275">
        <v>13</v>
      </c>
      <c r="AR275">
        <v>2</v>
      </c>
      <c r="AS275">
        <v>10</v>
      </c>
      <c r="AT275">
        <v>3</v>
      </c>
    </row>
    <row r="276" spans="1:46">
      <c r="A276">
        <v>5285</v>
      </c>
      <c r="B276" t="s">
        <v>2177</v>
      </c>
      <c r="C276" t="s">
        <v>2178</v>
      </c>
      <c r="D276" t="s">
        <v>2179</v>
      </c>
      <c r="E276" t="s">
        <v>2180</v>
      </c>
      <c r="F276" t="s">
        <v>2181</v>
      </c>
      <c r="G276" t="s">
        <v>2119</v>
      </c>
      <c r="H276" t="s">
        <v>517</v>
      </c>
      <c r="I276" t="s">
        <v>856</v>
      </c>
      <c r="J276" t="s">
        <v>518</v>
      </c>
      <c r="K276" t="s">
        <v>519</v>
      </c>
      <c r="M276" t="s">
        <v>1297</v>
      </c>
      <c r="N276" t="s">
        <v>571</v>
      </c>
      <c r="O276" t="s">
        <v>2131</v>
      </c>
      <c r="P276" t="s">
        <v>584</v>
      </c>
      <c r="Q276" t="s">
        <v>2118</v>
      </c>
      <c r="R276" t="s">
        <v>2084</v>
      </c>
      <c r="S276" t="s">
        <v>2119</v>
      </c>
      <c r="T276" t="s">
        <v>2085</v>
      </c>
      <c r="U276">
        <v>213500</v>
      </c>
      <c r="V276" t="s">
        <v>2182</v>
      </c>
      <c r="W276" t="s">
        <v>2163</v>
      </c>
      <c r="X276" t="s">
        <v>2120</v>
      </c>
      <c r="Y276" t="s">
        <v>2121</v>
      </c>
      <c r="Z276" t="s">
        <v>2122</v>
      </c>
      <c r="AA276" t="s">
        <v>2123</v>
      </c>
      <c r="AB276" t="s">
        <v>2124</v>
      </c>
      <c r="AC276">
        <v>99021</v>
      </c>
      <c r="AD276" t="s">
        <v>2164</v>
      </c>
      <c r="AE276">
        <v>-39.509778089999998</v>
      </c>
      <c r="AF276">
        <v>176.86765389999999</v>
      </c>
      <c r="AG276">
        <v>46</v>
      </c>
      <c r="AH276">
        <v>0</v>
      </c>
      <c r="AI276">
        <v>0</v>
      </c>
      <c r="AJ276">
        <v>0</v>
      </c>
      <c r="AK276">
        <v>8</v>
      </c>
      <c r="AL276">
        <v>12</v>
      </c>
      <c r="AM276">
        <v>21</v>
      </c>
      <c r="AN276">
        <v>0</v>
      </c>
      <c r="AO276">
        <v>41</v>
      </c>
      <c r="AP276">
        <v>33</v>
      </c>
      <c r="AQ276">
        <v>16</v>
      </c>
      <c r="AR276">
        <v>1</v>
      </c>
      <c r="AS276">
        <v>10</v>
      </c>
      <c r="AT276">
        <v>1</v>
      </c>
    </row>
    <row r="277" spans="1:46">
      <c r="A277">
        <v>5286</v>
      </c>
      <c r="B277" t="s">
        <v>2183</v>
      </c>
      <c r="C277" t="s">
        <v>2184</v>
      </c>
      <c r="D277" t="s">
        <v>2185</v>
      </c>
      <c r="E277" t="s">
        <v>2186</v>
      </c>
      <c r="F277" t="s">
        <v>2175</v>
      </c>
      <c r="G277" t="s">
        <v>2119</v>
      </c>
      <c r="H277" t="s">
        <v>517</v>
      </c>
      <c r="J277" t="s">
        <v>518</v>
      </c>
      <c r="K277" t="s">
        <v>519</v>
      </c>
      <c r="M277" t="s">
        <v>1297</v>
      </c>
      <c r="N277" t="s">
        <v>571</v>
      </c>
      <c r="O277" t="s">
        <v>2131</v>
      </c>
      <c r="P277" t="s">
        <v>584</v>
      </c>
      <c r="Q277" t="s">
        <v>2118</v>
      </c>
      <c r="R277" t="s">
        <v>2084</v>
      </c>
      <c r="S277" t="s">
        <v>2119</v>
      </c>
      <c r="T277" t="s">
        <v>2085</v>
      </c>
      <c r="U277">
        <v>213700</v>
      </c>
      <c r="V277" t="s">
        <v>2187</v>
      </c>
      <c r="W277" t="s">
        <v>2140</v>
      </c>
      <c r="X277" t="s">
        <v>2120</v>
      </c>
      <c r="Y277" t="s">
        <v>2121</v>
      </c>
      <c r="Z277" t="s">
        <v>2122</v>
      </c>
      <c r="AA277" t="s">
        <v>2123</v>
      </c>
      <c r="AB277" t="s">
        <v>2124</v>
      </c>
      <c r="AC277">
        <v>99217</v>
      </c>
      <c r="AD277" t="s">
        <v>2141</v>
      </c>
      <c r="AE277">
        <v>-39.536074200000002</v>
      </c>
      <c r="AF277">
        <v>176.84513858</v>
      </c>
      <c r="AG277">
        <v>43</v>
      </c>
      <c r="AH277">
        <v>0</v>
      </c>
      <c r="AI277">
        <v>0</v>
      </c>
      <c r="AJ277">
        <v>0</v>
      </c>
      <c r="AK277">
        <v>1</v>
      </c>
      <c r="AL277">
        <v>22</v>
      </c>
      <c r="AM277">
        <v>32</v>
      </c>
      <c r="AN277">
        <v>2</v>
      </c>
      <c r="AO277">
        <v>57</v>
      </c>
      <c r="AP277">
        <v>45</v>
      </c>
      <c r="AQ277">
        <v>4</v>
      </c>
      <c r="AR277">
        <v>2</v>
      </c>
      <c r="AS277">
        <v>10</v>
      </c>
      <c r="AT277">
        <v>1</v>
      </c>
    </row>
    <row r="278" spans="1:46">
      <c r="A278">
        <v>5287</v>
      </c>
      <c r="B278" t="s">
        <v>2188</v>
      </c>
      <c r="C278" t="s">
        <v>2189</v>
      </c>
      <c r="D278" t="s">
        <v>2190</v>
      </c>
      <c r="E278" t="s">
        <v>2191</v>
      </c>
      <c r="F278" t="s">
        <v>2181</v>
      </c>
      <c r="G278" t="s">
        <v>2119</v>
      </c>
      <c r="H278" t="s">
        <v>517</v>
      </c>
      <c r="J278" t="s">
        <v>518</v>
      </c>
      <c r="K278" t="s">
        <v>519</v>
      </c>
      <c r="M278" t="s">
        <v>1297</v>
      </c>
      <c r="N278" t="s">
        <v>571</v>
      </c>
      <c r="O278" t="s">
        <v>2131</v>
      </c>
      <c r="P278" t="s">
        <v>584</v>
      </c>
      <c r="Q278" t="s">
        <v>2118</v>
      </c>
      <c r="R278" t="s">
        <v>2084</v>
      </c>
      <c r="S278" t="s">
        <v>2119</v>
      </c>
      <c r="T278" t="s">
        <v>2085</v>
      </c>
      <c r="U278">
        <v>213500</v>
      </c>
      <c r="V278" t="s">
        <v>2182</v>
      </c>
      <c r="W278" t="s">
        <v>2163</v>
      </c>
      <c r="X278" t="s">
        <v>2120</v>
      </c>
      <c r="Y278" t="s">
        <v>2121</v>
      </c>
      <c r="Z278" t="s">
        <v>2122</v>
      </c>
      <c r="AA278" t="s">
        <v>2123</v>
      </c>
      <c r="AB278" t="s">
        <v>2124</v>
      </c>
      <c r="AC278">
        <v>99021</v>
      </c>
      <c r="AD278" t="s">
        <v>2164</v>
      </c>
      <c r="AE278">
        <v>-39.510236829999997</v>
      </c>
      <c r="AF278">
        <v>176.86211109999999</v>
      </c>
      <c r="AG278">
        <v>41</v>
      </c>
      <c r="AH278">
        <v>0</v>
      </c>
      <c r="AI278">
        <v>0</v>
      </c>
      <c r="AJ278">
        <v>0</v>
      </c>
      <c r="AK278">
        <v>7</v>
      </c>
      <c r="AL278">
        <v>15</v>
      </c>
      <c r="AM278">
        <v>10</v>
      </c>
      <c r="AN278">
        <v>0</v>
      </c>
      <c r="AO278">
        <v>32</v>
      </c>
      <c r="AP278">
        <v>26</v>
      </c>
      <c r="AQ278">
        <v>9</v>
      </c>
      <c r="AR278">
        <v>0</v>
      </c>
      <c r="AS278">
        <v>0</v>
      </c>
      <c r="AT278">
        <v>2</v>
      </c>
    </row>
    <row r="279" spans="1:46">
      <c r="A279">
        <v>5288</v>
      </c>
      <c r="B279" t="s">
        <v>2192</v>
      </c>
      <c r="C279" t="s">
        <v>2193</v>
      </c>
      <c r="D279" t="s">
        <v>2194</v>
      </c>
      <c r="E279" t="s">
        <v>2195</v>
      </c>
      <c r="F279" t="s">
        <v>2196</v>
      </c>
      <c r="G279" t="s">
        <v>2197</v>
      </c>
      <c r="H279" t="s">
        <v>517</v>
      </c>
      <c r="J279" t="s">
        <v>518</v>
      </c>
      <c r="K279" t="s">
        <v>519</v>
      </c>
      <c r="M279" t="s">
        <v>1297</v>
      </c>
      <c r="N279" t="s">
        <v>727</v>
      </c>
      <c r="O279" t="s">
        <v>2198</v>
      </c>
      <c r="P279" t="s">
        <v>584</v>
      </c>
      <c r="Q279" t="s">
        <v>2118</v>
      </c>
      <c r="R279" t="s">
        <v>2084</v>
      </c>
      <c r="S279" t="s">
        <v>2199</v>
      </c>
      <c r="T279" t="s">
        <v>2085</v>
      </c>
      <c r="U279">
        <v>209500</v>
      </c>
      <c r="V279" t="s">
        <v>2196</v>
      </c>
      <c r="W279" t="s">
        <v>2200</v>
      </c>
      <c r="X279" t="s">
        <v>2201</v>
      </c>
      <c r="Y279" t="s">
        <v>2202</v>
      </c>
      <c r="Z279" t="s">
        <v>2203</v>
      </c>
      <c r="AA279" t="s">
        <v>2204</v>
      </c>
      <c r="AB279" t="s">
        <v>2205</v>
      </c>
      <c r="AC279">
        <v>99159</v>
      </c>
      <c r="AD279" t="s">
        <v>2206</v>
      </c>
      <c r="AE279">
        <v>-39.629278100000001</v>
      </c>
      <c r="AF279">
        <v>176.82124822</v>
      </c>
      <c r="AG279">
        <v>40</v>
      </c>
      <c r="AH279">
        <v>0</v>
      </c>
      <c r="AI279">
        <v>0</v>
      </c>
      <c r="AJ279">
        <v>0</v>
      </c>
      <c r="AK279">
        <v>8</v>
      </c>
      <c r="AL279">
        <v>15</v>
      </c>
      <c r="AM279">
        <v>9</v>
      </c>
      <c r="AN279">
        <v>1</v>
      </c>
      <c r="AO279">
        <v>33</v>
      </c>
      <c r="AP279">
        <v>3</v>
      </c>
      <c r="AQ279">
        <v>28</v>
      </c>
      <c r="AR279">
        <v>7</v>
      </c>
      <c r="AS279">
        <v>1</v>
      </c>
      <c r="AT279">
        <v>0</v>
      </c>
    </row>
    <row r="280" spans="1:46">
      <c r="A280">
        <v>5289</v>
      </c>
      <c r="B280" t="s">
        <v>2207</v>
      </c>
      <c r="C280" t="s">
        <v>2208</v>
      </c>
      <c r="E280" t="s">
        <v>2209</v>
      </c>
      <c r="G280" t="s">
        <v>2197</v>
      </c>
      <c r="H280" t="s">
        <v>517</v>
      </c>
      <c r="J280" t="s">
        <v>518</v>
      </c>
      <c r="K280" t="s">
        <v>519</v>
      </c>
      <c r="M280" t="s">
        <v>1297</v>
      </c>
      <c r="N280" t="s">
        <v>557</v>
      </c>
      <c r="O280" t="s">
        <v>2198</v>
      </c>
      <c r="P280" t="s">
        <v>584</v>
      </c>
      <c r="Q280" t="s">
        <v>2118</v>
      </c>
      <c r="R280" t="s">
        <v>2084</v>
      </c>
      <c r="S280" t="s">
        <v>2199</v>
      </c>
      <c r="T280" t="s">
        <v>2085</v>
      </c>
      <c r="U280">
        <v>210700</v>
      </c>
      <c r="V280" t="s">
        <v>2210</v>
      </c>
      <c r="W280" t="s">
        <v>2200</v>
      </c>
      <c r="X280" t="s">
        <v>2201</v>
      </c>
      <c r="Y280" t="s">
        <v>2202</v>
      </c>
      <c r="Z280" t="s">
        <v>2203</v>
      </c>
      <c r="AA280" t="s">
        <v>2204</v>
      </c>
      <c r="AB280" t="s">
        <v>2205</v>
      </c>
      <c r="AC280">
        <v>99158</v>
      </c>
      <c r="AD280" t="s">
        <v>2211</v>
      </c>
      <c r="AE280">
        <v>-39.647380650000002</v>
      </c>
      <c r="AF280">
        <v>176.84232861999999</v>
      </c>
      <c r="AG280">
        <v>40</v>
      </c>
      <c r="AH280">
        <v>0</v>
      </c>
      <c r="AI280">
        <v>0</v>
      </c>
      <c r="AJ280">
        <v>0</v>
      </c>
      <c r="AK280">
        <v>6</v>
      </c>
      <c r="AL280">
        <v>15</v>
      </c>
      <c r="AM280">
        <v>19</v>
      </c>
      <c r="AN280">
        <v>3</v>
      </c>
      <c r="AO280">
        <v>43</v>
      </c>
      <c r="AP280">
        <v>19</v>
      </c>
      <c r="AQ280">
        <v>15</v>
      </c>
      <c r="AR280">
        <v>5</v>
      </c>
      <c r="AS280">
        <v>12</v>
      </c>
      <c r="AT280">
        <v>4</v>
      </c>
    </row>
    <row r="281" spans="1:46">
      <c r="A281">
        <v>5290</v>
      </c>
      <c r="B281" t="s">
        <v>2212</v>
      </c>
      <c r="C281" t="s">
        <v>2213</v>
      </c>
      <c r="D281" t="s">
        <v>2214</v>
      </c>
      <c r="E281" t="s">
        <v>2215</v>
      </c>
      <c r="G281" t="s">
        <v>2216</v>
      </c>
      <c r="H281" t="s">
        <v>517</v>
      </c>
      <c r="J281" t="s">
        <v>518</v>
      </c>
      <c r="K281" t="s">
        <v>519</v>
      </c>
      <c r="M281" t="s">
        <v>1297</v>
      </c>
      <c r="N281" t="s">
        <v>571</v>
      </c>
      <c r="O281" t="s">
        <v>2198</v>
      </c>
      <c r="P281" t="s">
        <v>1262</v>
      </c>
      <c r="Q281" t="s">
        <v>2118</v>
      </c>
      <c r="R281" t="s">
        <v>2084</v>
      </c>
      <c r="S281" t="s">
        <v>2199</v>
      </c>
      <c r="T281" t="s">
        <v>2085</v>
      </c>
      <c r="U281">
        <v>211500</v>
      </c>
      <c r="V281" t="s">
        <v>2217</v>
      </c>
      <c r="W281" t="s">
        <v>2200</v>
      </c>
      <c r="X281" t="s">
        <v>2201</v>
      </c>
      <c r="Y281" t="s">
        <v>2202</v>
      </c>
      <c r="Z281" t="s">
        <v>2203</v>
      </c>
      <c r="AA281" t="s">
        <v>2204</v>
      </c>
      <c r="AB281" t="s">
        <v>2205</v>
      </c>
      <c r="AC281">
        <v>99022</v>
      </c>
      <c r="AD281" t="s">
        <v>2218</v>
      </c>
      <c r="AE281">
        <v>-39.667450610000003</v>
      </c>
      <c r="AF281">
        <v>176.88056215</v>
      </c>
      <c r="AG281">
        <v>40</v>
      </c>
      <c r="AH281">
        <v>0</v>
      </c>
      <c r="AI281">
        <v>0</v>
      </c>
      <c r="AJ281">
        <v>0</v>
      </c>
      <c r="AK281">
        <v>5</v>
      </c>
      <c r="AL281">
        <v>14</v>
      </c>
      <c r="AM281">
        <v>18</v>
      </c>
      <c r="AN281">
        <v>0</v>
      </c>
      <c r="AO281">
        <v>37</v>
      </c>
      <c r="AP281">
        <v>31</v>
      </c>
      <c r="AQ281">
        <v>4</v>
      </c>
      <c r="AR281">
        <v>2</v>
      </c>
      <c r="AS281">
        <v>3</v>
      </c>
      <c r="AT281">
        <v>3</v>
      </c>
    </row>
    <row r="282" spans="1:46">
      <c r="A282">
        <v>5291</v>
      </c>
      <c r="B282" t="s">
        <v>2219</v>
      </c>
      <c r="C282" t="s">
        <v>2220</v>
      </c>
      <c r="D282" t="s">
        <v>2221</v>
      </c>
      <c r="E282" t="s">
        <v>2222</v>
      </c>
      <c r="F282" t="s">
        <v>2223</v>
      </c>
      <c r="G282" t="s">
        <v>2197</v>
      </c>
      <c r="H282" t="s">
        <v>517</v>
      </c>
      <c r="J282" t="s">
        <v>518</v>
      </c>
      <c r="K282" t="s">
        <v>519</v>
      </c>
      <c r="M282" t="s">
        <v>1297</v>
      </c>
      <c r="N282" t="s">
        <v>727</v>
      </c>
      <c r="O282" t="s">
        <v>2198</v>
      </c>
      <c r="P282" t="s">
        <v>584</v>
      </c>
      <c r="Q282" t="s">
        <v>2118</v>
      </c>
      <c r="R282" t="s">
        <v>2084</v>
      </c>
      <c r="S282" t="s">
        <v>2199</v>
      </c>
      <c r="T282" t="s">
        <v>2085</v>
      </c>
      <c r="U282">
        <v>209000</v>
      </c>
      <c r="V282" t="s">
        <v>2224</v>
      </c>
      <c r="W282" t="s">
        <v>2225</v>
      </c>
      <c r="X282" t="s">
        <v>2201</v>
      </c>
      <c r="Y282" t="s">
        <v>2202</v>
      </c>
      <c r="Z282" t="s">
        <v>2203</v>
      </c>
      <c r="AA282" t="s">
        <v>2204</v>
      </c>
      <c r="AB282" t="s">
        <v>2205</v>
      </c>
      <c r="AC282">
        <v>99135</v>
      </c>
      <c r="AD282" t="s">
        <v>2226</v>
      </c>
      <c r="AE282">
        <v>-39.618884549999997</v>
      </c>
      <c r="AF282">
        <v>176.78815666</v>
      </c>
      <c r="AG282">
        <v>40</v>
      </c>
      <c r="AH282">
        <v>0</v>
      </c>
      <c r="AI282">
        <v>0</v>
      </c>
      <c r="AJ282">
        <v>0</v>
      </c>
      <c r="AK282">
        <v>10</v>
      </c>
      <c r="AL282">
        <v>11</v>
      </c>
      <c r="AM282">
        <v>20</v>
      </c>
      <c r="AN282">
        <v>3</v>
      </c>
      <c r="AO282">
        <v>44</v>
      </c>
      <c r="AP282">
        <v>8</v>
      </c>
      <c r="AQ282">
        <v>28</v>
      </c>
      <c r="AR282">
        <v>21</v>
      </c>
      <c r="AS282">
        <v>3</v>
      </c>
      <c r="AT282">
        <v>0</v>
      </c>
    </row>
    <row r="283" spans="1:46">
      <c r="A283">
        <v>5292</v>
      </c>
      <c r="B283" t="s">
        <v>2227</v>
      </c>
      <c r="C283" t="s">
        <v>2228</v>
      </c>
      <c r="D283" t="s">
        <v>2229</v>
      </c>
      <c r="E283" t="s">
        <v>2230</v>
      </c>
      <c r="F283" t="s">
        <v>2223</v>
      </c>
      <c r="G283" t="s">
        <v>2197</v>
      </c>
      <c r="H283" t="s">
        <v>517</v>
      </c>
      <c r="J283" t="s">
        <v>518</v>
      </c>
      <c r="K283" t="s">
        <v>519</v>
      </c>
      <c r="M283" t="s">
        <v>1297</v>
      </c>
      <c r="N283" t="s">
        <v>727</v>
      </c>
      <c r="O283" t="s">
        <v>2198</v>
      </c>
      <c r="P283" t="s">
        <v>584</v>
      </c>
      <c r="Q283" t="s">
        <v>2118</v>
      </c>
      <c r="R283" t="s">
        <v>2084</v>
      </c>
      <c r="S283" t="s">
        <v>2199</v>
      </c>
      <c r="T283" t="s">
        <v>2085</v>
      </c>
      <c r="U283">
        <v>209201</v>
      </c>
      <c r="V283" t="s">
        <v>2231</v>
      </c>
      <c r="W283" t="s">
        <v>2225</v>
      </c>
      <c r="X283" t="s">
        <v>2201</v>
      </c>
      <c r="Y283" t="s">
        <v>2202</v>
      </c>
      <c r="Z283" t="s">
        <v>2203</v>
      </c>
      <c r="AA283" t="s">
        <v>2204</v>
      </c>
      <c r="AB283" t="s">
        <v>2205</v>
      </c>
      <c r="AC283">
        <v>99135</v>
      </c>
      <c r="AD283" t="s">
        <v>2226</v>
      </c>
      <c r="AE283">
        <v>-39.628323909999999</v>
      </c>
      <c r="AF283">
        <v>176.79065069999999</v>
      </c>
      <c r="AG283">
        <v>40</v>
      </c>
      <c r="AH283">
        <v>0</v>
      </c>
      <c r="AI283">
        <v>0</v>
      </c>
      <c r="AJ283">
        <v>0</v>
      </c>
      <c r="AK283">
        <v>3</v>
      </c>
      <c r="AL283">
        <v>18</v>
      </c>
      <c r="AM283">
        <v>19</v>
      </c>
      <c r="AN283">
        <v>1</v>
      </c>
      <c r="AO283">
        <v>41</v>
      </c>
      <c r="AP283">
        <v>5</v>
      </c>
      <c r="AQ283">
        <v>33</v>
      </c>
      <c r="AR283">
        <v>16</v>
      </c>
      <c r="AS283">
        <v>0</v>
      </c>
      <c r="AT283">
        <v>0</v>
      </c>
    </row>
    <row r="284" spans="1:46">
      <c r="A284">
        <v>5293</v>
      </c>
      <c r="B284" t="s">
        <v>2232</v>
      </c>
      <c r="C284" t="s">
        <v>2233</v>
      </c>
      <c r="E284" t="s">
        <v>2234</v>
      </c>
      <c r="F284" t="s">
        <v>2223</v>
      </c>
      <c r="G284" t="s">
        <v>2197</v>
      </c>
      <c r="H284" t="s">
        <v>517</v>
      </c>
      <c r="J284" t="s">
        <v>518</v>
      </c>
      <c r="K284" t="s">
        <v>519</v>
      </c>
      <c r="M284" t="s">
        <v>1297</v>
      </c>
      <c r="N284" t="s">
        <v>727</v>
      </c>
      <c r="O284" t="s">
        <v>2198</v>
      </c>
      <c r="P284" t="s">
        <v>584</v>
      </c>
      <c r="Q284" t="s">
        <v>2118</v>
      </c>
      <c r="R284" t="s">
        <v>2084</v>
      </c>
      <c r="S284" t="s">
        <v>2199</v>
      </c>
      <c r="T284" t="s">
        <v>2085</v>
      </c>
      <c r="U284">
        <v>209100</v>
      </c>
      <c r="V284" t="s">
        <v>2235</v>
      </c>
      <c r="W284" t="s">
        <v>2225</v>
      </c>
      <c r="X284" t="s">
        <v>2201</v>
      </c>
      <c r="Y284" t="s">
        <v>2202</v>
      </c>
      <c r="Z284" t="s">
        <v>2203</v>
      </c>
      <c r="AA284" t="s">
        <v>2204</v>
      </c>
      <c r="AB284" t="s">
        <v>2205</v>
      </c>
      <c r="AC284">
        <v>99135</v>
      </c>
      <c r="AD284" t="s">
        <v>2226</v>
      </c>
      <c r="AE284">
        <v>-39.629024710000003</v>
      </c>
      <c r="AF284">
        <v>176.78359405</v>
      </c>
      <c r="AG284">
        <v>40</v>
      </c>
      <c r="AH284">
        <v>0</v>
      </c>
      <c r="AI284">
        <v>0</v>
      </c>
      <c r="AJ284">
        <v>0</v>
      </c>
      <c r="AK284">
        <v>7</v>
      </c>
      <c r="AL284">
        <v>10</v>
      </c>
      <c r="AM284">
        <v>18</v>
      </c>
      <c r="AN284">
        <v>1</v>
      </c>
      <c r="AO284">
        <v>36</v>
      </c>
      <c r="AP284">
        <v>13</v>
      </c>
      <c r="AQ284">
        <v>21</v>
      </c>
      <c r="AR284">
        <v>12</v>
      </c>
      <c r="AS284">
        <v>1</v>
      </c>
      <c r="AT284">
        <v>0</v>
      </c>
    </row>
    <row r="285" spans="1:46">
      <c r="A285">
        <v>5294</v>
      </c>
      <c r="B285" t="s">
        <v>2236</v>
      </c>
      <c r="C285" t="s">
        <v>2237</v>
      </c>
      <c r="E285" t="s">
        <v>2238</v>
      </c>
      <c r="G285" t="s">
        <v>2216</v>
      </c>
      <c r="H285" t="s">
        <v>517</v>
      </c>
      <c r="J285" t="s">
        <v>518</v>
      </c>
      <c r="K285" t="s">
        <v>519</v>
      </c>
      <c r="M285" t="s">
        <v>1297</v>
      </c>
      <c r="N285" t="s">
        <v>557</v>
      </c>
      <c r="O285" t="s">
        <v>2198</v>
      </c>
      <c r="P285" t="s">
        <v>1262</v>
      </c>
      <c r="Q285" t="s">
        <v>2118</v>
      </c>
      <c r="R285" t="s">
        <v>2084</v>
      </c>
      <c r="S285" t="s">
        <v>2199</v>
      </c>
      <c r="T285" t="s">
        <v>2085</v>
      </c>
      <c r="U285">
        <v>211401</v>
      </c>
      <c r="V285" t="s">
        <v>2239</v>
      </c>
      <c r="W285" t="s">
        <v>2200</v>
      </c>
      <c r="X285" t="s">
        <v>2201</v>
      </c>
      <c r="Y285" t="s">
        <v>2202</v>
      </c>
      <c r="Z285" t="s">
        <v>2203</v>
      </c>
      <c r="AA285" t="s">
        <v>2204</v>
      </c>
      <c r="AB285" t="s">
        <v>2205</v>
      </c>
      <c r="AC285">
        <v>99022</v>
      </c>
      <c r="AD285" t="s">
        <v>2218</v>
      </c>
      <c r="AE285">
        <v>-39.67137657</v>
      </c>
      <c r="AF285">
        <v>176.86634642999999</v>
      </c>
      <c r="AG285">
        <v>40</v>
      </c>
      <c r="AH285">
        <v>0</v>
      </c>
      <c r="AI285">
        <v>0</v>
      </c>
      <c r="AJ285">
        <v>0</v>
      </c>
      <c r="AK285">
        <v>9</v>
      </c>
      <c r="AL285">
        <v>23</v>
      </c>
      <c r="AM285">
        <v>14</v>
      </c>
      <c r="AN285">
        <v>0</v>
      </c>
      <c r="AO285">
        <v>46</v>
      </c>
      <c r="AP285">
        <v>37</v>
      </c>
      <c r="AQ285">
        <v>8</v>
      </c>
      <c r="AR285">
        <v>3</v>
      </c>
      <c r="AS285">
        <v>5</v>
      </c>
      <c r="AT285">
        <v>3</v>
      </c>
    </row>
    <row r="286" spans="1:46">
      <c r="A286">
        <v>5295</v>
      </c>
      <c r="B286" t="s">
        <v>2240</v>
      </c>
      <c r="C286" t="s">
        <v>2241</v>
      </c>
      <c r="D286" t="s">
        <v>2242</v>
      </c>
      <c r="E286" t="s">
        <v>2243</v>
      </c>
      <c r="F286" t="s">
        <v>2244</v>
      </c>
      <c r="G286" t="s">
        <v>2197</v>
      </c>
      <c r="H286" t="s">
        <v>517</v>
      </c>
      <c r="J286" t="s">
        <v>518</v>
      </c>
      <c r="K286" t="s">
        <v>519</v>
      </c>
      <c r="M286" t="s">
        <v>1297</v>
      </c>
      <c r="N286" t="s">
        <v>557</v>
      </c>
      <c r="O286" t="s">
        <v>2198</v>
      </c>
      <c r="P286" t="s">
        <v>584</v>
      </c>
      <c r="Q286" t="s">
        <v>2118</v>
      </c>
      <c r="R286" t="s">
        <v>2084</v>
      </c>
      <c r="S286" t="s">
        <v>2199</v>
      </c>
      <c r="T286" t="s">
        <v>2085</v>
      </c>
      <c r="U286">
        <v>209800</v>
      </c>
      <c r="V286" t="s">
        <v>2244</v>
      </c>
      <c r="W286" t="s">
        <v>2200</v>
      </c>
      <c r="X286" t="s">
        <v>2201</v>
      </c>
      <c r="Y286" t="s">
        <v>2202</v>
      </c>
      <c r="Z286" t="s">
        <v>2203</v>
      </c>
      <c r="AA286" t="s">
        <v>2204</v>
      </c>
      <c r="AB286" t="s">
        <v>2205</v>
      </c>
      <c r="AC286">
        <v>99159</v>
      </c>
      <c r="AD286" t="s">
        <v>2206</v>
      </c>
      <c r="AE286">
        <v>-39.627213910000002</v>
      </c>
      <c r="AF286">
        <v>176.84676535</v>
      </c>
      <c r="AG286">
        <v>40</v>
      </c>
      <c r="AH286">
        <v>0</v>
      </c>
      <c r="AI286">
        <v>0</v>
      </c>
      <c r="AJ286">
        <v>0</v>
      </c>
      <c r="AK286">
        <v>10</v>
      </c>
      <c r="AL286">
        <v>16</v>
      </c>
      <c r="AM286">
        <v>21</v>
      </c>
      <c r="AN286">
        <v>2</v>
      </c>
      <c r="AO286">
        <v>49</v>
      </c>
      <c r="AP286">
        <v>33</v>
      </c>
      <c r="AQ286">
        <v>17</v>
      </c>
      <c r="AR286">
        <v>4</v>
      </c>
      <c r="AS286">
        <v>11</v>
      </c>
      <c r="AT286">
        <v>2</v>
      </c>
    </row>
    <row r="287" spans="1:46">
      <c r="A287">
        <v>5296</v>
      </c>
      <c r="B287" t="s">
        <v>2245</v>
      </c>
      <c r="C287" t="s">
        <v>2246</v>
      </c>
      <c r="E287" t="s">
        <v>2247</v>
      </c>
      <c r="F287" t="s">
        <v>2203</v>
      </c>
      <c r="G287" t="s">
        <v>2197</v>
      </c>
      <c r="H287" t="s">
        <v>517</v>
      </c>
      <c r="J287" t="s">
        <v>518</v>
      </c>
      <c r="K287" t="s">
        <v>519</v>
      </c>
      <c r="M287" t="s">
        <v>1297</v>
      </c>
      <c r="N287" t="s">
        <v>521</v>
      </c>
      <c r="O287" t="s">
        <v>2198</v>
      </c>
      <c r="P287" t="s">
        <v>584</v>
      </c>
      <c r="Q287" t="s">
        <v>2118</v>
      </c>
      <c r="R287" t="s">
        <v>2084</v>
      </c>
      <c r="S287" t="s">
        <v>2199</v>
      </c>
      <c r="T287" t="s">
        <v>2085</v>
      </c>
      <c r="U287">
        <v>210900</v>
      </c>
      <c r="V287" t="s">
        <v>2203</v>
      </c>
      <c r="W287" t="s">
        <v>2200</v>
      </c>
      <c r="X287" t="s">
        <v>2201</v>
      </c>
      <c r="Y287" t="s">
        <v>2202</v>
      </c>
      <c r="Z287" t="s">
        <v>2203</v>
      </c>
      <c r="AA287" t="s">
        <v>2204</v>
      </c>
      <c r="AB287" t="s">
        <v>2205</v>
      </c>
      <c r="AE287">
        <v>-39.639305139999998</v>
      </c>
      <c r="AF287">
        <v>176.86518536</v>
      </c>
      <c r="AG287">
        <v>40</v>
      </c>
      <c r="AH287">
        <v>0</v>
      </c>
      <c r="AI287">
        <v>0</v>
      </c>
      <c r="AJ287">
        <v>0</v>
      </c>
      <c r="AK287">
        <v>10</v>
      </c>
      <c r="AL287">
        <v>8</v>
      </c>
      <c r="AM287">
        <v>13</v>
      </c>
      <c r="AN287">
        <v>1</v>
      </c>
      <c r="AO287">
        <v>32</v>
      </c>
      <c r="AP287">
        <v>11</v>
      </c>
      <c r="AQ287">
        <v>26</v>
      </c>
      <c r="AR287">
        <v>3</v>
      </c>
      <c r="AS287">
        <v>2</v>
      </c>
      <c r="AT287">
        <v>0</v>
      </c>
    </row>
    <row r="288" spans="1:46">
      <c r="A288">
        <v>5297</v>
      </c>
      <c r="B288" t="s">
        <v>2248</v>
      </c>
      <c r="C288" t="s">
        <v>2249</v>
      </c>
      <c r="D288" t="s">
        <v>2250</v>
      </c>
      <c r="E288" t="s">
        <v>2251</v>
      </c>
      <c r="F288" t="s">
        <v>2252</v>
      </c>
      <c r="G288" t="s">
        <v>2197</v>
      </c>
      <c r="H288" t="s">
        <v>517</v>
      </c>
      <c r="J288" t="s">
        <v>518</v>
      </c>
      <c r="K288" t="s">
        <v>519</v>
      </c>
      <c r="M288" t="s">
        <v>1297</v>
      </c>
      <c r="N288" t="s">
        <v>557</v>
      </c>
      <c r="O288" t="s">
        <v>2198</v>
      </c>
      <c r="P288" t="s">
        <v>584</v>
      </c>
      <c r="Q288" t="s">
        <v>2118</v>
      </c>
      <c r="R288" t="s">
        <v>2084</v>
      </c>
      <c r="S288" t="s">
        <v>2199</v>
      </c>
      <c r="T288" t="s">
        <v>2085</v>
      </c>
      <c r="U288">
        <v>211000</v>
      </c>
      <c r="V288" t="s">
        <v>2253</v>
      </c>
      <c r="W288" t="s">
        <v>2200</v>
      </c>
      <c r="X288" t="s">
        <v>2201</v>
      </c>
      <c r="Y288" t="s">
        <v>2202</v>
      </c>
      <c r="Z288" t="s">
        <v>2203</v>
      </c>
      <c r="AA288" t="s">
        <v>2204</v>
      </c>
      <c r="AB288" t="s">
        <v>2205</v>
      </c>
      <c r="AC288">
        <v>99158</v>
      </c>
      <c r="AD288" t="s">
        <v>2211</v>
      </c>
      <c r="AE288">
        <v>-39.651811960000003</v>
      </c>
      <c r="AF288">
        <v>176.85241306</v>
      </c>
      <c r="AG288">
        <v>40</v>
      </c>
      <c r="AH288">
        <v>0</v>
      </c>
      <c r="AI288">
        <v>0</v>
      </c>
      <c r="AJ288">
        <v>0</v>
      </c>
      <c r="AK288">
        <v>7</v>
      </c>
      <c r="AL288">
        <v>17</v>
      </c>
      <c r="AM288">
        <v>16</v>
      </c>
      <c r="AN288">
        <v>2</v>
      </c>
      <c r="AO288">
        <v>42</v>
      </c>
      <c r="AP288">
        <v>33</v>
      </c>
      <c r="AQ288">
        <v>9</v>
      </c>
      <c r="AR288">
        <v>6</v>
      </c>
      <c r="AS288">
        <v>5</v>
      </c>
      <c r="AT288">
        <v>2</v>
      </c>
    </row>
    <row r="289" spans="1:46">
      <c r="A289">
        <v>5298</v>
      </c>
      <c r="B289" t="s">
        <v>2254</v>
      </c>
      <c r="C289" t="s">
        <v>2255</v>
      </c>
      <c r="D289" t="s">
        <v>2256</v>
      </c>
      <c r="E289" t="s">
        <v>2257</v>
      </c>
      <c r="F289" t="s">
        <v>2258</v>
      </c>
      <c r="G289" t="s">
        <v>2197</v>
      </c>
      <c r="H289" t="s">
        <v>517</v>
      </c>
      <c r="J289" t="s">
        <v>518</v>
      </c>
      <c r="K289" t="s">
        <v>519</v>
      </c>
      <c r="M289" t="s">
        <v>1297</v>
      </c>
      <c r="N289" t="s">
        <v>521</v>
      </c>
      <c r="O289" t="s">
        <v>2198</v>
      </c>
      <c r="P289" t="s">
        <v>584</v>
      </c>
      <c r="Q289" t="s">
        <v>2118</v>
      </c>
      <c r="R289" t="s">
        <v>2084</v>
      </c>
      <c r="S289" t="s">
        <v>2199</v>
      </c>
      <c r="T289" t="s">
        <v>2085</v>
      </c>
      <c r="U289">
        <v>209901</v>
      </c>
      <c r="V289" t="s">
        <v>2258</v>
      </c>
      <c r="W289" t="s">
        <v>2200</v>
      </c>
      <c r="X289" t="s">
        <v>2201</v>
      </c>
      <c r="Y289" t="s">
        <v>2202</v>
      </c>
      <c r="Z289" t="s">
        <v>2203</v>
      </c>
      <c r="AA289" t="s">
        <v>2204</v>
      </c>
      <c r="AB289" t="s">
        <v>2205</v>
      </c>
      <c r="AC289">
        <v>99159</v>
      </c>
      <c r="AD289" t="s">
        <v>2206</v>
      </c>
      <c r="AE289">
        <v>-39.643225800000003</v>
      </c>
      <c r="AF289">
        <v>176.8253425</v>
      </c>
      <c r="AG289">
        <v>40</v>
      </c>
      <c r="AH289">
        <v>0</v>
      </c>
      <c r="AI289">
        <v>0</v>
      </c>
      <c r="AJ289">
        <v>0</v>
      </c>
      <c r="AK289">
        <v>15</v>
      </c>
      <c r="AL289">
        <v>17</v>
      </c>
      <c r="AM289">
        <v>12</v>
      </c>
      <c r="AN289">
        <v>1</v>
      </c>
      <c r="AO289">
        <v>45</v>
      </c>
      <c r="AP289">
        <v>28</v>
      </c>
      <c r="AQ289">
        <v>26</v>
      </c>
      <c r="AR289">
        <v>8</v>
      </c>
      <c r="AS289">
        <v>5</v>
      </c>
      <c r="AT289">
        <v>1</v>
      </c>
    </row>
    <row r="290" spans="1:46">
      <c r="A290">
        <v>5299</v>
      </c>
      <c r="B290" t="s">
        <v>2259</v>
      </c>
      <c r="C290" t="s">
        <v>2260</v>
      </c>
      <c r="D290" t="s">
        <v>2261</v>
      </c>
      <c r="E290" t="s">
        <v>2262</v>
      </c>
      <c r="G290" t="s">
        <v>2216</v>
      </c>
      <c r="H290" t="s">
        <v>517</v>
      </c>
      <c r="J290" t="s">
        <v>518</v>
      </c>
      <c r="K290" t="s">
        <v>519</v>
      </c>
      <c r="M290" t="s">
        <v>1297</v>
      </c>
      <c r="N290" t="s">
        <v>571</v>
      </c>
      <c r="O290" t="s">
        <v>2198</v>
      </c>
      <c r="P290" t="s">
        <v>1262</v>
      </c>
      <c r="Q290" t="s">
        <v>2118</v>
      </c>
      <c r="R290" t="s">
        <v>2084</v>
      </c>
      <c r="S290" t="s">
        <v>2199</v>
      </c>
      <c r="T290" t="s">
        <v>2085</v>
      </c>
      <c r="U290">
        <v>211500</v>
      </c>
      <c r="V290" t="s">
        <v>2217</v>
      </c>
      <c r="W290" t="s">
        <v>2200</v>
      </c>
      <c r="X290" t="s">
        <v>2201</v>
      </c>
      <c r="Y290" t="s">
        <v>2202</v>
      </c>
      <c r="Z290" t="s">
        <v>2203</v>
      </c>
      <c r="AA290" t="s">
        <v>2204</v>
      </c>
      <c r="AB290" t="s">
        <v>2205</v>
      </c>
      <c r="AC290">
        <v>99022</v>
      </c>
      <c r="AD290" t="s">
        <v>2218</v>
      </c>
      <c r="AE290">
        <v>-39.668233350000001</v>
      </c>
      <c r="AF290">
        <v>176.89773833000001</v>
      </c>
      <c r="AG290">
        <v>40</v>
      </c>
      <c r="AH290">
        <v>0</v>
      </c>
      <c r="AI290">
        <v>0</v>
      </c>
      <c r="AJ290">
        <v>0</v>
      </c>
      <c r="AK290">
        <v>0</v>
      </c>
      <c r="AL290">
        <v>15</v>
      </c>
      <c r="AM290">
        <v>24</v>
      </c>
      <c r="AN290">
        <v>0</v>
      </c>
      <c r="AO290">
        <v>39</v>
      </c>
      <c r="AP290">
        <v>39</v>
      </c>
      <c r="AQ290">
        <v>4</v>
      </c>
      <c r="AR290">
        <v>0</v>
      </c>
      <c r="AS290">
        <v>2</v>
      </c>
      <c r="AT290">
        <v>0</v>
      </c>
    </row>
    <row r="291" spans="1:46">
      <c r="A291">
        <v>5300</v>
      </c>
      <c r="B291" t="s">
        <v>2263</v>
      </c>
      <c r="C291" t="s">
        <v>2264</v>
      </c>
      <c r="D291" t="s">
        <v>2265</v>
      </c>
      <c r="E291" t="s">
        <v>2266</v>
      </c>
      <c r="G291" t="s">
        <v>2267</v>
      </c>
      <c r="H291" t="s">
        <v>517</v>
      </c>
      <c r="J291" t="s">
        <v>518</v>
      </c>
      <c r="K291" t="s">
        <v>519</v>
      </c>
      <c r="M291" t="s">
        <v>1297</v>
      </c>
      <c r="N291" t="s">
        <v>557</v>
      </c>
      <c r="O291" t="s">
        <v>2268</v>
      </c>
      <c r="P291" t="s">
        <v>523</v>
      </c>
      <c r="Q291" t="s">
        <v>2118</v>
      </c>
      <c r="R291" t="s">
        <v>2084</v>
      </c>
      <c r="S291" t="s">
        <v>2269</v>
      </c>
      <c r="T291" t="s">
        <v>2085</v>
      </c>
      <c r="U291">
        <v>215801</v>
      </c>
      <c r="V291" t="s">
        <v>2270</v>
      </c>
      <c r="W291" t="s">
        <v>2271</v>
      </c>
      <c r="X291" t="s">
        <v>2201</v>
      </c>
      <c r="Y291" t="s">
        <v>2202</v>
      </c>
      <c r="Z291" t="s">
        <v>2203</v>
      </c>
      <c r="AA291" t="s">
        <v>2204</v>
      </c>
      <c r="AB291" t="s">
        <v>2205</v>
      </c>
      <c r="AC291">
        <v>99160</v>
      </c>
      <c r="AD291" t="s">
        <v>2272</v>
      </c>
      <c r="AE291">
        <v>-39.996564450000001</v>
      </c>
      <c r="AF291">
        <v>176.55118557</v>
      </c>
      <c r="AG291">
        <v>40</v>
      </c>
      <c r="AH291">
        <v>0</v>
      </c>
      <c r="AI291">
        <v>0</v>
      </c>
      <c r="AJ291">
        <v>0</v>
      </c>
      <c r="AK291">
        <v>5</v>
      </c>
      <c r="AL291">
        <v>22</v>
      </c>
      <c r="AM291">
        <v>18</v>
      </c>
      <c r="AN291">
        <v>0</v>
      </c>
      <c r="AO291">
        <v>45</v>
      </c>
      <c r="AP291">
        <v>36</v>
      </c>
      <c r="AQ291">
        <v>16</v>
      </c>
      <c r="AR291">
        <v>1</v>
      </c>
      <c r="AS291">
        <v>0</v>
      </c>
      <c r="AT291">
        <v>4</v>
      </c>
    </row>
    <row r="292" spans="1:46">
      <c r="A292">
        <v>5301</v>
      </c>
      <c r="B292" t="s">
        <v>2273</v>
      </c>
      <c r="C292" t="s">
        <v>2274</v>
      </c>
      <c r="E292" t="s">
        <v>2275</v>
      </c>
      <c r="G292" t="s">
        <v>2267</v>
      </c>
      <c r="H292" t="s">
        <v>517</v>
      </c>
      <c r="J292" t="s">
        <v>518</v>
      </c>
      <c r="K292" t="s">
        <v>519</v>
      </c>
      <c r="M292" t="s">
        <v>1297</v>
      </c>
      <c r="N292" t="s">
        <v>539</v>
      </c>
      <c r="O292" t="s">
        <v>2268</v>
      </c>
      <c r="P292" t="s">
        <v>523</v>
      </c>
      <c r="Q292" t="s">
        <v>2118</v>
      </c>
      <c r="R292" t="s">
        <v>2084</v>
      </c>
      <c r="S292" t="s">
        <v>2269</v>
      </c>
      <c r="T292" t="s">
        <v>2085</v>
      </c>
      <c r="U292">
        <v>215801</v>
      </c>
      <c r="V292" t="s">
        <v>2270</v>
      </c>
      <c r="W292" t="s">
        <v>2271</v>
      </c>
      <c r="X292" t="s">
        <v>2201</v>
      </c>
      <c r="Y292" t="s">
        <v>2202</v>
      </c>
      <c r="Z292" t="s">
        <v>2203</v>
      </c>
      <c r="AA292" t="s">
        <v>2204</v>
      </c>
      <c r="AB292" t="s">
        <v>2205</v>
      </c>
      <c r="AC292">
        <v>99160</v>
      </c>
      <c r="AD292" t="s">
        <v>2272</v>
      </c>
      <c r="AE292">
        <v>-40.006774249999999</v>
      </c>
      <c r="AF292">
        <v>176.54525770000001</v>
      </c>
      <c r="AG292">
        <v>40</v>
      </c>
      <c r="AH292">
        <v>0</v>
      </c>
      <c r="AI292">
        <v>0</v>
      </c>
      <c r="AJ292">
        <v>0</v>
      </c>
      <c r="AK292">
        <v>12</v>
      </c>
      <c r="AL292">
        <v>17</v>
      </c>
      <c r="AM292">
        <v>25</v>
      </c>
      <c r="AN292">
        <v>2</v>
      </c>
      <c r="AO292">
        <v>56</v>
      </c>
      <c r="AP292">
        <v>48</v>
      </c>
      <c r="AQ292">
        <v>18</v>
      </c>
      <c r="AR292">
        <v>0</v>
      </c>
      <c r="AS292">
        <v>1</v>
      </c>
      <c r="AT292">
        <v>3</v>
      </c>
    </row>
    <row r="293" spans="1:46">
      <c r="A293">
        <v>5302</v>
      </c>
      <c r="B293" t="s">
        <v>2276</v>
      </c>
      <c r="C293" t="s">
        <v>2277</v>
      </c>
      <c r="E293" t="s">
        <v>2278</v>
      </c>
      <c r="G293" t="s">
        <v>2279</v>
      </c>
      <c r="H293" t="s">
        <v>517</v>
      </c>
      <c r="J293" t="s">
        <v>518</v>
      </c>
      <c r="K293" t="s">
        <v>519</v>
      </c>
      <c r="M293" t="s">
        <v>1297</v>
      </c>
      <c r="N293" t="s">
        <v>571</v>
      </c>
      <c r="O293" t="s">
        <v>2268</v>
      </c>
      <c r="P293" t="s">
        <v>523</v>
      </c>
      <c r="Q293" t="s">
        <v>2118</v>
      </c>
      <c r="R293" t="s">
        <v>2084</v>
      </c>
      <c r="S293" t="s">
        <v>2269</v>
      </c>
      <c r="T293" t="s">
        <v>2085</v>
      </c>
      <c r="U293">
        <v>215700</v>
      </c>
      <c r="V293" t="s">
        <v>2280</v>
      </c>
      <c r="W293" t="s">
        <v>2271</v>
      </c>
      <c r="X293" t="s">
        <v>2201</v>
      </c>
      <c r="Y293" t="s">
        <v>2202</v>
      </c>
      <c r="Z293" t="s">
        <v>2203</v>
      </c>
      <c r="AA293" t="s">
        <v>2204</v>
      </c>
      <c r="AB293" t="s">
        <v>2205</v>
      </c>
      <c r="AC293">
        <v>99161</v>
      </c>
      <c r="AD293" t="s">
        <v>2281</v>
      </c>
      <c r="AE293">
        <v>-39.941963149999999</v>
      </c>
      <c r="AF293">
        <v>176.58584067000001</v>
      </c>
      <c r="AG293">
        <v>40</v>
      </c>
      <c r="AH293">
        <v>0</v>
      </c>
      <c r="AI293">
        <v>0</v>
      </c>
      <c r="AJ293">
        <v>0</v>
      </c>
      <c r="AK293">
        <v>7</v>
      </c>
      <c r="AL293">
        <v>18</v>
      </c>
      <c r="AM293">
        <v>27</v>
      </c>
      <c r="AN293">
        <v>0</v>
      </c>
      <c r="AO293">
        <v>52</v>
      </c>
      <c r="AP293">
        <v>47</v>
      </c>
      <c r="AQ293">
        <v>14</v>
      </c>
      <c r="AR293">
        <v>4</v>
      </c>
      <c r="AS293">
        <v>1</v>
      </c>
      <c r="AT293">
        <v>0</v>
      </c>
    </row>
    <row r="294" spans="1:46">
      <c r="A294">
        <v>5303</v>
      </c>
      <c r="B294" t="s">
        <v>2282</v>
      </c>
      <c r="C294" t="s">
        <v>2283</v>
      </c>
      <c r="D294" t="s">
        <v>2284</v>
      </c>
      <c r="E294" t="s">
        <v>2285</v>
      </c>
      <c r="G294" t="s">
        <v>2286</v>
      </c>
      <c r="H294" t="s">
        <v>517</v>
      </c>
      <c r="J294" t="s">
        <v>518</v>
      </c>
      <c r="K294" t="s">
        <v>519</v>
      </c>
      <c r="M294" t="s">
        <v>2287</v>
      </c>
      <c r="N294" t="s">
        <v>557</v>
      </c>
      <c r="O294" t="s">
        <v>2288</v>
      </c>
      <c r="P294" t="s">
        <v>523</v>
      </c>
      <c r="Q294" t="s">
        <v>1636</v>
      </c>
      <c r="R294" t="s">
        <v>2289</v>
      </c>
      <c r="S294" t="s">
        <v>2269</v>
      </c>
      <c r="T294" t="s">
        <v>2085</v>
      </c>
      <c r="U294">
        <v>233200</v>
      </c>
      <c r="V294" t="s">
        <v>2290</v>
      </c>
      <c r="W294" t="s">
        <v>2291</v>
      </c>
      <c r="X294" t="s">
        <v>2292</v>
      </c>
      <c r="Y294" t="s">
        <v>2293</v>
      </c>
      <c r="Z294" t="s">
        <v>2286</v>
      </c>
      <c r="AA294" t="s">
        <v>2294</v>
      </c>
      <c r="AB294" t="s">
        <v>2295</v>
      </c>
      <c r="AC294">
        <v>99047</v>
      </c>
      <c r="AD294" t="s">
        <v>2296</v>
      </c>
      <c r="AE294">
        <v>-40.193246549999998</v>
      </c>
      <c r="AF294">
        <v>176.10302490999999</v>
      </c>
      <c r="AG294">
        <v>40</v>
      </c>
      <c r="AH294">
        <v>0</v>
      </c>
      <c r="AI294">
        <v>0</v>
      </c>
      <c r="AJ294">
        <v>0</v>
      </c>
      <c r="AK294">
        <v>5</v>
      </c>
      <c r="AL294">
        <v>20</v>
      </c>
      <c r="AM294">
        <v>15</v>
      </c>
      <c r="AN294">
        <v>2</v>
      </c>
      <c r="AO294">
        <v>42</v>
      </c>
      <c r="AP294">
        <v>37</v>
      </c>
      <c r="AQ294">
        <v>19</v>
      </c>
      <c r="AR294">
        <v>1</v>
      </c>
      <c r="AS294">
        <v>2</v>
      </c>
      <c r="AT294">
        <v>0</v>
      </c>
    </row>
    <row r="295" spans="1:46">
      <c r="A295">
        <v>5304</v>
      </c>
      <c r="B295" t="s">
        <v>2297</v>
      </c>
      <c r="C295" t="s">
        <v>2298</v>
      </c>
      <c r="D295" t="s">
        <v>2299</v>
      </c>
      <c r="E295" t="s">
        <v>2300</v>
      </c>
      <c r="G295" t="s">
        <v>2286</v>
      </c>
      <c r="H295" t="s">
        <v>517</v>
      </c>
      <c r="J295" t="s">
        <v>518</v>
      </c>
      <c r="K295" t="s">
        <v>519</v>
      </c>
      <c r="M295" t="s">
        <v>2287</v>
      </c>
      <c r="N295" t="s">
        <v>557</v>
      </c>
      <c r="O295" t="s">
        <v>2288</v>
      </c>
      <c r="P295" t="s">
        <v>523</v>
      </c>
      <c r="Q295" t="s">
        <v>1636</v>
      </c>
      <c r="R295" t="s">
        <v>2289</v>
      </c>
      <c r="S295" t="s">
        <v>2269</v>
      </c>
      <c r="T295" t="s">
        <v>2085</v>
      </c>
      <c r="U295">
        <v>233300</v>
      </c>
      <c r="V295" t="s">
        <v>2301</v>
      </c>
      <c r="W295" t="s">
        <v>2291</v>
      </c>
      <c r="X295" t="s">
        <v>2292</v>
      </c>
      <c r="Y295" t="s">
        <v>2293</v>
      </c>
      <c r="Z295" t="s">
        <v>2286</v>
      </c>
      <c r="AA295" t="s">
        <v>2294</v>
      </c>
      <c r="AB295" t="s">
        <v>2295</v>
      </c>
      <c r="AC295">
        <v>99047</v>
      </c>
      <c r="AD295" t="s">
        <v>2296</v>
      </c>
      <c r="AE295">
        <v>-40.204260959999999</v>
      </c>
      <c r="AF295">
        <v>176.10968825</v>
      </c>
      <c r="AG295">
        <v>40</v>
      </c>
      <c r="AH295">
        <v>0</v>
      </c>
      <c r="AI295">
        <v>0</v>
      </c>
      <c r="AJ295">
        <v>0</v>
      </c>
      <c r="AK295">
        <v>5</v>
      </c>
      <c r="AL295">
        <v>12</v>
      </c>
      <c r="AM295">
        <v>26</v>
      </c>
      <c r="AN295">
        <v>0</v>
      </c>
      <c r="AO295">
        <v>43</v>
      </c>
      <c r="AP295">
        <v>31</v>
      </c>
      <c r="AQ295">
        <v>20</v>
      </c>
      <c r="AR295">
        <v>4</v>
      </c>
      <c r="AS295">
        <v>1</v>
      </c>
      <c r="AT295">
        <v>1</v>
      </c>
    </row>
    <row r="296" spans="1:46">
      <c r="A296">
        <v>5305</v>
      </c>
      <c r="B296" t="s">
        <v>2302</v>
      </c>
      <c r="C296" t="s">
        <v>2303</v>
      </c>
      <c r="D296" t="s">
        <v>2304</v>
      </c>
      <c r="E296" t="s">
        <v>2305</v>
      </c>
      <c r="G296" t="s">
        <v>2306</v>
      </c>
      <c r="H296" t="s">
        <v>517</v>
      </c>
      <c r="J296" t="s">
        <v>518</v>
      </c>
      <c r="K296" t="s">
        <v>519</v>
      </c>
      <c r="M296" t="s">
        <v>1297</v>
      </c>
      <c r="N296" t="s">
        <v>571</v>
      </c>
      <c r="O296" t="s">
        <v>2288</v>
      </c>
      <c r="P296" t="s">
        <v>523</v>
      </c>
      <c r="Q296" t="s">
        <v>1636</v>
      </c>
      <c r="R296" t="s">
        <v>1760</v>
      </c>
      <c r="S296" t="s">
        <v>2269</v>
      </c>
      <c r="T296" t="s">
        <v>2085</v>
      </c>
      <c r="U296">
        <v>233600</v>
      </c>
      <c r="V296" t="s">
        <v>2306</v>
      </c>
      <c r="W296" t="s">
        <v>2307</v>
      </c>
      <c r="X296" t="s">
        <v>1958</v>
      </c>
      <c r="Y296" t="s">
        <v>1959</v>
      </c>
      <c r="AA296" t="s">
        <v>1960</v>
      </c>
      <c r="AB296" t="s">
        <v>1961</v>
      </c>
      <c r="AC296">
        <v>99071</v>
      </c>
      <c r="AD296" t="s">
        <v>2308</v>
      </c>
      <c r="AE296">
        <v>-40.451117080000003</v>
      </c>
      <c r="AF296">
        <v>175.84023081000001</v>
      </c>
      <c r="AG296">
        <v>30</v>
      </c>
      <c r="AH296">
        <v>0</v>
      </c>
      <c r="AI296">
        <v>0</v>
      </c>
      <c r="AJ296">
        <v>0</v>
      </c>
      <c r="AK296">
        <v>3</v>
      </c>
      <c r="AL296">
        <v>10</v>
      </c>
      <c r="AM296">
        <v>12</v>
      </c>
      <c r="AN296">
        <v>0</v>
      </c>
      <c r="AO296">
        <v>25</v>
      </c>
      <c r="AP296">
        <v>20</v>
      </c>
      <c r="AQ296">
        <v>10</v>
      </c>
      <c r="AR296">
        <v>1</v>
      </c>
      <c r="AS296">
        <v>0</v>
      </c>
      <c r="AT296">
        <v>1</v>
      </c>
    </row>
    <row r="297" spans="1:46">
      <c r="A297">
        <v>5306</v>
      </c>
      <c r="B297" t="s">
        <v>2309</v>
      </c>
      <c r="C297" t="s">
        <v>2310</v>
      </c>
      <c r="D297" t="s">
        <v>2311</v>
      </c>
      <c r="E297" t="s">
        <v>2312</v>
      </c>
      <c r="G297" t="s">
        <v>2306</v>
      </c>
      <c r="H297" t="s">
        <v>517</v>
      </c>
      <c r="J297" t="s">
        <v>518</v>
      </c>
      <c r="K297" t="s">
        <v>519</v>
      </c>
      <c r="M297" t="s">
        <v>1297</v>
      </c>
      <c r="N297" t="s">
        <v>557</v>
      </c>
      <c r="O297" t="s">
        <v>2288</v>
      </c>
      <c r="P297" t="s">
        <v>523</v>
      </c>
      <c r="Q297" t="s">
        <v>1636</v>
      </c>
      <c r="R297" t="s">
        <v>1760</v>
      </c>
      <c r="S297" t="s">
        <v>2269</v>
      </c>
      <c r="T297" t="s">
        <v>2085</v>
      </c>
      <c r="U297">
        <v>233600</v>
      </c>
      <c r="V297" t="s">
        <v>2306</v>
      </c>
      <c r="W297" t="s">
        <v>2307</v>
      </c>
      <c r="X297" t="s">
        <v>1958</v>
      </c>
      <c r="Y297" t="s">
        <v>1959</v>
      </c>
      <c r="AA297" t="s">
        <v>1960</v>
      </c>
      <c r="AB297" t="s">
        <v>1961</v>
      </c>
      <c r="AC297">
        <v>99071</v>
      </c>
      <c r="AD297" t="s">
        <v>2308</v>
      </c>
      <c r="AE297">
        <v>-40.452132939999998</v>
      </c>
      <c r="AF297">
        <v>175.8448875</v>
      </c>
      <c r="AG297">
        <v>50</v>
      </c>
      <c r="AH297">
        <v>18</v>
      </c>
      <c r="AI297">
        <v>0</v>
      </c>
      <c r="AJ297">
        <v>7</v>
      </c>
      <c r="AK297">
        <v>13</v>
      </c>
      <c r="AL297">
        <v>23</v>
      </c>
      <c r="AM297">
        <v>20</v>
      </c>
      <c r="AN297">
        <v>0</v>
      </c>
      <c r="AO297">
        <v>63</v>
      </c>
      <c r="AP297">
        <v>59</v>
      </c>
      <c r="AQ297">
        <v>18</v>
      </c>
      <c r="AR297">
        <v>0</v>
      </c>
      <c r="AS297">
        <v>5</v>
      </c>
      <c r="AT297">
        <v>2</v>
      </c>
    </row>
    <row r="298" spans="1:46">
      <c r="A298">
        <v>5307</v>
      </c>
      <c r="B298" t="s">
        <v>2313</v>
      </c>
      <c r="C298" t="s">
        <v>2314</v>
      </c>
      <c r="D298" t="s">
        <v>2315</v>
      </c>
      <c r="E298" t="s">
        <v>2316</v>
      </c>
      <c r="G298" t="s">
        <v>2317</v>
      </c>
      <c r="H298" t="s">
        <v>517</v>
      </c>
      <c r="J298" t="s">
        <v>518</v>
      </c>
      <c r="K298" t="s">
        <v>519</v>
      </c>
      <c r="M298" t="s">
        <v>2287</v>
      </c>
      <c r="N298" t="s">
        <v>571</v>
      </c>
      <c r="O298" t="s">
        <v>2318</v>
      </c>
      <c r="P298" t="s">
        <v>1262</v>
      </c>
      <c r="Q298" t="s">
        <v>2319</v>
      </c>
      <c r="R298" t="s">
        <v>2289</v>
      </c>
      <c r="S298" t="s">
        <v>2269</v>
      </c>
      <c r="T298" t="s">
        <v>2085</v>
      </c>
      <c r="U298">
        <v>256301</v>
      </c>
      <c r="V298" t="s">
        <v>2320</v>
      </c>
      <c r="W298" t="s">
        <v>2321</v>
      </c>
      <c r="X298" t="s">
        <v>1889</v>
      </c>
      <c r="Y298" t="s">
        <v>1890</v>
      </c>
      <c r="AA298" t="s">
        <v>1891</v>
      </c>
      <c r="AB298" t="s">
        <v>1892</v>
      </c>
      <c r="AC298">
        <v>99204</v>
      </c>
      <c r="AD298" t="s">
        <v>2322</v>
      </c>
      <c r="AE298">
        <v>-40.942684110000002</v>
      </c>
      <c r="AF298">
        <v>175.67556561999999</v>
      </c>
      <c r="AG298">
        <v>42</v>
      </c>
      <c r="AH298">
        <v>0</v>
      </c>
      <c r="AI298">
        <v>0</v>
      </c>
      <c r="AJ298">
        <v>0</v>
      </c>
      <c r="AK298">
        <v>1</v>
      </c>
      <c r="AL298">
        <v>15</v>
      </c>
      <c r="AM298">
        <v>24</v>
      </c>
      <c r="AN298">
        <v>3</v>
      </c>
      <c r="AO298">
        <v>43</v>
      </c>
      <c r="AP298">
        <v>34</v>
      </c>
      <c r="AQ298">
        <v>8</v>
      </c>
      <c r="AR298">
        <v>2</v>
      </c>
      <c r="AS298">
        <v>2</v>
      </c>
      <c r="AT298">
        <v>2</v>
      </c>
    </row>
    <row r="299" spans="1:46">
      <c r="A299">
        <v>5308</v>
      </c>
      <c r="B299" t="s">
        <v>2323</v>
      </c>
      <c r="C299" t="s">
        <v>2324</v>
      </c>
      <c r="D299" t="s">
        <v>2325</v>
      </c>
      <c r="E299" t="s">
        <v>2326</v>
      </c>
      <c r="G299" t="s">
        <v>2317</v>
      </c>
      <c r="H299" t="s">
        <v>517</v>
      </c>
      <c r="J299" t="s">
        <v>518</v>
      </c>
      <c r="K299" t="s">
        <v>519</v>
      </c>
      <c r="M299" t="s">
        <v>2287</v>
      </c>
      <c r="N299" t="s">
        <v>571</v>
      </c>
      <c r="O299" t="s">
        <v>2318</v>
      </c>
      <c r="P299" t="s">
        <v>1262</v>
      </c>
      <c r="Q299" t="s">
        <v>2319</v>
      </c>
      <c r="R299" t="s">
        <v>2289</v>
      </c>
      <c r="S299" t="s">
        <v>2269</v>
      </c>
      <c r="T299" t="s">
        <v>2085</v>
      </c>
      <c r="U299">
        <v>256100</v>
      </c>
      <c r="V299" t="s">
        <v>2327</v>
      </c>
      <c r="W299" t="s">
        <v>2321</v>
      </c>
      <c r="X299" t="s">
        <v>1889</v>
      </c>
      <c r="Y299" t="s">
        <v>1890</v>
      </c>
      <c r="AA299" t="s">
        <v>1891</v>
      </c>
      <c r="AB299" t="s">
        <v>1892</v>
      </c>
      <c r="AC299">
        <v>99204</v>
      </c>
      <c r="AD299" t="s">
        <v>2322</v>
      </c>
      <c r="AE299">
        <v>-40.946273740000002</v>
      </c>
      <c r="AF299">
        <v>175.64408405</v>
      </c>
      <c r="AG299">
        <v>42</v>
      </c>
      <c r="AH299">
        <v>0</v>
      </c>
      <c r="AI299">
        <v>0</v>
      </c>
      <c r="AJ299">
        <v>0</v>
      </c>
      <c r="AK299">
        <v>8</v>
      </c>
      <c r="AL299">
        <v>23</v>
      </c>
      <c r="AM299">
        <v>23</v>
      </c>
      <c r="AN299">
        <v>0</v>
      </c>
      <c r="AO299">
        <v>54</v>
      </c>
      <c r="AP299">
        <v>45</v>
      </c>
      <c r="AQ299">
        <v>14</v>
      </c>
      <c r="AR299">
        <v>0</v>
      </c>
      <c r="AS299">
        <v>7</v>
      </c>
      <c r="AT299">
        <v>0</v>
      </c>
    </row>
    <row r="300" spans="1:46">
      <c r="A300">
        <v>5309</v>
      </c>
      <c r="B300" t="s">
        <v>2328</v>
      </c>
      <c r="C300" t="s">
        <v>2329</v>
      </c>
      <c r="D300" t="s">
        <v>2330</v>
      </c>
      <c r="E300" t="s">
        <v>2331</v>
      </c>
      <c r="G300" t="s">
        <v>2332</v>
      </c>
      <c r="H300" t="s">
        <v>517</v>
      </c>
      <c r="J300" t="s">
        <v>518</v>
      </c>
      <c r="K300" t="s">
        <v>519</v>
      </c>
      <c r="M300" t="s">
        <v>2287</v>
      </c>
      <c r="N300" t="s">
        <v>539</v>
      </c>
      <c r="O300" t="s">
        <v>2333</v>
      </c>
      <c r="P300" t="s">
        <v>523</v>
      </c>
      <c r="Q300" t="s">
        <v>2319</v>
      </c>
      <c r="R300" t="s">
        <v>2289</v>
      </c>
      <c r="S300" t="s">
        <v>2269</v>
      </c>
      <c r="T300" t="s">
        <v>2085</v>
      </c>
      <c r="U300">
        <v>257500</v>
      </c>
      <c r="V300" t="s">
        <v>2332</v>
      </c>
      <c r="W300" t="s">
        <v>2334</v>
      </c>
      <c r="X300" t="s">
        <v>1889</v>
      </c>
      <c r="Y300" t="s">
        <v>1890</v>
      </c>
      <c r="AA300" t="s">
        <v>1891</v>
      </c>
      <c r="AB300" t="s">
        <v>1892</v>
      </c>
      <c r="AC300">
        <v>99109</v>
      </c>
      <c r="AD300" t="s">
        <v>2335</v>
      </c>
      <c r="AE300">
        <v>-41.117954949999998</v>
      </c>
      <c r="AF300">
        <v>175.32400275000001</v>
      </c>
      <c r="AG300">
        <v>40</v>
      </c>
      <c r="AH300">
        <v>0</v>
      </c>
      <c r="AI300">
        <v>0</v>
      </c>
      <c r="AJ300">
        <v>0</v>
      </c>
      <c r="AK300">
        <v>3</v>
      </c>
      <c r="AL300">
        <v>10</v>
      </c>
      <c r="AM300">
        <v>18</v>
      </c>
      <c r="AN300">
        <v>4</v>
      </c>
      <c r="AO300">
        <v>35</v>
      </c>
      <c r="AP300">
        <v>24</v>
      </c>
      <c r="AQ300">
        <v>13</v>
      </c>
      <c r="AR300">
        <v>2</v>
      </c>
      <c r="AS300">
        <v>1</v>
      </c>
      <c r="AT300">
        <v>4</v>
      </c>
    </row>
    <row r="301" spans="1:46">
      <c r="A301">
        <v>5310</v>
      </c>
      <c r="B301" t="s">
        <v>2336</v>
      </c>
      <c r="C301" t="s">
        <v>2337</v>
      </c>
      <c r="D301" t="s">
        <v>2338</v>
      </c>
      <c r="E301" t="s">
        <v>2339</v>
      </c>
      <c r="F301" t="s">
        <v>2340</v>
      </c>
      <c r="G301" t="s">
        <v>2317</v>
      </c>
      <c r="H301" t="s">
        <v>517</v>
      </c>
      <c r="J301" t="s">
        <v>518</v>
      </c>
      <c r="K301" t="s">
        <v>519</v>
      </c>
      <c r="M301" t="s">
        <v>2287</v>
      </c>
      <c r="N301" t="s">
        <v>557</v>
      </c>
      <c r="O301" t="s">
        <v>2318</v>
      </c>
      <c r="P301" t="s">
        <v>1262</v>
      </c>
      <c r="Q301" t="s">
        <v>2319</v>
      </c>
      <c r="R301" t="s">
        <v>2289</v>
      </c>
      <c r="S301" t="s">
        <v>2269</v>
      </c>
      <c r="T301" t="s">
        <v>2085</v>
      </c>
      <c r="U301">
        <v>256200</v>
      </c>
      <c r="V301" t="s">
        <v>2341</v>
      </c>
      <c r="W301" t="s">
        <v>2321</v>
      </c>
      <c r="X301" t="s">
        <v>1889</v>
      </c>
      <c r="Y301" t="s">
        <v>1890</v>
      </c>
      <c r="AA301" t="s">
        <v>1891</v>
      </c>
      <c r="AB301" t="s">
        <v>1892</v>
      </c>
      <c r="AC301">
        <v>99204</v>
      </c>
      <c r="AD301" t="s">
        <v>2322</v>
      </c>
      <c r="AE301">
        <v>-40.96198854</v>
      </c>
      <c r="AF301">
        <v>175.64415937000001</v>
      </c>
      <c r="AG301">
        <v>42</v>
      </c>
      <c r="AH301">
        <v>0</v>
      </c>
      <c r="AI301">
        <v>0</v>
      </c>
      <c r="AJ301">
        <v>0</v>
      </c>
      <c r="AK301">
        <v>8</v>
      </c>
      <c r="AL301">
        <v>15</v>
      </c>
      <c r="AM301">
        <v>19</v>
      </c>
      <c r="AN301">
        <v>0</v>
      </c>
      <c r="AO301">
        <v>42</v>
      </c>
      <c r="AP301">
        <v>27</v>
      </c>
      <c r="AQ301">
        <v>7</v>
      </c>
      <c r="AR301">
        <v>8</v>
      </c>
      <c r="AS301">
        <v>7</v>
      </c>
      <c r="AT301">
        <v>0</v>
      </c>
    </row>
    <row r="302" spans="1:46">
      <c r="A302">
        <v>5311</v>
      </c>
      <c r="B302" t="s">
        <v>2342</v>
      </c>
      <c r="C302" t="s">
        <v>2343</v>
      </c>
      <c r="D302" t="s">
        <v>2344</v>
      </c>
      <c r="E302" t="s">
        <v>2345</v>
      </c>
      <c r="G302" t="s">
        <v>2317</v>
      </c>
      <c r="H302" t="s">
        <v>517</v>
      </c>
      <c r="J302" t="s">
        <v>518</v>
      </c>
      <c r="K302" t="s">
        <v>519</v>
      </c>
      <c r="M302" t="s">
        <v>2287</v>
      </c>
      <c r="N302" t="s">
        <v>539</v>
      </c>
      <c r="O302" t="s">
        <v>2318</v>
      </c>
      <c r="P302" t="s">
        <v>1262</v>
      </c>
      <c r="Q302" t="s">
        <v>2319</v>
      </c>
      <c r="R302" t="s">
        <v>2289</v>
      </c>
      <c r="S302" t="s">
        <v>2269</v>
      </c>
      <c r="T302" t="s">
        <v>2085</v>
      </c>
      <c r="U302">
        <v>256400</v>
      </c>
      <c r="V302" t="s">
        <v>2346</v>
      </c>
      <c r="W302" t="s">
        <v>2321</v>
      </c>
      <c r="X302" t="s">
        <v>1889</v>
      </c>
      <c r="Y302" t="s">
        <v>1890</v>
      </c>
      <c r="AA302" t="s">
        <v>1891</v>
      </c>
      <c r="AB302" t="s">
        <v>1892</v>
      </c>
      <c r="AC302">
        <v>99204</v>
      </c>
      <c r="AD302" t="s">
        <v>2322</v>
      </c>
      <c r="AE302">
        <v>-40.956376810000002</v>
      </c>
      <c r="AF302">
        <v>175.66469659000001</v>
      </c>
      <c r="AG302">
        <v>40</v>
      </c>
      <c r="AH302">
        <v>0</v>
      </c>
      <c r="AI302">
        <v>0</v>
      </c>
      <c r="AJ302">
        <v>0</v>
      </c>
      <c r="AK302">
        <v>11</v>
      </c>
      <c r="AL302">
        <v>14</v>
      </c>
      <c r="AM302">
        <v>18</v>
      </c>
      <c r="AN302">
        <v>0</v>
      </c>
      <c r="AO302">
        <v>43</v>
      </c>
      <c r="AP302">
        <v>28</v>
      </c>
      <c r="AQ302">
        <v>24</v>
      </c>
      <c r="AR302">
        <v>5</v>
      </c>
      <c r="AS302">
        <v>0</v>
      </c>
      <c r="AT302">
        <v>0</v>
      </c>
    </row>
    <row r="303" spans="1:46">
      <c r="A303">
        <v>5312</v>
      </c>
      <c r="B303" t="s">
        <v>2347</v>
      </c>
      <c r="C303" t="s">
        <v>2348</v>
      </c>
      <c r="D303" t="s">
        <v>2349</v>
      </c>
      <c r="E303" t="s">
        <v>2350</v>
      </c>
      <c r="G303" t="s">
        <v>2351</v>
      </c>
      <c r="H303" t="s">
        <v>517</v>
      </c>
      <c r="J303" t="s">
        <v>518</v>
      </c>
      <c r="K303" t="s">
        <v>519</v>
      </c>
      <c r="M303" t="s">
        <v>2287</v>
      </c>
      <c r="N303" t="s">
        <v>571</v>
      </c>
      <c r="O303" t="s">
        <v>2318</v>
      </c>
      <c r="P303" t="s">
        <v>1262</v>
      </c>
      <c r="Q303" t="s">
        <v>2319</v>
      </c>
      <c r="R303" t="s">
        <v>2289</v>
      </c>
      <c r="S303" t="s">
        <v>2269</v>
      </c>
      <c r="T303" t="s">
        <v>2085</v>
      </c>
      <c r="U303">
        <v>255700</v>
      </c>
      <c r="V303" t="s">
        <v>2352</v>
      </c>
      <c r="W303" t="s">
        <v>2321</v>
      </c>
      <c r="X303" t="s">
        <v>1889</v>
      </c>
      <c r="Y303" t="s">
        <v>1890</v>
      </c>
      <c r="AA303" t="s">
        <v>1891</v>
      </c>
      <c r="AB303" t="s">
        <v>1892</v>
      </c>
      <c r="AC303">
        <v>99204</v>
      </c>
      <c r="AD303" t="s">
        <v>2322</v>
      </c>
      <c r="AE303">
        <v>-40.955781039999998</v>
      </c>
      <c r="AF303">
        <v>175.6382753</v>
      </c>
      <c r="AG303">
        <v>42</v>
      </c>
      <c r="AH303">
        <v>0</v>
      </c>
      <c r="AI303">
        <v>0</v>
      </c>
      <c r="AJ303">
        <v>0</v>
      </c>
      <c r="AK303">
        <v>1</v>
      </c>
      <c r="AL303">
        <v>18</v>
      </c>
      <c r="AM303">
        <v>27</v>
      </c>
      <c r="AN303">
        <v>1</v>
      </c>
      <c r="AO303">
        <v>47</v>
      </c>
      <c r="AP303">
        <v>42</v>
      </c>
      <c r="AQ303">
        <v>15</v>
      </c>
      <c r="AR303">
        <v>3</v>
      </c>
      <c r="AS303">
        <v>3</v>
      </c>
      <c r="AT303">
        <v>0</v>
      </c>
    </row>
    <row r="304" spans="1:46">
      <c r="A304">
        <v>5313</v>
      </c>
      <c r="B304" t="s">
        <v>2353</v>
      </c>
      <c r="C304" t="s">
        <v>2354</v>
      </c>
      <c r="D304" t="s">
        <v>2355</v>
      </c>
      <c r="E304" t="s">
        <v>2356</v>
      </c>
      <c r="G304" t="s">
        <v>2357</v>
      </c>
      <c r="H304" t="s">
        <v>517</v>
      </c>
      <c r="J304" t="s">
        <v>518</v>
      </c>
      <c r="K304" t="s">
        <v>519</v>
      </c>
      <c r="M304" t="s">
        <v>2287</v>
      </c>
      <c r="N304" t="s">
        <v>571</v>
      </c>
      <c r="O304" t="s">
        <v>2358</v>
      </c>
      <c r="P304" t="s">
        <v>523</v>
      </c>
      <c r="Q304" t="s">
        <v>2319</v>
      </c>
      <c r="R304" t="s">
        <v>2289</v>
      </c>
      <c r="S304" t="s">
        <v>2269</v>
      </c>
      <c r="T304" t="s">
        <v>2085</v>
      </c>
      <c r="U304">
        <v>257100</v>
      </c>
      <c r="V304" t="s">
        <v>2359</v>
      </c>
      <c r="W304" t="s">
        <v>1652</v>
      </c>
      <c r="X304" t="s">
        <v>1889</v>
      </c>
      <c r="Y304" t="s">
        <v>1890</v>
      </c>
      <c r="AA304" t="s">
        <v>1891</v>
      </c>
      <c r="AB304" t="s">
        <v>1892</v>
      </c>
      <c r="AC304">
        <v>99109</v>
      </c>
      <c r="AD304" t="s">
        <v>2335</v>
      </c>
      <c r="AE304">
        <v>-41.02699483</v>
      </c>
      <c r="AF304">
        <v>175.52429094999999</v>
      </c>
      <c r="AG304">
        <v>42</v>
      </c>
      <c r="AH304">
        <v>0</v>
      </c>
      <c r="AI304">
        <v>0</v>
      </c>
      <c r="AJ304">
        <v>0</v>
      </c>
      <c r="AK304">
        <v>11</v>
      </c>
      <c r="AL304">
        <v>16</v>
      </c>
      <c r="AM304">
        <v>16</v>
      </c>
      <c r="AN304">
        <v>1</v>
      </c>
      <c r="AO304">
        <v>44</v>
      </c>
      <c r="AP304">
        <v>33</v>
      </c>
      <c r="AQ304">
        <v>10</v>
      </c>
      <c r="AR304">
        <v>3</v>
      </c>
      <c r="AS304">
        <v>6</v>
      </c>
      <c r="AT304">
        <v>2</v>
      </c>
    </row>
    <row r="305" spans="1:46">
      <c r="A305">
        <v>5314</v>
      </c>
      <c r="B305" t="s">
        <v>2360</v>
      </c>
      <c r="C305" t="s">
        <v>2361</v>
      </c>
      <c r="D305" t="s">
        <v>2362</v>
      </c>
      <c r="E305" t="s">
        <v>2363</v>
      </c>
      <c r="G305" t="s">
        <v>2364</v>
      </c>
      <c r="H305" t="s">
        <v>517</v>
      </c>
      <c r="J305" t="s">
        <v>518</v>
      </c>
      <c r="K305" t="s">
        <v>519</v>
      </c>
      <c r="M305" t="s">
        <v>2287</v>
      </c>
      <c r="N305" t="s">
        <v>571</v>
      </c>
      <c r="O305" t="s">
        <v>2333</v>
      </c>
      <c r="P305" t="s">
        <v>523</v>
      </c>
      <c r="Q305" t="s">
        <v>2319</v>
      </c>
      <c r="R305" t="s">
        <v>2289</v>
      </c>
      <c r="S305" t="s">
        <v>2269</v>
      </c>
      <c r="T305" t="s">
        <v>2085</v>
      </c>
      <c r="U305">
        <v>257700</v>
      </c>
      <c r="V305" t="s">
        <v>2364</v>
      </c>
      <c r="W305" t="s">
        <v>2365</v>
      </c>
      <c r="X305" t="s">
        <v>1889</v>
      </c>
      <c r="Y305" t="s">
        <v>1890</v>
      </c>
      <c r="AA305" t="s">
        <v>1891</v>
      </c>
      <c r="AB305" t="s">
        <v>1892</v>
      </c>
      <c r="AC305">
        <v>99109</v>
      </c>
      <c r="AD305" t="s">
        <v>2335</v>
      </c>
      <c r="AE305">
        <v>-41.08098236</v>
      </c>
      <c r="AF305">
        <v>175.46245726999999</v>
      </c>
      <c r="AG305">
        <v>40</v>
      </c>
      <c r="AH305">
        <v>0</v>
      </c>
      <c r="AI305">
        <v>0</v>
      </c>
      <c r="AJ305">
        <v>0</v>
      </c>
      <c r="AK305">
        <v>18</v>
      </c>
      <c r="AL305">
        <v>18</v>
      </c>
      <c r="AM305">
        <v>11</v>
      </c>
      <c r="AN305">
        <v>0</v>
      </c>
      <c r="AO305">
        <v>47</v>
      </c>
      <c r="AP305">
        <v>38</v>
      </c>
      <c r="AQ305">
        <v>6</v>
      </c>
      <c r="AR305">
        <v>2</v>
      </c>
      <c r="AS305">
        <v>4</v>
      </c>
      <c r="AT305">
        <v>2</v>
      </c>
    </row>
    <row r="306" spans="1:46">
      <c r="A306">
        <v>5315</v>
      </c>
      <c r="B306" t="s">
        <v>2366</v>
      </c>
      <c r="C306" t="s">
        <v>2367</v>
      </c>
      <c r="D306" t="s">
        <v>2368</v>
      </c>
      <c r="E306" t="s">
        <v>2369</v>
      </c>
      <c r="F306" t="s">
        <v>2370</v>
      </c>
      <c r="G306" t="s">
        <v>2371</v>
      </c>
      <c r="H306" t="s">
        <v>517</v>
      </c>
      <c r="J306" t="s">
        <v>518</v>
      </c>
      <c r="K306" t="s">
        <v>519</v>
      </c>
      <c r="M306" t="s">
        <v>2287</v>
      </c>
      <c r="N306" t="s">
        <v>571</v>
      </c>
      <c r="O306" t="s">
        <v>2372</v>
      </c>
      <c r="P306" t="s">
        <v>584</v>
      </c>
      <c r="Q306" t="s">
        <v>2319</v>
      </c>
      <c r="R306" t="s">
        <v>2289</v>
      </c>
      <c r="S306" t="s">
        <v>2373</v>
      </c>
      <c r="T306" t="s">
        <v>2085</v>
      </c>
      <c r="U306">
        <v>241500</v>
      </c>
      <c r="V306" t="s">
        <v>2374</v>
      </c>
      <c r="W306" t="s">
        <v>1652</v>
      </c>
      <c r="X306" t="s">
        <v>1889</v>
      </c>
      <c r="Y306" t="s">
        <v>1890</v>
      </c>
      <c r="AA306" t="s">
        <v>1891</v>
      </c>
      <c r="AB306" t="s">
        <v>1892</v>
      </c>
      <c r="AE306">
        <v>-41.093345650000003</v>
      </c>
      <c r="AF306">
        <v>175.10040674999999</v>
      </c>
      <c r="AG306">
        <v>42</v>
      </c>
      <c r="AH306">
        <v>0</v>
      </c>
      <c r="AI306">
        <v>0</v>
      </c>
      <c r="AJ306">
        <v>0</v>
      </c>
      <c r="AK306">
        <v>4</v>
      </c>
      <c r="AL306">
        <v>21</v>
      </c>
      <c r="AM306">
        <v>24</v>
      </c>
      <c r="AN306">
        <v>0</v>
      </c>
      <c r="AO306">
        <v>49</v>
      </c>
      <c r="AP306">
        <v>41</v>
      </c>
      <c r="AQ306">
        <v>14</v>
      </c>
      <c r="AR306">
        <v>4</v>
      </c>
      <c r="AS306">
        <v>5</v>
      </c>
      <c r="AT306">
        <v>0</v>
      </c>
    </row>
    <row r="307" spans="1:46">
      <c r="A307">
        <v>5316</v>
      </c>
      <c r="B307" t="s">
        <v>2375</v>
      </c>
      <c r="C307" t="s">
        <v>2376</v>
      </c>
      <c r="D307" t="s">
        <v>2377</v>
      </c>
      <c r="E307" t="s">
        <v>2378</v>
      </c>
      <c r="F307" t="s">
        <v>2379</v>
      </c>
      <c r="G307" t="s">
        <v>2371</v>
      </c>
      <c r="H307" t="s">
        <v>517</v>
      </c>
      <c r="J307" t="s">
        <v>518</v>
      </c>
      <c r="K307" t="s">
        <v>519</v>
      </c>
      <c r="M307" t="s">
        <v>2287</v>
      </c>
      <c r="N307" t="s">
        <v>539</v>
      </c>
      <c r="O307" t="s">
        <v>2372</v>
      </c>
      <c r="P307" t="s">
        <v>584</v>
      </c>
      <c r="Q307" t="s">
        <v>2319</v>
      </c>
      <c r="R307" t="s">
        <v>2289</v>
      </c>
      <c r="S307" t="s">
        <v>2373</v>
      </c>
      <c r="T307" t="s">
        <v>2085</v>
      </c>
      <c r="U307">
        <v>242600</v>
      </c>
      <c r="V307" t="s">
        <v>2380</v>
      </c>
      <c r="W307" t="s">
        <v>1652</v>
      </c>
      <c r="X307" t="s">
        <v>1889</v>
      </c>
      <c r="Y307" t="s">
        <v>1890</v>
      </c>
      <c r="AA307" t="s">
        <v>1891</v>
      </c>
      <c r="AB307" t="s">
        <v>1892</v>
      </c>
      <c r="AE307">
        <v>-41.10770101</v>
      </c>
      <c r="AF307">
        <v>175.1027407</v>
      </c>
      <c r="AG307">
        <v>41</v>
      </c>
      <c r="AH307">
        <v>0</v>
      </c>
      <c r="AI307">
        <v>0</v>
      </c>
      <c r="AJ307">
        <v>0</v>
      </c>
      <c r="AK307">
        <v>9</v>
      </c>
      <c r="AL307">
        <v>14</v>
      </c>
      <c r="AM307">
        <v>17</v>
      </c>
      <c r="AN307">
        <v>0</v>
      </c>
      <c r="AO307">
        <v>40</v>
      </c>
      <c r="AP307">
        <v>31</v>
      </c>
      <c r="AQ307">
        <v>18</v>
      </c>
      <c r="AR307">
        <v>10</v>
      </c>
      <c r="AS307">
        <v>1</v>
      </c>
      <c r="AT307">
        <v>1</v>
      </c>
    </row>
    <row r="308" spans="1:46">
      <c r="A308">
        <v>5317</v>
      </c>
      <c r="B308" t="s">
        <v>2381</v>
      </c>
      <c r="C308" t="s">
        <v>2382</v>
      </c>
      <c r="D308" t="s">
        <v>2383</v>
      </c>
      <c r="E308" t="s">
        <v>2384</v>
      </c>
      <c r="F308" t="s">
        <v>2370</v>
      </c>
      <c r="G308" t="s">
        <v>2371</v>
      </c>
      <c r="H308" t="s">
        <v>517</v>
      </c>
      <c r="J308" t="s">
        <v>518</v>
      </c>
      <c r="K308" t="s">
        <v>519</v>
      </c>
      <c r="M308" t="s">
        <v>2287</v>
      </c>
      <c r="N308" t="s">
        <v>571</v>
      </c>
      <c r="O308" t="s">
        <v>2372</v>
      </c>
      <c r="P308" t="s">
        <v>584</v>
      </c>
      <c r="Q308" t="s">
        <v>2319</v>
      </c>
      <c r="R308" t="s">
        <v>2289</v>
      </c>
      <c r="S308" t="s">
        <v>2373</v>
      </c>
      <c r="T308" t="s">
        <v>2085</v>
      </c>
      <c r="U308">
        <v>241600</v>
      </c>
      <c r="V308" t="s">
        <v>2385</v>
      </c>
      <c r="W308" t="s">
        <v>1652</v>
      </c>
      <c r="X308" t="s">
        <v>1889</v>
      </c>
      <c r="Y308" t="s">
        <v>1890</v>
      </c>
      <c r="AA308" t="s">
        <v>1891</v>
      </c>
      <c r="AB308" t="s">
        <v>1892</v>
      </c>
      <c r="AE308">
        <v>-41.125423779999998</v>
      </c>
      <c r="AF308">
        <v>175.0418401</v>
      </c>
      <c r="AG308">
        <v>41</v>
      </c>
      <c r="AH308">
        <v>0</v>
      </c>
      <c r="AI308">
        <v>0</v>
      </c>
      <c r="AJ308">
        <v>0</v>
      </c>
      <c r="AK308">
        <v>4</v>
      </c>
      <c r="AL308">
        <v>17</v>
      </c>
      <c r="AM308">
        <v>23</v>
      </c>
      <c r="AN308">
        <v>1</v>
      </c>
      <c r="AO308">
        <v>45</v>
      </c>
      <c r="AP308">
        <v>41</v>
      </c>
      <c r="AQ308">
        <v>12</v>
      </c>
      <c r="AR308">
        <v>4</v>
      </c>
      <c r="AS308">
        <v>7</v>
      </c>
      <c r="AT308">
        <v>1</v>
      </c>
    </row>
    <row r="309" spans="1:46">
      <c r="A309">
        <v>5318</v>
      </c>
      <c r="B309" t="s">
        <v>2386</v>
      </c>
      <c r="C309" t="s">
        <v>2387</v>
      </c>
      <c r="D309" t="s">
        <v>2388</v>
      </c>
      <c r="E309" t="s">
        <v>2389</v>
      </c>
      <c r="F309" t="s">
        <v>2380</v>
      </c>
      <c r="G309" t="s">
        <v>2371</v>
      </c>
      <c r="H309" t="s">
        <v>517</v>
      </c>
      <c r="J309" t="s">
        <v>518</v>
      </c>
      <c r="K309" t="s">
        <v>519</v>
      </c>
      <c r="M309" t="s">
        <v>2287</v>
      </c>
      <c r="N309" t="s">
        <v>571</v>
      </c>
      <c r="O309" t="s">
        <v>2372</v>
      </c>
      <c r="P309" t="s">
        <v>584</v>
      </c>
      <c r="Q309" t="s">
        <v>2319</v>
      </c>
      <c r="R309" t="s">
        <v>2289</v>
      </c>
      <c r="S309" t="s">
        <v>2373</v>
      </c>
      <c r="T309" t="s">
        <v>2085</v>
      </c>
      <c r="U309">
        <v>242900</v>
      </c>
      <c r="V309" t="s">
        <v>2390</v>
      </c>
      <c r="W309" t="s">
        <v>1652</v>
      </c>
      <c r="X309" t="s">
        <v>1889</v>
      </c>
      <c r="Y309" t="s">
        <v>1890</v>
      </c>
      <c r="AA309" t="s">
        <v>1891</v>
      </c>
      <c r="AB309" t="s">
        <v>1892</v>
      </c>
      <c r="AE309">
        <v>-41.116560010000001</v>
      </c>
      <c r="AF309">
        <v>175.09006511999999</v>
      </c>
      <c r="AG309">
        <v>40</v>
      </c>
      <c r="AH309">
        <v>0</v>
      </c>
      <c r="AI309">
        <v>0</v>
      </c>
      <c r="AJ309">
        <v>0</v>
      </c>
      <c r="AK309">
        <v>8</v>
      </c>
      <c r="AL309">
        <v>17</v>
      </c>
      <c r="AM309">
        <v>23</v>
      </c>
      <c r="AN309">
        <v>0</v>
      </c>
      <c r="AO309">
        <v>48</v>
      </c>
      <c r="AP309">
        <v>42</v>
      </c>
      <c r="AQ309">
        <v>7</v>
      </c>
      <c r="AR309">
        <v>5</v>
      </c>
      <c r="AS309">
        <v>5</v>
      </c>
      <c r="AT309">
        <v>0</v>
      </c>
    </row>
    <row r="310" spans="1:46">
      <c r="A310">
        <v>5319</v>
      </c>
      <c r="B310" t="s">
        <v>2391</v>
      </c>
      <c r="C310" t="s">
        <v>2392</v>
      </c>
      <c r="D310" t="s">
        <v>2393</v>
      </c>
      <c r="E310" t="s">
        <v>2394</v>
      </c>
      <c r="F310" t="s">
        <v>2395</v>
      </c>
      <c r="G310" t="s">
        <v>2371</v>
      </c>
      <c r="H310" t="s">
        <v>517</v>
      </c>
      <c r="J310" t="s">
        <v>518</v>
      </c>
      <c r="K310" t="s">
        <v>519</v>
      </c>
      <c r="M310" t="s">
        <v>2287</v>
      </c>
      <c r="N310" t="s">
        <v>571</v>
      </c>
      <c r="O310" t="s">
        <v>2372</v>
      </c>
      <c r="P310" t="s">
        <v>584</v>
      </c>
      <c r="Q310" t="s">
        <v>2319</v>
      </c>
      <c r="R310" t="s">
        <v>2289</v>
      </c>
      <c r="S310" t="s">
        <v>2373</v>
      </c>
      <c r="T310" t="s">
        <v>2085</v>
      </c>
      <c r="U310">
        <v>241400</v>
      </c>
      <c r="V310" t="s">
        <v>2395</v>
      </c>
      <c r="W310" t="s">
        <v>1652</v>
      </c>
      <c r="X310" t="s">
        <v>1889</v>
      </c>
      <c r="Y310" t="s">
        <v>1890</v>
      </c>
      <c r="AA310" t="s">
        <v>1891</v>
      </c>
      <c r="AB310" t="s">
        <v>1892</v>
      </c>
      <c r="AE310">
        <v>-41.142807429999998</v>
      </c>
      <c r="AF310">
        <v>175.01602711000001</v>
      </c>
      <c r="AG310">
        <v>39</v>
      </c>
      <c r="AH310">
        <v>0</v>
      </c>
      <c r="AI310">
        <v>0</v>
      </c>
      <c r="AJ310">
        <v>0</v>
      </c>
      <c r="AK310">
        <v>11</v>
      </c>
      <c r="AL310">
        <v>14</v>
      </c>
      <c r="AM310">
        <v>22</v>
      </c>
      <c r="AN310">
        <v>0</v>
      </c>
      <c r="AO310">
        <v>47</v>
      </c>
      <c r="AP310">
        <v>37</v>
      </c>
      <c r="AQ310">
        <v>10</v>
      </c>
      <c r="AR310">
        <v>4</v>
      </c>
      <c r="AS310">
        <v>5</v>
      </c>
      <c r="AT310">
        <v>2</v>
      </c>
    </row>
    <row r="311" spans="1:46">
      <c r="A311">
        <v>5320</v>
      </c>
      <c r="B311" t="s">
        <v>2396</v>
      </c>
      <c r="C311" t="s">
        <v>2397</v>
      </c>
      <c r="D311" t="s">
        <v>2398</v>
      </c>
      <c r="E311" t="s">
        <v>2399</v>
      </c>
      <c r="F311" t="s">
        <v>2370</v>
      </c>
      <c r="G311" t="s">
        <v>2371</v>
      </c>
      <c r="H311" t="s">
        <v>517</v>
      </c>
      <c r="J311" t="s">
        <v>518</v>
      </c>
      <c r="K311" t="s">
        <v>519</v>
      </c>
      <c r="M311" t="s">
        <v>2287</v>
      </c>
      <c r="N311" t="s">
        <v>571</v>
      </c>
      <c r="O311" t="s">
        <v>2372</v>
      </c>
      <c r="P311" t="s">
        <v>584</v>
      </c>
      <c r="Q311" t="s">
        <v>2319</v>
      </c>
      <c r="R311" t="s">
        <v>2289</v>
      </c>
      <c r="S311" t="s">
        <v>2373</v>
      </c>
      <c r="T311" t="s">
        <v>2085</v>
      </c>
      <c r="U311">
        <v>241900</v>
      </c>
      <c r="V311" t="s">
        <v>2400</v>
      </c>
      <c r="W311" t="s">
        <v>1652</v>
      </c>
      <c r="X311" t="s">
        <v>1889</v>
      </c>
      <c r="Y311" t="s">
        <v>1890</v>
      </c>
      <c r="AA311" t="s">
        <v>1891</v>
      </c>
      <c r="AB311" t="s">
        <v>1892</v>
      </c>
      <c r="AE311">
        <v>-41.117659359999998</v>
      </c>
      <c r="AF311">
        <v>175.05557983</v>
      </c>
      <c r="AG311">
        <v>42</v>
      </c>
      <c r="AH311">
        <v>0</v>
      </c>
      <c r="AI311">
        <v>0</v>
      </c>
      <c r="AJ311">
        <v>0</v>
      </c>
      <c r="AK311">
        <v>4</v>
      </c>
      <c r="AL311">
        <v>21</v>
      </c>
      <c r="AM311">
        <v>25</v>
      </c>
      <c r="AN311">
        <v>0</v>
      </c>
      <c r="AO311">
        <v>50</v>
      </c>
      <c r="AP311">
        <v>44</v>
      </c>
      <c r="AQ311">
        <v>11</v>
      </c>
      <c r="AR311">
        <v>4</v>
      </c>
      <c r="AS311">
        <v>5</v>
      </c>
      <c r="AT311">
        <v>0</v>
      </c>
    </row>
    <row r="312" spans="1:46">
      <c r="A312">
        <v>5321</v>
      </c>
      <c r="B312" t="s">
        <v>2401</v>
      </c>
      <c r="C312" t="s">
        <v>2402</v>
      </c>
      <c r="D312" t="s">
        <v>2403</v>
      </c>
      <c r="E312" t="s">
        <v>2404</v>
      </c>
      <c r="F312" t="s">
        <v>2405</v>
      </c>
      <c r="G312" t="s">
        <v>2371</v>
      </c>
      <c r="H312" t="s">
        <v>517</v>
      </c>
      <c r="J312" t="s">
        <v>518</v>
      </c>
      <c r="K312" t="s">
        <v>519</v>
      </c>
      <c r="M312" t="s">
        <v>2287</v>
      </c>
      <c r="N312" t="s">
        <v>571</v>
      </c>
      <c r="O312" t="s">
        <v>2372</v>
      </c>
      <c r="P312" t="s">
        <v>584</v>
      </c>
      <c r="Q312" t="s">
        <v>2319</v>
      </c>
      <c r="R312" t="s">
        <v>2289</v>
      </c>
      <c r="S312" t="s">
        <v>2373</v>
      </c>
      <c r="T312" t="s">
        <v>2085</v>
      </c>
      <c r="U312">
        <v>241800</v>
      </c>
      <c r="V312" t="s">
        <v>2406</v>
      </c>
      <c r="W312" t="s">
        <v>1652</v>
      </c>
      <c r="X312" t="s">
        <v>1889</v>
      </c>
      <c r="Y312" t="s">
        <v>1890</v>
      </c>
      <c r="AA312" t="s">
        <v>1891</v>
      </c>
      <c r="AB312" t="s">
        <v>1892</v>
      </c>
      <c r="AE312">
        <v>-41.149501319999999</v>
      </c>
      <c r="AF312">
        <v>175.00791615</v>
      </c>
      <c r="AG312">
        <v>60</v>
      </c>
      <c r="AH312">
        <v>0</v>
      </c>
      <c r="AI312">
        <v>0</v>
      </c>
      <c r="AJ312">
        <v>0</v>
      </c>
      <c r="AK312">
        <v>11</v>
      </c>
      <c r="AL312">
        <v>29</v>
      </c>
      <c r="AM312">
        <v>23</v>
      </c>
      <c r="AN312">
        <v>2</v>
      </c>
      <c r="AO312">
        <v>65</v>
      </c>
      <c r="AP312">
        <v>51</v>
      </c>
      <c r="AQ312">
        <v>16</v>
      </c>
      <c r="AR312">
        <v>8</v>
      </c>
      <c r="AS312">
        <v>9</v>
      </c>
      <c r="AT312">
        <v>2</v>
      </c>
    </row>
    <row r="313" spans="1:46">
      <c r="A313">
        <v>5322</v>
      </c>
      <c r="B313" t="s">
        <v>2407</v>
      </c>
      <c r="C313" t="s">
        <v>2408</v>
      </c>
      <c r="D313" t="s">
        <v>2409</v>
      </c>
      <c r="E313" t="s">
        <v>2410</v>
      </c>
      <c r="F313" t="s">
        <v>2411</v>
      </c>
      <c r="G313" t="s">
        <v>2371</v>
      </c>
      <c r="H313" t="s">
        <v>517</v>
      </c>
      <c r="J313" t="s">
        <v>518</v>
      </c>
      <c r="K313" t="s">
        <v>519</v>
      </c>
      <c r="M313" t="s">
        <v>2287</v>
      </c>
      <c r="N313" t="s">
        <v>571</v>
      </c>
      <c r="O313" t="s">
        <v>2372</v>
      </c>
      <c r="P313" t="s">
        <v>584</v>
      </c>
      <c r="Q313" t="s">
        <v>2319</v>
      </c>
      <c r="R313" t="s">
        <v>2289</v>
      </c>
      <c r="S313" t="s">
        <v>2373</v>
      </c>
      <c r="T313" t="s">
        <v>2085</v>
      </c>
      <c r="U313">
        <v>242100</v>
      </c>
      <c r="V313" t="s">
        <v>2411</v>
      </c>
      <c r="W313" t="s">
        <v>1652</v>
      </c>
      <c r="X313" t="s">
        <v>1889</v>
      </c>
      <c r="Y313" t="s">
        <v>1890</v>
      </c>
      <c r="AA313" t="s">
        <v>1891</v>
      </c>
      <c r="AB313" t="s">
        <v>1892</v>
      </c>
      <c r="AE313">
        <v>-41.108806710000003</v>
      </c>
      <c r="AF313">
        <v>175.08233007999999</v>
      </c>
      <c r="AG313">
        <v>41</v>
      </c>
      <c r="AH313">
        <v>0</v>
      </c>
      <c r="AI313">
        <v>0</v>
      </c>
      <c r="AJ313">
        <v>1</v>
      </c>
      <c r="AK313">
        <v>11</v>
      </c>
      <c r="AL313">
        <v>12</v>
      </c>
      <c r="AM313">
        <v>21</v>
      </c>
      <c r="AN313">
        <v>0</v>
      </c>
      <c r="AO313">
        <v>45</v>
      </c>
      <c r="AP313">
        <v>33</v>
      </c>
      <c r="AQ313">
        <v>11</v>
      </c>
      <c r="AR313">
        <v>0</v>
      </c>
      <c r="AS313">
        <v>5</v>
      </c>
      <c r="AT313">
        <v>6</v>
      </c>
    </row>
    <row r="314" spans="1:46">
      <c r="A314">
        <v>5323</v>
      </c>
      <c r="B314" t="s">
        <v>2412</v>
      </c>
      <c r="C314" t="s">
        <v>2413</v>
      </c>
      <c r="D314" t="s">
        <v>2414</v>
      </c>
      <c r="E314" t="s">
        <v>2415</v>
      </c>
      <c r="F314" t="s">
        <v>2416</v>
      </c>
      <c r="G314" t="s">
        <v>2371</v>
      </c>
      <c r="H314" t="s">
        <v>517</v>
      </c>
      <c r="J314" t="s">
        <v>518</v>
      </c>
      <c r="K314" t="s">
        <v>519</v>
      </c>
      <c r="M314" t="s">
        <v>2287</v>
      </c>
      <c r="N314" t="s">
        <v>571</v>
      </c>
      <c r="O314" t="s">
        <v>2372</v>
      </c>
      <c r="P314" t="s">
        <v>584</v>
      </c>
      <c r="Q314" t="s">
        <v>2319</v>
      </c>
      <c r="R314" t="s">
        <v>2289</v>
      </c>
      <c r="S314" t="s">
        <v>2373</v>
      </c>
      <c r="T314" t="s">
        <v>2085</v>
      </c>
      <c r="U314">
        <v>242000</v>
      </c>
      <c r="V314" t="s">
        <v>2417</v>
      </c>
      <c r="W314" t="s">
        <v>1652</v>
      </c>
      <c r="X314" t="s">
        <v>1889</v>
      </c>
      <c r="Y314" t="s">
        <v>1890</v>
      </c>
      <c r="AA314" t="s">
        <v>1891</v>
      </c>
      <c r="AB314" t="s">
        <v>1892</v>
      </c>
      <c r="AE314">
        <v>-41.136525290000002</v>
      </c>
      <c r="AF314">
        <v>175.03872491000001</v>
      </c>
      <c r="AG314">
        <v>43</v>
      </c>
      <c r="AH314">
        <v>0</v>
      </c>
      <c r="AI314">
        <v>0</v>
      </c>
      <c r="AJ314">
        <v>0</v>
      </c>
      <c r="AK314">
        <v>1</v>
      </c>
      <c r="AL314">
        <v>20</v>
      </c>
      <c r="AM314">
        <v>26</v>
      </c>
      <c r="AN314">
        <v>0</v>
      </c>
      <c r="AO314">
        <v>47</v>
      </c>
      <c r="AP314">
        <v>26</v>
      </c>
      <c r="AQ314">
        <v>9</v>
      </c>
      <c r="AR314">
        <v>9</v>
      </c>
      <c r="AS314">
        <v>10</v>
      </c>
      <c r="AT314">
        <v>1</v>
      </c>
    </row>
    <row r="315" spans="1:46">
      <c r="A315">
        <v>5324</v>
      </c>
      <c r="B315" t="s">
        <v>2418</v>
      </c>
      <c r="C315" t="s">
        <v>2419</v>
      </c>
      <c r="E315" t="s">
        <v>2420</v>
      </c>
      <c r="F315" t="s">
        <v>2370</v>
      </c>
      <c r="G315" t="s">
        <v>2371</v>
      </c>
      <c r="H315" t="s">
        <v>517</v>
      </c>
      <c r="J315" t="s">
        <v>518</v>
      </c>
      <c r="K315" t="s">
        <v>519</v>
      </c>
      <c r="M315" t="s">
        <v>2287</v>
      </c>
      <c r="N315" t="s">
        <v>571</v>
      </c>
      <c r="O315" t="s">
        <v>2372</v>
      </c>
      <c r="P315" t="s">
        <v>584</v>
      </c>
      <c r="Q315" t="s">
        <v>2319</v>
      </c>
      <c r="R315" t="s">
        <v>2289</v>
      </c>
      <c r="S315" t="s">
        <v>2373</v>
      </c>
      <c r="T315" t="s">
        <v>2085</v>
      </c>
      <c r="U315">
        <v>242400</v>
      </c>
      <c r="V315" t="s">
        <v>2421</v>
      </c>
      <c r="W315" t="s">
        <v>1652</v>
      </c>
      <c r="X315" t="s">
        <v>1889</v>
      </c>
      <c r="Y315" t="s">
        <v>1890</v>
      </c>
      <c r="AA315" t="s">
        <v>1891</v>
      </c>
      <c r="AB315" t="s">
        <v>1892</v>
      </c>
      <c r="AE315">
        <v>-41.121462110000003</v>
      </c>
      <c r="AF315">
        <v>175.07032773</v>
      </c>
      <c r="AG315">
        <v>42</v>
      </c>
      <c r="AH315">
        <v>0</v>
      </c>
      <c r="AI315">
        <v>0</v>
      </c>
      <c r="AJ315">
        <v>0</v>
      </c>
      <c r="AK315">
        <v>5</v>
      </c>
      <c r="AL315">
        <v>18</v>
      </c>
      <c r="AM315">
        <v>30</v>
      </c>
      <c r="AN315">
        <v>1</v>
      </c>
      <c r="AO315">
        <v>54</v>
      </c>
      <c r="AP315">
        <v>31</v>
      </c>
      <c r="AQ315">
        <v>12</v>
      </c>
      <c r="AR315">
        <v>8</v>
      </c>
      <c r="AS315">
        <v>10</v>
      </c>
      <c r="AT315">
        <v>2</v>
      </c>
    </row>
    <row r="316" spans="1:46">
      <c r="A316">
        <v>5325</v>
      </c>
      <c r="B316" t="s">
        <v>2422</v>
      </c>
      <c r="C316" t="s">
        <v>2423</v>
      </c>
      <c r="D316" t="s">
        <v>2424</v>
      </c>
      <c r="E316" t="s">
        <v>2425</v>
      </c>
      <c r="F316" t="s">
        <v>2426</v>
      </c>
      <c r="G316" t="s">
        <v>2427</v>
      </c>
      <c r="H316" t="s">
        <v>517</v>
      </c>
      <c r="J316" t="s">
        <v>518</v>
      </c>
      <c r="K316" t="s">
        <v>519</v>
      </c>
      <c r="M316" t="s">
        <v>2287</v>
      </c>
      <c r="N316" t="s">
        <v>557</v>
      </c>
      <c r="O316" t="s">
        <v>2428</v>
      </c>
      <c r="P316" t="s">
        <v>654</v>
      </c>
      <c r="Q316" t="s">
        <v>2319</v>
      </c>
      <c r="R316" t="s">
        <v>2289</v>
      </c>
      <c r="S316" t="s">
        <v>2429</v>
      </c>
      <c r="T316" t="s">
        <v>2085</v>
      </c>
      <c r="U316">
        <v>246600</v>
      </c>
      <c r="V316" t="s">
        <v>2430</v>
      </c>
      <c r="W316" t="s">
        <v>2431</v>
      </c>
      <c r="X316" t="s">
        <v>2432</v>
      </c>
      <c r="Y316" t="s">
        <v>2433</v>
      </c>
      <c r="AA316" t="s">
        <v>2434</v>
      </c>
      <c r="AB316" t="s">
        <v>2435</v>
      </c>
      <c r="AC316">
        <v>99090</v>
      </c>
      <c r="AD316" t="s">
        <v>2436</v>
      </c>
      <c r="AE316">
        <v>-41.241507810000002</v>
      </c>
      <c r="AF316">
        <v>174.94564879999999</v>
      </c>
      <c r="AG316">
        <v>33</v>
      </c>
      <c r="AH316">
        <v>0</v>
      </c>
      <c r="AI316">
        <v>0</v>
      </c>
      <c r="AJ316">
        <v>0</v>
      </c>
      <c r="AK316">
        <v>0</v>
      </c>
      <c r="AL316">
        <v>11</v>
      </c>
      <c r="AM316">
        <v>22</v>
      </c>
      <c r="AN316">
        <v>0</v>
      </c>
      <c r="AO316">
        <v>33</v>
      </c>
      <c r="AP316">
        <v>17</v>
      </c>
      <c r="AQ316">
        <v>11</v>
      </c>
      <c r="AR316">
        <v>6</v>
      </c>
      <c r="AS316">
        <v>7</v>
      </c>
      <c r="AT316">
        <v>3</v>
      </c>
    </row>
    <row r="317" spans="1:46">
      <c r="A317">
        <v>5326</v>
      </c>
      <c r="B317" t="s">
        <v>2437</v>
      </c>
      <c r="C317" t="s">
        <v>2438</v>
      </c>
      <c r="D317" t="s">
        <v>2439</v>
      </c>
      <c r="E317" t="s">
        <v>2440</v>
      </c>
      <c r="F317" t="s">
        <v>2441</v>
      </c>
      <c r="G317" t="s">
        <v>2427</v>
      </c>
      <c r="H317" t="s">
        <v>517</v>
      </c>
      <c r="J317" t="s">
        <v>518</v>
      </c>
      <c r="K317" t="s">
        <v>519</v>
      </c>
      <c r="M317" t="s">
        <v>2287</v>
      </c>
      <c r="N317" t="s">
        <v>539</v>
      </c>
      <c r="O317" t="s">
        <v>2428</v>
      </c>
      <c r="P317" t="s">
        <v>654</v>
      </c>
      <c r="Q317" t="s">
        <v>2319</v>
      </c>
      <c r="R317" t="s">
        <v>2289</v>
      </c>
      <c r="S317" t="s">
        <v>2373</v>
      </c>
      <c r="T317" t="s">
        <v>2085</v>
      </c>
      <c r="U317">
        <v>245200</v>
      </c>
      <c r="V317" t="s">
        <v>2442</v>
      </c>
      <c r="W317" t="s">
        <v>2443</v>
      </c>
      <c r="X317" t="s">
        <v>2432</v>
      </c>
      <c r="Y317" t="s">
        <v>2433</v>
      </c>
      <c r="AA317" t="s">
        <v>2434</v>
      </c>
      <c r="AB317" t="s">
        <v>2435</v>
      </c>
      <c r="AE317">
        <v>-41.196281970000001</v>
      </c>
      <c r="AF317">
        <v>174.9437657</v>
      </c>
      <c r="AG317">
        <v>44</v>
      </c>
      <c r="AH317">
        <v>0</v>
      </c>
      <c r="AI317">
        <v>0</v>
      </c>
      <c r="AJ317">
        <v>0</v>
      </c>
      <c r="AK317">
        <v>0</v>
      </c>
      <c r="AL317">
        <v>16</v>
      </c>
      <c r="AM317">
        <v>14</v>
      </c>
      <c r="AN317">
        <v>1</v>
      </c>
      <c r="AO317">
        <v>31</v>
      </c>
      <c r="AP317">
        <v>13</v>
      </c>
      <c r="AQ317">
        <v>9</v>
      </c>
      <c r="AR317">
        <v>8</v>
      </c>
      <c r="AS317">
        <v>12</v>
      </c>
      <c r="AT317">
        <v>2</v>
      </c>
    </row>
    <row r="318" spans="1:46">
      <c r="A318">
        <v>5327</v>
      </c>
      <c r="B318" t="s">
        <v>2444</v>
      </c>
      <c r="C318" t="s">
        <v>2445</v>
      </c>
      <c r="D318" t="s">
        <v>2446</v>
      </c>
      <c r="E318" t="s">
        <v>2447</v>
      </c>
      <c r="F318" t="s">
        <v>2441</v>
      </c>
      <c r="G318" t="s">
        <v>2427</v>
      </c>
      <c r="H318" t="s">
        <v>517</v>
      </c>
      <c r="J318" t="s">
        <v>518</v>
      </c>
      <c r="K318" t="s">
        <v>519</v>
      </c>
      <c r="M318" t="s">
        <v>2287</v>
      </c>
      <c r="N318" t="s">
        <v>571</v>
      </c>
      <c r="O318" t="s">
        <v>2428</v>
      </c>
      <c r="P318" t="s">
        <v>654</v>
      </c>
      <c r="Q318" t="s">
        <v>2319</v>
      </c>
      <c r="R318" t="s">
        <v>2289</v>
      </c>
      <c r="S318" t="s">
        <v>2429</v>
      </c>
      <c r="T318" t="s">
        <v>2448</v>
      </c>
      <c r="U318">
        <v>245100</v>
      </c>
      <c r="V318" t="s">
        <v>2449</v>
      </c>
      <c r="W318" t="s">
        <v>2443</v>
      </c>
      <c r="X318" t="s">
        <v>2432</v>
      </c>
      <c r="Y318" t="s">
        <v>2433</v>
      </c>
      <c r="AA318" t="s">
        <v>2434</v>
      </c>
      <c r="AB318" t="s">
        <v>2435</v>
      </c>
      <c r="AE318">
        <v>-41.202396929999999</v>
      </c>
      <c r="AF318">
        <v>174.93789899999999</v>
      </c>
      <c r="AG318">
        <v>50</v>
      </c>
      <c r="AH318">
        <v>0</v>
      </c>
      <c r="AI318">
        <v>0</v>
      </c>
      <c r="AJ318">
        <v>0</v>
      </c>
      <c r="AK318">
        <v>0</v>
      </c>
      <c r="AL318">
        <v>22</v>
      </c>
      <c r="AM318">
        <v>28</v>
      </c>
      <c r="AN318">
        <v>1</v>
      </c>
      <c r="AO318">
        <v>51</v>
      </c>
      <c r="AP318">
        <v>40</v>
      </c>
      <c r="AQ318">
        <v>7</v>
      </c>
      <c r="AR318">
        <v>6</v>
      </c>
      <c r="AS318">
        <v>8</v>
      </c>
      <c r="AT318">
        <v>3</v>
      </c>
    </row>
    <row r="319" spans="1:46">
      <c r="A319">
        <v>5328</v>
      </c>
      <c r="B319" t="s">
        <v>2450</v>
      </c>
      <c r="C319" t="s">
        <v>2451</v>
      </c>
      <c r="D319" t="s">
        <v>2452</v>
      </c>
      <c r="E319" t="s">
        <v>2453</v>
      </c>
      <c r="F319" t="s">
        <v>2441</v>
      </c>
      <c r="G319" t="s">
        <v>2427</v>
      </c>
      <c r="H319" t="s">
        <v>517</v>
      </c>
      <c r="J319" t="s">
        <v>518</v>
      </c>
      <c r="K319" t="s">
        <v>519</v>
      </c>
      <c r="M319" t="s">
        <v>2287</v>
      </c>
      <c r="N319" t="s">
        <v>539</v>
      </c>
      <c r="O319" t="s">
        <v>2428</v>
      </c>
      <c r="P319" t="s">
        <v>654</v>
      </c>
      <c r="Q319" t="s">
        <v>2319</v>
      </c>
      <c r="R319" t="s">
        <v>2289</v>
      </c>
      <c r="S319" t="s">
        <v>2429</v>
      </c>
      <c r="T319" t="s">
        <v>2448</v>
      </c>
      <c r="U319">
        <v>245600</v>
      </c>
      <c r="V319" t="s">
        <v>2454</v>
      </c>
      <c r="W319" t="s">
        <v>2455</v>
      </c>
      <c r="X319" t="s">
        <v>2432</v>
      </c>
      <c r="Y319" t="s">
        <v>2433</v>
      </c>
      <c r="AA319" t="s">
        <v>2434</v>
      </c>
      <c r="AB319" t="s">
        <v>2435</v>
      </c>
      <c r="AE319">
        <v>-41.207949200000002</v>
      </c>
      <c r="AF319">
        <v>174.93206515</v>
      </c>
      <c r="AG319">
        <v>40</v>
      </c>
      <c r="AH319">
        <v>0</v>
      </c>
      <c r="AI319">
        <v>0</v>
      </c>
      <c r="AJ319">
        <v>0</v>
      </c>
      <c r="AK319">
        <v>5</v>
      </c>
      <c r="AL319">
        <v>19</v>
      </c>
      <c r="AM319">
        <v>26</v>
      </c>
      <c r="AN319">
        <v>0</v>
      </c>
      <c r="AO319">
        <v>50</v>
      </c>
      <c r="AP319">
        <v>27</v>
      </c>
      <c r="AQ319">
        <v>8</v>
      </c>
      <c r="AR319">
        <v>10</v>
      </c>
      <c r="AS319">
        <v>14</v>
      </c>
      <c r="AT319">
        <v>7</v>
      </c>
    </row>
    <row r="320" spans="1:46">
      <c r="A320">
        <v>5329</v>
      </c>
      <c r="B320" t="s">
        <v>2456</v>
      </c>
      <c r="C320" t="s">
        <v>2457</v>
      </c>
      <c r="D320" t="s">
        <v>2458</v>
      </c>
      <c r="E320" t="s">
        <v>2459</v>
      </c>
      <c r="F320" t="s">
        <v>2460</v>
      </c>
      <c r="G320" t="s">
        <v>2427</v>
      </c>
      <c r="H320" t="s">
        <v>517</v>
      </c>
      <c r="J320" t="s">
        <v>518</v>
      </c>
      <c r="K320" t="s">
        <v>519</v>
      </c>
      <c r="M320" t="s">
        <v>2287</v>
      </c>
      <c r="N320" t="s">
        <v>571</v>
      </c>
      <c r="O320" t="s">
        <v>2428</v>
      </c>
      <c r="P320" t="s">
        <v>654</v>
      </c>
      <c r="Q320" t="s">
        <v>2319</v>
      </c>
      <c r="R320" t="s">
        <v>2289</v>
      </c>
      <c r="S320" t="s">
        <v>2429</v>
      </c>
      <c r="T320" t="s">
        <v>2085</v>
      </c>
      <c r="U320">
        <v>243400</v>
      </c>
      <c r="V320" t="s">
        <v>2460</v>
      </c>
      <c r="W320" t="s">
        <v>2461</v>
      </c>
      <c r="X320" t="s">
        <v>2432</v>
      </c>
      <c r="Y320" t="s">
        <v>2433</v>
      </c>
      <c r="AA320" t="s">
        <v>2434</v>
      </c>
      <c r="AB320" t="s">
        <v>2435</v>
      </c>
      <c r="AE320">
        <v>-41.180775330000003</v>
      </c>
      <c r="AF320">
        <v>174.93271618</v>
      </c>
      <c r="AG320">
        <v>45</v>
      </c>
      <c r="AH320">
        <v>0</v>
      </c>
      <c r="AI320">
        <v>0</v>
      </c>
      <c r="AJ320">
        <v>0</v>
      </c>
      <c r="AK320">
        <v>0</v>
      </c>
      <c r="AL320">
        <v>21</v>
      </c>
      <c r="AM320">
        <v>19</v>
      </c>
      <c r="AN320">
        <v>0</v>
      </c>
      <c r="AO320">
        <v>40</v>
      </c>
      <c r="AP320">
        <v>33</v>
      </c>
      <c r="AQ320">
        <v>4</v>
      </c>
      <c r="AR320">
        <v>2</v>
      </c>
      <c r="AS320">
        <v>12</v>
      </c>
      <c r="AT320">
        <v>2</v>
      </c>
    </row>
    <row r="321" spans="1:46">
      <c r="A321">
        <v>5330</v>
      </c>
      <c r="B321" t="s">
        <v>2462</v>
      </c>
      <c r="C321" t="s">
        <v>2463</v>
      </c>
      <c r="D321" t="s">
        <v>2464</v>
      </c>
      <c r="E321" t="s">
        <v>2465</v>
      </c>
      <c r="F321" t="s">
        <v>2466</v>
      </c>
      <c r="G321" t="s">
        <v>2427</v>
      </c>
      <c r="H321" t="s">
        <v>517</v>
      </c>
      <c r="J321" t="s">
        <v>518</v>
      </c>
      <c r="K321" t="s">
        <v>519</v>
      </c>
      <c r="M321" t="s">
        <v>2287</v>
      </c>
      <c r="N321" t="s">
        <v>539</v>
      </c>
      <c r="O321" t="s">
        <v>2428</v>
      </c>
      <c r="P321" t="s">
        <v>654</v>
      </c>
      <c r="Q321" t="s">
        <v>2319</v>
      </c>
      <c r="R321" t="s">
        <v>2289</v>
      </c>
      <c r="S321" t="s">
        <v>2373</v>
      </c>
      <c r="T321" t="s">
        <v>2085</v>
      </c>
      <c r="U321">
        <v>246300</v>
      </c>
      <c r="V321" t="s">
        <v>2467</v>
      </c>
      <c r="W321" t="s">
        <v>2468</v>
      </c>
      <c r="X321" t="s">
        <v>2432</v>
      </c>
      <c r="Y321" t="s">
        <v>2433</v>
      </c>
      <c r="AA321" t="s">
        <v>2434</v>
      </c>
      <c r="AB321" t="s">
        <v>2435</v>
      </c>
      <c r="AC321">
        <v>99111</v>
      </c>
      <c r="AD321" t="s">
        <v>2469</v>
      </c>
      <c r="AE321">
        <v>-41.179920060000001</v>
      </c>
      <c r="AF321">
        <v>174.98318325</v>
      </c>
      <c r="AG321">
        <v>40</v>
      </c>
      <c r="AH321">
        <v>0</v>
      </c>
      <c r="AI321">
        <v>0</v>
      </c>
      <c r="AJ321">
        <v>0</v>
      </c>
      <c r="AK321">
        <v>2</v>
      </c>
      <c r="AL321">
        <v>19</v>
      </c>
      <c r="AM321">
        <v>15</v>
      </c>
      <c r="AN321">
        <v>0</v>
      </c>
      <c r="AO321">
        <v>36</v>
      </c>
      <c r="AP321">
        <v>18</v>
      </c>
      <c r="AQ321">
        <v>16</v>
      </c>
      <c r="AR321">
        <v>6</v>
      </c>
      <c r="AS321">
        <v>12</v>
      </c>
      <c r="AT321">
        <v>0</v>
      </c>
    </row>
    <row r="322" spans="1:46">
      <c r="A322">
        <v>5331</v>
      </c>
      <c r="B322" t="s">
        <v>2470</v>
      </c>
      <c r="C322" t="s">
        <v>2471</v>
      </c>
      <c r="D322" t="s">
        <v>2472</v>
      </c>
      <c r="E322" t="s">
        <v>2473</v>
      </c>
      <c r="F322" t="s">
        <v>2474</v>
      </c>
      <c r="G322" t="s">
        <v>2427</v>
      </c>
      <c r="H322" t="s">
        <v>517</v>
      </c>
      <c r="J322" t="s">
        <v>518</v>
      </c>
      <c r="K322" t="s">
        <v>519</v>
      </c>
      <c r="M322" t="s">
        <v>2287</v>
      </c>
      <c r="N322" t="s">
        <v>571</v>
      </c>
      <c r="O322" t="s">
        <v>2428</v>
      </c>
      <c r="P322" t="s">
        <v>654</v>
      </c>
      <c r="Q322" t="s">
        <v>2319</v>
      </c>
      <c r="R322" t="s">
        <v>2289</v>
      </c>
      <c r="S322" t="s">
        <v>2429</v>
      </c>
      <c r="T322" t="s">
        <v>2085</v>
      </c>
      <c r="U322">
        <v>243200</v>
      </c>
      <c r="V322" t="s">
        <v>2474</v>
      </c>
      <c r="W322" t="s">
        <v>2461</v>
      </c>
      <c r="X322" t="s">
        <v>2432</v>
      </c>
      <c r="Y322" t="s">
        <v>2433</v>
      </c>
      <c r="AA322" t="s">
        <v>2434</v>
      </c>
      <c r="AB322" t="s">
        <v>2435</v>
      </c>
      <c r="AE322">
        <v>-41.208103129999998</v>
      </c>
      <c r="AF322">
        <v>174.87772691999999</v>
      </c>
      <c r="AG322">
        <v>47</v>
      </c>
      <c r="AH322">
        <v>0</v>
      </c>
      <c r="AI322">
        <v>0</v>
      </c>
      <c r="AJ322">
        <v>0</v>
      </c>
      <c r="AK322">
        <v>0</v>
      </c>
      <c r="AL322">
        <v>12</v>
      </c>
      <c r="AM322">
        <v>33</v>
      </c>
      <c r="AN322">
        <v>1</v>
      </c>
      <c r="AO322">
        <v>46</v>
      </c>
      <c r="AP322">
        <v>32</v>
      </c>
      <c r="AQ322">
        <v>6</v>
      </c>
      <c r="AR322">
        <v>4</v>
      </c>
      <c r="AS322">
        <v>14</v>
      </c>
      <c r="AT322">
        <v>3</v>
      </c>
    </row>
    <row r="323" spans="1:46">
      <c r="A323">
        <v>5332</v>
      </c>
      <c r="B323" t="s">
        <v>2475</v>
      </c>
      <c r="C323" t="s">
        <v>2476</v>
      </c>
      <c r="D323" t="s">
        <v>2477</v>
      </c>
      <c r="E323" t="s">
        <v>2478</v>
      </c>
      <c r="F323" t="s">
        <v>2479</v>
      </c>
      <c r="G323" t="s">
        <v>2427</v>
      </c>
      <c r="H323" t="s">
        <v>517</v>
      </c>
      <c r="J323" t="s">
        <v>518</v>
      </c>
      <c r="K323" t="s">
        <v>519</v>
      </c>
      <c r="M323" t="s">
        <v>2287</v>
      </c>
      <c r="N323" t="s">
        <v>521</v>
      </c>
      <c r="O323" t="s">
        <v>2428</v>
      </c>
      <c r="P323" t="s">
        <v>654</v>
      </c>
      <c r="Q323" t="s">
        <v>2319</v>
      </c>
      <c r="R323" t="s">
        <v>2289</v>
      </c>
      <c r="S323" t="s">
        <v>2373</v>
      </c>
      <c r="T323" t="s">
        <v>2085</v>
      </c>
      <c r="U323">
        <v>245400</v>
      </c>
      <c r="V323" t="s">
        <v>2480</v>
      </c>
      <c r="W323" t="s">
        <v>2455</v>
      </c>
      <c r="X323" t="s">
        <v>2432</v>
      </c>
      <c r="Y323" t="s">
        <v>2433</v>
      </c>
      <c r="AA323" t="s">
        <v>2434</v>
      </c>
      <c r="AB323" t="s">
        <v>2435</v>
      </c>
      <c r="AE323">
        <v>-41.203702999999997</v>
      </c>
      <c r="AF323">
        <v>174.95030148000001</v>
      </c>
      <c r="AG323">
        <v>41</v>
      </c>
      <c r="AH323">
        <v>0</v>
      </c>
      <c r="AI323">
        <v>0</v>
      </c>
      <c r="AJ323">
        <v>0</v>
      </c>
      <c r="AK323">
        <v>4</v>
      </c>
      <c r="AL323">
        <v>21</v>
      </c>
      <c r="AM323">
        <v>19</v>
      </c>
      <c r="AN323">
        <v>2</v>
      </c>
      <c r="AO323">
        <v>46</v>
      </c>
      <c r="AP323">
        <v>28</v>
      </c>
      <c r="AQ323">
        <v>14</v>
      </c>
      <c r="AR323">
        <v>9</v>
      </c>
      <c r="AS323">
        <v>9</v>
      </c>
      <c r="AT323">
        <v>3</v>
      </c>
    </row>
    <row r="324" spans="1:46">
      <c r="A324">
        <v>5333</v>
      </c>
      <c r="B324" t="s">
        <v>2481</v>
      </c>
      <c r="C324" t="s">
        <v>2482</v>
      </c>
      <c r="D324" t="s">
        <v>2483</v>
      </c>
      <c r="E324" t="s">
        <v>2484</v>
      </c>
      <c r="F324" t="s">
        <v>2426</v>
      </c>
      <c r="G324" t="s">
        <v>2427</v>
      </c>
      <c r="H324" t="s">
        <v>517</v>
      </c>
      <c r="J324" t="s">
        <v>518</v>
      </c>
      <c r="K324" t="s">
        <v>519</v>
      </c>
      <c r="M324" t="s">
        <v>2287</v>
      </c>
      <c r="N324" t="s">
        <v>557</v>
      </c>
      <c r="O324" t="s">
        <v>2428</v>
      </c>
      <c r="P324" t="s">
        <v>654</v>
      </c>
      <c r="Q324" t="s">
        <v>2319</v>
      </c>
      <c r="R324" t="s">
        <v>2289</v>
      </c>
      <c r="S324" t="s">
        <v>2429</v>
      </c>
      <c r="T324" t="s">
        <v>2085</v>
      </c>
      <c r="U324">
        <v>246900</v>
      </c>
      <c r="V324" t="s">
        <v>2485</v>
      </c>
      <c r="W324" t="s">
        <v>2431</v>
      </c>
      <c r="X324" t="s">
        <v>2432</v>
      </c>
      <c r="Y324" t="s">
        <v>2433</v>
      </c>
      <c r="AA324" t="s">
        <v>2434</v>
      </c>
      <c r="AB324" t="s">
        <v>2435</v>
      </c>
      <c r="AC324">
        <v>99090</v>
      </c>
      <c r="AD324" t="s">
        <v>2436</v>
      </c>
      <c r="AE324">
        <v>-41.252067439999998</v>
      </c>
      <c r="AF324">
        <v>174.9322488</v>
      </c>
      <c r="AG324">
        <v>45</v>
      </c>
      <c r="AH324">
        <v>0</v>
      </c>
      <c r="AI324">
        <v>0</v>
      </c>
      <c r="AJ324">
        <v>0</v>
      </c>
      <c r="AK324">
        <v>1</v>
      </c>
      <c r="AL324">
        <v>16</v>
      </c>
      <c r="AM324">
        <v>16</v>
      </c>
      <c r="AN324">
        <v>0</v>
      </c>
      <c r="AO324">
        <v>33</v>
      </c>
      <c r="AP324">
        <v>22</v>
      </c>
      <c r="AQ324">
        <v>8</v>
      </c>
      <c r="AR324">
        <v>8</v>
      </c>
      <c r="AS324">
        <v>4</v>
      </c>
      <c r="AT324">
        <v>4</v>
      </c>
    </row>
    <row r="325" spans="1:46">
      <c r="A325">
        <v>5334</v>
      </c>
      <c r="B325" t="s">
        <v>2486</v>
      </c>
      <c r="C325" t="s">
        <v>2487</v>
      </c>
      <c r="D325" t="s">
        <v>2488</v>
      </c>
      <c r="E325" t="s">
        <v>2489</v>
      </c>
      <c r="F325" t="s">
        <v>2490</v>
      </c>
      <c r="G325" t="s">
        <v>2427</v>
      </c>
      <c r="H325" t="s">
        <v>517</v>
      </c>
      <c r="J325" t="s">
        <v>518</v>
      </c>
      <c r="K325" t="s">
        <v>519</v>
      </c>
      <c r="M325" t="s">
        <v>2287</v>
      </c>
      <c r="N325" t="s">
        <v>557</v>
      </c>
      <c r="O325" t="s">
        <v>2428</v>
      </c>
      <c r="P325" t="s">
        <v>654</v>
      </c>
      <c r="Q325" t="s">
        <v>2319</v>
      </c>
      <c r="R325" t="s">
        <v>2289</v>
      </c>
      <c r="S325" t="s">
        <v>2429</v>
      </c>
      <c r="T325" t="s">
        <v>2448</v>
      </c>
      <c r="U325">
        <v>245800</v>
      </c>
      <c r="V325" t="s">
        <v>2490</v>
      </c>
      <c r="W325" t="s">
        <v>2491</v>
      </c>
      <c r="X325" t="s">
        <v>2432</v>
      </c>
      <c r="Y325" t="s">
        <v>2433</v>
      </c>
      <c r="AA325" t="s">
        <v>2434</v>
      </c>
      <c r="AB325" t="s">
        <v>2435</v>
      </c>
      <c r="AE325">
        <v>-41.223808179999999</v>
      </c>
      <c r="AF325">
        <v>174.90202357000001</v>
      </c>
      <c r="AG325">
        <v>44</v>
      </c>
      <c r="AH325">
        <v>0</v>
      </c>
      <c r="AI325">
        <v>0</v>
      </c>
      <c r="AJ325">
        <v>0</v>
      </c>
      <c r="AK325">
        <v>2</v>
      </c>
      <c r="AL325">
        <v>17</v>
      </c>
      <c r="AM325">
        <v>23</v>
      </c>
      <c r="AN325">
        <v>0</v>
      </c>
      <c r="AO325">
        <v>42</v>
      </c>
      <c r="AP325">
        <v>22</v>
      </c>
      <c r="AQ325">
        <v>12</v>
      </c>
      <c r="AR325">
        <v>5</v>
      </c>
      <c r="AS325">
        <v>14</v>
      </c>
      <c r="AT325">
        <v>2</v>
      </c>
    </row>
    <row r="326" spans="1:46">
      <c r="A326">
        <v>5335</v>
      </c>
      <c r="B326" t="s">
        <v>2492</v>
      </c>
      <c r="C326" t="s">
        <v>2493</v>
      </c>
      <c r="D326" t="s">
        <v>2494</v>
      </c>
      <c r="E326" t="s">
        <v>2495</v>
      </c>
      <c r="F326" t="s">
        <v>2466</v>
      </c>
      <c r="G326" t="s">
        <v>2427</v>
      </c>
      <c r="H326" t="s">
        <v>517</v>
      </c>
      <c r="J326" t="s">
        <v>518</v>
      </c>
      <c r="K326" t="s">
        <v>519</v>
      </c>
      <c r="M326" t="s">
        <v>2287</v>
      </c>
      <c r="N326" t="s">
        <v>557</v>
      </c>
      <c r="O326" t="s">
        <v>2428</v>
      </c>
      <c r="P326" t="s">
        <v>654</v>
      </c>
      <c r="Q326" t="s">
        <v>2319</v>
      </c>
      <c r="R326" t="s">
        <v>2289</v>
      </c>
      <c r="S326" t="s">
        <v>2373</v>
      </c>
      <c r="T326" t="s">
        <v>2085</v>
      </c>
      <c r="U326">
        <v>244500</v>
      </c>
      <c r="V326" t="s">
        <v>2496</v>
      </c>
      <c r="W326" t="s">
        <v>2468</v>
      </c>
      <c r="X326" t="s">
        <v>2432</v>
      </c>
      <c r="Y326" t="s">
        <v>2433</v>
      </c>
      <c r="AA326" t="s">
        <v>2434</v>
      </c>
      <c r="AB326" t="s">
        <v>2435</v>
      </c>
      <c r="AC326">
        <v>99111</v>
      </c>
      <c r="AD326" t="s">
        <v>2469</v>
      </c>
      <c r="AE326">
        <v>-41.16587097</v>
      </c>
      <c r="AF326">
        <v>174.98444473999999</v>
      </c>
      <c r="AG326">
        <v>45</v>
      </c>
      <c r="AH326">
        <v>0</v>
      </c>
      <c r="AI326">
        <v>0</v>
      </c>
      <c r="AJ326">
        <v>0</v>
      </c>
      <c r="AK326">
        <v>11</v>
      </c>
      <c r="AL326">
        <v>14</v>
      </c>
      <c r="AM326">
        <v>9</v>
      </c>
      <c r="AN326">
        <v>0</v>
      </c>
      <c r="AO326">
        <v>34</v>
      </c>
      <c r="AP326">
        <v>30</v>
      </c>
      <c r="AQ326">
        <v>9</v>
      </c>
      <c r="AR326">
        <v>6</v>
      </c>
      <c r="AS326">
        <v>2</v>
      </c>
      <c r="AT326">
        <v>1</v>
      </c>
    </row>
    <row r="327" spans="1:46">
      <c r="A327">
        <v>5336</v>
      </c>
      <c r="B327" t="s">
        <v>2497</v>
      </c>
      <c r="C327" t="s">
        <v>2498</v>
      </c>
      <c r="D327" t="s">
        <v>2499</v>
      </c>
      <c r="E327" t="s">
        <v>2500</v>
      </c>
      <c r="F327" t="s">
        <v>2426</v>
      </c>
      <c r="G327" t="s">
        <v>2427</v>
      </c>
      <c r="H327" t="s">
        <v>517</v>
      </c>
      <c r="J327" t="s">
        <v>518</v>
      </c>
      <c r="K327" t="s">
        <v>519</v>
      </c>
      <c r="M327" t="s">
        <v>2287</v>
      </c>
      <c r="N327" t="s">
        <v>557</v>
      </c>
      <c r="O327" t="s">
        <v>2428</v>
      </c>
      <c r="P327" t="s">
        <v>654</v>
      </c>
      <c r="Q327" t="s">
        <v>2319</v>
      </c>
      <c r="R327" t="s">
        <v>2289</v>
      </c>
      <c r="S327" t="s">
        <v>2429</v>
      </c>
      <c r="T327" t="s">
        <v>2085</v>
      </c>
      <c r="U327">
        <v>246900</v>
      </c>
      <c r="V327" t="s">
        <v>2485</v>
      </c>
      <c r="W327" t="s">
        <v>2431</v>
      </c>
      <c r="X327" t="s">
        <v>2432</v>
      </c>
      <c r="Y327" t="s">
        <v>2433</v>
      </c>
      <c r="AA327" t="s">
        <v>2434</v>
      </c>
      <c r="AB327" t="s">
        <v>2435</v>
      </c>
      <c r="AC327">
        <v>99090</v>
      </c>
      <c r="AD327" t="s">
        <v>2436</v>
      </c>
      <c r="AE327">
        <v>-41.245709410000003</v>
      </c>
      <c r="AF327">
        <v>174.93684576000001</v>
      </c>
      <c r="AG327">
        <v>40</v>
      </c>
      <c r="AH327">
        <v>0</v>
      </c>
      <c r="AI327">
        <v>0</v>
      </c>
      <c r="AJ327">
        <v>0</v>
      </c>
      <c r="AK327">
        <v>1</v>
      </c>
      <c r="AL327">
        <v>23</v>
      </c>
      <c r="AM327">
        <v>23</v>
      </c>
      <c r="AN327">
        <v>1</v>
      </c>
      <c r="AO327">
        <v>48</v>
      </c>
      <c r="AP327">
        <v>32</v>
      </c>
      <c r="AQ327">
        <v>12</v>
      </c>
      <c r="AR327">
        <v>4</v>
      </c>
      <c r="AS327">
        <v>13</v>
      </c>
      <c r="AT327">
        <v>0</v>
      </c>
    </row>
    <row r="328" spans="1:46">
      <c r="A328">
        <v>5337</v>
      </c>
      <c r="B328" t="s">
        <v>2501</v>
      </c>
      <c r="C328" t="s">
        <v>2502</v>
      </c>
      <c r="D328" t="s">
        <v>2503</v>
      </c>
      <c r="E328" t="s">
        <v>2504</v>
      </c>
      <c r="F328" t="s">
        <v>2505</v>
      </c>
      <c r="G328" t="s">
        <v>2427</v>
      </c>
      <c r="H328" t="s">
        <v>517</v>
      </c>
      <c r="J328" t="s">
        <v>518</v>
      </c>
      <c r="K328" t="s">
        <v>519</v>
      </c>
      <c r="M328" t="s">
        <v>2287</v>
      </c>
      <c r="N328" t="s">
        <v>521</v>
      </c>
      <c r="O328" t="s">
        <v>2428</v>
      </c>
      <c r="P328" t="s">
        <v>654</v>
      </c>
      <c r="Q328" t="s">
        <v>2319</v>
      </c>
      <c r="R328" t="s">
        <v>2289</v>
      </c>
      <c r="S328" t="s">
        <v>2373</v>
      </c>
      <c r="T328" t="s">
        <v>2085</v>
      </c>
      <c r="U328">
        <v>244600</v>
      </c>
      <c r="V328" t="s">
        <v>2506</v>
      </c>
      <c r="W328" t="s">
        <v>2468</v>
      </c>
      <c r="X328" t="s">
        <v>2432</v>
      </c>
      <c r="Y328" t="s">
        <v>2433</v>
      </c>
      <c r="AA328" t="s">
        <v>2434</v>
      </c>
      <c r="AB328" t="s">
        <v>2435</v>
      </c>
      <c r="AC328">
        <v>99111</v>
      </c>
      <c r="AD328" t="s">
        <v>2469</v>
      </c>
      <c r="AE328">
        <v>-41.179895520000002</v>
      </c>
      <c r="AF328">
        <v>174.95617197999999</v>
      </c>
      <c r="AG328">
        <v>45</v>
      </c>
      <c r="AH328">
        <v>0</v>
      </c>
      <c r="AI328">
        <v>0</v>
      </c>
      <c r="AJ328">
        <v>0</v>
      </c>
      <c r="AK328">
        <v>2</v>
      </c>
      <c r="AL328">
        <v>17</v>
      </c>
      <c r="AM328">
        <v>9</v>
      </c>
      <c r="AN328">
        <v>0</v>
      </c>
      <c r="AO328">
        <v>28</v>
      </c>
      <c r="AP328">
        <v>10</v>
      </c>
      <c r="AQ328">
        <v>8</v>
      </c>
      <c r="AR328">
        <v>9</v>
      </c>
      <c r="AS328">
        <v>6</v>
      </c>
      <c r="AT328">
        <v>0</v>
      </c>
    </row>
    <row r="329" spans="1:46">
      <c r="A329">
        <v>5338</v>
      </c>
      <c r="B329" t="s">
        <v>2507</v>
      </c>
      <c r="C329" t="s">
        <v>2508</v>
      </c>
      <c r="D329" t="s">
        <v>2509</v>
      </c>
      <c r="E329" t="s">
        <v>2510</v>
      </c>
      <c r="F329" t="s">
        <v>2511</v>
      </c>
      <c r="G329" t="s">
        <v>2427</v>
      </c>
      <c r="H329" t="s">
        <v>517</v>
      </c>
      <c r="J329" t="s">
        <v>518</v>
      </c>
      <c r="K329" t="s">
        <v>519</v>
      </c>
      <c r="M329" t="s">
        <v>2287</v>
      </c>
      <c r="N329" t="s">
        <v>571</v>
      </c>
      <c r="O329" t="s">
        <v>2428</v>
      </c>
      <c r="P329" t="s">
        <v>654</v>
      </c>
      <c r="Q329" t="s">
        <v>2319</v>
      </c>
      <c r="R329" t="s">
        <v>2289</v>
      </c>
      <c r="S329" t="s">
        <v>2429</v>
      </c>
      <c r="T329" t="s">
        <v>2448</v>
      </c>
      <c r="U329">
        <v>244200</v>
      </c>
      <c r="V329" t="s">
        <v>2511</v>
      </c>
      <c r="W329" t="s">
        <v>2443</v>
      </c>
      <c r="X329" t="s">
        <v>2432</v>
      </c>
      <c r="Y329" t="s">
        <v>2433</v>
      </c>
      <c r="AA329" t="s">
        <v>2434</v>
      </c>
      <c r="AB329" t="s">
        <v>2435</v>
      </c>
      <c r="AE329">
        <v>-41.20132675</v>
      </c>
      <c r="AF329">
        <v>174.92252016</v>
      </c>
      <c r="AG329">
        <v>45</v>
      </c>
      <c r="AH329">
        <v>0</v>
      </c>
      <c r="AI329">
        <v>0</v>
      </c>
      <c r="AJ329">
        <v>0</v>
      </c>
      <c r="AK329">
        <v>1</v>
      </c>
      <c r="AL329">
        <v>28</v>
      </c>
      <c r="AM329">
        <v>23</v>
      </c>
      <c r="AN329">
        <v>1</v>
      </c>
      <c r="AO329">
        <v>53</v>
      </c>
      <c r="AP329">
        <v>34</v>
      </c>
      <c r="AQ329">
        <v>6</v>
      </c>
      <c r="AR329">
        <v>2</v>
      </c>
      <c r="AS329">
        <v>19</v>
      </c>
      <c r="AT329">
        <v>3</v>
      </c>
    </row>
    <row r="330" spans="1:46">
      <c r="A330">
        <v>5339</v>
      </c>
      <c r="B330" t="s">
        <v>2512</v>
      </c>
      <c r="C330" t="s">
        <v>2513</v>
      </c>
      <c r="D330" t="s">
        <v>2514</v>
      </c>
      <c r="E330" t="s">
        <v>1685</v>
      </c>
      <c r="F330" t="s">
        <v>2426</v>
      </c>
      <c r="G330" t="s">
        <v>2427</v>
      </c>
      <c r="H330" t="s">
        <v>517</v>
      </c>
      <c r="J330" t="s">
        <v>518</v>
      </c>
      <c r="K330" t="s">
        <v>519</v>
      </c>
      <c r="M330" t="s">
        <v>2287</v>
      </c>
      <c r="N330" t="s">
        <v>539</v>
      </c>
      <c r="O330" t="s">
        <v>2428</v>
      </c>
      <c r="P330" t="s">
        <v>654</v>
      </c>
      <c r="Q330" t="s">
        <v>2319</v>
      </c>
      <c r="R330" t="s">
        <v>2289</v>
      </c>
      <c r="S330" t="s">
        <v>2429</v>
      </c>
      <c r="T330" t="s">
        <v>2085</v>
      </c>
      <c r="U330">
        <v>247000</v>
      </c>
      <c r="V330" t="s">
        <v>2515</v>
      </c>
      <c r="W330" t="s">
        <v>2431</v>
      </c>
      <c r="X330" t="s">
        <v>2432</v>
      </c>
      <c r="Y330" t="s">
        <v>2433</v>
      </c>
      <c r="AA330" t="s">
        <v>2434</v>
      </c>
      <c r="AB330" t="s">
        <v>2435</v>
      </c>
      <c r="AC330">
        <v>99090</v>
      </c>
      <c r="AD330" t="s">
        <v>2436</v>
      </c>
      <c r="AE330">
        <v>-41.253586689999999</v>
      </c>
      <c r="AF330">
        <v>174.94997881</v>
      </c>
      <c r="AG330">
        <v>45</v>
      </c>
      <c r="AH330">
        <v>0</v>
      </c>
      <c r="AI330">
        <v>0</v>
      </c>
      <c r="AJ330">
        <v>0</v>
      </c>
      <c r="AK330">
        <v>1</v>
      </c>
      <c r="AL330">
        <v>20</v>
      </c>
      <c r="AM330">
        <v>19</v>
      </c>
      <c r="AN330">
        <v>0</v>
      </c>
      <c r="AO330">
        <v>40</v>
      </c>
      <c r="AP330">
        <v>11</v>
      </c>
      <c r="AQ330">
        <v>20</v>
      </c>
      <c r="AR330">
        <v>14</v>
      </c>
      <c r="AS330">
        <v>11</v>
      </c>
      <c r="AT330">
        <v>4</v>
      </c>
    </row>
    <row r="331" spans="1:46">
      <c r="A331">
        <v>5340</v>
      </c>
      <c r="B331" t="s">
        <v>2516</v>
      </c>
      <c r="C331" t="s">
        <v>2517</v>
      </c>
      <c r="D331" t="s">
        <v>2518</v>
      </c>
      <c r="E331" t="s">
        <v>2519</v>
      </c>
      <c r="F331" t="s">
        <v>2441</v>
      </c>
      <c r="G331" t="s">
        <v>2427</v>
      </c>
      <c r="H331" t="s">
        <v>517</v>
      </c>
      <c r="J331" t="s">
        <v>518</v>
      </c>
      <c r="K331" t="s">
        <v>519</v>
      </c>
      <c r="M331" t="s">
        <v>2287</v>
      </c>
      <c r="N331" t="s">
        <v>571</v>
      </c>
      <c r="O331" t="s">
        <v>2428</v>
      </c>
      <c r="P331" t="s">
        <v>654</v>
      </c>
      <c r="Q331" t="s">
        <v>2319</v>
      </c>
      <c r="R331" t="s">
        <v>2289</v>
      </c>
      <c r="S331" t="s">
        <v>2429</v>
      </c>
      <c r="T331" t="s">
        <v>2448</v>
      </c>
      <c r="U331">
        <v>245500</v>
      </c>
      <c r="V331" t="s">
        <v>2520</v>
      </c>
      <c r="W331" t="s">
        <v>2455</v>
      </c>
      <c r="X331" t="s">
        <v>2432</v>
      </c>
      <c r="Y331" t="s">
        <v>2433</v>
      </c>
      <c r="AA331" t="s">
        <v>2434</v>
      </c>
      <c r="AB331" t="s">
        <v>2435</v>
      </c>
      <c r="AE331">
        <v>-41.216172729999997</v>
      </c>
      <c r="AF331">
        <v>174.92259376000001</v>
      </c>
      <c r="AG331">
        <v>44</v>
      </c>
      <c r="AH331">
        <v>0</v>
      </c>
      <c r="AI331">
        <v>0</v>
      </c>
      <c r="AJ331">
        <v>0</v>
      </c>
      <c r="AK331">
        <v>0</v>
      </c>
      <c r="AL331">
        <v>22</v>
      </c>
      <c r="AM331">
        <v>26</v>
      </c>
      <c r="AN331">
        <v>1</v>
      </c>
      <c r="AO331">
        <v>49</v>
      </c>
      <c r="AP331">
        <v>35</v>
      </c>
      <c r="AQ331">
        <v>7</v>
      </c>
      <c r="AR331">
        <v>2</v>
      </c>
      <c r="AS331">
        <v>13</v>
      </c>
      <c r="AT331">
        <v>1</v>
      </c>
    </row>
    <row r="332" spans="1:46">
      <c r="A332">
        <v>5341</v>
      </c>
      <c r="B332" t="s">
        <v>2521</v>
      </c>
      <c r="C332" t="s">
        <v>2522</v>
      </c>
      <c r="D332" t="s">
        <v>2523</v>
      </c>
      <c r="E332" t="s">
        <v>2524</v>
      </c>
      <c r="F332" t="s">
        <v>2525</v>
      </c>
      <c r="G332" t="s">
        <v>2526</v>
      </c>
      <c r="H332" t="s">
        <v>517</v>
      </c>
      <c r="J332" t="s">
        <v>518</v>
      </c>
      <c r="K332" t="s">
        <v>519</v>
      </c>
      <c r="M332" t="s">
        <v>2287</v>
      </c>
      <c r="N332" t="s">
        <v>539</v>
      </c>
      <c r="O332" t="s">
        <v>2527</v>
      </c>
      <c r="P332" t="s">
        <v>584</v>
      </c>
      <c r="Q332" t="s">
        <v>2319</v>
      </c>
      <c r="R332" t="s">
        <v>2289</v>
      </c>
      <c r="S332" t="s">
        <v>2528</v>
      </c>
      <c r="T332" t="s">
        <v>1485</v>
      </c>
      <c r="U332">
        <v>240300</v>
      </c>
      <c r="V332" t="s">
        <v>2525</v>
      </c>
      <c r="W332" t="s">
        <v>2529</v>
      </c>
      <c r="X332" t="s">
        <v>1889</v>
      </c>
      <c r="Y332" t="s">
        <v>1890</v>
      </c>
      <c r="AA332" t="s">
        <v>1891</v>
      </c>
      <c r="AB332" t="s">
        <v>1892</v>
      </c>
      <c r="AC332">
        <v>99068</v>
      </c>
      <c r="AD332" t="s">
        <v>2530</v>
      </c>
      <c r="AE332">
        <v>-41.12024641</v>
      </c>
      <c r="AF332">
        <v>174.87180882000001</v>
      </c>
      <c r="AG332">
        <v>42</v>
      </c>
      <c r="AH332">
        <v>0</v>
      </c>
      <c r="AI332">
        <v>0</v>
      </c>
      <c r="AJ332">
        <v>0</v>
      </c>
      <c r="AK332">
        <v>4</v>
      </c>
      <c r="AL332">
        <v>13</v>
      </c>
      <c r="AM332">
        <v>15</v>
      </c>
      <c r="AN332">
        <v>0</v>
      </c>
      <c r="AO332">
        <v>32</v>
      </c>
      <c r="AP332">
        <v>10</v>
      </c>
      <c r="AQ332">
        <v>9</v>
      </c>
      <c r="AR332">
        <v>14</v>
      </c>
      <c r="AS332">
        <v>9</v>
      </c>
      <c r="AT332">
        <v>2</v>
      </c>
    </row>
    <row r="333" spans="1:46">
      <c r="A333">
        <v>5342</v>
      </c>
      <c r="B333" t="s">
        <v>2531</v>
      </c>
      <c r="C333" t="s">
        <v>2532</v>
      </c>
      <c r="D333" t="s">
        <v>2533</v>
      </c>
      <c r="E333" t="s">
        <v>2534</v>
      </c>
      <c r="F333" t="s">
        <v>2535</v>
      </c>
      <c r="G333" t="s">
        <v>2289</v>
      </c>
      <c r="H333" t="s">
        <v>517</v>
      </c>
      <c r="J333" t="s">
        <v>518</v>
      </c>
      <c r="K333" t="s">
        <v>519</v>
      </c>
      <c r="M333" t="s">
        <v>2287</v>
      </c>
      <c r="N333" t="s">
        <v>571</v>
      </c>
      <c r="O333" t="s">
        <v>2536</v>
      </c>
      <c r="P333" t="s">
        <v>654</v>
      </c>
      <c r="Q333" t="s">
        <v>2319</v>
      </c>
      <c r="R333" t="s">
        <v>2289</v>
      </c>
      <c r="S333" t="s">
        <v>2537</v>
      </c>
      <c r="T333" t="s">
        <v>2448</v>
      </c>
      <c r="U333">
        <v>253300</v>
      </c>
      <c r="V333" t="s">
        <v>2535</v>
      </c>
      <c r="W333" t="s">
        <v>2538</v>
      </c>
      <c r="X333" t="s">
        <v>1889</v>
      </c>
      <c r="Y333" t="s">
        <v>1890</v>
      </c>
      <c r="AA333" t="s">
        <v>1891</v>
      </c>
      <c r="AB333" t="s">
        <v>1892</v>
      </c>
      <c r="AC333">
        <v>99171</v>
      </c>
      <c r="AD333" t="s">
        <v>2539</v>
      </c>
      <c r="AE333">
        <v>-41.319706099999998</v>
      </c>
      <c r="AF333">
        <v>174.77292786000001</v>
      </c>
      <c r="AG333">
        <v>40</v>
      </c>
      <c r="AH333">
        <v>0</v>
      </c>
      <c r="AI333">
        <v>0</v>
      </c>
      <c r="AJ333">
        <v>0</v>
      </c>
      <c r="AK333">
        <v>4</v>
      </c>
      <c r="AL333">
        <v>17</v>
      </c>
      <c r="AM333">
        <v>21</v>
      </c>
      <c r="AN333">
        <v>1</v>
      </c>
      <c r="AO333">
        <v>43</v>
      </c>
      <c r="AP333">
        <v>17</v>
      </c>
      <c r="AQ333">
        <v>3</v>
      </c>
      <c r="AR333">
        <v>4</v>
      </c>
      <c r="AS333">
        <v>18</v>
      </c>
      <c r="AT333">
        <v>11</v>
      </c>
    </row>
    <row r="334" spans="1:46">
      <c r="A334">
        <v>5343</v>
      </c>
      <c r="B334" t="s">
        <v>2540</v>
      </c>
      <c r="C334" t="s">
        <v>2541</v>
      </c>
      <c r="D334" t="s">
        <v>2542</v>
      </c>
      <c r="E334" t="s">
        <v>2543</v>
      </c>
      <c r="F334" t="s">
        <v>2544</v>
      </c>
      <c r="G334" t="s">
        <v>2289</v>
      </c>
      <c r="H334" t="s">
        <v>517</v>
      </c>
      <c r="J334" t="s">
        <v>518</v>
      </c>
      <c r="K334" t="s">
        <v>519</v>
      </c>
      <c r="M334" t="s">
        <v>2287</v>
      </c>
      <c r="N334" t="s">
        <v>571</v>
      </c>
      <c r="O334" t="s">
        <v>2536</v>
      </c>
      <c r="P334" t="s">
        <v>654</v>
      </c>
      <c r="Q334" t="s">
        <v>2319</v>
      </c>
      <c r="R334" t="s">
        <v>2289</v>
      </c>
      <c r="S334" t="s">
        <v>2545</v>
      </c>
      <c r="T334" t="s">
        <v>1485</v>
      </c>
      <c r="U334">
        <v>247600</v>
      </c>
      <c r="V334" t="s">
        <v>2546</v>
      </c>
      <c r="W334" t="s">
        <v>2547</v>
      </c>
      <c r="X334" t="s">
        <v>1889</v>
      </c>
      <c r="Y334" t="s">
        <v>1890</v>
      </c>
      <c r="AA334" t="s">
        <v>1891</v>
      </c>
      <c r="AB334" t="s">
        <v>1892</v>
      </c>
      <c r="AE334">
        <v>-41.164439360000003</v>
      </c>
      <c r="AF334">
        <v>174.82363907999999</v>
      </c>
      <c r="AG334">
        <v>41</v>
      </c>
      <c r="AH334">
        <v>0</v>
      </c>
      <c r="AI334">
        <v>0</v>
      </c>
      <c r="AJ334">
        <v>0</v>
      </c>
      <c r="AK334">
        <v>10</v>
      </c>
      <c r="AL334">
        <v>18</v>
      </c>
      <c r="AM334">
        <v>19</v>
      </c>
      <c r="AN334">
        <v>0</v>
      </c>
      <c r="AO334">
        <v>47</v>
      </c>
      <c r="AP334">
        <v>32</v>
      </c>
      <c r="AQ334">
        <v>9</v>
      </c>
      <c r="AR334">
        <v>4</v>
      </c>
      <c r="AS334">
        <v>13</v>
      </c>
      <c r="AT334">
        <v>3</v>
      </c>
    </row>
    <row r="335" spans="1:46">
      <c r="A335">
        <v>5344</v>
      </c>
      <c r="B335" t="s">
        <v>2548</v>
      </c>
      <c r="C335" t="s">
        <v>2549</v>
      </c>
      <c r="D335" t="s">
        <v>2550</v>
      </c>
      <c r="E335" t="s">
        <v>2551</v>
      </c>
      <c r="F335" t="s">
        <v>2552</v>
      </c>
      <c r="G335" t="s">
        <v>2289</v>
      </c>
      <c r="H335" t="s">
        <v>517</v>
      </c>
      <c r="J335" t="s">
        <v>518</v>
      </c>
      <c r="K335" t="s">
        <v>519</v>
      </c>
      <c r="M335" t="s">
        <v>2287</v>
      </c>
      <c r="N335" t="s">
        <v>571</v>
      </c>
      <c r="O335" t="s">
        <v>2536</v>
      </c>
      <c r="P335" t="s">
        <v>654</v>
      </c>
      <c r="Q335" t="s">
        <v>2319</v>
      </c>
      <c r="R335" t="s">
        <v>2289</v>
      </c>
      <c r="S335" t="s">
        <v>2553</v>
      </c>
      <c r="T335" t="s">
        <v>2448</v>
      </c>
      <c r="U335">
        <v>252200</v>
      </c>
      <c r="V335" t="s">
        <v>2554</v>
      </c>
      <c r="W335" t="s">
        <v>2538</v>
      </c>
      <c r="X335" t="s">
        <v>1889</v>
      </c>
      <c r="Y335" t="s">
        <v>1890</v>
      </c>
      <c r="AA335" t="s">
        <v>1891</v>
      </c>
      <c r="AB335" t="s">
        <v>1892</v>
      </c>
      <c r="AE335">
        <v>-41.30671014</v>
      </c>
      <c r="AF335">
        <v>174.76028486000001</v>
      </c>
      <c r="AG335">
        <v>40</v>
      </c>
      <c r="AH335">
        <v>0</v>
      </c>
      <c r="AI335">
        <v>0</v>
      </c>
      <c r="AJ335">
        <v>0</v>
      </c>
      <c r="AK335">
        <v>16</v>
      </c>
      <c r="AL335">
        <v>14</v>
      </c>
      <c r="AM335">
        <v>22</v>
      </c>
      <c r="AN335">
        <v>0</v>
      </c>
      <c r="AO335">
        <v>52</v>
      </c>
      <c r="AP335">
        <v>44</v>
      </c>
      <c r="AQ335">
        <v>3</v>
      </c>
      <c r="AR335">
        <v>2</v>
      </c>
      <c r="AS335">
        <v>10</v>
      </c>
      <c r="AT335">
        <v>4</v>
      </c>
    </row>
    <row r="336" spans="1:46">
      <c r="A336">
        <v>5345</v>
      </c>
      <c r="B336" t="s">
        <v>2555</v>
      </c>
      <c r="C336" t="s">
        <v>2556</v>
      </c>
      <c r="D336" t="s">
        <v>2557</v>
      </c>
      <c r="E336" t="s">
        <v>2558</v>
      </c>
      <c r="F336" t="s">
        <v>2559</v>
      </c>
      <c r="G336" t="s">
        <v>2289</v>
      </c>
      <c r="H336" t="s">
        <v>517</v>
      </c>
      <c r="J336" t="s">
        <v>518</v>
      </c>
      <c r="K336" t="s">
        <v>519</v>
      </c>
      <c r="M336" t="s">
        <v>2287</v>
      </c>
      <c r="N336" t="s">
        <v>571</v>
      </c>
      <c r="O336" t="s">
        <v>2536</v>
      </c>
      <c r="P336" t="s">
        <v>654</v>
      </c>
      <c r="Q336" t="s">
        <v>2319</v>
      </c>
      <c r="R336" t="s">
        <v>2289</v>
      </c>
      <c r="S336" t="s">
        <v>2553</v>
      </c>
      <c r="T336" t="s">
        <v>2448</v>
      </c>
      <c r="U336">
        <v>250600</v>
      </c>
      <c r="V336" t="s">
        <v>2560</v>
      </c>
      <c r="W336" t="s">
        <v>2561</v>
      </c>
      <c r="X336" t="s">
        <v>1889</v>
      </c>
      <c r="Y336" t="s">
        <v>1890</v>
      </c>
      <c r="AA336" t="s">
        <v>1891</v>
      </c>
      <c r="AB336" t="s">
        <v>1892</v>
      </c>
      <c r="AE336">
        <v>-41.28595069</v>
      </c>
      <c r="AF336">
        <v>174.74005982</v>
      </c>
      <c r="AG336">
        <v>32</v>
      </c>
      <c r="AH336">
        <v>0</v>
      </c>
      <c r="AI336">
        <v>0</v>
      </c>
      <c r="AJ336">
        <v>0</v>
      </c>
      <c r="AK336">
        <v>10</v>
      </c>
      <c r="AL336">
        <v>11</v>
      </c>
      <c r="AM336">
        <v>20</v>
      </c>
      <c r="AN336">
        <v>0</v>
      </c>
      <c r="AO336">
        <v>41</v>
      </c>
      <c r="AP336">
        <v>25</v>
      </c>
      <c r="AQ336">
        <v>2</v>
      </c>
      <c r="AR336">
        <v>0</v>
      </c>
      <c r="AS336">
        <v>16</v>
      </c>
      <c r="AT336">
        <v>3</v>
      </c>
    </row>
    <row r="337" spans="1:46">
      <c r="A337">
        <v>5346</v>
      </c>
      <c r="B337" t="s">
        <v>2562</v>
      </c>
      <c r="C337" t="s">
        <v>2563</v>
      </c>
      <c r="D337" t="s">
        <v>2564</v>
      </c>
      <c r="E337" t="s">
        <v>2565</v>
      </c>
      <c r="F337" t="s">
        <v>2566</v>
      </c>
      <c r="G337" t="s">
        <v>2289</v>
      </c>
      <c r="H337" t="s">
        <v>517</v>
      </c>
      <c r="J337" t="s">
        <v>518</v>
      </c>
      <c r="K337" t="s">
        <v>519</v>
      </c>
      <c r="M337" t="s">
        <v>2287</v>
      </c>
      <c r="N337" t="s">
        <v>571</v>
      </c>
      <c r="O337" t="s">
        <v>2536</v>
      </c>
      <c r="P337" t="s">
        <v>654</v>
      </c>
      <c r="Q337" t="s">
        <v>2319</v>
      </c>
      <c r="R337" t="s">
        <v>2289</v>
      </c>
      <c r="S337" t="s">
        <v>2545</v>
      </c>
      <c r="T337" t="s">
        <v>2448</v>
      </c>
      <c r="U337">
        <v>248301</v>
      </c>
      <c r="V337" t="s">
        <v>2567</v>
      </c>
      <c r="W337" t="s">
        <v>2547</v>
      </c>
      <c r="X337" t="s">
        <v>1889</v>
      </c>
      <c r="Y337" t="s">
        <v>1890</v>
      </c>
      <c r="AA337" t="s">
        <v>1891</v>
      </c>
      <c r="AB337" t="s">
        <v>1892</v>
      </c>
      <c r="AE337">
        <v>-41.208826049999999</v>
      </c>
      <c r="AF337">
        <v>174.80825100999999</v>
      </c>
      <c r="AG337">
        <v>44</v>
      </c>
      <c r="AH337">
        <v>0</v>
      </c>
      <c r="AI337">
        <v>0</v>
      </c>
      <c r="AJ337">
        <v>0</v>
      </c>
      <c r="AK337">
        <v>5</v>
      </c>
      <c r="AL337">
        <v>24</v>
      </c>
      <c r="AM337">
        <v>25</v>
      </c>
      <c r="AN337">
        <v>2</v>
      </c>
      <c r="AO337">
        <v>56</v>
      </c>
      <c r="AP337">
        <v>18</v>
      </c>
      <c r="AQ337">
        <v>7</v>
      </c>
      <c r="AR337">
        <v>3</v>
      </c>
      <c r="AS337">
        <v>27</v>
      </c>
      <c r="AT337">
        <v>21</v>
      </c>
    </row>
    <row r="338" spans="1:46">
      <c r="A338">
        <v>5347</v>
      </c>
      <c r="B338" t="s">
        <v>2568</v>
      </c>
      <c r="C338" t="s">
        <v>2569</v>
      </c>
      <c r="E338" t="s">
        <v>2570</v>
      </c>
      <c r="F338" t="s">
        <v>2571</v>
      </c>
      <c r="G338" t="s">
        <v>2289</v>
      </c>
      <c r="H338" t="s">
        <v>517</v>
      </c>
      <c r="J338" t="s">
        <v>518</v>
      </c>
      <c r="K338" t="s">
        <v>519</v>
      </c>
      <c r="M338" t="s">
        <v>2287</v>
      </c>
      <c r="N338" t="s">
        <v>571</v>
      </c>
      <c r="O338" t="s">
        <v>2536</v>
      </c>
      <c r="P338" t="s">
        <v>654</v>
      </c>
      <c r="Q338" t="s">
        <v>2319</v>
      </c>
      <c r="R338" t="s">
        <v>2289</v>
      </c>
      <c r="S338" t="s">
        <v>2553</v>
      </c>
      <c r="T338" t="s">
        <v>2448</v>
      </c>
      <c r="U338">
        <v>252501</v>
      </c>
      <c r="V338" t="s">
        <v>2572</v>
      </c>
      <c r="W338" t="s">
        <v>2573</v>
      </c>
      <c r="X338" t="s">
        <v>1889</v>
      </c>
      <c r="Y338" t="s">
        <v>1890</v>
      </c>
      <c r="AA338" t="s">
        <v>1891</v>
      </c>
      <c r="AB338" t="s">
        <v>1892</v>
      </c>
      <c r="AC338">
        <v>99171</v>
      </c>
      <c r="AD338" t="s">
        <v>2539</v>
      </c>
      <c r="AE338">
        <v>-41.296207000000003</v>
      </c>
      <c r="AF338">
        <v>174.78524024999999</v>
      </c>
      <c r="AG338">
        <v>30</v>
      </c>
      <c r="AH338">
        <v>0</v>
      </c>
      <c r="AI338">
        <v>0</v>
      </c>
      <c r="AJ338">
        <v>0</v>
      </c>
      <c r="AK338">
        <v>9</v>
      </c>
      <c r="AL338">
        <v>8</v>
      </c>
      <c r="AM338">
        <v>10</v>
      </c>
      <c r="AN338">
        <v>1</v>
      </c>
      <c r="AO338">
        <v>28</v>
      </c>
      <c r="AP338">
        <v>10</v>
      </c>
      <c r="AQ338">
        <v>0</v>
      </c>
      <c r="AR338">
        <v>2</v>
      </c>
      <c r="AS338">
        <v>15</v>
      </c>
      <c r="AT338">
        <v>2</v>
      </c>
    </row>
    <row r="339" spans="1:46">
      <c r="A339">
        <v>5348</v>
      </c>
      <c r="B339" t="s">
        <v>2574</v>
      </c>
      <c r="C339" t="s">
        <v>2575</v>
      </c>
      <c r="D339" t="s">
        <v>2576</v>
      </c>
      <c r="E339" t="s">
        <v>2577</v>
      </c>
      <c r="F339" t="s">
        <v>2578</v>
      </c>
      <c r="G339" t="s">
        <v>2526</v>
      </c>
      <c r="H339" t="s">
        <v>517</v>
      </c>
      <c r="J339" t="s">
        <v>518</v>
      </c>
      <c r="K339" t="s">
        <v>519</v>
      </c>
      <c r="M339" t="s">
        <v>2287</v>
      </c>
      <c r="N339" t="s">
        <v>571</v>
      </c>
      <c r="O339" t="s">
        <v>2527</v>
      </c>
      <c r="P339" t="s">
        <v>584</v>
      </c>
      <c r="Q339" t="s">
        <v>2319</v>
      </c>
      <c r="R339" t="s">
        <v>2289</v>
      </c>
      <c r="S339" t="s">
        <v>2528</v>
      </c>
      <c r="T339" t="s">
        <v>1485</v>
      </c>
      <c r="U339">
        <v>240401</v>
      </c>
      <c r="V339" t="s">
        <v>2578</v>
      </c>
      <c r="W339" t="s">
        <v>2579</v>
      </c>
      <c r="X339" t="s">
        <v>1889</v>
      </c>
      <c r="Y339" t="s">
        <v>1890</v>
      </c>
      <c r="AA339" t="s">
        <v>1891</v>
      </c>
      <c r="AB339" t="s">
        <v>1892</v>
      </c>
      <c r="AC339">
        <v>99068</v>
      </c>
      <c r="AD339" t="s">
        <v>2530</v>
      </c>
      <c r="AE339">
        <v>-41.110839759999998</v>
      </c>
      <c r="AF339">
        <v>174.88911028999999</v>
      </c>
      <c r="AG339">
        <v>42</v>
      </c>
      <c r="AH339">
        <v>0</v>
      </c>
      <c r="AI339">
        <v>0</v>
      </c>
      <c r="AJ339">
        <v>0</v>
      </c>
      <c r="AK339">
        <v>2</v>
      </c>
      <c r="AL339">
        <v>11</v>
      </c>
      <c r="AM339">
        <v>37</v>
      </c>
      <c r="AN339">
        <v>0</v>
      </c>
      <c r="AO339">
        <v>50</v>
      </c>
      <c r="AP339">
        <v>29</v>
      </c>
      <c r="AQ339">
        <v>17</v>
      </c>
      <c r="AR339">
        <v>9</v>
      </c>
      <c r="AS339">
        <v>6</v>
      </c>
      <c r="AT339">
        <v>14</v>
      </c>
    </row>
    <row r="340" spans="1:46">
      <c r="A340">
        <v>5349</v>
      </c>
      <c r="B340" t="s">
        <v>2580</v>
      </c>
      <c r="C340" t="s">
        <v>2581</v>
      </c>
      <c r="D340" t="s">
        <v>2582</v>
      </c>
      <c r="E340" t="s">
        <v>2583</v>
      </c>
      <c r="F340" t="s">
        <v>2584</v>
      </c>
      <c r="G340" t="s">
        <v>2427</v>
      </c>
      <c r="H340" t="s">
        <v>517</v>
      </c>
      <c r="J340" t="s">
        <v>518</v>
      </c>
      <c r="K340" t="s">
        <v>519</v>
      </c>
      <c r="M340" t="s">
        <v>2287</v>
      </c>
      <c r="N340" t="s">
        <v>571</v>
      </c>
      <c r="O340" t="s">
        <v>2428</v>
      </c>
      <c r="P340" t="s">
        <v>654</v>
      </c>
      <c r="Q340" t="s">
        <v>2319</v>
      </c>
      <c r="R340" t="s">
        <v>2289</v>
      </c>
      <c r="S340" t="s">
        <v>2429</v>
      </c>
      <c r="T340" t="s">
        <v>2448</v>
      </c>
      <c r="U340">
        <v>247200</v>
      </c>
      <c r="V340" t="s">
        <v>2584</v>
      </c>
      <c r="W340" t="s">
        <v>2491</v>
      </c>
      <c r="X340" t="s">
        <v>1889</v>
      </c>
      <c r="Y340" t="s">
        <v>1890</v>
      </c>
      <c r="AA340" t="s">
        <v>1891</v>
      </c>
      <c r="AB340" t="s">
        <v>1892</v>
      </c>
      <c r="AE340">
        <v>-41.288453969999999</v>
      </c>
      <c r="AF340">
        <v>174.90095572999999</v>
      </c>
      <c r="AG340">
        <v>42</v>
      </c>
      <c r="AH340">
        <v>0</v>
      </c>
      <c r="AI340">
        <v>0</v>
      </c>
      <c r="AJ340">
        <v>0</v>
      </c>
      <c r="AK340">
        <v>2</v>
      </c>
      <c r="AL340">
        <v>24</v>
      </c>
      <c r="AM340">
        <v>23</v>
      </c>
      <c r="AN340">
        <v>2</v>
      </c>
      <c r="AO340">
        <v>51</v>
      </c>
      <c r="AP340">
        <v>30</v>
      </c>
      <c r="AQ340">
        <v>5</v>
      </c>
      <c r="AR340">
        <v>0</v>
      </c>
      <c r="AS340">
        <v>6</v>
      </c>
      <c r="AT340">
        <v>20</v>
      </c>
    </row>
    <row r="341" spans="1:46">
      <c r="A341">
        <v>5350</v>
      </c>
      <c r="B341" t="s">
        <v>2585</v>
      </c>
      <c r="C341" t="s">
        <v>2586</v>
      </c>
      <c r="D341" t="s">
        <v>2587</v>
      </c>
      <c r="E341" t="s">
        <v>2588</v>
      </c>
      <c r="F341" t="s">
        <v>2589</v>
      </c>
      <c r="G341" t="s">
        <v>2289</v>
      </c>
      <c r="H341" t="s">
        <v>517</v>
      </c>
      <c r="J341" t="s">
        <v>518</v>
      </c>
      <c r="K341" t="s">
        <v>519</v>
      </c>
      <c r="M341" t="s">
        <v>2287</v>
      </c>
      <c r="N341" t="s">
        <v>571</v>
      </c>
      <c r="O341" t="s">
        <v>2536</v>
      </c>
      <c r="P341" t="s">
        <v>654</v>
      </c>
      <c r="Q341" t="s">
        <v>2319</v>
      </c>
      <c r="R341" t="s">
        <v>2289</v>
      </c>
      <c r="S341" t="s">
        <v>2537</v>
      </c>
      <c r="T341" t="s">
        <v>2448</v>
      </c>
      <c r="U341">
        <v>253101</v>
      </c>
      <c r="V341" t="s">
        <v>2590</v>
      </c>
      <c r="W341" t="s">
        <v>2591</v>
      </c>
      <c r="X341" t="s">
        <v>1889</v>
      </c>
      <c r="Y341" t="s">
        <v>1890</v>
      </c>
      <c r="AA341" t="s">
        <v>1891</v>
      </c>
      <c r="AB341" t="s">
        <v>1892</v>
      </c>
      <c r="AC341">
        <v>99141</v>
      </c>
      <c r="AD341" t="s">
        <v>2592</v>
      </c>
      <c r="AE341">
        <v>-41.304268960000002</v>
      </c>
      <c r="AF341">
        <v>174.79280560000001</v>
      </c>
      <c r="AG341">
        <v>42</v>
      </c>
      <c r="AH341">
        <v>0</v>
      </c>
      <c r="AI341">
        <v>0</v>
      </c>
      <c r="AJ341">
        <v>0</v>
      </c>
      <c r="AK341">
        <v>3</v>
      </c>
      <c r="AL341">
        <v>25</v>
      </c>
      <c r="AM341">
        <v>33</v>
      </c>
      <c r="AN341">
        <v>1</v>
      </c>
      <c r="AO341">
        <v>62</v>
      </c>
      <c r="AP341">
        <v>51</v>
      </c>
      <c r="AQ341">
        <v>6</v>
      </c>
      <c r="AR341">
        <v>1</v>
      </c>
      <c r="AS341">
        <v>15</v>
      </c>
      <c r="AT341">
        <v>4</v>
      </c>
    </row>
    <row r="342" spans="1:46">
      <c r="A342">
        <v>5352</v>
      </c>
      <c r="B342" t="s">
        <v>2593</v>
      </c>
      <c r="C342" t="s">
        <v>2594</v>
      </c>
      <c r="D342" t="s">
        <v>2595</v>
      </c>
      <c r="E342" t="s">
        <v>2596</v>
      </c>
      <c r="F342" t="s">
        <v>2597</v>
      </c>
      <c r="G342" t="s">
        <v>2289</v>
      </c>
      <c r="H342" t="s">
        <v>517</v>
      </c>
      <c r="J342" t="s">
        <v>518</v>
      </c>
      <c r="K342" t="s">
        <v>519</v>
      </c>
      <c r="M342" t="s">
        <v>2287</v>
      </c>
      <c r="N342" t="s">
        <v>571</v>
      </c>
      <c r="O342" t="s">
        <v>2536</v>
      </c>
      <c r="P342" t="s">
        <v>654</v>
      </c>
      <c r="Q342" t="s">
        <v>2319</v>
      </c>
      <c r="R342" t="s">
        <v>2289</v>
      </c>
      <c r="S342" t="s">
        <v>2545</v>
      </c>
      <c r="T342" t="s">
        <v>2448</v>
      </c>
      <c r="U342">
        <v>248900</v>
      </c>
      <c r="V342" t="s">
        <v>2598</v>
      </c>
      <c r="W342" t="s">
        <v>2547</v>
      </c>
      <c r="X342" t="s">
        <v>1889</v>
      </c>
      <c r="Y342" t="s">
        <v>1890</v>
      </c>
      <c r="AA342" t="s">
        <v>1891</v>
      </c>
      <c r="AB342" t="s">
        <v>1892</v>
      </c>
      <c r="AE342">
        <v>-41.22288691</v>
      </c>
      <c r="AF342">
        <v>174.80478528</v>
      </c>
      <c r="AG342">
        <v>40</v>
      </c>
      <c r="AH342">
        <v>0</v>
      </c>
      <c r="AI342">
        <v>0</v>
      </c>
      <c r="AJ342">
        <v>0</v>
      </c>
      <c r="AK342">
        <v>2</v>
      </c>
      <c r="AL342">
        <v>10</v>
      </c>
      <c r="AM342">
        <v>24</v>
      </c>
      <c r="AN342">
        <v>0</v>
      </c>
      <c r="AO342">
        <v>36</v>
      </c>
      <c r="AP342">
        <v>19</v>
      </c>
      <c r="AQ342">
        <v>6</v>
      </c>
      <c r="AR342">
        <v>4</v>
      </c>
      <c r="AS342">
        <v>10</v>
      </c>
      <c r="AT342">
        <v>8</v>
      </c>
    </row>
    <row r="343" spans="1:46">
      <c r="A343">
        <v>5353</v>
      </c>
      <c r="B343" t="s">
        <v>2599</v>
      </c>
      <c r="C343" t="s">
        <v>2600</v>
      </c>
      <c r="D343" t="s">
        <v>2601</v>
      </c>
      <c r="E343" t="s">
        <v>2602</v>
      </c>
      <c r="F343" t="s">
        <v>2597</v>
      </c>
      <c r="G343" t="s">
        <v>2289</v>
      </c>
      <c r="H343" t="s">
        <v>517</v>
      </c>
      <c r="J343" t="s">
        <v>518</v>
      </c>
      <c r="K343" t="s">
        <v>519</v>
      </c>
      <c r="M343" t="s">
        <v>2287</v>
      </c>
      <c r="N343" t="s">
        <v>571</v>
      </c>
      <c r="O343" t="s">
        <v>2536</v>
      </c>
      <c r="P343" t="s">
        <v>654</v>
      </c>
      <c r="Q343" t="s">
        <v>2319</v>
      </c>
      <c r="R343" t="s">
        <v>2289</v>
      </c>
      <c r="S343" t="s">
        <v>2545</v>
      </c>
      <c r="T343" t="s">
        <v>2448</v>
      </c>
      <c r="U343">
        <v>248400</v>
      </c>
      <c r="V343" t="s">
        <v>2603</v>
      </c>
      <c r="W343" t="s">
        <v>2547</v>
      </c>
      <c r="X343" t="s">
        <v>1889</v>
      </c>
      <c r="Y343" t="s">
        <v>1890</v>
      </c>
      <c r="AA343" t="s">
        <v>1891</v>
      </c>
      <c r="AB343" t="s">
        <v>1892</v>
      </c>
      <c r="AE343">
        <v>-41.226139160000002</v>
      </c>
      <c r="AF343">
        <v>174.79758973</v>
      </c>
      <c r="AG343">
        <v>40</v>
      </c>
      <c r="AH343">
        <v>0</v>
      </c>
      <c r="AI343">
        <v>0</v>
      </c>
      <c r="AJ343">
        <v>0</v>
      </c>
      <c r="AK343">
        <v>1</v>
      </c>
      <c r="AL343">
        <v>20</v>
      </c>
      <c r="AM343">
        <v>26</v>
      </c>
      <c r="AN343">
        <v>3</v>
      </c>
      <c r="AO343">
        <v>50</v>
      </c>
      <c r="AP343">
        <v>28</v>
      </c>
      <c r="AQ343">
        <v>6</v>
      </c>
      <c r="AR343">
        <v>2</v>
      </c>
      <c r="AS343">
        <v>24</v>
      </c>
      <c r="AT343">
        <v>2</v>
      </c>
    </row>
    <row r="344" spans="1:46">
      <c r="A344">
        <v>5354</v>
      </c>
      <c r="B344" t="s">
        <v>2604</v>
      </c>
      <c r="C344" t="s">
        <v>2605</v>
      </c>
      <c r="D344" t="s">
        <v>2606</v>
      </c>
      <c r="E344" t="s">
        <v>2607</v>
      </c>
      <c r="F344" t="s">
        <v>2559</v>
      </c>
      <c r="G344" t="s">
        <v>2289</v>
      </c>
      <c r="H344" t="s">
        <v>517</v>
      </c>
      <c r="J344" t="s">
        <v>518</v>
      </c>
      <c r="K344" t="s">
        <v>519</v>
      </c>
      <c r="M344" t="s">
        <v>2287</v>
      </c>
      <c r="N344" t="s">
        <v>571</v>
      </c>
      <c r="O344" t="s">
        <v>2536</v>
      </c>
      <c r="P344" t="s">
        <v>654</v>
      </c>
      <c r="Q344" t="s">
        <v>2319</v>
      </c>
      <c r="R344" t="s">
        <v>2289</v>
      </c>
      <c r="S344" t="s">
        <v>2553</v>
      </c>
      <c r="T344" t="s">
        <v>2448</v>
      </c>
      <c r="U344">
        <v>249402</v>
      </c>
      <c r="V344" t="s">
        <v>2608</v>
      </c>
      <c r="W344" t="s">
        <v>2561</v>
      </c>
      <c r="X344" t="s">
        <v>1889</v>
      </c>
      <c r="Y344" t="s">
        <v>1890</v>
      </c>
      <c r="AA344" t="s">
        <v>1891</v>
      </c>
      <c r="AB344" t="s">
        <v>1892</v>
      </c>
      <c r="AE344">
        <v>-41.284177270000001</v>
      </c>
      <c r="AF344">
        <v>174.72509749</v>
      </c>
      <c r="AG344">
        <v>42</v>
      </c>
      <c r="AH344">
        <v>0</v>
      </c>
      <c r="AI344">
        <v>0</v>
      </c>
      <c r="AJ344">
        <v>0</v>
      </c>
      <c r="AK344">
        <v>4</v>
      </c>
      <c r="AL344">
        <v>18</v>
      </c>
      <c r="AM344">
        <v>22</v>
      </c>
      <c r="AN344">
        <v>0</v>
      </c>
      <c r="AO344">
        <v>44</v>
      </c>
      <c r="AP344">
        <v>19</v>
      </c>
      <c r="AQ344">
        <v>6</v>
      </c>
      <c r="AR344">
        <v>2</v>
      </c>
      <c r="AS344">
        <v>19</v>
      </c>
      <c r="AT344">
        <v>9</v>
      </c>
    </row>
    <row r="345" spans="1:46">
      <c r="A345">
        <v>5355</v>
      </c>
      <c r="B345" t="s">
        <v>2609</v>
      </c>
      <c r="C345" t="s">
        <v>2610</v>
      </c>
      <c r="D345" t="s">
        <v>2611</v>
      </c>
      <c r="E345" t="s">
        <v>2612</v>
      </c>
      <c r="F345" t="s">
        <v>2613</v>
      </c>
      <c r="G345" t="s">
        <v>2526</v>
      </c>
      <c r="H345" t="s">
        <v>517</v>
      </c>
      <c r="J345" t="s">
        <v>518</v>
      </c>
      <c r="K345" t="s">
        <v>519</v>
      </c>
      <c r="M345" t="s">
        <v>2287</v>
      </c>
      <c r="N345" t="s">
        <v>521</v>
      </c>
      <c r="O345" t="s">
        <v>2527</v>
      </c>
      <c r="P345" t="s">
        <v>584</v>
      </c>
      <c r="Q345" t="s">
        <v>2319</v>
      </c>
      <c r="R345" t="s">
        <v>2289</v>
      </c>
      <c r="S345" t="s">
        <v>2528</v>
      </c>
      <c r="T345" t="s">
        <v>1485</v>
      </c>
      <c r="U345">
        <v>239300</v>
      </c>
      <c r="V345" t="s">
        <v>2614</v>
      </c>
      <c r="W345" t="s">
        <v>2529</v>
      </c>
      <c r="X345" t="s">
        <v>1889</v>
      </c>
      <c r="Y345" t="s">
        <v>1890</v>
      </c>
      <c r="AA345" t="s">
        <v>1891</v>
      </c>
      <c r="AB345" t="s">
        <v>1892</v>
      </c>
      <c r="AC345">
        <v>99094</v>
      </c>
      <c r="AD345" t="s">
        <v>2615</v>
      </c>
      <c r="AE345">
        <v>-41.124790259999997</v>
      </c>
      <c r="AF345">
        <v>174.83162741000001</v>
      </c>
      <c r="AG345">
        <v>40</v>
      </c>
      <c r="AH345">
        <v>0</v>
      </c>
      <c r="AI345">
        <v>0</v>
      </c>
      <c r="AJ345">
        <v>0</v>
      </c>
      <c r="AK345">
        <v>8</v>
      </c>
      <c r="AL345">
        <v>19</v>
      </c>
      <c r="AM345">
        <v>16</v>
      </c>
      <c r="AN345">
        <v>1</v>
      </c>
      <c r="AO345">
        <v>44</v>
      </c>
      <c r="AP345">
        <v>20</v>
      </c>
      <c r="AQ345">
        <v>32</v>
      </c>
      <c r="AR345">
        <v>18</v>
      </c>
      <c r="AS345">
        <v>7</v>
      </c>
      <c r="AT345">
        <v>1</v>
      </c>
    </row>
    <row r="346" spans="1:46">
      <c r="A346">
        <v>5356</v>
      </c>
      <c r="B346" t="s">
        <v>2616</v>
      </c>
      <c r="C346" t="s">
        <v>2617</v>
      </c>
      <c r="D346" t="s">
        <v>2618</v>
      </c>
      <c r="E346" t="s">
        <v>2619</v>
      </c>
      <c r="F346" t="s">
        <v>2620</v>
      </c>
      <c r="G346" t="s">
        <v>2289</v>
      </c>
      <c r="H346" t="s">
        <v>517</v>
      </c>
      <c r="J346" t="s">
        <v>518</v>
      </c>
      <c r="K346" t="s">
        <v>519</v>
      </c>
      <c r="M346" t="s">
        <v>2287</v>
      </c>
      <c r="N346" t="s">
        <v>571</v>
      </c>
      <c r="O346" t="s">
        <v>2536</v>
      </c>
      <c r="P346" t="s">
        <v>654</v>
      </c>
      <c r="Q346" t="s">
        <v>2319</v>
      </c>
      <c r="R346" t="s">
        <v>2289</v>
      </c>
      <c r="S346" t="s">
        <v>2545</v>
      </c>
      <c r="T346" t="s">
        <v>2448</v>
      </c>
      <c r="U346">
        <v>250000</v>
      </c>
      <c r="V346" t="s">
        <v>2621</v>
      </c>
      <c r="W346" t="s">
        <v>2561</v>
      </c>
      <c r="X346" t="s">
        <v>1889</v>
      </c>
      <c r="Y346" t="s">
        <v>1890</v>
      </c>
      <c r="AA346" t="s">
        <v>1891</v>
      </c>
      <c r="AB346" t="s">
        <v>1892</v>
      </c>
      <c r="AE346">
        <v>-41.248108369999997</v>
      </c>
      <c r="AF346">
        <v>174.79348665000001</v>
      </c>
      <c r="AG346">
        <v>42</v>
      </c>
      <c r="AH346">
        <v>0</v>
      </c>
      <c r="AI346">
        <v>0</v>
      </c>
      <c r="AJ346">
        <v>0</v>
      </c>
      <c r="AK346">
        <v>9</v>
      </c>
      <c r="AL346">
        <v>21</v>
      </c>
      <c r="AM346">
        <v>21</v>
      </c>
      <c r="AN346">
        <v>0</v>
      </c>
      <c r="AO346">
        <v>51</v>
      </c>
      <c r="AP346">
        <v>46</v>
      </c>
      <c r="AQ346">
        <v>5</v>
      </c>
      <c r="AR346">
        <v>1</v>
      </c>
      <c r="AS346">
        <v>8</v>
      </c>
      <c r="AT346">
        <v>4</v>
      </c>
    </row>
    <row r="347" spans="1:46">
      <c r="A347">
        <v>5357</v>
      </c>
      <c r="B347" t="s">
        <v>2622</v>
      </c>
      <c r="C347" t="s">
        <v>2623</v>
      </c>
      <c r="D347" t="s">
        <v>2624</v>
      </c>
      <c r="E347" t="s">
        <v>2625</v>
      </c>
      <c r="F347" t="s">
        <v>2626</v>
      </c>
      <c r="G347" t="s">
        <v>2289</v>
      </c>
      <c r="H347" t="s">
        <v>517</v>
      </c>
      <c r="J347" t="s">
        <v>518</v>
      </c>
      <c r="K347" t="s">
        <v>519</v>
      </c>
      <c r="M347" t="s">
        <v>2287</v>
      </c>
      <c r="N347" t="s">
        <v>571</v>
      </c>
      <c r="O347" t="s">
        <v>2536</v>
      </c>
      <c r="P347" t="s">
        <v>654</v>
      </c>
      <c r="Q347" t="s">
        <v>2319</v>
      </c>
      <c r="R347" t="s">
        <v>2289</v>
      </c>
      <c r="S347" t="s">
        <v>2537</v>
      </c>
      <c r="T347" t="s">
        <v>2448</v>
      </c>
      <c r="U347">
        <v>254300</v>
      </c>
      <c r="V347" t="s">
        <v>2626</v>
      </c>
      <c r="W347" t="s">
        <v>2591</v>
      </c>
      <c r="X347" t="s">
        <v>1889</v>
      </c>
      <c r="Y347" t="s">
        <v>1890</v>
      </c>
      <c r="AA347" t="s">
        <v>1891</v>
      </c>
      <c r="AB347" t="s">
        <v>1892</v>
      </c>
      <c r="AC347">
        <v>99141</v>
      </c>
      <c r="AD347" t="s">
        <v>2592</v>
      </c>
      <c r="AE347">
        <v>-41.327470519999999</v>
      </c>
      <c r="AF347">
        <v>174.79850488</v>
      </c>
      <c r="AG347">
        <v>43</v>
      </c>
      <c r="AH347">
        <v>0</v>
      </c>
      <c r="AI347">
        <v>0</v>
      </c>
      <c r="AJ347">
        <v>0</v>
      </c>
      <c r="AK347">
        <v>8</v>
      </c>
      <c r="AL347">
        <v>20</v>
      </c>
      <c r="AM347">
        <v>26</v>
      </c>
      <c r="AN347">
        <v>0</v>
      </c>
      <c r="AO347">
        <v>54</v>
      </c>
      <c r="AP347">
        <v>35</v>
      </c>
      <c r="AQ347">
        <v>15</v>
      </c>
      <c r="AR347">
        <v>12</v>
      </c>
      <c r="AS347">
        <v>6</v>
      </c>
      <c r="AT347">
        <v>4</v>
      </c>
    </row>
    <row r="348" spans="1:46">
      <c r="A348">
        <v>5358</v>
      </c>
      <c r="B348" t="s">
        <v>2627</v>
      </c>
      <c r="C348" t="s">
        <v>2628</v>
      </c>
      <c r="E348" t="s">
        <v>2629</v>
      </c>
      <c r="F348" t="s">
        <v>2630</v>
      </c>
      <c r="G348" t="s">
        <v>2526</v>
      </c>
      <c r="H348" t="s">
        <v>517</v>
      </c>
      <c r="J348" t="s">
        <v>518</v>
      </c>
      <c r="K348" t="s">
        <v>519</v>
      </c>
      <c r="M348" t="s">
        <v>2287</v>
      </c>
      <c r="N348" t="s">
        <v>727</v>
      </c>
      <c r="O348" t="s">
        <v>2527</v>
      </c>
      <c r="P348" t="s">
        <v>584</v>
      </c>
      <c r="Q348" t="s">
        <v>2319</v>
      </c>
      <c r="R348" t="s">
        <v>2289</v>
      </c>
      <c r="S348" t="s">
        <v>2528</v>
      </c>
      <c r="T348" t="s">
        <v>1485</v>
      </c>
      <c r="U348">
        <v>241000</v>
      </c>
      <c r="V348" t="s">
        <v>2631</v>
      </c>
      <c r="W348" t="s">
        <v>2529</v>
      </c>
      <c r="X348" t="s">
        <v>1889</v>
      </c>
      <c r="Y348" t="s">
        <v>1890</v>
      </c>
      <c r="AA348" t="s">
        <v>1891</v>
      </c>
      <c r="AB348" t="s">
        <v>1892</v>
      </c>
      <c r="AC348">
        <v>99074</v>
      </c>
      <c r="AD348" t="s">
        <v>2632</v>
      </c>
      <c r="AE348">
        <v>-41.138934030000001</v>
      </c>
      <c r="AF348">
        <v>174.8717742</v>
      </c>
      <c r="AG348">
        <v>42</v>
      </c>
      <c r="AH348">
        <v>0</v>
      </c>
      <c r="AI348">
        <v>0</v>
      </c>
      <c r="AJ348">
        <v>0</v>
      </c>
      <c r="AK348">
        <v>3</v>
      </c>
      <c r="AL348">
        <v>17</v>
      </c>
      <c r="AM348">
        <v>22</v>
      </c>
      <c r="AN348">
        <v>0</v>
      </c>
      <c r="AO348">
        <v>42</v>
      </c>
      <c r="AP348">
        <v>12</v>
      </c>
      <c r="AQ348">
        <v>14</v>
      </c>
      <c r="AR348">
        <v>30</v>
      </c>
      <c r="AS348">
        <v>2</v>
      </c>
      <c r="AT348">
        <v>2</v>
      </c>
    </row>
    <row r="349" spans="1:46">
      <c r="A349">
        <v>5359</v>
      </c>
      <c r="B349" t="s">
        <v>2633</v>
      </c>
      <c r="C349" t="s">
        <v>2634</v>
      </c>
      <c r="D349" t="s">
        <v>2635</v>
      </c>
      <c r="E349" t="s">
        <v>2636</v>
      </c>
      <c r="F349" t="s">
        <v>2637</v>
      </c>
      <c r="G349" t="s">
        <v>2289</v>
      </c>
      <c r="H349" t="s">
        <v>517</v>
      </c>
      <c r="J349" t="s">
        <v>518</v>
      </c>
      <c r="K349" t="s">
        <v>519</v>
      </c>
      <c r="M349" t="s">
        <v>2287</v>
      </c>
      <c r="N349" t="s">
        <v>571</v>
      </c>
      <c r="O349" t="s">
        <v>2536</v>
      </c>
      <c r="P349" t="s">
        <v>654</v>
      </c>
      <c r="Q349" t="s">
        <v>2319</v>
      </c>
      <c r="R349" t="s">
        <v>2289</v>
      </c>
      <c r="S349" t="s">
        <v>2537</v>
      </c>
      <c r="T349" t="s">
        <v>2448</v>
      </c>
      <c r="U349">
        <v>254800</v>
      </c>
      <c r="V349" t="s">
        <v>2638</v>
      </c>
      <c r="W349" t="s">
        <v>2591</v>
      </c>
      <c r="X349" t="s">
        <v>1889</v>
      </c>
      <c r="Y349" t="s">
        <v>1890</v>
      </c>
      <c r="AA349" t="s">
        <v>1891</v>
      </c>
      <c r="AB349" t="s">
        <v>1892</v>
      </c>
      <c r="AC349">
        <v>99141</v>
      </c>
      <c r="AD349" t="s">
        <v>2592</v>
      </c>
      <c r="AE349">
        <v>-41.315975119999997</v>
      </c>
      <c r="AF349">
        <v>174.82078068999999</v>
      </c>
      <c r="AG349">
        <v>42</v>
      </c>
      <c r="AH349">
        <v>0</v>
      </c>
      <c r="AI349">
        <v>0</v>
      </c>
      <c r="AJ349">
        <v>0</v>
      </c>
      <c r="AK349">
        <v>3</v>
      </c>
      <c r="AL349">
        <v>15</v>
      </c>
      <c r="AM349">
        <v>25</v>
      </c>
      <c r="AN349">
        <v>0</v>
      </c>
      <c r="AO349">
        <v>43</v>
      </c>
      <c r="AP349">
        <v>28</v>
      </c>
      <c r="AQ349">
        <v>8</v>
      </c>
      <c r="AR349">
        <v>5</v>
      </c>
      <c r="AS349">
        <v>15</v>
      </c>
      <c r="AT349">
        <v>4</v>
      </c>
    </row>
    <row r="350" spans="1:46">
      <c r="A350">
        <v>5360</v>
      </c>
      <c r="B350" t="s">
        <v>2639</v>
      </c>
      <c r="C350" t="s">
        <v>2640</v>
      </c>
      <c r="D350" t="s">
        <v>2641</v>
      </c>
      <c r="E350" t="s">
        <v>2642</v>
      </c>
      <c r="F350" t="s">
        <v>2637</v>
      </c>
      <c r="G350" t="s">
        <v>2289</v>
      </c>
      <c r="H350" t="s">
        <v>517</v>
      </c>
      <c r="J350" t="s">
        <v>518</v>
      </c>
      <c r="K350" t="s">
        <v>519</v>
      </c>
      <c r="M350" t="s">
        <v>2287</v>
      </c>
      <c r="N350" t="s">
        <v>571</v>
      </c>
      <c r="O350" t="s">
        <v>2536</v>
      </c>
      <c r="P350" t="s">
        <v>654</v>
      </c>
      <c r="Q350" t="s">
        <v>2319</v>
      </c>
      <c r="R350" t="s">
        <v>2289</v>
      </c>
      <c r="S350" t="s">
        <v>2537</v>
      </c>
      <c r="T350" t="s">
        <v>2448</v>
      </c>
      <c r="U350">
        <v>254100</v>
      </c>
      <c r="V350" t="s">
        <v>2643</v>
      </c>
      <c r="W350" t="s">
        <v>2591</v>
      </c>
      <c r="X350" t="s">
        <v>1889</v>
      </c>
      <c r="Y350" t="s">
        <v>1890</v>
      </c>
      <c r="AA350" t="s">
        <v>1891</v>
      </c>
      <c r="AB350" t="s">
        <v>1892</v>
      </c>
      <c r="AC350">
        <v>99141</v>
      </c>
      <c r="AD350" t="s">
        <v>2592</v>
      </c>
      <c r="AE350">
        <v>-41.307670399999999</v>
      </c>
      <c r="AF350">
        <v>174.8230963</v>
      </c>
      <c r="AG350">
        <v>42</v>
      </c>
      <c r="AH350">
        <v>0</v>
      </c>
      <c r="AI350">
        <v>0</v>
      </c>
      <c r="AJ350">
        <v>0</v>
      </c>
      <c r="AK350">
        <v>8</v>
      </c>
      <c r="AL350">
        <v>21</v>
      </c>
      <c r="AM350">
        <v>15</v>
      </c>
      <c r="AN350">
        <v>0</v>
      </c>
      <c r="AO350">
        <v>44</v>
      </c>
      <c r="AP350">
        <v>32</v>
      </c>
      <c r="AQ350">
        <v>6</v>
      </c>
      <c r="AR350">
        <v>4</v>
      </c>
      <c r="AS350">
        <v>5</v>
      </c>
      <c r="AT350">
        <v>5</v>
      </c>
    </row>
    <row r="351" spans="1:46">
      <c r="A351">
        <v>5361</v>
      </c>
      <c r="B351" t="s">
        <v>2644</v>
      </c>
      <c r="C351" t="s">
        <v>2645</v>
      </c>
      <c r="D351" t="s">
        <v>2646</v>
      </c>
      <c r="E351" t="s">
        <v>2647</v>
      </c>
      <c r="F351" t="s">
        <v>2648</v>
      </c>
      <c r="G351" t="s">
        <v>2526</v>
      </c>
      <c r="H351" t="s">
        <v>517</v>
      </c>
      <c r="J351" t="s">
        <v>518</v>
      </c>
      <c r="K351" t="s">
        <v>519</v>
      </c>
      <c r="M351" t="s">
        <v>2287</v>
      </c>
      <c r="N351" t="s">
        <v>727</v>
      </c>
      <c r="O351" t="s">
        <v>2527</v>
      </c>
      <c r="P351" t="s">
        <v>584</v>
      </c>
      <c r="Q351" t="s">
        <v>2319</v>
      </c>
      <c r="R351" t="s">
        <v>2289</v>
      </c>
      <c r="S351" t="s">
        <v>2528</v>
      </c>
      <c r="T351" t="s">
        <v>1485</v>
      </c>
      <c r="U351">
        <v>241100</v>
      </c>
      <c r="V351" t="s">
        <v>2649</v>
      </c>
      <c r="W351" t="s">
        <v>2529</v>
      </c>
      <c r="X351" t="s">
        <v>1889</v>
      </c>
      <c r="Y351" t="s">
        <v>1890</v>
      </c>
      <c r="AA351" t="s">
        <v>1891</v>
      </c>
      <c r="AB351" t="s">
        <v>1892</v>
      </c>
      <c r="AC351">
        <v>99074</v>
      </c>
      <c r="AD351" t="s">
        <v>2632</v>
      </c>
      <c r="AE351">
        <v>-41.14196312</v>
      </c>
      <c r="AF351">
        <v>174.86075511999999</v>
      </c>
      <c r="AG351">
        <v>42</v>
      </c>
      <c r="AH351">
        <v>0</v>
      </c>
      <c r="AI351">
        <v>0</v>
      </c>
      <c r="AJ351">
        <v>0</v>
      </c>
      <c r="AK351">
        <v>4</v>
      </c>
      <c r="AL351">
        <v>11</v>
      </c>
      <c r="AM351">
        <v>21</v>
      </c>
      <c r="AN351">
        <v>1</v>
      </c>
      <c r="AO351">
        <v>37</v>
      </c>
      <c r="AP351">
        <v>9</v>
      </c>
      <c r="AQ351">
        <v>21</v>
      </c>
      <c r="AR351">
        <v>26</v>
      </c>
      <c r="AS351">
        <v>4</v>
      </c>
      <c r="AT351">
        <v>0</v>
      </c>
    </row>
    <row r="352" spans="1:46">
      <c r="A352">
        <v>5362</v>
      </c>
      <c r="B352" t="s">
        <v>2650</v>
      </c>
      <c r="C352" t="s">
        <v>2651</v>
      </c>
      <c r="E352" t="s">
        <v>2652</v>
      </c>
      <c r="F352" t="s">
        <v>2648</v>
      </c>
      <c r="G352" t="s">
        <v>2526</v>
      </c>
      <c r="H352" t="s">
        <v>517</v>
      </c>
      <c r="J352" t="s">
        <v>518</v>
      </c>
      <c r="K352" t="s">
        <v>519</v>
      </c>
      <c r="M352" t="s">
        <v>2287</v>
      </c>
      <c r="N352" t="s">
        <v>521</v>
      </c>
      <c r="O352" t="s">
        <v>2527</v>
      </c>
      <c r="P352" t="s">
        <v>584</v>
      </c>
      <c r="Q352" t="s">
        <v>2319</v>
      </c>
      <c r="R352" t="s">
        <v>2289</v>
      </c>
      <c r="S352" t="s">
        <v>2528</v>
      </c>
      <c r="T352" t="s">
        <v>1485</v>
      </c>
      <c r="U352">
        <v>240500</v>
      </c>
      <c r="V352" t="s">
        <v>2648</v>
      </c>
      <c r="W352" t="s">
        <v>2529</v>
      </c>
      <c r="X352" t="s">
        <v>1889</v>
      </c>
      <c r="Y352" t="s">
        <v>1890</v>
      </c>
      <c r="AA352" t="s">
        <v>1891</v>
      </c>
      <c r="AB352" t="s">
        <v>1892</v>
      </c>
      <c r="AC352">
        <v>99074</v>
      </c>
      <c r="AD352" t="s">
        <v>2632</v>
      </c>
      <c r="AE352">
        <v>-41.139666120000001</v>
      </c>
      <c r="AF352">
        <v>174.84729439</v>
      </c>
      <c r="AG352">
        <v>42</v>
      </c>
      <c r="AH352">
        <v>0</v>
      </c>
      <c r="AI352">
        <v>0</v>
      </c>
      <c r="AJ352">
        <v>0</v>
      </c>
      <c r="AK352">
        <v>5</v>
      </c>
      <c r="AL352">
        <v>18</v>
      </c>
      <c r="AM352">
        <v>21</v>
      </c>
      <c r="AN352">
        <v>1</v>
      </c>
      <c r="AO352">
        <v>45</v>
      </c>
      <c r="AP352">
        <v>14</v>
      </c>
      <c r="AQ352">
        <v>15</v>
      </c>
      <c r="AR352">
        <v>18</v>
      </c>
      <c r="AS352">
        <v>14</v>
      </c>
      <c r="AT352">
        <v>1</v>
      </c>
    </row>
    <row r="353" spans="1:46">
      <c r="A353">
        <v>5363</v>
      </c>
      <c r="B353" t="s">
        <v>2653</v>
      </c>
      <c r="C353" t="s">
        <v>2654</v>
      </c>
      <c r="D353" t="s">
        <v>2655</v>
      </c>
      <c r="E353" t="s">
        <v>2656</v>
      </c>
      <c r="F353" t="s">
        <v>2657</v>
      </c>
      <c r="G353" t="s">
        <v>2289</v>
      </c>
      <c r="H353" t="s">
        <v>517</v>
      </c>
      <c r="J353" t="s">
        <v>518</v>
      </c>
      <c r="K353" t="s">
        <v>519</v>
      </c>
      <c r="M353" t="s">
        <v>2287</v>
      </c>
      <c r="N353" t="s">
        <v>571</v>
      </c>
      <c r="O353" t="s">
        <v>2536</v>
      </c>
      <c r="P353" t="s">
        <v>654</v>
      </c>
      <c r="Q353" t="s">
        <v>2319</v>
      </c>
      <c r="R353" t="s">
        <v>2289</v>
      </c>
      <c r="S353" t="s">
        <v>2545</v>
      </c>
      <c r="T353" t="s">
        <v>2448</v>
      </c>
      <c r="U353">
        <v>249501</v>
      </c>
      <c r="V353" t="s">
        <v>2658</v>
      </c>
      <c r="W353" t="s">
        <v>2547</v>
      </c>
      <c r="X353" t="s">
        <v>1889</v>
      </c>
      <c r="Y353" t="s">
        <v>1890</v>
      </c>
      <c r="AA353" t="s">
        <v>1891</v>
      </c>
      <c r="AB353" t="s">
        <v>1892</v>
      </c>
      <c r="AE353">
        <v>-41.222954970000004</v>
      </c>
      <c r="AF353">
        <v>174.82459297</v>
      </c>
      <c r="AG353">
        <v>41</v>
      </c>
      <c r="AH353">
        <v>0</v>
      </c>
      <c r="AI353">
        <v>0</v>
      </c>
      <c r="AJ353">
        <v>0</v>
      </c>
      <c r="AK353">
        <v>5</v>
      </c>
      <c r="AL353">
        <v>8</v>
      </c>
      <c r="AM353">
        <v>27</v>
      </c>
      <c r="AN353">
        <v>0</v>
      </c>
      <c r="AO353">
        <v>40</v>
      </c>
      <c r="AP353">
        <v>12</v>
      </c>
      <c r="AQ353">
        <v>8</v>
      </c>
      <c r="AR353">
        <v>7</v>
      </c>
      <c r="AS353">
        <v>17</v>
      </c>
      <c r="AT353">
        <v>7</v>
      </c>
    </row>
    <row r="354" spans="1:46">
      <c r="A354">
        <v>5364</v>
      </c>
      <c r="B354" t="s">
        <v>2659</v>
      </c>
      <c r="C354" t="s">
        <v>2660</v>
      </c>
      <c r="D354" t="s">
        <v>2661</v>
      </c>
      <c r="E354" t="s">
        <v>2662</v>
      </c>
      <c r="F354" t="s">
        <v>2657</v>
      </c>
      <c r="G354" t="s">
        <v>2289</v>
      </c>
      <c r="H354" t="s">
        <v>517</v>
      </c>
      <c r="J354" t="s">
        <v>518</v>
      </c>
      <c r="K354" t="s">
        <v>519</v>
      </c>
      <c r="M354" t="s">
        <v>2287</v>
      </c>
      <c r="N354" t="s">
        <v>571</v>
      </c>
      <c r="O354" t="s">
        <v>2536</v>
      </c>
      <c r="P354" t="s">
        <v>654</v>
      </c>
      <c r="Q354" t="s">
        <v>2319</v>
      </c>
      <c r="R354" t="s">
        <v>2289</v>
      </c>
      <c r="S354" t="s">
        <v>2545</v>
      </c>
      <c r="T354" t="s">
        <v>2448</v>
      </c>
      <c r="U354">
        <v>249702</v>
      </c>
      <c r="V354" t="s">
        <v>2663</v>
      </c>
      <c r="W354" t="s">
        <v>2547</v>
      </c>
      <c r="X354" t="s">
        <v>1889</v>
      </c>
      <c r="Y354" t="s">
        <v>1890</v>
      </c>
      <c r="AA354" t="s">
        <v>1891</v>
      </c>
      <c r="AB354" t="s">
        <v>1892</v>
      </c>
      <c r="AE354">
        <v>-41.227878680000003</v>
      </c>
      <c r="AF354">
        <v>174.82407655</v>
      </c>
      <c r="AG354">
        <v>40</v>
      </c>
      <c r="AH354">
        <v>0</v>
      </c>
      <c r="AI354">
        <v>0</v>
      </c>
      <c r="AJ354">
        <v>0</v>
      </c>
      <c r="AK354">
        <v>0</v>
      </c>
      <c r="AL354">
        <v>11</v>
      </c>
      <c r="AM354">
        <v>29</v>
      </c>
      <c r="AN354">
        <v>1</v>
      </c>
      <c r="AO354">
        <v>41</v>
      </c>
      <c r="AP354">
        <v>16</v>
      </c>
      <c r="AQ354">
        <v>5</v>
      </c>
      <c r="AR354">
        <v>3</v>
      </c>
      <c r="AS354">
        <v>24</v>
      </c>
      <c r="AT354">
        <v>7</v>
      </c>
    </row>
    <row r="355" spans="1:46">
      <c r="A355">
        <v>5365</v>
      </c>
      <c r="B355" t="s">
        <v>2664</v>
      </c>
      <c r="C355" t="s">
        <v>2665</v>
      </c>
      <c r="D355" t="s">
        <v>2666</v>
      </c>
      <c r="E355" t="s">
        <v>2667</v>
      </c>
      <c r="F355" t="s">
        <v>2668</v>
      </c>
      <c r="G355" t="s">
        <v>2289</v>
      </c>
      <c r="H355" t="s">
        <v>517</v>
      </c>
      <c r="J355" t="s">
        <v>518</v>
      </c>
      <c r="K355" t="s">
        <v>519</v>
      </c>
      <c r="M355" t="s">
        <v>2287</v>
      </c>
      <c r="N355" t="s">
        <v>571</v>
      </c>
      <c r="O355" t="s">
        <v>2536</v>
      </c>
      <c r="P355" t="s">
        <v>654</v>
      </c>
      <c r="Q355" t="s">
        <v>2319</v>
      </c>
      <c r="R355" t="s">
        <v>2289</v>
      </c>
      <c r="S355" t="s">
        <v>2537</v>
      </c>
      <c r="T355" t="s">
        <v>2448</v>
      </c>
      <c r="U355">
        <v>252900</v>
      </c>
      <c r="V355" t="s">
        <v>2669</v>
      </c>
      <c r="W355" t="s">
        <v>2538</v>
      </c>
      <c r="X355" t="s">
        <v>1889</v>
      </c>
      <c r="Y355" t="s">
        <v>1890</v>
      </c>
      <c r="AA355" t="s">
        <v>1891</v>
      </c>
      <c r="AB355" t="s">
        <v>1892</v>
      </c>
      <c r="AC355">
        <v>99171</v>
      </c>
      <c r="AD355" t="s">
        <v>2539</v>
      </c>
      <c r="AE355">
        <v>-41.306777670000002</v>
      </c>
      <c r="AF355">
        <v>174.77943228999999</v>
      </c>
      <c r="AG355">
        <v>42</v>
      </c>
      <c r="AH355">
        <v>0</v>
      </c>
      <c r="AI355">
        <v>0</v>
      </c>
      <c r="AJ355">
        <v>0</v>
      </c>
      <c r="AK355">
        <v>1</v>
      </c>
      <c r="AL355">
        <v>27</v>
      </c>
      <c r="AM355">
        <v>20</v>
      </c>
      <c r="AN355">
        <v>1</v>
      </c>
      <c r="AO355">
        <v>49</v>
      </c>
      <c r="AP355">
        <v>21</v>
      </c>
      <c r="AQ355">
        <v>1</v>
      </c>
      <c r="AR355">
        <v>5</v>
      </c>
      <c r="AS355">
        <v>21</v>
      </c>
      <c r="AT355">
        <v>8</v>
      </c>
    </row>
    <row r="356" spans="1:46">
      <c r="A356">
        <v>5366</v>
      </c>
      <c r="B356" t="s">
        <v>2670</v>
      </c>
      <c r="C356" t="s">
        <v>2671</v>
      </c>
      <c r="D356" t="s">
        <v>2672</v>
      </c>
      <c r="E356" t="s">
        <v>2673</v>
      </c>
      <c r="G356" t="s">
        <v>2674</v>
      </c>
      <c r="H356" t="s">
        <v>517</v>
      </c>
      <c r="J356" t="s">
        <v>518</v>
      </c>
      <c r="K356" t="s">
        <v>519</v>
      </c>
      <c r="M356" t="s">
        <v>2287</v>
      </c>
      <c r="N356" t="s">
        <v>571</v>
      </c>
      <c r="O356" t="s">
        <v>2675</v>
      </c>
      <c r="P356" t="s">
        <v>1262</v>
      </c>
      <c r="Q356" t="s">
        <v>2319</v>
      </c>
      <c r="R356" t="s">
        <v>2289</v>
      </c>
      <c r="S356" t="s">
        <v>2067</v>
      </c>
      <c r="T356" t="s">
        <v>1485</v>
      </c>
      <c r="U356">
        <v>237800</v>
      </c>
      <c r="V356" t="s">
        <v>2676</v>
      </c>
      <c r="W356" t="s">
        <v>2677</v>
      </c>
      <c r="X356" t="s">
        <v>1889</v>
      </c>
      <c r="Y356" t="s">
        <v>1890</v>
      </c>
      <c r="AA356" t="s">
        <v>1891</v>
      </c>
      <c r="AB356" t="s">
        <v>1892</v>
      </c>
      <c r="AC356">
        <v>99137</v>
      </c>
      <c r="AD356" t="s">
        <v>2678</v>
      </c>
      <c r="AE356">
        <v>-40.913930819999997</v>
      </c>
      <c r="AF356">
        <v>175.0038615</v>
      </c>
      <c r="AG356">
        <v>40</v>
      </c>
      <c r="AH356">
        <v>0</v>
      </c>
      <c r="AI356">
        <v>0</v>
      </c>
      <c r="AJ356">
        <v>0</v>
      </c>
      <c r="AK356">
        <v>12</v>
      </c>
      <c r="AL356">
        <v>15</v>
      </c>
      <c r="AM356">
        <v>11</v>
      </c>
      <c r="AN356">
        <v>0</v>
      </c>
      <c r="AO356">
        <v>38</v>
      </c>
      <c r="AP356">
        <v>25</v>
      </c>
      <c r="AQ356">
        <v>13</v>
      </c>
      <c r="AR356">
        <v>9</v>
      </c>
      <c r="AS356">
        <v>6</v>
      </c>
      <c r="AT356">
        <v>3</v>
      </c>
    </row>
    <row r="357" spans="1:46">
      <c r="A357">
        <v>5367</v>
      </c>
      <c r="B357" t="s">
        <v>2679</v>
      </c>
      <c r="C357" t="s">
        <v>2680</v>
      </c>
      <c r="D357" t="s">
        <v>2681</v>
      </c>
      <c r="E357" t="s">
        <v>2682</v>
      </c>
      <c r="F357" t="s">
        <v>2683</v>
      </c>
      <c r="G357" t="s">
        <v>2289</v>
      </c>
      <c r="H357" t="s">
        <v>517</v>
      </c>
      <c r="J357" t="s">
        <v>518</v>
      </c>
      <c r="K357" t="s">
        <v>519</v>
      </c>
      <c r="M357" t="s">
        <v>2287</v>
      </c>
      <c r="N357" t="s">
        <v>571</v>
      </c>
      <c r="O357" t="s">
        <v>2536</v>
      </c>
      <c r="P357" t="s">
        <v>654</v>
      </c>
      <c r="Q357" t="s">
        <v>2319</v>
      </c>
      <c r="R357" t="s">
        <v>2289</v>
      </c>
      <c r="S357" t="s">
        <v>2545</v>
      </c>
      <c r="T357" t="s">
        <v>2448</v>
      </c>
      <c r="U357">
        <v>249600</v>
      </c>
      <c r="V357" t="s">
        <v>2684</v>
      </c>
      <c r="W357" t="s">
        <v>2561</v>
      </c>
      <c r="X357" t="s">
        <v>1889</v>
      </c>
      <c r="Y357" t="s">
        <v>1890</v>
      </c>
      <c r="AA357" t="s">
        <v>1891</v>
      </c>
      <c r="AB357" t="s">
        <v>1892</v>
      </c>
      <c r="AE357">
        <v>-41.247796450000003</v>
      </c>
      <c r="AF357">
        <v>174.7743916</v>
      </c>
      <c r="AG357">
        <v>43</v>
      </c>
      <c r="AH357">
        <v>0</v>
      </c>
      <c r="AI357">
        <v>0</v>
      </c>
      <c r="AJ357">
        <v>0</v>
      </c>
      <c r="AK357">
        <v>5</v>
      </c>
      <c r="AL357">
        <v>18</v>
      </c>
      <c r="AM357">
        <v>13</v>
      </c>
      <c r="AN357">
        <v>1</v>
      </c>
      <c r="AO357">
        <v>37</v>
      </c>
      <c r="AP357">
        <v>29</v>
      </c>
      <c r="AQ357">
        <v>3</v>
      </c>
      <c r="AR357">
        <v>1</v>
      </c>
      <c r="AS357">
        <v>4</v>
      </c>
      <c r="AT357">
        <v>7</v>
      </c>
    </row>
    <row r="358" spans="1:46">
      <c r="A358">
        <v>5368</v>
      </c>
      <c r="B358" t="s">
        <v>2685</v>
      </c>
      <c r="C358" t="s">
        <v>2686</v>
      </c>
      <c r="D358" t="s">
        <v>2687</v>
      </c>
      <c r="E358" t="s">
        <v>2688</v>
      </c>
      <c r="F358" t="s">
        <v>526</v>
      </c>
      <c r="G358" t="s">
        <v>2289</v>
      </c>
      <c r="H358" t="s">
        <v>517</v>
      </c>
      <c r="J358" t="s">
        <v>518</v>
      </c>
      <c r="K358" t="s">
        <v>519</v>
      </c>
      <c r="M358" t="s">
        <v>2287</v>
      </c>
      <c r="N358" t="s">
        <v>571</v>
      </c>
      <c r="O358" t="s">
        <v>2536</v>
      </c>
      <c r="P358" t="s">
        <v>654</v>
      </c>
      <c r="Q358" t="s">
        <v>2319</v>
      </c>
      <c r="R358" t="s">
        <v>2289</v>
      </c>
      <c r="S358" t="s">
        <v>2553</v>
      </c>
      <c r="T358" t="s">
        <v>2448</v>
      </c>
      <c r="U358">
        <v>250800</v>
      </c>
      <c r="V358" t="s">
        <v>2689</v>
      </c>
      <c r="W358" t="s">
        <v>2561</v>
      </c>
      <c r="X358" t="s">
        <v>1889</v>
      </c>
      <c r="Y358" t="s">
        <v>1890</v>
      </c>
      <c r="AA358" t="s">
        <v>1891</v>
      </c>
      <c r="AB358" t="s">
        <v>1892</v>
      </c>
      <c r="AE358">
        <v>-41.278260539999998</v>
      </c>
      <c r="AF358">
        <v>174.75986904999999</v>
      </c>
      <c r="AG358">
        <v>41</v>
      </c>
      <c r="AH358">
        <v>0</v>
      </c>
      <c r="AI358">
        <v>0</v>
      </c>
      <c r="AJ358">
        <v>0</v>
      </c>
      <c r="AK358">
        <v>8</v>
      </c>
      <c r="AL358">
        <v>15</v>
      </c>
      <c r="AM358">
        <v>15</v>
      </c>
      <c r="AN358">
        <v>2</v>
      </c>
      <c r="AO358">
        <v>40</v>
      </c>
      <c r="AP358">
        <v>28</v>
      </c>
      <c r="AQ358">
        <v>4</v>
      </c>
      <c r="AR358">
        <v>1</v>
      </c>
      <c r="AS358">
        <v>7</v>
      </c>
      <c r="AT358">
        <v>6</v>
      </c>
    </row>
    <row r="359" spans="1:46">
      <c r="A359">
        <v>5369</v>
      </c>
      <c r="B359" t="s">
        <v>2690</v>
      </c>
      <c r="C359" t="s">
        <v>2691</v>
      </c>
      <c r="D359" t="s">
        <v>2692</v>
      </c>
      <c r="E359" t="s">
        <v>2693</v>
      </c>
      <c r="F359" t="s">
        <v>2620</v>
      </c>
      <c r="G359" t="s">
        <v>2289</v>
      </c>
      <c r="H359" t="s">
        <v>517</v>
      </c>
      <c r="J359" t="s">
        <v>518</v>
      </c>
      <c r="K359" t="s">
        <v>519</v>
      </c>
      <c r="M359" t="s">
        <v>2287</v>
      </c>
      <c r="N359" t="s">
        <v>571</v>
      </c>
      <c r="O359" t="s">
        <v>2536</v>
      </c>
      <c r="P359" t="s">
        <v>654</v>
      </c>
      <c r="Q359" t="s">
        <v>2319</v>
      </c>
      <c r="R359" t="s">
        <v>2289</v>
      </c>
      <c r="S359" t="s">
        <v>2545</v>
      </c>
      <c r="T359" t="s">
        <v>2448</v>
      </c>
      <c r="U359">
        <v>250000</v>
      </c>
      <c r="V359" t="s">
        <v>2621</v>
      </c>
      <c r="W359" t="s">
        <v>2561</v>
      </c>
      <c r="X359" t="s">
        <v>1889</v>
      </c>
      <c r="Y359" t="s">
        <v>1890</v>
      </c>
      <c r="AA359" t="s">
        <v>1891</v>
      </c>
      <c r="AB359" t="s">
        <v>1892</v>
      </c>
      <c r="AE359">
        <v>-41.243626339999999</v>
      </c>
      <c r="AF359">
        <v>174.79413593999999</v>
      </c>
      <c r="AG359">
        <v>41</v>
      </c>
      <c r="AH359">
        <v>0</v>
      </c>
      <c r="AI359">
        <v>0</v>
      </c>
      <c r="AJ359">
        <v>0</v>
      </c>
      <c r="AK359">
        <v>12</v>
      </c>
      <c r="AL359">
        <v>18</v>
      </c>
      <c r="AM359">
        <v>18</v>
      </c>
      <c r="AN359">
        <v>0</v>
      </c>
      <c r="AO359">
        <v>48</v>
      </c>
      <c r="AP359">
        <v>34</v>
      </c>
      <c r="AQ359">
        <v>2</v>
      </c>
      <c r="AR359">
        <v>2</v>
      </c>
      <c r="AS359">
        <v>15</v>
      </c>
      <c r="AT359">
        <v>4</v>
      </c>
    </row>
    <row r="360" spans="1:46">
      <c r="A360">
        <v>5370</v>
      </c>
      <c r="B360" t="s">
        <v>2694</v>
      </c>
      <c r="C360" t="s">
        <v>2695</v>
      </c>
      <c r="D360" t="s">
        <v>2696</v>
      </c>
      <c r="E360" t="s">
        <v>2697</v>
      </c>
      <c r="G360" t="s">
        <v>2067</v>
      </c>
      <c r="H360" t="s">
        <v>517</v>
      </c>
      <c r="J360" t="s">
        <v>518</v>
      </c>
      <c r="K360" t="s">
        <v>519</v>
      </c>
      <c r="M360" t="s">
        <v>2287</v>
      </c>
      <c r="N360" t="s">
        <v>557</v>
      </c>
      <c r="O360" t="s">
        <v>2675</v>
      </c>
      <c r="P360" t="s">
        <v>523</v>
      </c>
      <c r="Q360" t="s">
        <v>2319</v>
      </c>
      <c r="R360" t="s">
        <v>2289</v>
      </c>
      <c r="S360" t="s">
        <v>2067</v>
      </c>
      <c r="T360" t="s">
        <v>1485</v>
      </c>
      <c r="U360">
        <v>236500</v>
      </c>
      <c r="V360" t="s">
        <v>2067</v>
      </c>
      <c r="W360" t="s">
        <v>2698</v>
      </c>
      <c r="X360" t="s">
        <v>1889</v>
      </c>
      <c r="Y360" t="s">
        <v>1890</v>
      </c>
      <c r="AA360" t="s">
        <v>1891</v>
      </c>
      <c r="AB360" t="s">
        <v>1892</v>
      </c>
      <c r="AE360">
        <v>-40.757387299999998</v>
      </c>
      <c r="AF360">
        <v>175.14369160999999</v>
      </c>
      <c r="AG360">
        <v>42</v>
      </c>
      <c r="AH360">
        <v>0</v>
      </c>
      <c r="AI360">
        <v>0</v>
      </c>
      <c r="AJ360">
        <v>0</v>
      </c>
      <c r="AK360">
        <v>11</v>
      </c>
      <c r="AL360">
        <v>17</v>
      </c>
      <c r="AM360">
        <v>27</v>
      </c>
      <c r="AN360">
        <v>1</v>
      </c>
      <c r="AO360">
        <v>56</v>
      </c>
      <c r="AP360">
        <v>42</v>
      </c>
      <c r="AQ360">
        <v>32</v>
      </c>
      <c r="AR360">
        <v>6</v>
      </c>
      <c r="AS360">
        <v>1</v>
      </c>
      <c r="AT360">
        <v>0</v>
      </c>
    </row>
    <row r="361" spans="1:46">
      <c r="A361">
        <v>5371</v>
      </c>
      <c r="B361" t="s">
        <v>2699</v>
      </c>
      <c r="C361" t="s">
        <v>2700</v>
      </c>
      <c r="D361" t="s">
        <v>2701</v>
      </c>
      <c r="E361" t="s">
        <v>2702</v>
      </c>
      <c r="F361" t="s">
        <v>2703</v>
      </c>
      <c r="G361" t="s">
        <v>2526</v>
      </c>
      <c r="H361" t="s">
        <v>517</v>
      </c>
      <c r="J361" t="s">
        <v>518</v>
      </c>
      <c r="K361" t="s">
        <v>519</v>
      </c>
      <c r="M361" t="s">
        <v>2287</v>
      </c>
      <c r="N361" t="s">
        <v>571</v>
      </c>
      <c r="O361" t="s">
        <v>2527</v>
      </c>
      <c r="P361" t="s">
        <v>584</v>
      </c>
      <c r="Q361" t="s">
        <v>2319</v>
      </c>
      <c r="R361" t="s">
        <v>2289</v>
      </c>
      <c r="S361" t="s">
        <v>2528</v>
      </c>
      <c r="T361" t="s">
        <v>1485</v>
      </c>
      <c r="U361">
        <v>240000</v>
      </c>
      <c r="V361" t="s">
        <v>2704</v>
      </c>
      <c r="W361" t="s">
        <v>2579</v>
      </c>
      <c r="X361" t="s">
        <v>1889</v>
      </c>
      <c r="Y361" t="s">
        <v>1890</v>
      </c>
      <c r="AA361" t="s">
        <v>1891</v>
      </c>
      <c r="AB361" t="s">
        <v>1892</v>
      </c>
      <c r="AC361">
        <v>99068</v>
      </c>
      <c r="AD361" t="s">
        <v>2530</v>
      </c>
      <c r="AE361">
        <v>-41.114534800000001</v>
      </c>
      <c r="AF361">
        <v>174.86691587000001</v>
      </c>
      <c r="AG361">
        <v>40</v>
      </c>
      <c r="AH361">
        <v>0</v>
      </c>
      <c r="AI361">
        <v>0</v>
      </c>
      <c r="AJ361">
        <v>0</v>
      </c>
      <c r="AK361">
        <v>5</v>
      </c>
      <c r="AL361">
        <v>25</v>
      </c>
      <c r="AM361">
        <v>24</v>
      </c>
      <c r="AN361">
        <v>0</v>
      </c>
      <c r="AO361">
        <v>54</v>
      </c>
      <c r="AP361">
        <v>40</v>
      </c>
      <c r="AQ361">
        <v>6</v>
      </c>
      <c r="AR361">
        <v>4</v>
      </c>
      <c r="AS361">
        <v>12</v>
      </c>
      <c r="AT361">
        <v>3</v>
      </c>
    </row>
    <row r="362" spans="1:46">
      <c r="A362">
        <v>5372</v>
      </c>
      <c r="B362" t="s">
        <v>2705</v>
      </c>
      <c r="C362" t="s">
        <v>2706</v>
      </c>
      <c r="D362" t="s">
        <v>2707</v>
      </c>
      <c r="E362" t="s">
        <v>2708</v>
      </c>
      <c r="F362" t="s">
        <v>2709</v>
      </c>
      <c r="G362" t="s">
        <v>2289</v>
      </c>
      <c r="H362" t="s">
        <v>517</v>
      </c>
      <c r="J362" t="s">
        <v>518</v>
      </c>
      <c r="K362" t="s">
        <v>519</v>
      </c>
      <c r="M362" t="s">
        <v>2287</v>
      </c>
      <c r="N362" t="s">
        <v>571</v>
      </c>
      <c r="O362" t="s">
        <v>2536</v>
      </c>
      <c r="P362" t="s">
        <v>654</v>
      </c>
      <c r="Q362" t="s">
        <v>2319</v>
      </c>
      <c r="R362" t="s">
        <v>2289</v>
      </c>
      <c r="S362" t="s">
        <v>2545</v>
      </c>
      <c r="T362" t="s">
        <v>2448</v>
      </c>
      <c r="U362">
        <v>248701</v>
      </c>
      <c r="V362" t="s">
        <v>2709</v>
      </c>
      <c r="W362" t="s">
        <v>2547</v>
      </c>
      <c r="X362" t="s">
        <v>1889</v>
      </c>
      <c r="Y362" t="s">
        <v>1890</v>
      </c>
      <c r="AA362" t="s">
        <v>1891</v>
      </c>
      <c r="AB362" t="s">
        <v>1892</v>
      </c>
      <c r="AE362">
        <v>-41.213649629999999</v>
      </c>
      <c r="AF362">
        <v>174.818093</v>
      </c>
      <c r="AG362">
        <v>41</v>
      </c>
      <c r="AH362">
        <v>0</v>
      </c>
      <c r="AI362">
        <v>0</v>
      </c>
      <c r="AJ362">
        <v>0</v>
      </c>
      <c r="AK362">
        <v>4</v>
      </c>
      <c r="AL362">
        <v>18</v>
      </c>
      <c r="AM362">
        <v>28</v>
      </c>
      <c r="AN362">
        <v>2</v>
      </c>
      <c r="AO362">
        <v>52</v>
      </c>
      <c r="AP362">
        <v>44</v>
      </c>
      <c r="AQ362">
        <v>6</v>
      </c>
      <c r="AR362">
        <v>4</v>
      </c>
      <c r="AS362">
        <v>9</v>
      </c>
      <c r="AT362">
        <v>1</v>
      </c>
    </row>
    <row r="363" spans="1:46">
      <c r="A363">
        <v>5373</v>
      </c>
      <c r="B363" t="s">
        <v>2710</v>
      </c>
      <c r="C363" t="s">
        <v>2711</v>
      </c>
      <c r="D363" t="s">
        <v>2712</v>
      </c>
      <c r="E363" t="s">
        <v>2713</v>
      </c>
      <c r="G363" t="s">
        <v>2714</v>
      </c>
      <c r="H363" t="s">
        <v>517</v>
      </c>
      <c r="J363" t="s">
        <v>518</v>
      </c>
      <c r="K363" t="s">
        <v>519</v>
      </c>
      <c r="M363" t="s">
        <v>2287</v>
      </c>
      <c r="N363" t="s">
        <v>571</v>
      </c>
      <c r="O363" t="s">
        <v>2675</v>
      </c>
      <c r="P363" t="s">
        <v>1262</v>
      </c>
      <c r="Q363" t="s">
        <v>2319</v>
      </c>
      <c r="R363" t="s">
        <v>2289</v>
      </c>
      <c r="S363" t="s">
        <v>2067</v>
      </c>
      <c r="T363" t="s">
        <v>1485</v>
      </c>
      <c r="U363">
        <v>237001</v>
      </c>
      <c r="V363" t="s">
        <v>2715</v>
      </c>
      <c r="W363" t="s">
        <v>2677</v>
      </c>
      <c r="X363" t="s">
        <v>1889</v>
      </c>
      <c r="Y363" t="s">
        <v>1890</v>
      </c>
      <c r="AA363" t="s">
        <v>1891</v>
      </c>
      <c r="AB363" t="s">
        <v>1892</v>
      </c>
      <c r="AE363">
        <v>-40.882860620000002</v>
      </c>
      <c r="AF363">
        <v>174.99464452999999</v>
      </c>
      <c r="AG363">
        <v>43</v>
      </c>
      <c r="AH363">
        <v>0</v>
      </c>
      <c r="AI363">
        <v>0</v>
      </c>
      <c r="AJ363">
        <v>0</v>
      </c>
      <c r="AK363">
        <v>10</v>
      </c>
      <c r="AL363">
        <v>19</v>
      </c>
      <c r="AM363">
        <v>22</v>
      </c>
      <c r="AN363">
        <v>2</v>
      </c>
      <c r="AO363">
        <v>53</v>
      </c>
      <c r="AP363">
        <v>46</v>
      </c>
      <c r="AQ363">
        <v>6</v>
      </c>
      <c r="AR363">
        <v>3</v>
      </c>
      <c r="AS363">
        <v>2</v>
      </c>
      <c r="AT363">
        <v>0</v>
      </c>
    </row>
    <row r="364" spans="1:46">
      <c r="A364">
        <v>5374</v>
      </c>
      <c r="B364" t="s">
        <v>2716</v>
      </c>
      <c r="C364" t="s">
        <v>2717</v>
      </c>
      <c r="D364" t="s">
        <v>2718</v>
      </c>
      <c r="E364" t="s">
        <v>2719</v>
      </c>
      <c r="F364" t="s">
        <v>2720</v>
      </c>
      <c r="G364" t="s">
        <v>2526</v>
      </c>
      <c r="H364" t="s">
        <v>517</v>
      </c>
      <c r="J364" t="s">
        <v>518</v>
      </c>
      <c r="K364" t="s">
        <v>519</v>
      </c>
      <c r="M364" t="s">
        <v>2287</v>
      </c>
      <c r="N364" t="s">
        <v>571</v>
      </c>
      <c r="O364" t="s">
        <v>2527</v>
      </c>
      <c r="P364" t="s">
        <v>584</v>
      </c>
      <c r="Q364" t="s">
        <v>2319</v>
      </c>
      <c r="R364" t="s">
        <v>2289</v>
      </c>
      <c r="S364" t="s">
        <v>2528</v>
      </c>
      <c r="T364" t="s">
        <v>1485</v>
      </c>
      <c r="U364">
        <v>239801</v>
      </c>
      <c r="V364" t="s">
        <v>2720</v>
      </c>
      <c r="W364" t="s">
        <v>2579</v>
      </c>
      <c r="X364" t="s">
        <v>1889</v>
      </c>
      <c r="Y364" t="s">
        <v>1890</v>
      </c>
      <c r="AA364" t="s">
        <v>1891</v>
      </c>
      <c r="AB364" t="s">
        <v>1892</v>
      </c>
      <c r="AC364">
        <v>99068</v>
      </c>
      <c r="AD364" t="s">
        <v>2530</v>
      </c>
      <c r="AE364">
        <v>-41.104301450000001</v>
      </c>
      <c r="AF364">
        <v>174.87462009999999</v>
      </c>
      <c r="AG364">
        <v>40</v>
      </c>
      <c r="AH364">
        <v>0</v>
      </c>
      <c r="AI364">
        <v>0</v>
      </c>
      <c r="AJ364">
        <v>0</v>
      </c>
      <c r="AK364">
        <v>8</v>
      </c>
      <c r="AL364">
        <v>11</v>
      </c>
      <c r="AM364">
        <v>31</v>
      </c>
      <c r="AN364">
        <v>0</v>
      </c>
      <c r="AO364">
        <v>50</v>
      </c>
      <c r="AP364">
        <v>46</v>
      </c>
      <c r="AQ364">
        <v>7</v>
      </c>
      <c r="AR364">
        <v>5</v>
      </c>
      <c r="AS364">
        <v>1</v>
      </c>
      <c r="AT364">
        <v>0</v>
      </c>
    </row>
    <row r="365" spans="1:46">
      <c r="A365">
        <v>5375</v>
      </c>
      <c r="B365" t="s">
        <v>2721</v>
      </c>
      <c r="C365" t="s">
        <v>2722</v>
      </c>
      <c r="D365" t="s">
        <v>2723</v>
      </c>
      <c r="E365" t="s">
        <v>2724</v>
      </c>
      <c r="G365" t="s">
        <v>2725</v>
      </c>
      <c r="H365" t="s">
        <v>517</v>
      </c>
      <c r="J365" t="s">
        <v>518</v>
      </c>
      <c r="K365" t="s">
        <v>519</v>
      </c>
      <c r="M365" t="s">
        <v>2287</v>
      </c>
      <c r="N365" t="s">
        <v>557</v>
      </c>
      <c r="O365" t="s">
        <v>2066</v>
      </c>
      <c r="P365" t="s">
        <v>1262</v>
      </c>
      <c r="Q365" t="s">
        <v>1636</v>
      </c>
      <c r="R365" t="s">
        <v>2289</v>
      </c>
      <c r="S365" t="s">
        <v>2067</v>
      </c>
      <c r="T365" t="s">
        <v>1485</v>
      </c>
      <c r="U365">
        <v>235900</v>
      </c>
      <c r="V365" t="s">
        <v>2726</v>
      </c>
      <c r="W365" t="s">
        <v>2727</v>
      </c>
      <c r="X365" t="s">
        <v>1889</v>
      </c>
      <c r="Y365" t="s">
        <v>1890</v>
      </c>
      <c r="AA365" t="s">
        <v>1891</v>
      </c>
      <c r="AB365" t="s">
        <v>1892</v>
      </c>
      <c r="AC365">
        <v>99058</v>
      </c>
      <c r="AD365" t="s">
        <v>2728</v>
      </c>
      <c r="AE365">
        <v>-40.628799999999998</v>
      </c>
      <c r="AF365">
        <v>175.29934284999999</v>
      </c>
      <c r="AG365">
        <v>42</v>
      </c>
      <c r="AH365">
        <v>0</v>
      </c>
      <c r="AI365">
        <v>0</v>
      </c>
      <c r="AJ365">
        <v>0</v>
      </c>
      <c r="AK365">
        <v>15</v>
      </c>
      <c r="AL365">
        <v>17</v>
      </c>
      <c r="AM365">
        <v>25</v>
      </c>
      <c r="AN365">
        <v>0</v>
      </c>
      <c r="AO365">
        <v>57</v>
      </c>
      <c r="AP365">
        <v>43</v>
      </c>
      <c r="AQ365">
        <v>21</v>
      </c>
      <c r="AR365">
        <v>7</v>
      </c>
      <c r="AS365">
        <v>2</v>
      </c>
      <c r="AT365">
        <v>4</v>
      </c>
    </row>
    <row r="366" spans="1:46">
      <c r="A366">
        <v>5376</v>
      </c>
      <c r="B366" t="s">
        <v>2729</v>
      </c>
      <c r="C366" t="s">
        <v>2730</v>
      </c>
      <c r="D366" t="s">
        <v>2731</v>
      </c>
      <c r="E366" t="s">
        <v>2732</v>
      </c>
      <c r="F366" t="s">
        <v>2733</v>
      </c>
      <c r="G366" t="s">
        <v>2427</v>
      </c>
      <c r="H366" t="s">
        <v>517</v>
      </c>
      <c r="J366" t="s">
        <v>518</v>
      </c>
      <c r="K366" t="s">
        <v>519</v>
      </c>
      <c r="M366" t="s">
        <v>2287</v>
      </c>
      <c r="N366" t="s">
        <v>571</v>
      </c>
      <c r="O366" t="s">
        <v>2428</v>
      </c>
      <c r="P366" t="s">
        <v>654</v>
      </c>
      <c r="Q366" t="s">
        <v>2319</v>
      </c>
      <c r="R366" t="s">
        <v>2289</v>
      </c>
      <c r="S366" t="s">
        <v>2429</v>
      </c>
      <c r="T366" t="s">
        <v>2448</v>
      </c>
      <c r="U366">
        <v>244700</v>
      </c>
      <c r="V366" t="s">
        <v>2734</v>
      </c>
      <c r="W366" t="s">
        <v>2491</v>
      </c>
      <c r="X366" t="s">
        <v>1889</v>
      </c>
      <c r="Y366" t="s">
        <v>1890</v>
      </c>
      <c r="AA366" t="s">
        <v>1891</v>
      </c>
      <c r="AB366" t="s">
        <v>1892</v>
      </c>
      <c r="AE366">
        <v>-41.226740530000001</v>
      </c>
      <c r="AF366">
        <v>174.89037819999999</v>
      </c>
      <c r="AG366">
        <v>42</v>
      </c>
      <c r="AH366">
        <v>0</v>
      </c>
      <c r="AI366">
        <v>0</v>
      </c>
      <c r="AJ366">
        <v>0</v>
      </c>
      <c r="AK366">
        <v>12</v>
      </c>
      <c r="AL366">
        <v>18</v>
      </c>
      <c r="AM366">
        <v>17</v>
      </c>
      <c r="AN366">
        <v>1</v>
      </c>
      <c r="AO366">
        <v>48</v>
      </c>
      <c r="AP366">
        <v>41</v>
      </c>
      <c r="AQ366">
        <v>12</v>
      </c>
      <c r="AR366">
        <v>6</v>
      </c>
      <c r="AS366">
        <v>3</v>
      </c>
      <c r="AT366">
        <v>3</v>
      </c>
    </row>
    <row r="367" spans="1:46">
      <c r="A367">
        <v>5377</v>
      </c>
      <c r="B367" t="s">
        <v>2735</v>
      </c>
      <c r="C367" t="s">
        <v>2736</v>
      </c>
      <c r="D367" t="s">
        <v>2737</v>
      </c>
      <c r="E367" t="s">
        <v>2738</v>
      </c>
      <c r="F367" t="s">
        <v>2739</v>
      </c>
      <c r="G367" t="s">
        <v>2526</v>
      </c>
      <c r="H367" t="s">
        <v>517</v>
      </c>
      <c r="J367" t="s">
        <v>518</v>
      </c>
      <c r="K367" t="s">
        <v>519</v>
      </c>
      <c r="M367" t="s">
        <v>2287</v>
      </c>
      <c r="N367" t="s">
        <v>571</v>
      </c>
      <c r="O367" t="s">
        <v>2527</v>
      </c>
      <c r="P367" t="s">
        <v>584</v>
      </c>
      <c r="Q367" t="s">
        <v>2319</v>
      </c>
      <c r="R367" t="s">
        <v>2289</v>
      </c>
      <c r="S367" t="s">
        <v>2528</v>
      </c>
      <c r="T367" t="s">
        <v>1485</v>
      </c>
      <c r="U367">
        <v>239000</v>
      </c>
      <c r="V367" t="s">
        <v>2739</v>
      </c>
      <c r="W367" t="s">
        <v>2579</v>
      </c>
      <c r="X367" t="s">
        <v>1889</v>
      </c>
      <c r="Y367" t="s">
        <v>1890</v>
      </c>
      <c r="AA367" t="s">
        <v>1891</v>
      </c>
      <c r="AB367" t="s">
        <v>1892</v>
      </c>
      <c r="AC367">
        <v>99068</v>
      </c>
      <c r="AD367" t="s">
        <v>2530</v>
      </c>
      <c r="AE367">
        <v>-41.081733190000001</v>
      </c>
      <c r="AF367">
        <v>174.86478120999999</v>
      </c>
      <c r="AG367">
        <v>45</v>
      </c>
      <c r="AH367">
        <v>0</v>
      </c>
      <c r="AI367">
        <v>0</v>
      </c>
      <c r="AJ367">
        <v>0</v>
      </c>
      <c r="AK367">
        <v>6</v>
      </c>
      <c r="AL367">
        <v>13</v>
      </c>
      <c r="AM367">
        <v>29</v>
      </c>
      <c r="AN367">
        <v>0</v>
      </c>
      <c r="AO367">
        <v>48</v>
      </c>
      <c r="AP367">
        <v>43</v>
      </c>
      <c r="AQ367">
        <v>9</v>
      </c>
      <c r="AR367">
        <v>1</v>
      </c>
      <c r="AS367">
        <v>4</v>
      </c>
      <c r="AT367">
        <v>1</v>
      </c>
    </row>
    <row r="368" spans="1:46">
      <c r="A368">
        <v>5378</v>
      </c>
      <c r="B368" t="s">
        <v>2740</v>
      </c>
      <c r="C368" t="s">
        <v>2741</v>
      </c>
      <c r="D368" t="s">
        <v>2742</v>
      </c>
      <c r="E368" t="s">
        <v>2743</v>
      </c>
      <c r="F368" t="s">
        <v>2744</v>
      </c>
      <c r="G368" t="s">
        <v>2526</v>
      </c>
      <c r="H368" t="s">
        <v>517</v>
      </c>
      <c r="J368" t="s">
        <v>518</v>
      </c>
      <c r="K368" t="s">
        <v>519</v>
      </c>
      <c r="M368" t="s">
        <v>2287</v>
      </c>
      <c r="N368" t="s">
        <v>571</v>
      </c>
      <c r="O368" t="s">
        <v>2527</v>
      </c>
      <c r="P368" t="s">
        <v>584</v>
      </c>
      <c r="Q368" t="s">
        <v>2319</v>
      </c>
      <c r="R368" t="s">
        <v>2289</v>
      </c>
      <c r="S368" t="s">
        <v>2528</v>
      </c>
      <c r="T368" t="s">
        <v>1485</v>
      </c>
      <c r="U368">
        <v>238800</v>
      </c>
      <c r="V368" t="s">
        <v>2744</v>
      </c>
      <c r="W368" t="s">
        <v>2579</v>
      </c>
      <c r="X368" t="s">
        <v>1889</v>
      </c>
      <c r="Y368" t="s">
        <v>1890</v>
      </c>
      <c r="AA368" t="s">
        <v>1891</v>
      </c>
      <c r="AB368" t="s">
        <v>1892</v>
      </c>
      <c r="AC368">
        <v>99068</v>
      </c>
      <c r="AD368" t="s">
        <v>2530</v>
      </c>
      <c r="AE368">
        <v>-41.03448642</v>
      </c>
      <c r="AF368">
        <v>174.88706941000001</v>
      </c>
      <c r="AG368">
        <v>42</v>
      </c>
      <c r="AH368">
        <v>0</v>
      </c>
      <c r="AI368">
        <v>0</v>
      </c>
      <c r="AJ368">
        <v>0</v>
      </c>
      <c r="AK368">
        <v>16</v>
      </c>
      <c r="AL368">
        <v>16</v>
      </c>
      <c r="AM368">
        <v>12</v>
      </c>
      <c r="AN368">
        <v>3</v>
      </c>
      <c r="AO368">
        <v>47</v>
      </c>
      <c r="AP368">
        <v>43</v>
      </c>
      <c r="AQ368">
        <v>9</v>
      </c>
      <c r="AR368">
        <v>3</v>
      </c>
      <c r="AS368">
        <v>6</v>
      </c>
      <c r="AT368">
        <v>4</v>
      </c>
    </row>
    <row r="369" spans="1:46">
      <c r="A369">
        <v>5379</v>
      </c>
      <c r="B369" t="s">
        <v>2745</v>
      </c>
      <c r="C369" t="s">
        <v>2746</v>
      </c>
      <c r="D369" t="s">
        <v>2747</v>
      </c>
      <c r="E369" t="s">
        <v>2748</v>
      </c>
      <c r="G369" t="s">
        <v>2749</v>
      </c>
      <c r="H369" t="s">
        <v>517</v>
      </c>
      <c r="J369" t="s">
        <v>518</v>
      </c>
      <c r="K369" t="s">
        <v>519</v>
      </c>
      <c r="M369" t="s">
        <v>2287</v>
      </c>
      <c r="N369" t="s">
        <v>571</v>
      </c>
      <c r="O369" t="s">
        <v>2675</v>
      </c>
      <c r="P369" t="s">
        <v>1262</v>
      </c>
      <c r="Q369" t="s">
        <v>2319</v>
      </c>
      <c r="R369" t="s">
        <v>2289</v>
      </c>
      <c r="S369" t="s">
        <v>2528</v>
      </c>
      <c r="T369" t="s">
        <v>1485</v>
      </c>
      <c r="U369">
        <v>238000</v>
      </c>
      <c r="V369" t="s">
        <v>2750</v>
      </c>
      <c r="W369" t="s">
        <v>2751</v>
      </c>
      <c r="X369" t="s">
        <v>1889</v>
      </c>
      <c r="Y369" t="s">
        <v>1890</v>
      </c>
      <c r="AA369" t="s">
        <v>1891</v>
      </c>
      <c r="AB369" t="s">
        <v>1892</v>
      </c>
      <c r="AE369">
        <v>-40.920408960000003</v>
      </c>
      <c r="AF369">
        <v>174.98430572000001</v>
      </c>
      <c r="AG369">
        <v>42</v>
      </c>
      <c r="AH369">
        <v>0</v>
      </c>
      <c r="AI369">
        <v>0</v>
      </c>
      <c r="AJ369">
        <v>0</v>
      </c>
      <c r="AK369">
        <v>2</v>
      </c>
      <c r="AL369">
        <v>13</v>
      </c>
      <c r="AM369">
        <v>29</v>
      </c>
      <c r="AN369">
        <v>2</v>
      </c>
      <c r="AO369">
        <v>46</v>
      </c>
      <c r="AP369">
        <v>41</v>
      </c>
      <c r="AQ369">
        <v>8</v>
      </c>
      <c r="AR369">
        <v>0</v>
      </c>
      <c r="AS369">
        <v>6</v>
      </c>
      <c r="AT369">
        <v>0</v>
      </c>
    </row>
    <row r="370" spans="1:46">
      <c r="A370">
        <v>5380</v>
      </c>
      <c r="B370" t="s">
        <v>2752</v>
      </c>
      <c r="C370" t="s">
        <v>2753</v>
      </c>
      <c r="D370" t="s">
        <v>2754</v>
      </c>
      <c r="E370" t="s">
        <v>2755</v>
      </c>
      <c r="F370" t="s">
        <v>2756</v>
      </c>
      <c r="G370" t="s">
        <v>2289</v>
      </c>
      <c r="H370" t="s">
        <v>517</v>
      </c>
      <c r="J370" t="s">
        <v>518</v>
      </c>
      <c r="K370" t="s">
        <v>519</v>
      </c>
      <c r="M370" t="s">
        <v>2287</v>
      </c>
      <c r="N370" t="s">
        <v>571</v>
      </c>
      <c r="O370" t="s">
        <v>2536</v>
      </c>
      <c r="P370" t="s">
        <v>654</v>
      </c>
      <c r="Q370" t="s">
        <v>2319</v>
      </c>
      <c r="R370" t="s">
        <v>2289</v>
      </c>
      <c r="S370" t="s">
        <v>2537</v>
      </c>
      <c r="T370" t="s">
        <v>2448</v>
      </c>
      <c r="U370">
        <v>255200</v>
      </c>
      <c r="V370" t="s">
        <v>2756</v>
      </c>
      <c r="W370" t="s">
        <v>2591</v>
      </c>
      <c r="X370" t="s">
        <v>1889</v>
      </c>
      <c r="Y370" t="s">
        <v>1890</v>
      </c>
      <c r="AA370" t="s">
        <v>1891</v>
      </c>
      <c r="AB370" t="s">
        <v>1892</v>
      </c>
      <c r="AC370">
        <v>99141</v>
      </c>
      <c r="AD370" t="s">
        <v>2592</v>
      </c>
      <c r="AE370">
        <v>-41.325958550000003</v>
      </c>
      <c r="AF370">
        <v>174.83651280000001</v>
      </c>
      <c r="AG370">
        <v>42</v>
      </c>
      <c r="AH370">
        <v>0</v>
      </c>
      <c r="AI370">
        <v>0</v>
      </c>
      <c r="AJ370">
        <v>0</v>
      </c>
      <c r="AK370">
        <v>9</v>
      </c>
      <c r="AL370">
        <v>21</v>
      </c>
      <c r="AM370">
        <v>17</v>
      </c>
      <c r="AN370">
        <v>0</v>
      </c>
      <c r="AO370">
        <v>47</v>
      </c>
      <c r="AP370">
        <v>35</v>
      </c>
      <c r="AQ370">
        <v>3</v>
      </c>
      <c r="AR370">
        <v>5</v>
      </c>
      <c r="AS370">
        <v>3</v>
      </c>
      <c r="AT370">
        <v>8</v>
      </c>
    </row>
    <row r="371" spans="1:46">
      <c r="A371">
        <v>5381</v>
      </c>
      <c r="B371" t="s">
        <v>2757</v>
      </c>
      <c r="C371" t="s">
        <v>2758</v>
      </c>
      <c r="D371" t="s">
        <v>2759</v>
      </c>
      <c r="E371" t="s">
        <v>2760</v>
      </c>
      <c r="F371" t="s">
        <v>2761</v>
      </c>
      <c r="G371" t="s">
        <v>2289</v>
      </c>
      <c r="H371" t="s">
        <v>517</v>
      </c>
      <c r="J371" t="s">
        <v>518</v>
      </c>
      <c r="K371" t="s">
        <v>519</v>
      </c>
      <c r="M371" t="s">
        <v>2287</v>
      </c>
      <c r="N371" t="s">
        <v>571</v>
      </c>
      <c r="O371" t="s">
        <v>2536</v>
      </c>
      <c r="P371" t="s">
        <v>654</v>
      </c>
      <c r="Q371" t="s">
        <v>2319</v>
      </c>
      <c r="R371" t="s">
        <v>2289</v>
      </c>
      <c r="S371" t="s">
        <v>2537</v>
      </c>
      <c r="T371" t="s">
        <v>2448</v>
      </c>
      <c r="U371">
        <v>255100</v>
      </c>
      <c r="V371" t="s">
        <v>2762</v>
      </c>
      <c r="W371" t="s">
        <v>2591</v>
      </c>
      <c r="X371" t="s">
        <v>1889</v>
      </c>
      <c r="Y371" t="s">
        <v>1890</v>
      </c>
      <c r="AA371" t="s">
        <v>1891</v>
      </c>
      <c r="AB371" t="s">
        <v>1892</v>
      </c>
      <c r="AC371">
        <v>99141</v>
      </c>
      <c r="AD371" t="s">
        <v>2592</v>
      </c>
      <c r="AE371">
        <v>-41.32714953</v>
      </c>
      <c r="AF371">
        <v>174.82004133000001</v>
      </c>
      <c r="AG371">
        <v>42</v>
      </c>
      <c r="AH371">
        <v>0</v>
      </c>
      <c r="AI371">
        <v>0</v>
      </c>
      <c r="AJ371">
        <v>0</v>
      </c>
      <c r="AK371">
        <v>0</v>
      </c>
      <c r="AL371">
        <v>16</v>
      </c>
      <c r="AM371">
        <v>25</v>
      </c>
      <c r="AN371">
        <v>1</v>
      </c>
      <c r="AO371">
        <v>42</v>
      </c>
      <c r="AP371">
        <v>15</v>
      </c>
      <c r="AQ371">
        <v>13</v>
      </c>
      <c r="AR371">
        <v>17</v>
      </c>
      <c r="AS371">
        <v>4</v>
      </c>
      <c r="AT371">
        <v>6</v>
      </c>
    </row>
    <row r="372" spans="1:46">
      <c r="A372">
        <v>5382</v>
      </c>
      <c r="B372" t="s">
        <v>2763</v>
      </c>
      <c r="C372" t="s">
        <v>2764</v>
      </c>
      <c r="D372" t="s">
        <v>2765</v>
      </c>
      <c r="E372" t="s">
        <v>2766</v>
      </c>
      <c r="F372" t="s">
        <v>2767</v>
      </c>
      <c r="G372" t="s">
        <v>2526</v>
      </c>
      <c r="H372" t="s">
        <v>517</v>
      </c>
      <c r="J372" t="s">
        <v>518</v>
      </c>
      <c r="K372" t="s">
        <v>519</v>
      </c>
      <c r="M372" t="s">
        <v>2287</v>
      </c>
      <c r="N372" t="s">
        <v>539</v>
      </c>
      <c r="O372" t="s">
        <v>2527</v>
      </c>
      <c r="P372" t="s">
        <v>584</v>
      </c>
      <c r="Q372" t="s">
        <v>2319</v>
      </c>
      <c r="R372" t="s">
        <v>2289</v>
      </c>
      <c r="S372" t="s">
        <v>2528</v>
      </c>
      <c r="T372" t="s">
        <v>1485</v>
      </c>
      <c r="U372">
        <v>240801</v>
      </c>
      <c r="V372" t="s">
        <v>2768</v>
      </c>
      <c r="W372" t="s">
        <v>2529</v>
      </c>
      <c r="X372" t="s">
        <v>1889</v>
      </c>
      <c r="Y372" t="s">
        <v>1890</v>
      </c>
      <c r="AA372" t="s">
        <v>1891</v>
      </c>
      <c r="AB372" t="s">
        <v>1892</v>
      </c>
      <c r="AC372">
        <v>99074</v>
      </c>
      <c r="AD372" t="s">
        <v>2632</v>
      </c>
      <c r="AE372">
        <v>-41.122793739999999</v>
      </c>
      <c r="AF372">
        <v>174.88063571999999</v>
      </c>
      <c r="AG372">
        <v>32</v>
      </c>
      <c r="AH372">
        <v>0</v>
      </c>
      <c r="AI372">
        <v>0</v>
      </c>
      <c r="AJ372">
        <v>0</v>
      </c>
      <c r="AK372">
        <v>5</v>
      </c>
      <c r="AL372">
        <v>12</v>
      </c>
      <c r="AM372">
        <v>16</v>
      </c>
      <c r="AN372">
        <v>0</v>
      </c>
      <c r="AO372">
        <v>33</v>
      </c>
      <c r="AP372">
        <v>9</v>
      </c>
      <c r="AQ372">
        <v>17</v>
      </c>
      <c r="AR372">
        <v>22</v>
      </c>
      <c r="AS372">
        <v>2</v>
      </c>
      <c r="AT372">
        <v>3</v>
      </c>
    </row>
    <row r="373" spans="1:46">
      <c r="A373">
        <v>5383</v>
      </c>
      <c r="B373" t="s">
        <v>2769</v>
      </c>
      <c r="C373" t="s">
        <v>2770</v>
      </c>
      <c r="D373" t="s">
        <v>2771</v>
      </c>
      <c r="E373" t="s">
        <v>2772</v>
      </c>
      <c r="G373" t="s">
        <v>2725</v>
      </c>
      <c r="H373" t="s">
        <v>517</v>
      </c>
      <c r="J373" t="s">
        <v>518</v>
      </c>
      <c r="K373" t="s">
        <v>519</v>
      </c>
      <c r="M373" t="s">
        <v>2287</v>
      </c>
      <c r="N373" t="s">
        <v>727</v>
      </c>
      <c r="O373" t="s">
        <v>2066</v>
      </c>
      <c r="P373" t="s">
        <v>1262</v>
      </c>
      <c r="Q373" t="s">
        <v>1636</v>
      </c>
      <c r="R373" t="s">
        <v>2289</v>
      </c>
      <c r="S373" t="s">
        <v>2067</v>
      </c>
      <c r="T373" t="s">
        <v>1485</v>
      </c>
      <c r="U373">
        <v>235800</v>
      </c>
      <c r="V373" t="s">
        <v>2773</v>
      </c>
      <c r="W373" t="s">
        <v>2727</v>
      </c>
      <c r="X373" t="s">
        <v>1889</v>
      </c>
      <c r="Y373" t="s">
        <v>1890</v>
      </c>
      <c r="AA373" t="s">
        <v>1891</v>
      </c>
      <c r="AB373" t="s">
        <v>1892</v>
      </c>
      <c r="AC373">
        <v>99058</v>
      </c>
      <c r="AD373" t="s">
        <v>2728</v>
      </c>
      <c r="AE373">
        <v>-40.637965960000002</v>
      </c>
      <c r="AF373">
        <v>175.28909110999999</v>
      </c>
      <c r="AG373">
        <v>49</v>
      </c>
      <c r="AH373">
        <v>9</v>
      </c>
      <c r="AI373">
        <v>0</v>
      </c>
      <c r="AJ373">
        <v>5</v>
      </c>
      <c r="AK373">
        <v>12</v>
      </c>
      <c r="AL373">
        <v>14</v>
      </c>
      <c r="AM373">
        <v>18</v>
      </c>
      <c r="AN373">
        <v>0</v>
      </c>
      <c r="AO373">
        <v>49</v>
      </c>
      <c r="AP373">
        <v>19</v>
      </c>
      <c r="AQ373">
        <v>30</v>
      </c>
      <c r="AR373">
        <v>12</v>
      </c>
      <c r="AS373">
        <v>0</v>
      </c>
      <c r="AT373">
        <v>0</v>
      </c>
    </row>
    <row r="374" spans="1:46">
      <c r="A374">
        <v>5384</v>
      </c>
      <c r="B374" t="s">
        <v>2774</v>
      </c>
      <c r="C374" t="s">
        <v>2775</v>
      </c>
      <c r="D374" t="s">
        <v>2776</v>
      </c>
      <c r="E374" t="s">
        <v>2777</v>
      </c>
      <c r="F374" t="s">
        <v>2544</v>
      </c>
      <c r="G374" t="s">
        <v>2289</v>
      </c>
      <c r="H374" t="s">
        <v>517</v>
      </c>
      <c r="J374" t="s">
        <v>518</v>
      </c>
      <c r="K374" t="s">
        <v>519</v>
      </c>
      <c r="M374" t="s">
        <v>2287</v>
      </c>
      <c r="N374" t="s">
        <v>571</v>
      </c>
      <c r="O374" t="s">
        <v>2536</v>
      </c>
      <c r="P374" t="s">
        <v>654</v>
      </c>
      <c r="Q374" t="s">
        <v>2319</v>
      </c>
      <c r="R374" t="s">
        <v>2289</v>
      </c>
      <c r="S374" t="s">
        <v>2545</v>
      </c>
      <c r="T374" t="s">
        <v>1485</v>
      </c>
      <c r="U374">
        <v>247900</v>
      </c>
      <c r="V374" t="s">
        <v>2778</v>
      </c>
      <c r="W374" t="s">
        <v>2547</v>
      </c>
      <c r="X374" t="s">
        <v>1889</v>
      </c>
      <c r="Y374" t="s">
        <v>1890</v>
      </c>
      <c r="AA374" t="s">
        <v>1891</v>
      </c>
      <c r="AB374" t="s">
        <v>1892</v>
      </c>
      <c r="AE374">
        <v>-41.17193391</v>
      </c>
      <c r="AF374">
        <v>174.82637394</v>
      </c>
      <c r="AG374">
        <v>42</v>
      </c>
      <c r="AH374">
        <v>0</v>
      </c>
      <c r="AI374">
        <v>0</v>
      </c>
      <c r="AJ374">
        <v>0</v>
      </c>
      <c r="AK374">
        <v>2</v>
      </c>
      <c r="AL374">
        <v>19</v>
      </c>
      <c r="AM374">
        <v>26</v>
      </c>
      <c r="AN374">
        <v>1</v>
      </c>
      <c r="AO374">
        <v>48</v>
      </c>
      <c r="AP374">
        <v>37</v>
      </c>
      <c r="AQ374">
        <v>11</v>
      </c>
      <c r="AR374">
        <v>7</v>
      </c>
      <c r="AS374">
        <v>7</v>
      </c>
      <c r="AT374">
        <v>2</v>
      </c>
    </row>
    <row r="375" spans="1:46">
      <c r="A375">
        <v>5385</v>
      </c>
      <c r="B375" t="s">
        <v>2779</v>
      </c>
      <c r="C375" t="s">
        <v>2780</v>
      </c>
      <c r="D375" t="s">
        <v>2781</v>
      </c>
      <c r="E375" t="s">
        <v>2782</v>
      </c>
      <c r="F375" t="s">
        <v>2783</v>
      </c>
      <c r="G375" t="s">
        <v>2526</v>
      </c>
      <c r="H375" t="s">
        <v>517</v>
      </c>
      <c r="J375" t="s">
        <v>518</v>
      </c>
      <c r="K375" t="s">
        <v>519</v>
      </c>
      <c r="M375" t="s">
        <v>2287</v>
      </c>
      <c r="N375" t="s">
        <v>557</v>
      </c>
      <c r="O375" t="s">
        <v>2527</v>
      </c>
      <c r="P375" t="s">
        <v>584</v>
      </c>
      <c r="Q375" t="s">
        <v>2319</v>
      </c>
      <c r="R375" t="s">
        <v>2289</v>
      </c>
      <c r="S375" t="s">
        <v>2528</v>
      </c>
      <c r="T375" t="s">
        <v>1485</v>
      </c>
      <c r="U375">
        <v>239100</v>
      </c>
      <c r="V375" t="s">
        <v>2784</v>
      </c>
      <c r="W375" t="s">
        <v>2529</v>
      </c>
      <c r="X375" t="s">
        <v>1889</v>
      </c>
      <c r="Y375" t="s">
        <v>1890</v>
      </c>
      <c r="AA375" t="s">
        <v>1891</v>
      </c>
      <c r="AB375" t="s">
        <v>1892</v>
      </c>
      <c r="AC375">
        <v>99094</v>
      </c>
      <c r="AD375" t="s">
        <v>2615</v>
      </c>
      <c r="AE375">
        <v>-41.100105169999999</v>
      </c>
      <c r="AF375">
        <v>174.84221625000001</v>
      </c>
      <c r="AG375">
        <v>41</v>
      </c>
      <c r="AH375">
        <v>0</v>
      </c>
      <c r="AI375">
        <v>0</v>
      </c>
      <c r="AJ375">
        <v>0</v>
      </c>
      <c r="AK375">
        <v>11</v>
      </c>
      <c r="AL375">
        <v>17</v>
      </c>
      <c r="AM375">
        <v>27</v>
      </c>
      <c r="AN375">
        <v>0</v>
      </c>
      <c r="AO375">
        <v>55</v>
      </c>
      <c r="AP375">
        <v>42</v>
      </c>
      <c r="AQ375">
        <v>17</v>
      </c>
      <c r="AR375">
        <v>5</v>
      </c>
      <c r="AS375">
        <v>5</v>
      </c>
      <c r="AT375">
        <v>6</v>
      </c>
    </row>
    <row r="376" spans="1:46">
      <c r="A376">
        <v>5386</v>
      </c>
      <c r="B376" t="s">
        <v>2785</v>
      </c>
      <c r="C376" t="s">
        <v>2786</v>
      </c>
      <c r="D376" t="s">
        <v>2787</v>
      </c>
      <c r="E376" t="s">
        <v>2788</v>
      </c>
      <c r="F376" t="s">
        <v>2789</v>
      </c>
      <c r="G376" t="s">
        <v>2289</v>
      </c>
      <c r="H376" t="s">
        <v>517</v>
      </c>
      <c r="J376" t="s">
        <v>518</v>
      </c>
      <c r="K376" t="s">
        <v>519</v>
      </c>
      <c r="M376" t="s">
        <v>2287</v>
      </c>
      <c r="N376" t="s">
        <v>539</v>
      </c>
      <c r="O376" t="s">
        <v>2536</v>
      </c>
      <c r="P376" t="s">
        <v>654</v>
      </c>
      <c r="Q376" t="s">
        <v>2319</v>
      </c>
      <c r="R376" t="s">
        <v>2289</v>
      </c>
      <c r="S376" t="s">
        <v>2528</v>
      </c>
      <c r="T376" t="s">
        <v>1485</v>
      </c>
      <c r="U376">
        <v>247700</v>
      </c>
      <c r="V376" t="s">
        <v>2789</v>
      </c>
      <c r="W376" t="s">
        <v>2547</v>
      </c>
      <c r="X376" t="s">
        <v>1889</v>
      </c>
      <c r="Y376" t="s">
        <v>1890</v>
      </c>
      <c r="AA376" t="s">
        <v>1891</v>
      </c>
      <c r="AB376" t="s">
        <v>1892</v>
      </c>
      <c r="AE376">
        <v>-41.156194390000003</v>
      </c>
      <c r="AF376">
        <v>174.83480402000001</v>
      </c>
      <c r="AG376">
        <v>42</v>
      </c>
      <c r="AH376">
        <v>0</v>
      </c>
      <c r="AI376">
        <v>0</v>
      </c>
      <c r="AJ376">
        <v>0</v>
      </c>
      <c r="AK376">
        <v>9</v>
      </c>
      <c r="AL376">
        <v>11</v>
      </c>
      <c r="AM376">
        <v>15</v>
      </c>
      <c r="AN376">
        <v>1</v>
      </c>
      <c r="AO376">
        <v>36</v>
      </c>
      <c r="AP376">
        <v>15</v>
      </c>
      <c r="AQ376">
        <v>15</v>
      </c>
      <c r="AR376">
        <v>12</v>
      </c>
      <c r="AS376">
        <v>7</v>
      </c>
      <c r="AT376">
        <v>1</v>
      </c>
    </row>
    <row r="377" spans="1:46">
      <c r="A377">
        <v>5387</v>
      </c>
      <c r="B377" t="s">
        <v>2790</v>
      </c>
      <c r="C377" t="s">
        <v>2791</v>
      </c>
      <c r="D377" t="s">
        <v>2792</v>
      </c>
      <c r="E377" t="s">
        <v>2793</v>
      </c>
      <c r="F377" t="s">
        <v>2794</v>
      </c>
      <c r="G377" t="s">
        <v>2289</v>
      </c>
      <c r="H377" t="s">
        <v>517</v>
      </c>
      <c r="J377" t="s">
        <v>518</v>
      </c>
      <c r="K377" t="s">
        <v>519</v>
      </c>
      <c r="M377" t="s">
        <v>2287</v>
      </c>
      <c r="N377" t="s">
        <v>571</v>
      </c>
      <c r="O377" t="s">
        <v>2536</v>
      </c>
      <c r="P377" t="s">
        <v>654</v>
      </c>
      <c r="Q377" t="s">
        <v>2319</v>
      </c>
      <c r="R377" t="s">
        <v>2289</v>
      </c>
      <c r="S377" t="s">
        <v>2545</v>
      </c>
      <c r="T377" t="s">
        <v>2448</v>
      </c>
      <c r="U377">
        <v>250300</v>
      </c>
      <c r="V377" t="s">
        <v>2794</v>
      </c>
      <c r="W377" t="s">
        <v>2561</v>
      </c>
      <c r="X377" t="s">
        <v>1889</v>
      </c>
      <c r="Y377" t="s">
        <v>1890</v>
      </c>
      <c r="AA377" t="s">
        <v>1891</v>
      </c>
      <c r="AB377" t="s">
        <v>1892</v>
      </c>
      <c r="AE377">
        <v>-41.260908110000003</v>
      </c>
      <c r="AF377">
        <v>174.77820062999999</v>
      </c>
      <c r="AG377">
        <v>32</v>
      </c>
      <c r="AH377">
        <v>0</v>
      </c>
      <c r="AI377">
        <v>0</v>
      </c>
      <c r="AJ377">
        <v>0</v>
      </c>
      <c r="AK377">
        <v>6</v>
      </c>
      <c r="AL377">
        <v>9</v>
      </c>
      <c r="AM377">
        <v>7</v>
      </c>
      <c r="AN377">
        <v>0</v>
      </c>
      <c r="AO377">
        <v>22</v>
      </c>
      <c r="AP377">
        <v>17</v>
      </c>
      <c r="AQ377">
        <v>2</v>
      </c>
      <c r="AR377">
        <v>1</v>
      </c>
      <c r="AS377">
        <v>6</v>
      </c>
      <c r="AT377">
        <v>1</v>
      </c>
    </row>
    <row r="378" spans="1:46">
      <c r="A378">
        <v>5388</v>
      </c>
      <c r="B378" t="s">
        <v>2795</v>
      </c>
      <c r="C378" t="s">
        <v>2796</v>
      </c>
      <c r="D378" t="s">
        <v>2797</v>
      </c>
      <c r="E378" t="s">
        <v>2798</v>
      </c>
      <c r="G378" t="s">
        <v>2799</v>
      </c>
      <c r="H378" t="s">
        <v>517</v>
      </c>
      <c r="J378" t="s">
        <v>518</v>
      </c>
      <c r="K378" t="s">
        <v>519</v>
      </c>
      <c r="M378" t="s">
        <v>2287</v>
      </c>
      <c r="N378" t="s">
        <v>571</v>
      </c>
      <c r="O378" t="s">
        <v>2675</v>
      </c>
      <c r="P378" t="s">
        <v>1262</v>
      </c>
      <c r="Q378" t="s">
        <v>2319</v>
      </c>
      <c r="R378" t="s">
        <v>2289</v>
      </c>
      <c r="S378" t="s">
        <v>2067</v>
      </c>
      <c r="T378" t="s">
        <v>1485</v>
      </c>
      <c r="U378">
        <v>237600</v>
      </c>
      <c r="V378" t="s">
        <v>2800</v>
      </c>
      <c r="W378" t="s">
        <v>2801</v>
      </c>
      <c r="X378" t="s">
        <v>1889</v>
      </c>
      <c r="Y378" t="s">
        <v>1890</v>
      </c>
      <c r="AA378" t="s">
        <v>1891</v>
      </c>
      <c r="AB378" t="s">
        <v>1892</v>
      </c>
      <c r="AC378">
        <v>99137</v>
      </c>
      <c r="AD378" t="s">
        <v>2678</v>
      </c>
      <c r="AE378">
        <v>-40.875060859999998</v>
      </c>
      <c r="AF378">
        <v>175.05400710999999</v>
      </c>
      <c r="AG378">
        <v>42</v>
      </c>
      <c r="AH378">
        <v>0</v>
      </c>
      <c r="AI378">
        <v>0</v>
      </c>
      <c r="AJ378">
        <v>0</v>
      </c>
      <c r="AK378">
        <v>8</v>
      </c>
      <c r="AL378">
        <v>17</v>
      </c>
      <c r="AM378">
        <v>31</v>
      </c>
      <c r="AN378">
        <v>2</v>
      </c>
      <c r="AO378">
        <v>58</v>
      </c>
      <c r="AP378">
        <v>55</v>
      </c>
      <c r="AQ378">
        <v>10</v>
      </c>
      <c r="AR378">
        <v>5</v>
      </c>
      <c r="AS378">
        <v>5</v>
      </c>
      <c r="AT378">
        <v>0</v>
      </c>
    </row>
    <row r="379" spans="1:46">
      <c r="A379">
        <v>5389</v>
      </c>
      <c r="B379" t="s">
        <v>2802</v>
      </c>
      <c r="C379" t="s">
        <v>2803</v>
      </c>
      <c r="D379" t="s">
        <v>2804</v>
      </c>
      <c r="E379" t="s">
        <v>2805</v>
      </c>
      <c r="F379" t="s">
        <v>2767</v>
      </c>
      <c r="G379" t="s">
        <v>2526</v>
      </c>
      <c r="H379" t="s">
        <v>517</v>
      </c>
      <c r="J379" t="s">
        <v>518</v>
      </c>
      <c r="K379" t="s">
        <v>519</v>
      </c>
      <c r="M379" t="s">
        <v>2287</v>
      </c>
      <c r="N379" t="s">
        <v>727</v>
      </c>
      <c r="O379" t="s">
        <v>2527</v>
      </c>
      <c r="P379" t="s">
        <v>584</v>
      </c>
      <c r="Q379" t="s">
        <v>2319</v>
      </c>
      <c r="R379" t="s">
        <v>2289</v>
      </c>
      <c r="S379" t="s">
        <v>2528</v>
      </c>
      <c r="T379" t="s">
        <v>1485</v>
      </c>
      <c r="U379">
        <v>240802</v>
      </c>
      <c r="V379" t="s">
        <v>2806</v>
      </c>
      <c r="W379" t="s">
        <v>2529</v>
      </c>
      <c r="X379" t="s">
        <v>1889</v>
      </c>
      <c r="Y379" t="s">
        <v>1890</v>
      </c>
      <c r="AA379" t="s">
        <v>1891</v>
      </c>
      <c r="AB379" t="s">
        <v>1892</v>
      </c>
      <c r="AC379">
        <v>99074</v>
      </c>
      <c r="AD379" t="s">
        <v>2632</v>
      </c>
      <c r="AE379">
        <v>-41.131950269999997</v>
      </c>
      <c r="AF379">
        <v>174.88084186</v>
      </c>
      <c r="AG379">
        <v>41</v>
      </c>
      <c r="AH379">
        <v>0</v>
      </c>
      <c r="AI379">
        <v>0</v>
      </c>
      <c r="AJ379">
        <v>0</v>
      </c>
      <c r="AK379">
        <v>6</v>
      </c>
      <c r="AL379">
        <v>12</v>
      </c>
      <c r="AM379">
        <v>17</v>
      </c>
      <c r="AN379">
        <v>0</v>
      </c>
      <c r="AO379">
        <v>35</v>
      </c>
      <c r="AP379">
        <v>4</v>
      </c>
      <c r="AQ379">
        <v>11</v>
      </c>
      <c r="AR379">
        <v>25</v>
      </c>
      <c r="AS379">
        <v>7</v>
      </c>
      <c r="AT379">
        <v>0</v>
      </c>
    </row>
    <row r="380" spans="1:46">
      <c r="A380">
        <v>5390</v>
      </c>
      <c r="B380" t="s">
        <v>2807</v>
      </c>
      <c r="C380" t="s">
        <v>2808</v>
      </c>
      <c r="D380" t="s">
        <v>2809</v>
      </c>
      <c r="E380" t="s">
        <v>2810</v>
      </c>
      <c r="F380" t="s">
        <v>2668</v>
      </c>
      <c r="G380" t="s">
        <v>2289</v>
      </c>
      <c r="H380" t="s">
        <v>517</v>
      </c>
      <c r="J380" t="s">
        <v>518</v>
      </c>
      <c r="K380" t="s">
        <v>519</v>
      </c>
      <c r="M380" t="s">
        <v>2287</v>
      </c>
      <c r="N380" t="s">
        <v>539</v>
      </c>
      <c r="O380" t="s">
        <v>2536</v>
      </c>
      <c r="P380" t="s">
        <v>654</v>
      </c>
      <c r="Q380" t="s">
        <v>2319</v>
      </c>
      <c r="R380" t="s">
        <v>2289</v>
      </c>
      <c r="S380" t="s">
        <v>2537</v>
      </c>
      <c r="T380" t="s">
        <v>2448</v>
      </c>
      <c r="U380">
        <v>253600</v>
      </c>
      <c r="V380" t="s">
        <v>2811</v>
      </c>
      <c r="W380" t="s">
        <v>2538</v>
      </c>
      <c r="X380" t="s">
        <v>1889</v>
      </c>
      <c r="Y380" t="s">
        <v>1890</v>
      </c>
      <c r="AA380" t="s">
        <v>1891</v>
      </c>
      <c r="AB380" t="s">
        <v>1892</v>
      </c>
      <c r="AC380">
        <v>99171</v>
      </c>
      <c r="AD380" t="s">
        <v>2539</v>
      </c>
      <c r="AE380">
        <v>-41.314547230000002</v>
      </c>
      <c r="AF380">
        <v>174.78515822</v>
      </c>
      <c r="AG380">
        <v>30</v>
      </c>
      <c r="AH380">
        <v>0</v>
      </c>
      <c r="AI380">
        <v>0</v>
      </c>
      <c r="AJ380">
        <v>0</v>
      </c>
      <c r="AK380">
        <v>0</v>
      </c>
      <c r="AL380">
        <v>15</v>
      </c>
      <c r="AM380">
        <v>12</v>
      </c>
      <c r="AN380">
        <v>1</v>
      </c>
      <c r="AO380">
        <v>28</v>
      </c>
      <c r="AP380">
        <v>0</v>
      </c>
      <c r="AQ380">
        <v>1</v>
      </c>
      <c r="AR380">
        <v>3</v>
      </c>
      <c r="AS380">
        <v>21</v>
      </c>
      <c r="AT380">
        <v>3</v>
      </c>
    </row>
    <row r="381" spans="1:46">
      <c r="A381">
        <v>5391</v>
      </c>
      <c r="B381" t="s">
        <v>2812</v>
      </c>
      <c r="C381" t="s">
        <v>2813</v>
      </c>
      <c r="E381" t="s">
        <v>2814</v>
      </c>
      <c r="F381" t="s">
        <v>2733</v>
      </c>
      <c r="G381" t="s">
        <v>2427</v>
      </c>
      <c r="H381" t="s">
        <v>517</v>
      </c>
      <c r="J381" t="s">
        <v>518</v>
      </c>
      <c r="K381" t="s">
        <v>519</v>
      </c>
      <c r="M381" t="s">
        <v>2287</v>
      </c>
      <c r="N381" t="s">
        <v>571</v>
      </c>
      <c r="O381" t="s">
        <v>2428</v>
      </c>
      <c r="P381" t="s">
        <v>654</v>
      </c>
      <c r="Q381" t="s">
        <v>2319</v>
      </c>
      <c r="R381" t="s">
        <v>2289</v>
      </c>
      <c r="S381" t="s">
        <v>2429</v>
      </c>
      <c r="T381" t="s">
        <v>2448</v>
      </c>
      <c r="U381">
        <v>245000</v>
      </c>
      <c r="V381" t="s">
        <v>2815</v>
      </c>
      <c r="W381" t="s">
        <v>2491</v>
      </c>
      <c r="X381" t="s">
        <v>1889</v>
      </c>
      <c r="Y381" t="s">
        <v>1890</v>
      </c>
      <c r="AA381" t="s">
        <v>1891</v>
      </c>
      <c r="AB381" t="s">
        <v>1892</v>
      </c>
      <c r="AE381">
        <v>-41.227241849999999</v>
      </c>
      <c r="AF381">
        <v>174.87885585999999</v>
      </c>
      <c r="AG381">
        <v>35</v>
      </c>
      <c r="AH381">
        <v>0</v>
      </c>
      <c r="AI381">
        <v>0</v>
      </c>
      <c r="AJ381">
        <v>0</v>
      </c>
      <c r="AK381">
        <v>5</v>
      </c>
      <c r="AL381">
        <v>13</v>
      </c>
      <c r="AM381">
        <v>26</v>
      </c>
      <c r="AN381">
        <v>0</v>
      </c>
      <c r="AO381">
        <v>44</v>
      </c>
      <c r="AP381">
        <v>34</v>
      </c>
      <c r="AQ381">
        <v>11</v>
      </c>
      <c r="AR381">
        <v>3</v>
      </c>
      <c r="AS381">
        <v>5</v>
      </c>
      <c r="AT381">
        <v>1</v>
      </c>
    </row>
    <row r="382" spans="1:46">
      <c r="A382">
        <v>5392</v>
      </c>
      <c r="B382" t="s">
        <v>2816</v>
      </c>
      <c r="C382" t="s">
        <v>2817</v>
      </c>
      <c r="D382" t="s">
        <v>2818</v>
      </c>
      <c r="E382" t="s">
        <v>2819</v>
      </c>
      <c r="F382" t="s">
        <v>2820</v>
      </c>
      <c r="G382" t="s">
        <v>2821</v>
      </c>
      <c r="H382" t="s">
        <v>517</v>
      </c>
      <c r="J382" t="s">
        <v>518</v>
      </c>
      <c r="K382" t="s">
        <v>519</v>
      </c>
      <c r="M382" t="s">
        <v>2287</v>
      </c>
      <c r="N382" t="s">
        <v>539</v>
      </c>
      <c r="O382" t="s">
        <v>2822</v>
      </c>
      <c r="P382" t="s">
        <v>1262</v>
      </c>
      <c r="Q382" t="s">
        <v>2823</v>
      </c>
      <c r="R382" t="s">
        <v>2824</v>
      </c>
      <c r="S382" t="s">
        <v>2825</v>
      </c>
      <c r="T382" t="s">
        <v>2448</v>
      </c>
      <c r="U382">
        <v>307700</v>
      </c>
      <c r="V382" t="s">
        <v>2820</v>
      </c>
      <c r="W382" t="s">
        <v>2826</v>
      </c>
      <c r="X382" t="s">
        <v>2827</v>
      </c>
      <c r="Y382" t="s">
        <v>2828</v>
      </c>
      <c r="AA382" t="s">
        <v>2829</v>
      </c>
      <c r="AB382" t="s">
        <v>2830</v>
      </c>
      <c r="AC382">
        <v>99006</v>
      </c>
      <c r="AD382" t="s">
        <v>2831</v>
      </c>
      <c r="AE382">
        <v>-41.503681800000003</v>
      </c>
      <c r="AF382">
        <v>173.95435197</v>
      </c>
      <c r="AG382">
        <v>44</v>
      </c>
      <c r="AH382">
        <v>0</v>
      </c>
      <c r="AI382">
        <v>0</v>
      </c>
      <c r="AJ382">
        <v>0</v>
      </c>
      <c r="AK382">
        <v>4</v>
      </c>
      <c r="AL382">
        <v>17</v>
      </c>
      <c r="AM382">
        <v>26</v>
      </c>
      <c r="AN382">
        <v>0</v>
      </c>
      <c r="AO382">
        <v>47</v>
      </c>
      <c r="AP382">
        <v>32</v>
      </c>
      <c r="AQ382">
        <v>15</v>
      </c>
      <c r="AR382">
        <v>8</v>
      </c>
      <c r="AS382">
        <v>3</v>
      </c>
      <c r="AT382">
        <v>3</v>
      </c>
    </row>
    <row r="383" spans="1:46">
      <c r="A383">
        <v>5394</v>
      </c>
      <c r="B383" t="s">
        <v>2832</v>
      </c>
      <c r="C383" t="s">
        <v>2833</v>
      </c>
      <c r="D383" t="s">
        <v>2834</v>
      </c>
      <c r="E383" t="s">
        <v>2835</v>
      </c>
      <c r="F383" t="s">
        <v>2836</v>
      </c>
      <c r="G383" t="s">
        <v>2821</v>
      </c>
      <c r="H383" t="s">
        <v>517</v>
      </c>
      <c r="J383" t="s">
        <v>518</v>
      </c>
      <c r="K383" t="s">
        <v>519</v>
      </c>
      <c r="M383" t="s">
        <v>2287</v>
      </c>
      <c r="N383" t="s">
        <v>557</v>
      </c>
      <c r="O383" t="s">
        <v>2822</v>
      </c>
      <c r="P383" t="s">
        <v>1262</v>
      </c>
      <c r="Q383" t="s">
        <v>2823</v>
      </c>
      <c r="R383" t="s">
        <v>2824</v>
      </c>
      <c r="S383" t="s">
        <v>2825</v>
      </c>
      <c r="T383" t="s">
        <v>2448</v>
      </c>
      <c r="U383">
        <v>308400</v>
      </c>
      <c r="V383" t="s">
        <v>2837</v>
      </c>
      <c r="W383" t="s">
        <v>2826</v>
      </c>
      <c r="X383" t="s">
        <v>2827</v>
      </c>
      <c r="Y383" t="s">
        <v>2828</v>
      </c>
      <c r="AA383" t="s">
        <v>2829</v>
      </c>
      <c r="AB383" t="s">
        <v>2830</v>
      </c>
      <c r="AC383">
        <v>99006</v>
      </c>
      <c r="AD383" t="s">
        <v>2831</v>
      </c>
      <c r="AE383">
        <v>-41.530694570000001</v>
      </c>
      <c r="AF383">
        <v>173.95454100000001</v>
      </c>
      <c r="AG383">
        <v>40</v>
      </c>
      <c r="AH383">
        <v>0</v>
      </c>
      <c r="AI383">
        <v>0</v>
      </c>
      <c r="AJ383">
        <v>0</v>
      </c>
      <c r="AK383">
        <v>4</v>
      </c>
      <c r="AL383">
        <v>10</v>
      </c>
      <c r="AM383">
        <v>28</v>
      </c>
      <c r="AN383">
        <v>0</v>
      </c>
      <c r="AO383">
        <v>42</v>
      </c>
      <c r="AP383">
        <v>27</v>
      </c>
      <c r="AQ383">
        <v>9</v>
      </c>
      <c r="AR383">
        <v>5</v>
      </c>
      <c r="AS383">
        <v>6</v>
      </c>
      <c r="AT383">
        <v>5</v>
      </c>
    </row>
    <row r="384" spans="1:46">
      <c r="A384">
        <v>5395</v>
      </c>
      <c r="B384" t="s">
        <v>2838</v>
      </c>
      <c r="C384" t="s">
        <v>2839</v>
      </c>
      <c r="D384" t="s">
        <v>2840</v>
      </c>
      <c r="E384" t="s">
        <v>2841</v>
      </c>
      <c r="F384" t="s">
        <v>2821</v>
      </c>
      <c r="G384" t="s">
        <v>2821</v>
      </c>
      <c r="H384" t="s">
        <v>517</v>
      </c>
      <c r="J384" t="s">
        <v>518</v>
      </c>
      <c r="K384" t="s">
        <v>519</v>
      </c>
      <c r="M384" t="s">
        <v>2287</v>
      </c>
      <c r="N384" t="s">
        <v>571</v>
      </c>
      <c r="O384" t="s">
        <v>2822</v>
      </c>
      <c r="P384" t="s">
        <v>1262</v>
      </c>
      <c r="Q384" t="s">
        <v>2823</v>
      </c>
      <c r="R384" t="s">
        <v>2824</v>
      </c>
      <c r="S384" t="s">
        <v>2825</v>
      </c>
      <c r="T384" t="s">
        <v>2448</v>
      </c>
      <c r="U384">
        <v>308100</v>
      </c>
      <c r="V384" t="s">
        <v>2842</v>
      </c>
      <c r="W384" t="s">
        <v>2826</v>
      </c>
      <c r="X384" t="s">
        <v>2827</v>
      </c>
      <c r="Y384" t="s">
        <v>2828</v>
      </c>
      <c r="AA384" t="s">
        <v>2829</v>
      </c>
      <c r="AB384" t="s">
        <v>2830</v>
      </c>
      <c r="AC384">
        <v>99006</v>
      </c>
      <c r="AD384" t="s">
        <v>2831</v>
      </c>
      <c r="AE384">
        <v>-41.520389350000002</v>
      </c>
      <c r="AF384">
        <v>173.9605162</v>
      </c>
      <c r="AG384">
        <v>43</v>
      </c>
      <c r="AH384">
        <v>0</v>
      </c>
      <c r="AI384">
        <v>0</v>
      </c>
      <c r="AJ384">
        <v>0</v>
      </c>
      <c r="AK384">
        <v>2</v>
      </c>
      <c r="AL384">
        <v>18</v>
      </c>
      <c r="AM384">
        <v>19</v>
      </c>
      <c r="AN384">
        <v>2</v>
      </c>
      <c r="AO384">
        <v>41</v>
      </c>
      <c r="AP384">
        <v>37</v>
      </c>
      <c r="AQ384">
        <v>4</v>
      </c>
      <c r="AR384">
        <v>1</v>
      </c>
      <c r="AS384">
        <v>5</v>
      </c>
      <c r="AT384">
        <v>1</v>
      </c>
    </row>
    <row r="385" spans="1:46">
      <c r="A385">
        <v>5396</v>
      </c>
      <c r="B385" t="s">
        <v>2843</v>
      </c>
      <c r="C385" t="s">
        <v>2844</v>
      </c>
      <c r="D385" t="s">
        <v>2845</v>
      </c>
      <c r="E385" t="s">
        <v>2846</v>
      </c>
      <c r="F385" t="s">
        <v>2847</v>
      </c>
      <c r="G385" t="s">
        <v>2821</v>
      </c>
      <c r="H385" t="s">
        <v>517</v>
      </c>
      <c r="J385" t="s">
        <v>518</v>
      </c>
      <c r="K385" t="s">
        <v>519</v>
      </c>
      <c r="M385" t="s">
        <v>2287</v>
      </c>
      <c r="N385" t="s">
        <v>571</v>
      </c>
      <c r="O385" t="s">
        <v>2822</v>
      </c>
      <c r="P385" t="s">
        <v>1262</v>
      </c>
      <c r="Q385" t="s">
        <v>2823</v>
      </c>
      <c r="R385" t="s">
        <v>2824</v>
      </c>
      <c r="S385" t="s">
        <v>2825</v>
      </c>
      <c r="T385" t="s">
        <v>2448</v>
      </c>
      <c r="U385">
        <v>308600</v>
      </c>
      <c r="V385" t="s">
        <v>2848</v>
      </c>
      <c r="W385" t="s">
        <v>2826</v>
      </c>
      <c r="X385" t="s">
        <v>2827</v>
      </c>
      <c r="Y385" t="s">
        <v>2828</v>
      </c>
      <c r="AA385" t="s">
        <v>2829</v>
      </c>
      <c r="AB385" t="s">
        <v>2830</v>
      </c>
      <c r="AC385">
        <v>99006</v>
      </c>
      <c r="AD385" t="s">
        <v>2831</v>
      </c>
      <c r="AE385">
        <v>-41.537822490000003</v>
      </c>
      <c r="AF385">
        <v>173.95460116000001</v>
      </c>
      <c r="AG385">
        <v>42</v>
      </c>
      <c r="AH385">
        <v>0</v>
      </c>
      <c r="AI385">
        <v>0</v>
      </c>
      <c r="AJ385">
        <v>0</v>
      </c>
      <c r="AK385">
        <v>3</v>
      </c>
      <c r="AL385">
        <v>22</v>
      </c>
      <c r="AM385">
        <v>23</v>
      </c>
      <c r="AN385">
        <v>0</v>
      </c>
      <c r="AO385">
        <v>48</v>
      </c>
      <c r="AP385">
        <v>43</v>
      </c>
      <c r="AQ385">
        <v>11</v>
      </c>
      <c r="AR385">
        <v>3</v>
      </c>
      <c r="AS385">
        <v>3</v>
      </c>
      <c r="AT385">
        <v>2</v>
      </c>
    </row>
    <row r="386" spans="1:46">
      <c r="A386">
        <v>5397</v>
      </c>
      <c r="B386" t="s">
        <v>2849</v>
      </c>
      <c r="C386" t="s">
        <v>2850</v>
      </c>
      <c r="E386" t="s">
        <v>2851</v>
      </c>
      <c r="F386" t="s">
        <v>2852</v>
      </c>
      <c r="G386" t="s">
        <v>2853</v>
      </c>
      <c r="H386" t="s">
        <v>517</v>
      </c>
      <c r="J386" t="s">
        <v>518</v>
      </c>
      <c r="K386" t="s">
        <v>519</v>
      </c>
      <c r="M386" t="s">
        <v>2287</v>
      </c>
      <c r="N386" t="s">
        <v>571</v>
      </c>
      <c r="O386" t="s">
        <v>2854</v>
      </c>
      <c r="P386" t="s">
        <v>584</v>
      </c>
      <c r="Q386" t="s">
        <v>2855</v>
      </c>
      <c r="R386" t="s">
        <v>2824</v>
      </c>
      <c r="S386" t="s">
        <v>2853</v>
      </c>
      <c r="T386" t="s">
        <v>2448</v>
      </c>
      <c r="U386">
        <v>304400</v>
      </c>
      <c r="V386" t="s">
        <v>2856</v>
      </c>
      <c r="W386" t="s">
        <v>2857</v>
      </c>
      <c r="X386" t="s">
        <v>2858</v>
      </c>
      <c r="Y386" t="s">
        <v>2859</v>
      </c>
      <c r="Z386" t="s">
        <v>2853</v>
      </c>
      <c r="AA386" t="s">
        <v>2860</v>
      </c>
      <c r="AB386" t="s">
        <v>2861</v>
      </c>
      <c r="AC386">
        <v>99042</v>
      </c>
      <c r="AD386" t="s">
        <v>2862</v>
      </c>
      <c r="AE386">
        <v>-41.306913360000003</v>
      </c>
      <c r="AF386">
        <v>173.22380150999999</v>
      </c>
      <c r="AG386">
        <v>43</v>
      </c>
      <c r="AH386">
        <v>0</v>
      </c>
      <c r="AI386">
        <v>0</v>
      </c>
      <c r="AJ386">
        <v>0</v>
      </c>
      <c r="AK386">
        <v>2</v>
      </c>
      <c r="AL386">
        <v>12</v>
      </c>
      <c r="AM386">
        <v>30</v>
      </c>
      <c r="AN386">
        <v>1</v>
      </c>
      <c r="AO386">
        <v>45</v>
      </c>
      <c r="AP386">
        <v>39</v>
      </c>
      <c r="AQ386">
        <v>7</v>
      </c>
      <c r="AR386">
        <v>3</v>
      </c>
      <c r="AS386">
        <v>2</v>
      </c>
      <c r="AT386">
        <v>0</v>
      </c>
    </row>
    <row r="387" spans="1:46">
      <c r="A387">
        <v>5398</v>
      </c>
      <c r="B387" t="s">
        <v>2863</v>
      </c>
      <c r="C387" t="s">
        <v>2864</v>
      </c>
      <c r="D387" t="s">
        <v>2865</v>
      </c>
      <c r="E387" t="s">
        <v>2866</v>
      </c>
      <c r="G387" t="s">
        <v>2867</v>
      </c>
      <c r="H387" t="s">
        <v>517</v>
      </c>
      <c r="J387" t="s">
        <v>518</v>
      </c>
      <c r="K387" t="s">
        <v>519</v>
      </c>
      <c r="M387" t="s">
        <v>2287</v>
      </c>
      <c r="N387" t="s">
        <v>539</v>
      </c>
      <c r="O387" t="s">
        <v>2868</v>
      </c>
      <c r="P387" t="s">
        <v>523</v>
      </c>
      <c r="Q387" t="s">
        <v>2869</v>
      </c>
      <c r="R387" t="s">
        <v>2824</v>
      </c>
      <c r="S387" t="s">
        <v>2870</v>
      </c>
      <c r="T387" t="s">
        <v>2448</v>
      </c>
      <c r="U387">
        <v>301301</v>
      </c>
      <c r="V387" t="s">
        <v>2871</v>
      </c>
      <c r="W387" t="s">
        <v>2872</v>
      </c>
      <c r="X387" t="s">
        <v>2858</v>
      </c>
      <c r="Y387" t="s">
        <v>2859</v>
      </c>
      <c r="Z387" t="s">
        <v>2853</v>
      </c>
      <c r="AA387" t="s">
        <v>2860</v>
      </c>
      <c r="AB387" t="s">
        <v>2861</v>
      </c>
      <c r="AC387">
        <v>99115</v>
      </c>
      <c r="AD387" t="s">
        <v>2873</v>
      </c>
      <c r="AE387">
        <v>-41.11030504</v>
      </c>
      <c r="AF387">
        <v>173.01584602</v>
      </c>
      <c r="AG387">
        <v>45</v>
      </c>
      <c r="AH387">
        <v>0</v>
      </c>
      <c r="AI387">
        <v>0</v>
      </c>
      <c r="AJ387">
        <v>0</v>
      </c>
      <c r="AK387">
        <v>6</v>
      </c>
      <c r="AL387">
        <v>13</v>
      </c>
      <c r="AM387">
        <v>4</v>
      </c>
      <c r="AN387">
        <v>1</v>
      </c>
      <c r="AO387">
        <v>24</v>
      </c>
      <c r="AP387">
        <v>23</v>
      </c>
      <c r="AQ387">
        <v>7</v>
      </c>
      <c r="AR387">
        <v>3</v>
      </c>
      <c r="AS387">
        <v>1</v>
      </c>
      <c r="AT387">
        <v>1</v>
      </c>
    </row>
    <row r="388" spans="1:46">
      <c r="A388">
        <v>5399</v>
      </c>
      <c r="B388" t="s">
        <v>2874</v>
      </c>
      <c r="C388" t="s">
        <v>2875</v>
      </c>
      <c r="D388" t="s">
        <v>2865</v>
      </c>
      <c r="E388" t="s">
        <v>2876</v>
      </c>
      <c r="F388" t="s">
        <v>2853</v>
      </c>
      <c r="G388" t="s">
        <v>2853</v>
      </c>
      <c r="H388" t="s">
        <v>517</v>
      </c>
      <c r="J388" t="s">
        <v>518</v>
      </c>
      <c r="K388" t="s">
        <v>519</v>
      </c>
      <c r="M388" t="s">
        <v>2287</v>
      </c>
      <c r="N388" t="s">
        <v>571</v>
      </c>
      <c r="O388" t="s">
        <v>2854</v>
      </c>
      <c r="P388" t="s">
        <v>584</v>
      </c>
      <c r="Q388" t="s">
        <v>2855</v>
      </c>
      <c r="R388" t="s">
        <v>2824</v>
      </c>
      <c r="S388" t="s">
        <v>2853</v>
      </c>
      <c r="T388" t="s">
        <v>2448</v>
      </c>
      <c r="U388">
        <v>304800</v>
      </c>
      <c r="V388" t="s">
        <v>2877</v>
      </c>
      <c r="W388" t="s">
        <v>2033</v>
      </c>
      <c r="X388" t="s">
        <v>2858</v>
      </c>
      <c r="Y388" t="s">
        <v>2859</v>
      </c>
      <c r="Z388" t="s">
        <v>2853</v>
      </c>
      <c r="AA388" t="s">
        <v>2860</v>
      </c>
      <c r="AB388" t="s">
        <v>2861</v>
      </c>
      <c r="AC388">
        <v>99005</v>
      </c>
      <c r="AD388" t="s">
        <v>2878</v>
      </c>
      <c r="AE388">
        <v>-41.269782200000002</v>
      </c>
      <c r="AF388">
        <v>173.28974830000001</v>
      </c>
      <c r="AG388">
        <v>42</v>
      </c>
      <c r="AH388">
        <v>0</v>
      </c>
      <c r="AI388">
        <v>0</v>
      </c>
      <c r="AJ388">
        <v>0</v>
      </c>
      <c r="AK388">
        <v>4</v>
      </c>
      <c r="AL388">
        <v>25</v>
      </c>
      <c r="AM388">
        <v>18</v>
      </c>
      <c r="AN388">
        <v>0</v>
      </c>
      <c r="AO388">
        <v>47</v>
      </c>
      <c r="AP388">
        <v>38</v>
      </c>
      <c r="AQ388">
        <v>6</v>
      </c>
      <c r="AR388">
        <v>0</v>
      </c>
      <c r="AS388">
        <v>8</v>
      </c>
      <c r="AT388">
        <v>1</v>
      </c>
    </row>
    <row r="389" spans="1:46">
      <c r="A389">
        <v>5400</v>
      </c>
      <c r="B389" t="s">
        <v>2879</v>
      </c>
      <c r="C389" t="s">
        <v>2861</v>
      </c>
      <c r="D389" t="s">
        <v>2880</v>
      </c>
      <c r="E389" t="s">
        <v>2881</v>
      </c>
      <c r="G389" t="s">
        <v>2882</v>
      </c>
      <c r="H389" t="s">
        <v>517</v>
      </c>
      <c r="J389" t="s">
        <v>518</v>
      </c>
      <c r="K389" t="s">
        <v>519</v>
      </c>
      <c r="M389" t="s">
        <v>2287</v>
      </c>
      <c r="N389" t="s">
        <v>571</v>
      </c>
      <c r="O389" t="s">
        <v>2868</v>
      </c>
      <c r="P389" t="s">
        <v>1262</v>
      </c>
      <c r="Q389" t="s">
        <v>2869</v>
      </c>
      <c r="R389" t="s">
        <v>2824</v>
      </c>
      <c r="S389" t="s">
        <v>2853</v>
      </c>
      <c r="T389" t="s">
        <v>2448</v>
      </c>
      <c r="U389">
        <v>303200</v>
      </c>
      <c r="V389" t="s">
        <v>2883</v>
      </c>
      <c r="W389" t="s">
        <v>2884</v>
      </c>
      <c r="X389" t="s">
        <v>2858</v>
      </c>
      <c r="Y389" t="s">
        <v>2859</v>
      </c>
      <c r="Z389" t="s">
        <v>2853</v>
      </c>
      <c r="AA389" t="s">
        <v>2860</v>
      </c>
      <c r="AB389" t="s">
        <v>2861</v>
      </c>
      <c r="AC389">
        <v>99142</v>
      </c>
      <c r="AD389" t="s">
        <v>2885</v>
      </c>
      <c r="AE389">
        <v>-41.342235940000002</v>
      </c>
      <c r="AF389">
        <v>173.19623426999999</v>
      </c>
      <c r="AG389">
        <v>75</v>
      </c>
      <c r="AH389">
        <v>0</v>
      </c>
      <c r="AI389">
        <v>0</v>
      </c>
      <c r="AJ389">
        <v>0</v>
      </c>
      <c r="AK389">
        <v>13</v>
      </c>
      <c r="AL389">
        <v>29</v>
      </c>
      <c r="AM389">
        <v>35</v>
      </c>
      <c r="AN389">
        <v>2</v>
      </c>
      <c r="AO389">
        <v>79</v>
      </c>
      <c r="AP389">
        <v>66</v>
      </c>
      <c r="AQ389">
        <v>15</v>
      </c>
      <c r="AR389">
        <v>3</v>
      </c>
      <c r="AS389">
        <v>4</v>
      </c>
      <c r="AT389">
        <v>0</v>
      </c>
    </row>
    <row r="390" spans="1:46">
      <c r="A390">
        <v>5401</v>
      </c>
      <c r="B390" t="s">
        <v>2886</v>
      </c>
      <c r="C390" t="s">
        <v>2887</v>
      </c>
      <c r="D390" t="s">
        <v>2888</v>
      </c>
      <c r="E390" t="s">
        <v>2889</v>
      </c>
      <c r="G390" t="s">
        <v>2867</v>
      </c>
      <c r="H390" t="s">
        <v>517</v>
      </c>
      <c r="J390" t="s">
        <v>518</v>
      </c>
      <c r="K390" t="s">
        <v>519</v>
      </c>
      <c r="M390" t="s">
        <v>2287</v>
      </c>
      <c r="N390" t="s">
        <v>557</v>
      </c>
      <c r="O390" t="s">
        <v>2868</v>
      </c>
      <c r="P390" t="s">
        <v>523</v>
      </c>
      <c r="Q390" t="s">
        <v>2869</v>
      </c>
      <c r="R390" t="s">
        <v>2824</v>
      </c>
      <c r="S390" t="s">
        <v>2870</v>
      </c>
      <c r="T390" t="s">
        <v>2448</v>
      </c>
      <c r="U390">
        <v>301200</v>
      </c>
      <c r="V390" t="s">
        <v>2890</v>
      </c>
      <c r="W390" t="s">
        <v>2872</v>
      </c>
      <c r="X390" t="s">
        <v>2858</v>
      </c>
      <c r="Y390" t="s">
        <v>2859</v>
      </c>
      <c r="Z390" t="s">
        <v>2853</v>
      </c>
      <c r="AA390" t="s">
        <v>2860</v>
      </c>
      <c r="AB390" t="s">
        <v>2861</v>
      </c>
      <c r="AC390">
        <v>99115</v>
      </c>
      <c r="AD390" t="s">
        <v>2873</v>
      </c>
      <c r="AE390">
        <v>-41.128750779999997</v>
      </c>
      <c r="AF390">
        <v>173.00841980000001</v>
      </c>
      <c r="AG390">
        <v>40</v>
      </c>
      <c r="AH390">
        <v>0</v>
      </c>
      <c r="AI390">
        <v>0</v>
      </c>
      <c r="AJ390">
        <v>0</v>
      </c>
      <c r="AK390">
        <v>5</v>
      </c>
      <c r="AL390">
        <v>13</v>
      </c>
      <c r="AM390">
        <v>7</v>
      </c>
      <c r="AN390">
        <v>0</v>
      </c>
      <c r="AO390">
        <v>25</v>
      </c>
      <c r="AP390">
        <v>19</v>
      </c>
      <c r="AQ390">
        <v>6</v>
      </c>
      <c r="AR390">
        <v>1</v>
      </c>
      <c r="AS390">
        <v>4</v>
      </c>
      <c r="AT390">
        <v>0</v>
      </c>
    </row>
    <row r="391" spans="1:46">
      <c r="A391">
        <v>5402</v>
      </c>
      <c r="B391" t="s">
        <v>2891</v>
      </c>
      <c r="C391" t="s">
        <v>2892</v>
      </c>
      <c r="D391" t="s">
        <v>2893</v>
      </c>
      <c r="E391" t="s">
        <v>2894</v>
      </c>
      <c r="F391" t="s">
        <v>2852</v>
      </c>
      <c r="G391" t="s">
        <v>2853</v>
      </c>
      <c r="H391" t="s">
        <v>517</v>
      </c>
      <c r="J391" t="s">
        <v>518</v>
      </c>
      <c r="K391" t="s">
        <v>519</v>
      </c>
      <c r="M391" t="s">
        <v>2287</v>
      </c>
      <c r="N391" t="s">
        <v>571</v>
      </c>
      <c r="O391" t="s">
        <v>2854</v>
      </c>
      <c r="P391" t="s">
        <v>584</v>
      </c>
      <c r="Q391" t="s">
        <v>2855</v>
      </c>
      <c r="R391" t="s">
        <v>2824</v>
      </c>
      <c r="S391" t="s">
        <v>2853</v>
      </c>
      <c r="T391" t="s">
        <v>2448</v>
      </c>
      <c r="U391">
        <v>305000</v>
      </c>
      <c r="V391" t="s">
        <v>2895</v>
      </c>
      <c r="W391" t="s">
        <v>2857</v>
      </c>
      <c r="X391" t="s">
        <v>2858</v>
      </c>
      <c r="Y391" t="s">
        <v>2859</v>
      </c>
      <c r="Z391" t="s">
        <v>2853</v>
      </c>
      <c r="AA391" t="s">
        <v>2860</v>
      </c>
      <c r="AB391" t="s">
        <v>2861</v>
      </c>
      <c r="AC391">
        <v>99042</v>
      </c>
      <c r="AD391" t="s">
        <v>2862</v>
      </c>
      <c r="AE391">
        <v>-41.305882769999997</v>
      </c>
      <c r="AF391">
        <v>173.23299481999999</v>
      </c>
      <c r="AG391">
        <v>44</v>
      </c>
      <c r="AH391">
        <v>0</v>
      </c>
      <c r="AI391">
        <v>0</v>
      </c>
      <c r="AJ391">
        <v>0</v>
      </c>
      <c r="AK391">
        <v>2</v>
      </c>
      <c r="AL391">
        <v>16</v>
      </c>
      <c r="AM391">
        <v>28</v>
      </c>
      <c r="AN391">
        <v>0</v>
      </c>
      <c r="AO391">
        <v>46</v>
      </c>
      <c r="AP391">
        <v>33</v>
      </c>
      <c r="AQ391">
        <v>11</v>
      </c>
      <c r="AR391">
        <v>2</v>
      </c>
      <c r="AS391">
        <v>5</v>
      </c>
      <c r="AT391">
        <v>2</v>
      </c>
    </row>
    <row r="392" spans="1:46">
      <c r="A392">
        <v>5403</v>
      </c>
      <c r="B392" t="s">
        <v>2896</v>
      </c>
      <c r="C392" t="s">
        <v>2897</v>
      </c>
      <c r="D392" t="s">
        <v>2898</v>
      </c>
      <c r="E392" t="s">
        <v>2899</v>
      </c>
      <c r="F392" t="s">
        <v>2853</v>
      </c>
      <c r="G392" t="s">
        <v>2853</v>
      </c>
      <c r="H392" t="s">
        <v>517</v>
      </c>
      <c r="J392" t="s">
        <v>518</v>
      </c>
      <c r="K392" t="s">
        <v>519</v>
      </c>
      <c r="M392" t="s">
        <v>2287</v>
      </c>
      <c r="N392" t="s">
        <v>557</v>
      </c>
      <c r="O392" t="s">
        <v>2854</v>
      </c>
      <c r="P392" t="s">
        <v>584</v>
      </c>
      <c r="Q392" t="s">
        <v>2855</v>
      </c>
      <c r="R392" t="s">
        <v>2824</v>
      </c>
      <c r="S392" t="s">
        <v>2853</v>
      </c>
      <c r="T392" t="s">
        <v>2448</v>
      </c>
      <c r="U392">
        <v>305600</v>
      </c>
      <c r="V392" t="s">
        <v>2900</v>
      </c>
      <c r="W392" t="s">
        <v>2033</v>
      </c>
      <c r="X392" t="s">
        <v>2858</v>
      </c>
      <c r="Y392" t="s">
        <v>2859</v>
      </c>
      <c r="Z392" t="s">
        <v>2853</v>
      </c>
      <c r="AA392" t="s">
        <v>2860</v>
      </c>
      <c r="AB392" t="s">
        <v>2861</v>
      </c>
      <c r="AC392">
        <v>99005</v>
      </c>
      <c r="AD392" t="s">
        <v>2878</v>
      </c>
      <c r="AE392">
        <v>-41.292022590000002</v>
      </c>
      <c r="AF392">
        <v>173.26891796000001</v>
      </c>
      <c r="AG392">
        <v>45</v>
      </c>
      <c r="AH392">
        <v>0</v>
      </c>
      <c r="AI392">
        <v>0</v>
      </c>
      <c r="AJ392">
        <v>0</v>
      </c>
      <c r="AK392">
        <v>9</v>
      </c>
      <c r="AL392">
        <v>14</v>
      </c>
      <c r="AM392">
        <v>17</v>
      </c>
      <c r="AN392">
        <v>1</v>
      </c>
      <c r="AO392">
        <v>41</v>
      </c>
      <c r="AP392">
        <v>19</v>
      </c>
      <c r="AQ392">
        <v>7</v>
      </c>
      <c r="AR392">
        <v>4</v>
      </c>
      <c r="AS392">
        <v>14</v>
      </c>
      <c r="AT392">
        <v>1</v>
      </c>
    </row>
    <row r="393" spans="1:46">
      <c r="A393">
        <v>5404</v>
      </c>
      <c r="B393" t="s">
        <v>2901</v>
      </c>
      <c r="C393" t="s">
        <v>2902</v>
      </c>
      <c r="D393" t="s">
        <v>2903</v>
      </c>
      <c r="E393" t="s">
        <v>2904</v>
      </c>
      <c r="F393" t="s">
        <v>2853</v>
      </c>
      <c r="G393" t="s">
        <v>2853</v>
      </c>
      <c r="H393" t="s">
        <v>517</v>
      </c>
      <c r="J393" t="s">
        <v>518</v>
      </c>
      <c r="K393" t="s">
        <v>519</v>
      </c>
      <c r="M393" t="s">
        <v>2287</v>
      </c>
      <c r="N393" t="s">
        <v>571</v>
      </c>
      <c r="O393" t="s">
        <v>2854</v>
      </c>
      <c r="P393" t="s">
        <v>584</v>
      </c>
      <c r="Q393" t="s">
        <v>2855</v>
      </c>
      <c r="R393" t="s">
        <v>2824</v>
      </c>
      <c r="S393" t="s">
        <v>2853</v>
      </c>
      <c r="T393" t="s">
        <v>2448</v>
      </c>
      <c r="U393">
        <v>306200</v>
      </c>
      <c r="V393" t="s">
        <v>2905</v>
      </c>
      <c r="W393" t="s">
        <v>2033</v>
      </c>
      <c r="X393" t="s">
        <v>2858</v>
      </c>
      <c r="Y393" t="s">
        <v>2859</v>
      </c>
      <c r="Z393" t="s">
        <v>2853</v>
      </c>
      <c r="AA393" t="s">
        <v>2860</v>
      </c>
      <c r="AB393" t="s">
        <v>2861</v>
      </c>
      <c r="AC393">
        <v>99005</v>
      </c>
      <c r="AD393" t="s">
        <v>2878</v>
      </c>
      <c r="AE393">
        <v>-41.284029230000002</v>
      </c>
      <c r="AF393">
        <v>173.29129692999999</v>
      </c>
      <c r="AG393">
        <v>44</v>
      </c>
      <c r="AH393">
        <v>0</v>
      </c>
      <c r="AI393">
        <v>0</v>
      </c>
      <c r="AJ393">
        <v>0</v>
      </c>
      <c r="AK393">
        <v>9</v>
      </c>
      <c r="AL393">
        <v>14</v>
      </c>
      <c r="AM393">
        <v>19</v>
      </c>
      <c r="AN393">
        <v>2</v>
      </c>
      <c r="AO393">
        <v>44</v>
      </c>
      <c r="AP393">
        <v>39</v>
      </c>
      <c r="AQ393">
        <v>7</v>
      </c>
      <c r="AR393">
        <v>2</v>
      </c>
      <c r="AS393">
        <v>4</v>
      </c>
      <c r="AT393">
        <v>1</v>
      </c>
    </row>
    <row r="394" spans="1:46">
      <c r="A394">
        <v>5405</v>
      </c>
      <c r="B394" t="s">
        <v>2906</v>
      </c>
      <c r="C394" t="s">
        <v>2907</v>
      </c>
      <c r="D394" t="s">
        <v>2908</v>
      </c>
      <c r="E394" t="s">
        <v>2909</v>
      </c>
      <c r="G394" t="s">
        <v>2882</v>
      </c>
      <c r="H394" t="s">
        <v>517</v>
      </c>
      <c r="J394" t="s">
        <v>518</v>
      </c>
      <c r="K394" t="s">
        <v>519</v>
      </c>
      <c r="M394" t="s">
        <v>2287</v>
      </c>
      <c r="N394" t="s">
        <v>571</v>
      </c>
      <c r="O394" t="s">
        <v>2868</v>
      </c>
      <c r="P394" t="s">
        <v>1262</v>
      </c>
      <c r="Q394" t="s">
        <v>2869</v>
      </c>
      <c r="R394" t="s">
        <v>2824</v>
      </c>
      <c r="S394" t="s">
        <v>2853</v>
      </c>
      <c r="T394" t="s">
        <v>2448</v>
      </c>
      <c r="U394">
        <v>302800</v>
      </c>
      <c r="V394" t="s">
        <v>2910</v>
      </c>
      <c r="W394" t="s">
        <v>2884</v>
      </c>
      <c r="X394" t="s">
        <v>2858</v>
      </c>
      <c r="Y394" t="s">
        <v>2859</v>
      </c>
      <c r="Z394" t="s">
        <v>2853</v>
      </c>
      <c r="AA394" t="s">
        <v>2860</v>
      </c>
      <c r="AB394" t="s">
        <v>2861</v>
      </c>
      <c r="AC394">
        <v>99142</v>
      </c>
      <c r="AD394" t="s">
        <v>2885</v>
      </c>
      <c r="AE394">
        <v>-41.338000289999997</v>
      </c>
      <c r="AF394">
        <v>173.18903212999999</v>
      </c>
      <c r="AG394">
        <v>43</v>
      </c>
      <c r="AH394">
        <v>0</v>
      </c>
      <c r="AI394">
        <v>0</v>
      </c>
      <c r="AJ394">
        <v>0</v>
      </c>
      <c r="AK394">
        <v>10</v>
      </c>
      <c r="AL394">
        <v>15</v>
      </c>
      <c r="AM394">
        <v>23</v>
      </c>
      <c r="AN394">
        <v>1</v>
      </c>
      <c r="AO394">
        <v>49</v>
      </c>
      <c r="AP394">
        <v>41</v>
      </c>
      <c r="AQ394">
        <v>5</v>
      </c>
      <c r="AR394">
        <v>1</v>
      </c>
      <c r="AS394">
        <v>5</v>
      </c>
      <c r="AT394">
        <v>3</v>
      </c>
    </row>
    <row r="395" spans="1:46">
      <c r="A395">
        <v>5406</v>
      </c>
      <c r="B395" t="s">
        <v>2911</v>
      </c>
      <c r="C395" t="s">
        <v>2912</v>
      </c>
      <c r="D395" t="s">
        <v>2913</v>
      </c>
      <c r="E395" t="s">
        <v>2914</v>
      </c>
      <c r="F395" t="s">
        <v>2852</v>
      </c>
      <c r="G395" t="s">
        <v>2853</v>
      </c>
      <c r="H395" t="s">
        <v>517</v>
      </c>
      <c r="J395" t="s">
        <v>518</v>
      </c>
      <c r="K395" t="s">
        <v>519</v>
      </c>
      <c r="M395" t="s">
        <v>2287</v>
      </c>
      <c r="N395" t="s">
        <v>571</v>
      </c>
      <c r="O395" t="s">
        <v>2854</v>
      </c>
      <c r="P395" t="s">
        <v>584</v>
      </c>
      <c r="Q395" t="s">
        <v>2855</v>
      </c>
      <c r="R395" t="s">
        <v>2824</v>
      </c>
      <c r="S395" t="s">
        <v>2853</v>
      </c>
      <c r="T395" t="s">
        <v>2448</v>
      </c>
      <c r="U395">
        <v>305900</v>
      </c>
      <c r="V395" t="s">
        <v>2915</v>
      </c>
      <c r="W395" t="s">
        <v>2857</v>
      </c>
      <c r="X395" t="s">
        <v>2858</v>
      </c>
      <c r="Y395" t="s">
        <v>2859</v>
      </c>
      <c r="Z395" t="s">
        <v>2853</v>
      </c>
      <c r="AA395" t="s">
        <v>2860</v>
      </c>
      <c r="AB395" t="s">
        <v>2861</v>
      </c>
      <c r="AC395">
        <v>99042</v>
      </c>
      <c r="AD395" t="s">
        <v>2862</v>
      </c>
      <c r="AE395">
        <v>-41.316596400000002</v>
      </c>
      <c r="AF395">
        <v>173.23400455999999</v>
      </c>
      <c r="AG395">
        <v>40</v>
      </c>
      <c r="AH395">
        <v>0</v>
      </c>
      <c r="AI395">
        <v>0</v>
      </c>
      <c r="AJ395">
        <v>0</v>
      </c>
      <c r="AK395">
        <v>5</v>
      </c>
      <c r="AL395">
        <v>18</v>
      </c>
      <c r="AM395">
        <v>22</v>
      </c>
      <c r="AN395">
        <v>1</v>
      </c>
      <c r="AO395">
        <v>46</v>
      </c>
      <c r="AP395">
        <v>24</v>
      </c>
      <c r="AQ395">
        <v>9</v>
      </c>
      <c r="AR395">
        <v>4</v>
      </c>
      <c r="AS395">
        <v>10</v>
      </c>
      <c r="AT395">
        <v>2</v>
      </c>
    </row>
    <row r="396" spans="1:46">
      <c r="A396">
        <v>5407</v>
      </c>
      <c r="B396" t="s">
        <v>2916</v>
      </c>
      <c r="C396" t="s">
        <v>2917</v>
      </c>
      <c r="D396" t="s">
        <v>2918</v>
      </c>
      <c r="E396" t="s">
        <v>2919</v>
      </c>
      <c r="F396" t="s">
        <v>2920</v>
      </c>
      <c r="G396" t="s">
        <v>2853</v>
      </c>
      <c r="H396" t="s">
        <v>517</v>
      </c>
      <c r="J396" t="s">
        <v>518</v>
      </c>
      <c r="K396" t="s">
        <v>519</v>
      </c>
      <c r="M396" t="s">
        <v>2287</v>
      </c>
      <c r="N396" t="s">
        <v>571</v>
      </c>
      <c r="O396" t="s">
        <v>2854</v>
      </c>
      <c r="P396" t="s">
        <v>584</v>
      </c>
      <c r="Q396" t="s">
        <v>2855</v>
      </c>
      <c r="R396" t="s">
        <v>2824</v>
      </c>
      <c r="S396" t="s">
        <v>2853</v>
      </c>
      <c r="T396" t="s">
        <v>2448</v>
      </c>
      <c r="U396">
        <v>304100</v>
      </c>
      <c r="V396" t="s">
        <v>2921</v>
      </c>
      <c r="W396" t="s">
        <v>2857</v>
      </c>
      <c r="X396" t="s">
        <v>2858</v>
      </c>
      <c r="Y396" t="s">
        <v>2859</v>
      </c>
      <c r="Z396" t="s">
        <v>2853</v>
      </c>
      <c r="AA396" t="s">
        <v>2860</v>
      </c>
      <c r="AB396" t="s">
        <v>2861</v>
      </c>
      <c r="AC396">
        <v>99042</v>
      </c>
      <c r="AD396" t="s">
        <v>2862</v>
      </c>
      <c r="AE396">
        <v>-41.285723070000003</v>
      </c>
      <c r="AF396">
        <v>173.24497122</v>
      </c>
      <c r="AG396">
        <v>80</v>
      </c>
      <c r="AH396">
        <v>10</v>
      </c>
      <c r="AI396">
        <v>0</v>
      </c>
      <c r="AJ396">
        <v>0</v>
      </c>
      <c r="AK396">
        <v>9</v>
      </c>
      <c r="AL396">
        <v>25</v>
      </c>
      <c r="AM396">
        <v>30</v>
      </c>
      <c r="AN396">
        <v>8</v>
      </c>
      <c r="AO396">
        <v>72</v>
      </c>
      <c r="AP396">
        <v>49</v>
      </c>
      <c r="AQ396">
        <v>21</v>
      </c>
      <c r="AR396">
        <v>9</v>
      </c>
      <c r="AS396">
        <v>6</v>
      </c>
      <c r="AT396">
        <v>2</v>
      </c>
    </row>
    <row r="397" spans="1:46">
      <c r="A397">
        <v>5408</v>
      </c>
      <c r="B397" t="s">
        <v>2922</v>
      </c>
      <c r="C397" t="s">
        <v>2923</v>
      </c>
      <c r="D397" t="s">
        <v>2924</v>
      </c>
      <c r="E397" t="s">
        <v>2925</v>
      </c>
      <c r="G397" t="s">
        <v>2926</v>
      </c>
      <c r="H397" t="s">
        <v>517</v>
      </c>
      <c r="J397" t="s">
        <v>518</v>
      </c>
      <c r="K397" t="s">
        <v>519</v>
      </c>
      <c r="M397" t="s">
        <v>2287</v>
      </c>
      <c r="N397" t="s">
        <v>557</v>
      </c>
      <c r="O397" t="s">
        <v>2927</v>
      </c>
      <c r="P397" t="s">
        <v>523</v>
      </c>
      <c r="Q397" t="s">
        <v>2928</v>
      </c>
      <c r="R397" t="s">
        <v>2824</v>
      </c>
      <c r="S397" t="s">
        <v>2870</v>
      </c>
      <c r="T397" t="s">
        <v>2448</v>
      </c>
      <c r="U397">
        <v>309201</v>
      </c>
      <c r="V397" t="s">
        <v>2929</v>
      </c>
      <c r="W397" t="s">
        <v>2930</v>
      </c>
      <c r="X397" t="s">
        <v>2931</v>
      </c>
      <c r="Y397" t="s">
        <v>2932</v>
      </c>
      <c r="AA397" t="s">
        <v>2933</v>
      </c>
      <c r="AB397" t="s">
        <v>2934</v>
      </c>
      <c r="AC397">
        <v>99007</v>
      </c>
      <c r="AD397" t="s">
        <v>2935</v>
      </c>
      <c r="AE397">
        <v>-41.751411400000002</v>
      </c>
      <c r="AF397">
        <v>171.5988864</v>
      </c>
      <c r="AG397">
        <v>96</v>
      </c>
      <c r="AH397">
        <v>12</v>
      </c>
      <c r="AI397">
        <v>5</v>
      </c>
      <c r="AJ397">
        <v>12</v>
      </c>
      <c r="AK397">
        <v>19</v>
      </c>
      <c r="AL397">
        <v>26</v>
      </c>
      <c r="AM397">
        <v>22</v>
      </c>
      <c r="AN397">
        <v>2</v>
      </c>
      <c r="AO397">
        <v>86</v>
      </c>
      <c r="AP397">
        <v>71</v>
      </c>
      <c r="AQ397">
        <v>28</v>
      </c>
      <c r="AR397">
        <v>7</v>
      </c>
      <c r="AS397">
        <v>7</v>
      </c>
      <c r="AT397">
        <v>1</v>
      </c>
    </row>
    <row r="398" spans="1:46">
      <c r="A398">
        <v>5409</v>
      </c>
      <c r="B398" t="s">
        <v>2936</v>
      </c>
      <c r="C398" t="s">
        <v>2937</v>
      </c>
      <c r="D398" t="s">
        <v>2938</v>
      </c>
      <c r="E398" t="s">
        <v>2939</v>
      </c>
      <c r="F398" t="s">
        <v>2940</v>
      </c>
      <c r="G398" t="s">
        <v>2941</v>
      </c>
      <c r="H398" t="s">
        <v>517</v>
      </c>
      <c r="J398" t="s">
        <v>518</v>
      </c>
      <c r="K398" t="s">
        <v>519</v>
      </c>
      <c r="M398" t="s">
        <v>2287</v>
      </c>
      <c r="N398" t="s">
        <v>571</v>
      </c>
      <c r="O398" t="s">
        <v>2942</v>
      </c>
      <c r="P398" t="s">
        <v>654</v>
      </c>
      <c r="Q398" t="s">
        <v>2943</v>
      </c>
      <c r="R398" t="s">
        <v>2944</v>
      </c>
      <c r="S398" t="s">
        <v>2945</v>
      </c>
      <c r="T398" t="s">
        <v>2448</v>
      </c>
      <c r="U398">
        <v>319700</v>
      </c>
      <c r="V398" t="s">
        <v>2946</v>
      </c>
      <c r="W398" t="s">
        <v>2947</v>
      </c>
      <c r="X398" t="s">
        <v>2948</v>
      </c>
      <c r="Y398" t="s">
        <v>2949</v>
      </c>
      <c r="Z398" t="s">
        <v>2950</v>
      </c>
      <c r="AA398" t="s">
        <v>2951</v>
      </c>
      <c r="AB398" t="s">
        <v>2952</v>
      </c>
      <c r="AE398">
        <v>-43.519964369999997</v>
      </c>
      <c r="AF398">
        <v>172.55623806</v>
      </c>
      <c r="AG398">
        <v>40</v>
      </c>
      <c r="AH398">
        <v>0</v>
      </c>
      <c r="AI398">
        <v>0</v>
      </c>
      <c r="AJ398">
        <v>0</v>
      </c>
      <c r="AK398">
        <v>5</v>
      </c>
      <c r="AL398">
        <v>7</v>
      </c>
      <c r="AM398">
        <v>13</v>
      </c>
      <c r="AN398">
        <v>0</v>
      </c>
      <c r="AO398">
        <v>25</v>
      </c>
      <c r="AP398">
        <v>15</v>
      </c>
      <c r="AQ398">
        <v>2</v>
      </c>
      <c r="AR398">
        <v>0</v>
      </c>
      <c r="AS398">
        <v>11</v>
      </c>
      <c r="AT398">
        <v>3</v>
      </c>
    </row>
    <row r="399" spans="1:46">
      <c r="A399">
        <v>5411</v>
      </c>
      <c r="B399" t="s">
        <v>2953</v>
      </c>
      <c r="C399" t="s">
        <v>2954</v>
      </c>
      <c r="D399" t="s">
        <v>2938</v>
      </c>
      <c r="E399" t="s">
        <v>2955</v>
      </c>
      <c r="F399" t="s">
        <v>2956</v>
      </c>
      <c r="G399" t="s">
        <v>2941</v>
      </c>
      <c r="H399" t="s">
        <v>517</v>
      </c>
      <c r="J399" t="s">
        <v>518</v>
      </c>
      <c r="K399" t="s">
        <v>519</v>
      </c>
      <c r="M399" t="s">
        <v>2287</v>
      </c>
      <c r="N399" t="s">
        <v>571</v>
      </c>
      <c r="O399" t="s">
        <v>2942</v>
      </c>
      <c r="P399" t="s">
        <v>654</v>
      </c>
      <c r="Q399" t="s">
        <v>2943</v>
      </c>
      <c r="R399" t="s">
        <v>2944</v>
      </c>
      <c r="S399" t="s">
        <v>2957</v>
      </c>
      <c r="T399" t="s">
        <v>2448</v>
      </c>
      <c r="U399">
        <v>330600</v>
      </c>
      <c r="V399" t="s">
        <v>2956</v>
      </c>
      <c r="W399" t="s">
        <v>2958</v>
      </c>
      <c r="X399" t="s">
        <v>2948</v>
      </c>
      <c r="Y399" t="s">
        <v>2949</v>
      </c>
      <c r="Z399" t="s">
        <v>2950</v>
      </c>
      <c r="AA399" t="s">
        <v>2951</v>
      </c>
      <c r="AB399" t="s">
        <v>2952</v>
      </c>
      <c r="AC399">
        <v>99177</v>
      </c>
      <c r="AD399" t="s">
        <v>2959</v>
      </c>
      <c r="AE399">
        <v>-43.559259079999997</v>
      </c>
      <c r="AF399">
        <v>172.64510387999999</v>
      </c>
      <c r="AG399">
        <v>40</v>
      </c>
      <c r="AH399">
        <v>0</v>
      </c>
      <c r="AI399">
        <v>0</v>
      </c>
      <c r="AJ399">
        <v>0</v>
      </c>
      <c r="AK399">
        <v>7</v>
      </c>
      <c r="AL399">
        <v>16</v>
      </c>
      <c r="AM399">
        <v>21</v>
      </c>
      <c r="AN399">
        <v>2</v>
      </c>
      <c r="AO399">
        <v>46</v>
      </c>
      <c r="AP399">
        <v>42</v>
      </c>
      <c r="AQ399">
        <v>8</v>
      </c>
      <c r="AR399">
        <v>0</v>
      </c>
      <c r="AS399">
        <v>4</v>
      </c>
      <c r="AT399">
        <v>1</v>
      </c>
    </row>
    <row r="400" spans="1:46">
      <c r="A400">
        <v>5413</v>
      </c>
      <c r="B400" t="s">
        <v>2960</v>
      </c>
      <c r="C400" t="s">
        <v>2961</v>
      </c>
      <c r="D400" t="s">
        <v>2938</v>
      </c>
      <c r="E400" t="s">
        <v>2962</v>
      </c>
      <c r="G400" t="s">
        <v>2963</v>
      </c>
      <c r="H400" t="s">
        <v>517</v>
      </c>
      <c r="J400" t="s">
        <v>518</v>
      </c>
      <c r="K400" t="s">
        <v>519</v>
      </c>
      <c r="M400" t="s">
        <v>2287</v>
      </c>
      <c r="N400" t="s">
        <v>571</v>
      </c>
      <c r="O400" t="s">
        <v>2964</v>
      </c>
      <c r="P400" t="s">
        <v>1262</v>
      </c>
      <c r="Q400" t="s">
        <v>2943</v>
      </c>
      <c r="R400" t="s">
        <v>2944</v>
      </c>
      <c r="S400" t="s">
        <v>2965</v>
      </c>
      <c r="T400" t="s">
        <v>2448</v>
      </c>
      <c r="U400">
        <v>314501</v>
      </c>
      <c r="V400" t="s">
        <v>2966</v>
      </c>
      <c r="W400" t="s">
        <v>2967</v>
      </c>
      <c r="X400" t="s">
        <v>2948</v>
      </c>
      <c r="Y400" t="s">
        <v>2949</v>
      </c>
      <c r="Z400" t="s">
        <v>2950</v>
      </c>
      <c r="AA400" t="s">
        <v>2951</v>
      </c>
      <c r="AB400" t="s">
        <v>2952</v>
      </c>
      <c r="AC400">
        <v>99077</v>
      </c>
      <c r="AD400" t="s">
        <v>2968</v>
      </c>
      <c r="AE400">
        <v>-43.316244259999998</v>
      </c>
      <c r="AF400">
        <v>172.59047355999999</v>
      </c>
      <c r="AG400">
        <v>30</v>
      </c>
      <c r="AH400">
        <v>0</v>
      </c>
      <c r="AI400">
        <v>0</v>
      </c>
      <c r="AJ400">
        <v>0</v>
      </c>
      <c r="AK400">
        <v>7</v>
      </c>
      <c r="AL400">
        <v>9</v>
      </c>
      <c r="AM400">
        <v>16</v>
      </c>
      <c r="AN400">
        <v>0</v>
      </c>
      <c r="AO400">
        <v>32</v>
      </c>
      <c r="AP400">
        <v>30</v>
      </c>
      <c r="AQ400">
        <v>10</v>
      </c>
      <c r="AR400">
        <v>3</v>
      </c>
      <c r="AS400">
        <v>2</v>
      </c>
      <c r="AT400">
        <v>0</v>
      </c>
    </row>
    <row r="401" spans="1:46">
      <c r="A401">
        <v>5414</v>
      </c>
      <c r="B401" t="s">
        <v>2969</v>
      </c>
      <c r="C401" t="s">
        <v>2970</v>
      </c>
      <c r="D401" t="s">
        <v>2938</v>
      </c>
      <c r="E401" t="s">
        <v>2971</v>
      </c>
      <c r="F401" t="s">
        <v>2972</v>
      </c>
      <c r="G401" t="s">
        <v>2941</v>
      </c>
      <c r="H401" t="s">
        <v>517</v>
      </c>
      <c r="J401" t="s">
        <v>518</v>
      </c>
      <c r="K401" t="s">
        <v>519</v>
      </c>
      <c r="M401" t="s">
        <v>2287</v>
      </c>
      <c r="N401" t="s">
        <v>571</v>
      </c>
      <c r="O401" t="s">
        <v>2942</v>
      </c>
      <c r="P401" t="s">
        <v>654</v>
      </c>
      <c r="Q401" t="s">
        <v>2943</v>
      </c>
      <c r="R401" t="s">
        <v>2944</v>
      </c>
      <c r="S401" t="s">
        <v>2973</v>
      </c>
      <c r="T401" t="s">
        <v>2448</v>
      </c>
      <c r="U401">
        <v>325100</v>
      </c>
      <c r="V401" t="s">
        <v>2972</v>
      </c>
      <c r="W401" t="s">
        <v>2974</v>
      </c>
      <c r="X401" t="s">
        <v>2948</v>
      </c>
      <c r="Y401" t="s">
        <v>2949</v>
      </c>
      <c r="Z401" t="s">
        <v>2950</v>
      </c>
      <c r="AA401" t="s">
        <v>2951</v>
      </c>
      <c r="AB401" t="s">
        <v>2952</v>
      </c>
      <c r="AE401">
        <v>-43.479881210000002</v>
      </c>
      <c r="AF401">
        <v>172.70569538000001</v>
      </c>
      <c r="AG401">
        <v>40</v>
      </c>
      <c r="AH401">
        <v>0</v>
      </c>
      <c r="AI401">
        <v>0</v>
      </c>
      <c r="AJ401">
        <v>0</v>
      </c>
      <c r="AK401">
        <v>12</v>
      </c>
      <c r="AL401">
        <v>10</v>
      </c>
      <c r="AM401">
        <v>8</v>
      </c>
      <c r="AN401">
        <v>0</v>
      </c>
      <c r="AO401">
        <v>30</v>
      </c>
      <c r="AP401">
        <v>21</v>
      </c>
      <c r="AQ401">
        <v>7</v>
      </c>
      <c r="AR401">
        <v>5</v>
      </c>
      <c r="AS401">
        <v>1</v>
      </c>
      <c r="AT401">
        <v>0</v>
      </c>
    </row>
    <row r="402" spans="1:46">
      <c r="A402">
        <v>5415</v>
      </c>
      <c r="B402" t="s">
        <v>2975</v>
      </c>
      <c r="C402" t="s">
        <v>2976</v>
      </c>
      <c r="D402" t="s">
        <v>2938</v>
      </c>
      <c r="E402" t="s">
        <v>2977</v>
      </c>
      <c r="F402" t="s">
        <v>2978</v>
      </c>
      <c r="G402" t="s">
        <v>2941</v>
      </c>
      <c r="H402" t="s">
        <v>517</v>
      </c>
      <c r="J402" t="s">
        <v>518</v>
      </c>
      <c r="K402" t="s">
        <v>519</v>
      </c>
      <c r="M402" t="s">
        <v>2287</v>
      </c>
      <c r="N402" t="s">
        <v>571</v>
      </c>
      <c r="O402" t="s">
        <v>2942</v>
      </c>
      <c r="P402" t="s">
        <v>654</v>
      </c>
      <c r="Q402" t="s">
        <v>2943</v>
      </c>
      <c r="R402" t="s">
        <v>2944</v>
      </c>
      <c r="S402" t="s">
        <v>2979</v>
      </c>
      <c r="T402" t="s">
        <v>2448</v>
      </c>
      <c r="U402">
        <v>330300</v>
      </c>
      <c r="V402" t="s">
        <v>2980</v>
      </c>
      <c r="W402" t="s">
        <v>2958</v>
      </c>
      <c r="X402" t="s">
        <v>2948</v>
      </c>
      <c r="Y402" t="s">
        <v>2949</v>
      </c>
      <c r="Z402" t="s">
        <v>2950</v>
      </c>
      <c r="AA402" t="s">
        <v>2951</v>
      </c>
      <c r="AB402" t="s">
        <v>2952</v>
      </c>
      <c r="AC402">
        <v>99177</v>
      </c>
      <c r="AD402" t="s">
        <v>2959</v>
      </c>
      <c r="AE402">
        <v>-43.57858513</v>
      </c>
      <c r="AF402">
        <v>172.62769279</v>
      </c>
      <c r="AG402">
        <v>40</v>
      </c>
      <c r="AH402">
        <v>0</v>
      </c>
      <c r="AI402">
        <v>0</v>
      </c>
      <c r="AJ402">
        <v>0</v>
      </c>
      <c r="AK402">
        <v>13</v>
      </c>
      <c r="AL402">
        <v>21</v>
      </c>
      <c r="AM402">
        <v>21</v>
      </c>
      <c r="AN402">
        <v>4</v>
      </c>
      <c r="AO402">
        <v>59</v>
      </c>
      <c r="AP402">
        <v>52</v>
      </c>
      <c r="AQ402">
        <v>6</v>
      </c>
      <c r="AR402">
        <v>2</v>
      </c>
      <c r="AS402">
        <v>7</v>
      </c>
      <c r="AT402">
        <v>3</v>
      </c>
    </row>
    <row r="403" spans="1:46">
      <c r="A403">
        <v>5417</v>
      </c>
      <c r="B403" t="s">
        <v>2981</v>
      </c>
      <c r="C403" t="s">
        <v>2982</v>
      </c>
      <c r="D403" t="s">
        <v>2938</v>
      </c>
      <c r="E403" t="s">
        <v>2983</v>
      </c>
      <c r="F403" t="s">
        <v>2984</v>
      </c>
      <c r="G403" t="s">
        <v>2941</v>
      </c>
      <c r="H403" t="s">
        <v>517</v>
      </c>
      <c r="J403" t="s">
        <v>518</v>
      </c>
      <c r="K403" t="s">
        <v>519</v>
      </c>
      <c r="M403" t="s">
        <v>2287</v>
      </c>
      <c r="N403" t="s">
        <v>571</v>
      </c>
      <c r="O403" t="s">
        <v>2942</v>
      </c>
      <c r="P403" t="s">
        <v>654</v>
      </c>
      <c r="Q403" t="s">
        <v>2943</v>
      </c>
      <c r="R403" t="s">
        <v>2944</v>
      </c>
      <c r="S403" t="s">
        <v>2945</v>
      </c>
      <c r="T403" t="s">
        <v>2448</v>
      </c>
      <c r="U403">
        <v>317800</v>
      </c>
      <c r="V403" t="s">
        <v>2985</v>
      </c>
      <c r="W403" t="s">
        <v>2986</v>
      </c>
      <c r="X403" t="s">
        <v>2948</v>
      </c>
      <c r="Y403" t="s">
        <v>2949</v>
      </c>
      <c r="Z403" t="s">
        <v>2950</v>
      </c>
      <c r="AA403" t="s">
        <v>2951</v>
      </c>
      <c r="AB403" t="s">
        <v>2952</v>
      </c>
      <c r="AC403">
        <v>99039</v>
      </c>
      <c r="AD403" t="s">
        <v>2987</v>
      </c>
      <c r="AE403">
        <v>-43.482083189999997</v>
      </c>
      <c r="AF403">
        <v>172.58703495</v>
      </c>
      <c r="AG403">
        <v>40</v>
      </c>
      <c r="AH403">
        <v>0</v>
      </c>
      <c r="AI403">
        <v>0</v>
      </c>
      <c r="AJ403">
        <v>0</v>
      </c>
      <c r="AK403">
        <v>6</v>
      </c>
      <c r="AL403">
        <v>14</v>
      </c>
      <c r="AM403">
        <v>18</v>
      </c>
      <c r="AN403">
        <v>3</v>
      </c>
      <c r="AO403">
        <v>41</v>
      </c>
      <c r="AP403">
        <v>30</v>
      </c>
      <c r="AQ403">
        <v>5</v>
      </c>
      <c r="AR403">
        <v>0</v>
      </c>
      <c r="AS403">
        <v>8</v>
      </c>
      <c r="AT403">
        <v>2</v>
      </c>
    </row>
    <row r="404" spans="1:46">
      <c r="A404">
        <v>5418</v>
      </c>
      <c r="B404" t="s">
        <v>2988</v>
      </c>
      <c r="C404" t="s">
        <v>2989</v>
      </c>
      <c r="D404" t="s">
        <v>2938</v>
      </c>
      <c r="E404" t="s">
        <v>2990</v>
      </c>
      <c r="F404" t="s">
        <v>2991</v>
      </c>
      <c r="G404" t="s">
        <v>2941</v>
      </c>
      <c r="H404" t="s">
        <v>517</v>
      </c>
      <c r="J404" t="s">
        <v>518</v>
      </c>
      <c r="K404" t="s">
        <v>519</v>
      </c>
      <c r="M404" t="s">
        <v>2287</v>
      </c>
      <c r="N404" t="s">
        <v>521</v>
      </c>
      <c r="O404" t="s">
        <v>2942</v>
      </c>
      <c r="P404" t="s">
        <v>654</v>
      </c>
      <c r="Q404" t="s">
        <v>2943</v>
      </c>
      <c r="R404" t="s">
        <v>2944</v>
      </c>
      <c r="S404" t="s">
        <v>2979</v>
      </c>
      <c r="T404" t="s">
        <v>2448</v>
      </c>
      <c r="U404">
        <v>330100</v>
      </c>
      <c r="V404" t="s">
        <v>2992</v>
      </c>
      <c r="W404" t="s">
        <v>2993</v>
      </c>
      <c r="X404" t="s">
        <v>2948</v>
      </c>
      <c r="Y404" t="s">
        <v>2949</v>
      </c>
      <c r="Z404" t="s">
        <v>2950</v>
      </c>
      <c r="AA404" t="s">
        <v>2951</v>
      </c>
      <c r="AB404" t="s">
        <v>2952</v>
      </c>
      <c r="AC404">
        <v>99063</v>
      </c>
      <c r="AD404" t="s">
        <v>2994</v>
      </c>
      <c r="AE404">
        <v>-43.543377749999998</v>
      </c>
      <c r="AF404">
        <v>172.67197540999999</v>
      </c>
      <c r="AG404">
        <v>40</v>
      </c>
      <c r="AH404">
        <v>0</v>
      </c>
      <c r="AI404">
        <v>0</v>
      </c>
      <c r="AJ404">
        <v>0</v>
      </c>
      <c r="AK404">
        <v>9</v>
      </c>
      <c r="AL404">
        <v>12</v>
      </c>
      <c r="AM404">
        <v>13</v>
      </c>
      <c r="AN404">
        <v>0</v>
      </c>
      <c r="AO404">
        <v>34</v>
      </c>
      <c r="AP404">
        <v>25</v>
      </c>
      <c r="AQ404">
        <v>12</v>
      </c>
      <c r="AR404">
        <v>2</v>
      </c>
      <c r="AS404">
        <v>10</v>
      </c>
      <c r="AT404">
        <v>0</v>
      </c>
    </row>
    <row r="405" spans="1:46">
      <c r="A405">
        <v>5419</v>
      </c>
      <c r="B405" t="s">
        <v>2995</v>
      </c>
      <c r="C405" t="s">
        <v>2996</v>
      </c>
      <c r="D405" t="s">
        <v>2938</v>
      </c>
      <c r="E405" t="s">
        <v>2997</v>
      </c>
      <c r="F405" t="s">
        <v>2945</v>
      </c>
      <c r="G405" t="s">
        <v>2941</v>
      </c>
      <c r="H405" t="s">
        <v>517</v>
      </c>
      <c r="J405" t="s">
        <v>518</v>
      </c>
      <c r="K405" t="s">
        <v>519</v>
      </c>
      <c r="M405" t="s">
        <v>2287</v>
      </c>
      <c r="N405" t="s">
        <v>571</v>
      </c>
      <c r="O405" t="s">
        <v>2942</v>
      </c>
      <c r="P405" t="s">
        <v>654</v>
      </c>
      <c r="Q405" t="s">
        <v>2943</v>
      </c>
      <c r="R405" t="s">
        <v>2944</v>
      </c>
      <c r="S405" t="s">
        <v>2945</v>
      </c>
      <c r="T405" t="s">
        <v>2448</v>
      </c>
      <c r="U405">
        <v>320600</v>
      </c>
      <c r="V405" t="s">
        <v>2998</v>
      </c>
      <c r="W405" t="s">
        <v>2999</v>
      </c>
      <c r="X405" t="s">
        <v>2948</v>
      </c>
      <c r="Y405" t="s">
        <v>2949</v>
      </c>
      <c r="Z405" t="s">
        <v>2950</v>
      </c>
      <c r="AA405" t="s">
        <v>2951</v>
      </c>
      <c r="AB405" t="s">
        <v>2952</v>
      </c>
      <c r="AC405">
        <v>99027</v>
      </c>
      <c r="AD405" t="s">
        <v>3000</v>
      </c>
      <c r="AE405">
        <v>-43.513499240000002</v>
      </c>
      <c r="AF405">
        <v>172.57854560999999</v>
      </c>
      <c r="AG405">
        <v>40</v>
      </c>
      <c r="AH405">
        <v>0</v>
      </c>
      <c r="AI405">
        <v>0</v>
      </c>
      <c r="AJ405">
        <v>0</v>
      </c>
      <c r="AK405">
        <v>6</v>
      </c>
      <c r="AL405">
        <v>18</v>
      </c>
      <c r="AM405">
        <v>14</v>
      </c>
      <c r="AN405">
        <v>1</v>
      </c>
      <c r="AO405">
        <v>39</v>
      </c>
      <c r="AP405">
        <v>21</v>
      </c>
      <c r="AQ405">
        <v>7</v>
      </c>
      <c r="AR405">
        <v>5</v>
      </c>
      <c r="AS405">
        <v>13</v>
      </c>
      <c r="AT405">
        <v>1</v>
      </c>
    </row>
    <row r="406" spans="1:46">
      <c r="A406">
        <v>5420</v>
      </c>
      <c r="B406" t="s">
        <v>3001</v>
      </c>
      <c r="C406" t="s">
        <v>3002</v>
      </c>
      <c r="D406" t="s">
        <v>3003</v>
      </c>
      <c r="E406" t="s">
        <v>3004</v>
      </c>
      <c r="G406" t="s">
        <v>3005</v>
      </c>
      <c r="H406" t="s">
        <v>517</v>
      </c>
      <c r="J406" t="s">
        <v>518</v>
      </c>
      <c r="K406" t="s">
        <v>519</v>
      </c>
      <c r="M406" t="s">
        <v>2287</v>
      </c>
      <c r="N406" t="s">
        <v>571</v>
      </c>
      <c r="O406" t="s">
        <v>3006</v>
      </c>
      <c r="P406" t="s">
        <v>523</v>
      </c>
      <c r="Q406" t="s">
        <v>2928</v>
      </c>
      <c r="R406" t="s">
        <v>2824</v>
      </c>
      <c r="S406" t="s">
        <v>2870</v>
      </c>
      <c r="T406" t="s">
        <v>2448</v>
      </c>
      <c r="U406">
        <v>310400</v>
      </c>
      <c r="V406" t="s">
        <v>3007</v>
      </c>
      <c r="W406" t="s">
        <v>2443</v>
      </c>
      <c r="X406" t="s">
        <v>2948</v>
      </c>
      <c r="Y406" t="s">
        <v>2949</v>
      </c>
      <c r="Z406" t="s">
        <v>2950</v>
      </c>
      <c r="AA406" t="s">
        <v>2951</v>
      </c>
      <c r="AB406" t="s">
        <v>2952</v>
      </c>
      <c r="AC406">
        <v>99026</v>
      </c>
      <c r="AD406" t="s">
        <v>3008</v>
      </c>
      <c r="AE406">
        <v>-42.461901390000001</v>
      </c>
      <c r="AF406">
        <v>171.20165112999999</v>
      </c>
      <c r="AG406">
        <v>40</v>
      </c>
      <c r="AH406">
        <v>0</v>
      </c>
      <c r="AI406">
        <v>0</v>
      </c>
      <c r="AJ406">
        <v>0</v>
      </c>
      <c r="AK406">
        <v>1</v>
      </c>
      <c r="AL406">
        <v>15</v>
      </c>
      <c r="AM406">
        <v>22</v>
      </c>
      <c r="AN406">
        <v>1</v>
      </c>
      <c r="AO406">
        <v>39</v>
      </c>
      <c r="AP406">
        <v>27</v>
      </c>
      <c r="AQ406">
        <v>10</v>
      </c>
      <c r="AR406">
        <v>0</v>
      </c>
      <c r="AS406">
        <v>7</v>
      </c>
      <c r="AT406">
        <v>1</v>
      </c>
    </row>
    <row r="407" spans="1:46">
      <c r="A407">
        <v>5421</v>
      </c>
      <c r="B407" t="s">
        <v>3009</v>
      </c>
      <c r="C407" t="s">
        <v>3010</v>
      </c>
      <c r="D407" t="s">
        <v>2938</v>
      </c>
      <c r="E407" t="s">
        <v>3011</v>
      </c>
      <c r="F407" t="s">
        <v>3012</v>
      </c>
      <c r="G407" t="s">
        <v>2941</v>
      </c>
      <c r="H407" t="s">
        <v>517</v>
      </c>
      <c r="J407" t="s">
        <v>518</v>
      </c>
      <c r="K407" t="s">
        <v>519</v>
      </c>
      <c r="M407" t="s">
        <v>2287</v>
      </c>
      <c r="N407" t="s">
        <v>557</v>
      </c>
      <c r="O407" t="s">
        <v>2942</v>
      </c>
      <c r="P407" t="s">
        <v>654</v>
      </c>
      <c r="Q407" t="s">
        <v>2943</v>
      </c>
      <c r="R407" t="s">
        <v>2944</v>
      </c>
      <c r="S407" t="s">
        <v>2957</v>
      </c>
      <c r="T407" t="s">
        <v>2448</v>
      </c>
      <c r="U407">
        <v>329400</v>
      </c>
      <c r="V407" t="s">
        <v>3013</v>
      </c>
      <c r="W407" t="s">
        <v>3014</v>
      </c>
      <c r="X407" t="s">
        <v>2948</v>
      </c>
      <c r="Y407" t="s">
        <v>2949</v>
      </c>
      <c r="Z407" t="s">
        <v>2950</v>
      </c>
      <c r="AA407" t="s">
        <v>2951</v>
      </c>
      <c r="AB407" t="s">
        <v>2952</v>
      </c>
      <c r="AC407">
        <v>99177</v>
      </c>
      <c r="AD407" t="s">
        <v>2959</v>
      </c>
      <c r="AE407">
        <v>-43.549284640000003</v>
      </c>
      <c r="AF407">
        <v>172.64589187000001</v>
      </c>
      <c r="AG407">
        <v>40</v>
      </c>
      <c r="AH407">
        <v>0</v>
      </c>
      <c r="AI407">
        <v>0</v>
      </c>
      <c r="AJ407">
        <v>0</v>
      </c>
      <c r="AK407">
        <v>14</v>
      </c>
      <c r="AL407">
        <v>8</v>
      </c>
      <c r="AM407">
        <v>16</v>
      </c>
      <c r="AN407">
        <v>3</v>
      </c>
      <c r="AO407">
        <v>41</v>
      </c>
      <c r="AP407">
        <v>24</v>
      </c>
      <c r="AQ407">
        <v>8</v>
      </c>
      <c r="AR407">
        <v>1</v>
      </c>
      <c r="AS407">
        <v>9</v>
      </c>
      <c r="AT407">
        <v>2</v>
      </c>
    </row>
    <row r="408" spans="1:46">
      <c r="A408">
        <v>5422</v>
      </c>
      <c r="B408" t="s">
        <v>3015</v>
      </c>
      <c r="C408" t="s">
        <v>3016</v>
      </c>
      <c r="D408" t="s">
        <v>2938</v>
      </c>
      <c r="E408" t="s">
        <v>3017</v>
      </c>
      <c r="F408" t="s">
        <v>3018</v>
      </c>
      <c r="G408" t="s">
        <v>2941</v>
      </c>
      <c r="H408" t="s">
        <v>517</v>
      </c>
      <c r="J408" t="s">
        <v>518</v>
      </c>
      <c r="K408" t="s">
        <v>519</v>
      </c>
      <c r="M408" t="s">
        <v>2287</v>
      </c>
      <c r="N408" t="s">
        <v>557</v>
      </c>
      <c r="O408" t="s">
        <v>2942</v>
      </c>
      <c r="P408" t="s">
        <v>654</v>
      </c>
      <c r="Q408" t="s">
        <v>2943</v>
      </c>
      <c r="R408" t="s">
        <v>2944</v>
      </c>
      <c r="S408" t="s">
        <v>3019</v>
      </c>
      <c r="T408" t="s">
        <v>2448</v>
      </c>
      <c r="U408">
        <v>319300</v>
      </c>
      <c r="V408" t="s">
        <v>3018</v>
      </c>
      <c r="W408" t="s">
        <v>3020</v>
      </c>
      <c r="X408" t="s">
        <v>2948</v>
      </c>
      <c r="Y408" t="s">
        <v>2949</v>
      </c>
      <c r="Z408" t="s">
        <v>2950</v>
      </c>
      <c r="AA408" t="s">
        <v>2951</v>
      </c>
      <c r="AB408" t="s">
        <v>2952</v>
      </c>
      <c r="AC408">
        <v>99045</v>
      </c>
      <c r="AD408" t="s">
        <v>3021</v>
      </c>
      <c r="AE408">
        <v>-43.535969299999998</v>
      </c>
      <c r="AF408">
        <v>172.52191467</v>
      </c>
      <c r="AG408">
        <v>39</v>
      </c>
      <c r="AH408">
        <v>0</v>
      </c>
      <c r="AI408">
        <v>0</v>
      </c>
      <c r="AJ408">
        <v>0</v>
      </c>
      <c r="AK408">
        <v>6</v>
      </c>
      <c r="AL408">
        <v>14</v>
      </c>
      <c r="AM408">
        <v>13</v>
      </c>
      <c r="AN408">
        <v>0</v>
      </c>
      <c r="AO408">
        <v>33</v>
      </c>
      <c r="AP408">
        <v>9</v>
      </c>
      <c r="AQ408">
        <v>6</v>
      </c>
      <c r="AR408">
        <v>11</v>
      </c>
      <c r="AS408">
        <v>11</v>
      </c>
      <c r="AT408">
        <v>1</v>
      </c>
    </row>
    <row r="409" spans="1:46">
      <c r="A409">
        <v>5424</v>
      </c>
      <c r="B409" t="s">
        <v>3022</v>
      </c>
      <c r="C409" t="s">
        <v>3023</v>
      </c>
      <c r="D409" t="s">
        <v>3024</v>
      </c>
      <c r="E409" t="s">
        <v>3025</v>
      </c>
      <c r="G409" t="s">
        <v>3026</v>
      </c>
      <c r="H409" t="s">
        <v>517</v>
      </c>
      <c r="J409" t="s">
        <v>518</v>
      </c>
      <c r="K409" t="s">
        <v>519</v>
      </c>
      <c r="M409" t="s">
        <v>2287</v>
      </c>
      <c r="N409" t="s">
        <v>571</v>
      </c>
      <c r="O409" t="s">
        <v>3027</v>
      </c>
      <c r="P409" t="s">
        <v>523</v>
      </c>
      <c r="Q409" t="s">
        <v>2928</v>
      </c>
      <c r="R409" t="s">
        <v>2824</v>
      </c>
      <c r="S409" t="s">
        <v>2870</v>
      </c>
      <c r="T409" t="s">
        <v>2448</v>
      </c>
      <c r="U409">
        <v>311501</v>
      </c>
      <c r="V409" t="s">
        <v>3026</v>
      </c>
      <c r="W409" t="s">
        <v>3028</v>
      </c>
      <c r="X409" t="s">
        <v>2948</v>
      </c>
      <c r="Y409" t="s">
        <v>2949</v>
      </c>
      <c r="Z409" t="s">
        <v>2950</v>
      </c>
      <c r="AA409" t="s">
        <v>2951</v>
      </c>
      <c r="AB409" t="s">
        <v>2952</v>
      </c>
      <c r="AC409">
        <v>99024</v>
      </c>
      <c r="AD409" t="s">
        <v>3029</v>
      </c>
      <c r="AE409">
        <v>-42.718052749999998</v>
      </c>
      <c r="AF409">
        <v>170.96923985000001</v>
      </c>
      <c r="AG409">
        <v>40</v>
      </c>
      <c r="AH409">
        <v>0</v>
      </c>
      <c r="AI409">
        <v>0</v>
      </c>
      <c r="AJ409">
        <v>0</v>
      </c>
      <c r="AK409">
        <v>0</v>
      </c>
      <c r="AL409">
        <v>17</v>
      </c>
      <c r="AM409">
        <v>16</v>
      </c>
      <c r="AN409">
        <v>2</v>
      </c>
      <c r="AO409">
        <v>35</v>
      </c>
      <c r="AP409">
        <v>27</v>
      </c>
      <c r="AQ409">
        <v>9</v>
      </c>
      <c r="AR409">
        <v>3</v>
      </c>
      <c r="AS409">
        <v>4</v>
      </c>
      <c r="AT409">
        <v>0</v>
      </c>
    </row>
    <row r="410" spans="1:46">
      <c r="A410">
        <v>5425</v>
      </c>
      <c r="B410" t="s">
        <v>3030</v>
      </c>
      <c r="C410" t="s">
        <v>3031</v>
      </c>
      <c r="D410" t="s">
        <v>2938</v>
      </c>
      <c r="E410" t="s">
        <v>3032</v>
      </c>
      <c r="F410" t="s">
        <v>3033</v>
      </c>
      <c r="G410" t="s">
        <v>2941</v>
      </c>
      <c r="H410" t="s">
        <v>517</v>
      </c>
      <c r="J410" t="s">
        <v>518</v>
      </c>
      <c r="K410" t="s">
        <v>519</v>
      </c>
      <c r="M410" t="s">
        <v>2287</v>
      </c>
      <c r="N410" t="s">
        <v>557</v>
      </c>
      <c r="O410" t="s">
        <v>2942</v>
      </c>
      <c r="P410" t="s">
        <v>654</v>
      </c>
      <c r="Q410" t="s">
        <v>2943</v>
      </c>
      <c r="R410" t="s">
        <v>2944</v>
      </c>
      <c r="S410" t="s">
        <v>3019</v>
      </c>
      <c r="T410" t="s">
        <v>2448</v>
      </c>
      <c r="U410">
        <v>321101</v>
      </c>
      <c r="V410" t="s">
        <v>3034</v>
      </c>
      <c r="W410" t="s">
        <v>3020</v>
      </c>
      <c r="X410" t="s">
        <v>2948</v>
      </c>
      <c r="Y410" t="s">
        <v>2949</v>
      </c>
      <c r="Z410" t="s">
        <v>2950</v>
      </c>
      <c r="AA410" t="s">
        <v>2951</v>
      </c>
      <c r="AB410" t="s">
        <v>2952</v>
      </c>
      <c r="AC410">
        <v>99045</v>
      </c>
      <c r="AD410" t="s">
        <v>3021</v>
      </c>
      <c r="AE410">
        <v>-43.544522139999998</v>
      </c>
      <c r="AF410">
        <v>172.52888225999999</v>
      </c>
      <c r="AG410">
        <v>40</v>
      </c>
      <c r="AH410">
        <v>0</v>
      </c>
      <c r="AI410">
        <v>0</v>
      </c>
      <c r="AJ410">
        <v>0</v>
      </c>
      <c r="AK410">
        <v>5</v>
      </c>
      <c r="AL410">
        <v>11</v>
      </c>
      <c r="AM410">
        <v>13</v>
      </c>
      <c r="AN410">
        <v>0</v>
      </c>
      <c r="AO410">
        <v>29</v>
      </c>
      <c r="AP410">
        <v>11</v>
      </c>
      <c r="AQ410">
        <v>4</v>
      </c>
      <c r="AR410">
        <v>4</v>
      </c>
      <c r="AS410">
        <v>13</v>
      </c>
      <c r="AT410">
        <v>2</v>
      </c>
    </row>
    <row r="411" spans="1:46">
      <c r="A411">
        <v>5427</v>
      </c>
      <c r="B411" t="s">
        <v>3035</v>
      </c>
      <c r="C411" t="s">
        <v>3036</v>
      </c>
      <c r="D411" t="s">
        <v>3037</v>
      </c>
      <c r="E411" t="s">
        <v>3038</v>
      </c>
      <c r="G411" t="s">
        <v>3005</v>
      </c>
      <c r="H411" t="s">
        <v>517</v>
      </c>
      <c r="J411" t="s">
        <v>518</v>
      </c>
      <c r="K411" t="s">
        <v>519</v>
      </c>
      <c r="M411" t="s">
        <v>2287</v>
      </c>
      <c r="N411" t="s">
        <v>571</v>
      </c>
      <c r="O411" t="s">
        <v>3006</v>
      </c>
      <c r="P411" t="s">
        <v>523</v>
      </c>
      <c r="Q411" t="s">
        <v>2928</v>
      </c>
      <c r="R411" t="s">
        <v>2824</v>
      </c>
      <c r="S411" t="s">
        <v>2870</v>
      </c>
      <c r="T411" t="s">
        <v>2448</v>
      </c>
      <c r="U411">
        <v>310600</v>
      </c>
      <c r="V411" t="s">
        <v>3039</v>
      </c>
      <c r="W411" t="s">
        <v>3040</v>
      </c>
      <c r="X411" t="s">
        <v>2948</v>
      </c>
      <c r="Y411" t="s">
        <v>2949</v>
      </c>
      <c r="Z411" t="s">
        <v>2950</v>
      </c>
      <c r="AA411" t="s">
        <v>2951</v>
      </c>
      <c r="AB411" t="s">
        <v>2952</v>
      </c>
      <c r="AC411">
        <v>99026</v>
      </c>
      <c r="AD411" t="s">
        <v>3008</v>
      </c>
      <c r="AE411">
        <v>-42.484858559999999</v>
      </c>
      <c r="AF411">
        <v>171.18364357999999</v>
      </c>
      <c r="AG411">
        <v>30</v>
      </c>
      <c r="AH411">
        <v>0</v>
      </c>
      <c r="AI411">
        <v>0</v>
      </c>
      <c r="AJ411">
        <v>0</v>
      </c>
      <c r="AK411">
        <v>2</v>
      </c>
      <c r="AL411">
        <v>8</v>
      </c>
      <c r="AM411">
        <v>26</v>
      </c>
      <c r="AN411">
        <v>1</v>
      </c>
      <c r="AO411">
        <v>37</v>
      </c>
      <c r="AP411">
        <v>34</v>
      </c>
      <c r="AQ411">
        <v>5</v>
      </c>
      <c r="AR411">
        <v>1</v>
      </c>
      <c r="AS411">
        <v>4</v>
      </c>
      <c r="AT411">
        <v>2</v>
      </c>
    </row>
    <row r="412" spans="1:46">
      <c r="A412">
        <v>5428</v>
      </c>
      <c r="B412" t="s">
        <v>3041</v>
      </c>
      <c r="C412" t="s">
        <v>3042</v>
      </c>
      <c r="D412" t="s">
        <v>2938</v>
      </c>
      <c r="E412" t="s">
        <v>3043</v>
      </c>
      <c r="F412" t="s">
        <v>3044</v>
      </c>
      <c r="G412" t="s">
        <v>2941</v>
      </c>
      <c r="H412" t="s">
        <v>517</v>
      </c>
      <c r="J412" t="s">
        <v>518</v>
      </c>
      <c r="K412" t="s">
        <v>519</v>
      </c>
      <c r="M412" t="s">
        <v>2287</v>
      </c>
      <c r="N412" t="s">
        <v>539</v>
      </c>
      <c r="O412" t="s">
        <v>2942</v>
      </c>
      <c r="P412" t="s">
        <v>654</v>
      </c>
      <c r="Q412" t="s">
        <v>2943</v>
      </c>
      <c r="R412" t="s">
        <v>2944</v>
      </c>
      <c r="S412" t="s">
        <v>2973</v>
      </c>
      <c r="T412" t="s">
        <v>2448</v>
      </c>
      <c r="U412">
        <v>330400</v>
      </c>
      <c r="V412" t="s">
        <v>3045</v>
      </c>
      <c r="W412" t="s">
        <v>2993</v>
      </c>
      <c r="X412" t="s">
        <v>2948</v>
      </c>
      <c r="Y412" t="s">
        <v>2949</v>
      </c>
      <c r="Z412" t="s">
        <v>2950</v>
      </c>
      <c r="AA412" t="s">
        <v>2951</v>
      </c>
      <c r="AB412" t="s">
        <v>2952</v>
      </c>
      <c r="AC412">
        <v>99063</v>
      </c>
      <c r="AD412" t="s">
        <v>2994</v>
      </c>
      <c r="AE412">
        <v>-43.536623929999998</v>
      </c>
      <c r="AF412">
        <v>172.68705560999999</v>
      </c>
      <c r="AG412">
        <v>40</v>
      </c>
      <c r="AH412">
        <v>0</v>
      </c>
      <c r="AI412">
        <v>0</v>
      </c>
      <c r="AJ412">
        <v>0</v>
      </c>
      <c r="AK412">
        <v>1</v>
      </c>
      <c r="AL412">
        <v>17</v>
      </c>
      <c r="AM412">
        <v>13</v>
      </c>
      <c r="AN412">
        <v>0</v>
      </c>
      <c r="AO412">
        <v>31</v>
      </c>
      <c r="AP412">
        <v>18</v>
      </c>
      <c r="AQ412">
        <v>13</v>
      </c>
      <c r="AR412">
        <v>7</v>
      </c>
      <c r="AS412">
        <v>4</v>
      </c>
      <c r="AT412">
        <v>2</v>
      </c>
    </row>
    <row r="413" spans="1:46">
      <c r="A413">
        <v>5429</v>
      </c>
      <c r="B413" t="s">
        <v>3046</v>
      </c>
      <c r="C413" t="s">
        <v>3047</v>
      </c>
      <c r="D413" t="s">
        <v>2938</v>
      </c>
      <c r="E413" t="s">
        <v>3048</v>
      </c>
      <c r="F413" t="s">
        <v>3049</v>
      </c>
      <c r="G413" t="s">
        <v>2941</v>
      </c>
      <c r="H413" t="s">
        <v>517</v>
      </c>
      <c r="J413" t="s">
        <v>518</v>
      </c>
      <c r="K413" t="s">
        <v>519</v>
      </c>
      <c r="M413" t="s">
        <v>2287</v>
      </c>
      <c r="N413" t="s">
        <v>557</v>
      </c>
      <c r="O413" t="s">
        <v>2942</v>
      </c>
      <c r="P413" t="s">
        <v>654</v>
      </c>
      <c r="Q413" t="s">
        <v>2943</v>
      </c>
      <c r="R413" t="s">
        <v>2944</v>
      </c>
      <c r="S413" t="s">
        <v>2945</v>
      </c>
      <c r="T413" t="s">
        <v>2448</v>
      </c>
      <c r="U413">
        <v>319200</v>
      </c>
      <c r="V413" t="s">
        <v>3049</v>
      </c>
      <c r="W413" t="s">
        <v>2947</v>
      </c>
      <c r="X413" t="s">
        <v>2948</v>
      </c>
      <c r="Y413" t="s">
        <v>2949</v>
      </c>
      <c r="Z413" t="s">
        <v>2950</v>
      </c>
      <c r="AA413" t="s">
        <v>2951</v>
      </c>
      <c r="AB413" t="s">
        <v>2952</v>
      </c>
      <c r="AC413">
        <v>99027</v>
      </c>
      <c r="AD413" t="s">
        <v>3000</v>
      </c>
      <c r="AE413">
        <v>-43.498015770000002</v>
      </c>
      <c r="AF413">
        <v>172.57386371999999</v>
      </c>
      <c r="AG413">
        <v>30</v>
      </c>
      <c r="AH413">
        <v>0</v>
      </c>
      <c r="AI413">
        <v>0</v>
      </c>
      <c r="AJ413">
        <v>0</v>
      </c>
      <c r="AK413">
        <v>5</v>
      </c>
      <c r="AL413">
        <v>12</v>
      </c>
      <c r="AM413">
        <v>11</v>
      </c>
      <c r="AN413">
        <v>1</v>
      </c>
      <c r="AO413">
        <v>29</v>
      </c>
      <c r="AP413">
        <v>17</v>
      </c>
      <c r="AQ413">
        <v>4</v>
      </c>
      <c r="AR413">
        <v>1</v>
      </c>
      <c r="AS413">
        <v>9</v>
      </c>
      <c r="AT413">
        <v>2</v>
      </c>
    </row>
    <row r="414" spans="1:46">
      <c r="A414">
        <v>5430</v>
      </c>
      <c r="B414" t="s">
        <v>3050</v>
      </c>
      <c r="C414" t="s">
        <v>3051</v>
      </c>
      <c r="D414" t="s">
        <v>2938</v>
      </c>
      <c r="E414" t="s">
        <v>3052</v>
      </c>
      <c r="G414" t="s">
        <v>2963</v>
      </c>
      <c r="H414" t="s">
        <v>517</v>
      </c>
      <c r="J414" t="s">
        <v>518</v>
      </c>
      <c r="K414" t="s">
        <v>519</v>
      </c>
      <c r="M414" t="s">
        <v>2287</v>
      </c>
      <c r="N414" t="s">
        <v>571</v>
      </c>
      <c r="O414" t="s">
        <v>2964</v>
      </c>
      <c r="P414" t="s">
        <v>1262</v>
      </c>
      <c r="Q414" t="s">
        <v>2943</v>
      </c>
      <c r="R414" t="s">
        <v>2944</v>
      </c>
      <c r="S414" t="s">
        <v>2965</v>
      </c>
      <c r="T414" t="s">
        <v>2448</v>
      </c>
      <c r="U414">
        <v>314200</v>
      </c>
      <c r="V414" t="s">
        <v>3053</v>
      </c>
      <c r="W414" t="s">
        <v>2967</v>
      </c>
      <c r="X414" t="s">
        <v>2948</v>
      </c>
      <c r="Y414" t="s">
        <v>2949</v>
      </c>
      <c r="Z414" t="s">
        <v>2950</v>
      </c>
      <c r="AA414" t="s">
        <v>2951</v>
      </c>
      <c r="AB414" t="s">
        <v>2952</v>
      </c>
      <c r="AC414">
        <v>99077</v>
      </c>
      <c r="AD414" t="s">
        <v>2968</v>
      </c>
      <c r="AE414">
        <v>-43.302929390000003</v>
      </c>
      <c r="AF414">
        <v>172.58942400000001</v>
      </c>
      <c r="AG414">
        <v>40</v>
      </c>
      <c r="AH414">
        <v>0</v>
      </c>
      <c r="AI414">
        <v>0</v>
      </c>
      <c r="AJ414">
        <v>0</v>
      </c>
      <c r="AK414">
        <v>9</v>
      </c>
      <c r="AL414">
        <v>9</v>
      </c>
      <c r="AM414">
        <v>16</v>
      </c>
      <c r="AN414">
        <v>1</v>
      </c>
      <c r="AO414">
        <v>35</v>
      </c>
      <c r="AP414">
        <v>30</v>
      </c>
      <c r="AQ414">
        <v>7</v>
      </c>
      <c r="AR414">
        <v>0</v>
      </c>
      <c r="AS414">
        <v>3</v>
      </c>
      <c r="AT414">
        <v>0</v>
      </c>
    </row>
    <row r="415" spans="1:46">
      <c r="A415">
        <v>5432</v>
      </c>
      <c r="B415" t="s">
        <v>3054</v>
      </c>
      <c r="C415" t="s">
        <v>3055</v>
      </c>
      <c r="D415" t="s">
        <v>2938</v>
      </c>
      <c r="E415" t="s">
        <v>3056</v>
      </c>
      <c r="F415" t="s">
        <v>3057</v>
      </c>
      <c r="G415" t="s">
        <v>2941</v>
      </c>
      <c r="H415" t="s">
        <v>517</v>
      </c>
      <c r="J415" t="s">
        <v>518</v>
      </c>
      <c r="K415" t="s">
        <v>519</v>
      </c>
      <c r="M415" t="s">
        <v>2287</v>
      </c>
      <c r="N415" t="s">
        <v>539</v>
      </c>
      <c r="O415" t="s">
        <v>2942</v>
      </c>
      <c r="P415" t="s">
        <v>654</v>
      </c>
      <c r="Q415" t="s">
        <v>2943</v>
      </c>
      <c r="R415" t="s">
        <v>2944</v>
      </c>
      <c r="S415" t="s">
        <v>2973</v>
      </c>
      <c r="T415" t="s">
        <v>2448</v>
      </c>
      <c r="U415">
        <v>328500</v>
      </c>
      <c r="V415" t="s">
        <v>3058</v>
      </c>
      <c r="W415" t="s">
        <v>2993</v>
      </c>
      <c r="X415" t="s">
        <v>2948</v>
      </c>
      <c r="Y415" t="s">
        <v>2949</v>
      </c>
      <c r="Z415" t="s">
        <v>2950</v>
      </c>
      <c r="AA415" t="s">
        <v>2951</v>
      </c>
      <c r="AB415" t="s">
        <v>2952</v>
      </c>
      <c r="AC415">
        <v>99063</v>
      </c>
      <c r="AD415" t="s">
        <v>2994</v>
      </c>
      <c r="AE415">
        <v>-43.528785859999999</v>
      </c>
      <c r="AF415">
        <v>172.66780351</v>
      </c>
      <c r="AG415">
        <v>40</v>
      </c>
      <c r="AH415">
        <v>0</v>
      </c>
      <c r="AI415">
        <v>0</v>
      </c>
      <c r="AJ415">
        <v>0</v>
      </c>
      <c r="AK415">
        <v>11</v>
      </c>
      <c r="AL415">
        <v>5</v>
      </c>
      <c r="AM415">
        <v>13</v>
      </c>
      <c r="AN415">
        <v>0</v>
      </c>
      <c r="AO415">
        <v>29</v>
      </c>
      <c r="AP415">
        <v>13</v>
      </c>
      <c r="AQ415">
        <v>6</v>
      </c>
      <c r="AR415">
        <v>6</v>
      </c>
      <c r="AS415">
        <v>7</v>
      </c>
      <c r="AT415">
        <v>2</v>
      </c>
    </row>
    <row r="416" spans="1:46">
      <c r="A416">
        <v>5433</v>
      </c>
      <c r="B416" t="s">
        <v>3059</v>
      </c>
      <c r="C416" t="s">
        <v>3060</v>
      </c>
      <c r="D416" t="s">
        <v>2938</v>
      </c>
      <c r="E416" t="s">
        <v>3061</v>
      </c>
      <c r="G416" t="s">
        <v>3062</v>
      </c>
      <c r="H416" t="s">
        <v>517</v>
      </c>
      <c r="J416" t="s">
        <v>518</v>
      </c>
      <c r="K416" t="s">
        <v>519</v>
      </c>
      <c r="M416" t="s">
        <v>2287</v>
      </c>
      <c r="N416" t="s">
        <v>571</v>
      </c>
      <c r="O416" t="s">
        <v>2942</v>
      </c>
      <c r="P416" t="s">
        <v>523</v>
      </c>
      <c r="Q416" t="s">
        <v>2943</v>
      </c>
      <c r="R416" t="s">
        <v>2944</v>
      </c>
      <c r="S416" t="s">
        <v>2979</v>
      </c>
      <c r="T416" t="s">
        <v>2448</v>
      </c>
      <c r="U416">
        <v>332501</v>
      </c>
      <c r="V416" t="s">
        <v>3062</v>
      </c>
      <c r="W416" t="s">
        <v>3063</v>
      </c>
      <c r="X416" t="s">
        <v>2948</v>
      </c>
      <c r="Y416" t="s">
        <v>2949</v>
      </c>
      <c r="Z416" t="s">
        <v>2950</v>
      </c>
      <c r="AA416" t="s">
        <v>2951</v>
      </c>
      <c r="AB416" t="s">
        <v>2952</v>
      </c>
      <c r="AC416">
        <v>99196</v>
      </c>
      <c r="AD416" t="s">
        <v>3064</v>
      </c>
      <c r="AE416">
        <v>-43.601264010000001</v>
      </c>
      <c r="AF416">
        <v>172.71979256</v>
      </c>
      <c r="AG416">
        <v>30</v>
      </c>
      <c r="AH416">
        <v>0</v>
      </c>
      <c r="AI416">
        <v>0</v>
      </c>
      <c r="AJ416">
        <v>0</v>
      </c>
      <c r="AK416">
        <v>10</v>
      </c>
      <c r="AL416">
        <v>14</v>
      </c>
      <c r="AM416">
        <v>11</v>
      </c>
      <c r="AN416">
        <v>1</v>
      </c>
      <c r="AO416">
        <v>36</v>
      </c>
      <c r="AP416">
        <v>31</v>
      </c>
      <c r="AQ416">
        <v>6</v>
      </c>
      <c r="AR416">
        <v>2</v>
      </c>
      <c r="AS416">
        <v>1</v>
      </c>
      <c r="AT416">
        <v>2</v>
      </c>
    </row>
    <row r="417" spans="1:46">
      <c r="A417">
        <v>5434</v>
      </c>
      <c r="B417" t="s">
        <v>3065</v>
      </c>
      <c r="C417" t="s">
        <v>3066</v>
      </c>
      <c r="D417" t="s">
        <v>2938</v>
      </c>
      <c r="E417" t="s">
        <v>3067</v>
      </c>
      <c r="F417" t="s">
        <v>3068</v>
      </c>
      <c r="G417" t="s">
        <v>2941</v>
      </c>
      <c r="H417" t="s">
        <v>517</v>
      </c>
      <c r="J417" t="s">
        <v>518</v>
      </c>
      <c r="K417" t="s">
        <v>519</v>
      </c>
      <c r="M417" t="s">
        <v>2287</v>
      </c>
      <c r="N417" t="s">
        <v>521</v>
      </c>
      <c r="O417" t="s">
        <v>2942</v>
      </c>
      <c r="P417" t="s">
        <v>654</v>
      </c>
      <c r="Q417" t="s">
        <v>2943</v>
      </c>
      <c r="R417" t="s">
        <v>2944</v>
      </c>
      <c r="S417" t="s">
        <v>2973</v>
      </c>
      <c r="T417" t="s">
        <v>2448</v>
      </c>
      <c r="U417">
        <v>323400</v>
      </c>
      <c r="V417" t="s">
        <v>3069</v>
      </c>
      <c r="W417" t="s">
        <v>3070</v>
      </c>
      <c r="X417" t="s">
        <v>2948</v>
      </c>
      <c r="Y417" t="s">
        <v>2949</v>
      </c>
      <c r="Z417" t="s">
        <v>2950</v>
      </c>
      <c r="AA417" t="s">
        <v>2951</v>
      </c>
      <c r="AB417" t="s">
        <v>2952</v>
      </c>
      <c r="AC417">
        <v>99175</v>
      </c>
      <c r="AD417" t="s">
        <v>3071</v>
      </c>
      <c r="AE417">
        <v>-43.50081471</v>
      </c>
      <c r="AF417">
        <v>172.65445352</v>
      </c>
      <c r="AG417">
        <v>30</v>
      </c>
      <c r="AH417">
        <v>0</v>
      </c>
      <c r="AI417">
        <v>0</v>
      </c>
      <c r="AJ417">
        <v>0</v>
      </c>
      <c r="AK417">
        <v>1</v>
      </c>
      <c r="AL417">
        <v>7</v>
      </c>
      <c r="AM417">
        <v>8</v>
      </c>
      <c r="AN417">
        <v>0</v>
      </c>
      <c r="AO417">
        <v>16</v>
      </c>
      <c r="AP417">
        <v>6</v>
      </c>
      <c r="AQ417">
        <v>7</v>
      </c>
      <c r="AR417">
        <v>0</v>
      </c>
      <c r="AS417">
        <v>3</v>
      </c>
      <c r="AT417">
        <v>2</v>
      </c>
    </row>
    <row r="418" spans="1:46">
      <c r="A418">
        <v>5435</v>
      </c>
      <c r="B418" t="s">
        <v>3072</v>
      </c>
      <c r="C418" t="s">
        <v>3073</v>
      </c>
      <c r="D418" t="s">
        <v>2938</v>
      </c>
      <c r="E418" t="s">
        <v>3074</v>
      </c>
      <c r="F418" t="s">
        <v>2950</v>
      </c>
      <c r="G418" t="s">
        <v>2941</v>
      </c>
      <c r="H418" t="s">
        <v>517</v>
      </c>
      <c r="J418" t="s">
        <v>518</v>
      </c>
      <c r="K418" t="s">
        <v>519</v>
      </c>
      <c r="M418" t="s">
        <v>2287</v>
      </c>
      <c r="N418" t="s">
        <v>557</v>
      </c>
      <c r="O418" t="s">
        <v>2942</v>
      </c>
      <c r="P418" t="s">
        <v>654</v>
      </c>
      <c r="Q418" t="s">
        <v>2943</v>
      </c>
      <c r="R418" t="s">
        <v>2944</v>
      </c>
      <c r="S418" t="s">
        <v>3019</v>
      </c>
      <c r="T418" t="s">
        <v>2448</v>
      </c>
      <c r="U418">
        <v>323300</v>
      </c>
      <c r="V418" t="s">
        <v>3075</v>
      </c>
      <c r="W418" t="s">
        <v>3076</v>
      </c>
      <c r="X418" t="s">
        <v>2948</v>
      </c>
      <c r="Y418" t="s">
        <v>2949</v>
      </c>
      <c r="Z418" t="s">
        <v>2950</v>
      </c>
      <c r="AA418" t="s">
        <v>2951</v>
      </c>
      <c r="AB418" t="s">
        <v>2952</v>
      </c>
      <c r="AC418">
        <v>99176</v>
      </c>
      <c r="AD418" t="s">
        <v>3077</v>
      </c>
      <c r="AE418">
        <v>-43.531187510000002</v>
      </c>
      <c r="AF418">
        <v>172.5915325</v>
      </c>
      <c r="AG418">
        <v>40</v>
      </c>
      <c r="AH418">
        <v>0</v>
      </c>
      <c r="AI418">
        <v>0</v>
      </c>
      <c r="AJ418">
        <v>0</v>
      </c>
      <c r="AK418">
        <v>11</v>
      </c>
      <c r="AL418">
        <v>10</v>
      </c>
      <c r="AM418">
        <v>12</v>
      </c>
      <c r="AN418">
        <v>0</v>
      </c>
      <c r="AO418">
        <v>33</v>
      </c>
      <c r="AP418">
        <v>7</v>
      </c>
      <c r="AQ418">
        <v>4</v>
      </c>
      <c r="AR418">
        <v>2</v>
      </c>
      <c r="AS418">
        <v>24</v>
      </c>
      <c r="AT418">
        <v>2</v>
      </c>
    </row>
    <row r="419" spans="1:46">
      <c r="A419">
        <v>5436</v>
      </c>
      <c r="B419" t="s">
        <v>3078</v>
      </c>
      <c r="C419" t="s">
        <v>3079</v>
      </c>
      <c r="D419" t="s">
        <v>2938</v>
      </c>
      <c r="E419" t="s">
        <v>3080</v>
      </c>
      <c r="F419" t="s">
        <v>3081</v>
      </c>
      <c r="G419" t="s">
        <v>2941</v>
      </c>
      <c r="H419" t="s">
        <v>517</v>
      </c>
      <c r="J419" t="s">
        <v>518</v>
      </c>
      <c r="K419" t="s">
        <v>519</v>
      </c>
      <c r="M419" t="s">
        <v>2287</v>
      </c>
      <c r="N419" t="s">
        <v>571</v>
      </c>
      <c r="O419" t="s">
        <v>2942</v>
      </c>
      <c r="P419" t="s">
        <v>654</v>
      </c>
      <c r="Q419" t="s">
        <v>2943</v>
      </c>
      <c r="R419" t="s">
        <v>2944</v>
      </c>
      <c r="S419" t="s">
        <v>2957</v>
      </c>
      <c r="T419" t="s">
        <v>2448</v>
      </c>
      <c r="U419">
        <v>323100</v>
      </c>
      <c r="V419" t="s">
        <v>3082</v>
      </c>
      <c r="W419" t="s">
        <v>3070</v>
      </c>
      <c r="X419" t="s">
        <v>2948</v>
      </c>
      <c r="Y419" t="s">
        <v>2949</v>
      </c>
      <c r="Z419" t="s">
        <v>2950</v>
      </c>
      <c r="AA419" t="s">
        <v>2951</v>
      </c>
      <c r="AB419" t="s">
        <v>2952</v>
      </c>
      <c r="AE419">
        <v>-43.50098646</v>
      </c>
      <c r="AF419">
        <v>172.64310535000001</v>
      </c>
      <c r="AG419">
        <v>40</v>
      </c>
      <c r="AH419">
        <v>0</v>
      </c>
      <c r="AI419">
        <v>0</v>
      </c>
      <c r="AJ419">
        <v>0</v>
      </c>
      <c r="AK419">
        <v>11</v>
      </c>
      <c r="AL419">
        <v>6</v>
      </c>
      <c r="AM419">
        <v>17</v>
      </c>
      <c r="AN419">
        <v>0</v>
      </c>
      <c r="AO419">
        <v>34</v>
      </c>
      <c r="AP419">
        <v>28</v>
      </c>
      <c r="AQ419">
        <v>5</v>
      </c>
      <c r="AR419">
        <v>1</v>
      </c>
      <c r="AS419">
        <v>5</v>
      </c>
      <c r="AT419">
        <v>1</v>
      </c>
    </row>
    <row r="420" spans="1:46">
      <c r="A420">
        <v>5437</v>
      </c>
      <c r="B420" t="s">
        <v>3083</v>
      </c>
      <c r="C420" t="s">
        <v>3084</v>
      </c>
      <c r="D420" t="s">
        <v>2938</v>
      </c>
      <c r="E420" t="s">
        <v>3085</v>
      </c>
      <c r="F420" t="s">
        <v>3086</v>
      </c>
      <c r="G420" t="s">
        <v>2941</v>
      </c>
      <c r="H420" t="s">
        <v>517</v>
      </c>
      <c r="J420" t="s">
        <v>518</v>
      </c>
      <c r="K420" t="s">
        <v>519</v>
      </c>
      <c r="M420" t="s">
        <v>2287</v>
      </c>
      <c r="N420" t="s">
        <v>571</v>
      </c>
      <c r="O420" t="s">
        <v>2942</v>
      </c>
      <c r="P420" t="s">
        <v>654</v>
      </c>
      <c r="Q420" t="s">
        <v>2943</v>
      </c>
      <c r="R420" t="s">
        <v>2944</v>
      </c>
      <c r="S420" t="s">
        <v>3019</v>
      </c>
      <c r="T420" t="s">
        <v>2448</v>
      </c>
      <c r="U420">
        <v>326701</v>
      </c>
      <c r="V420" t="s">
        <v>3087</v>
      </c>
      <c r="W420" t="s">
        <v>3088</v>
      </c>
      <c r="X420" t="s">
        <v>2948</v>
      </c>
      <c r="Y420" t="s">
        <v>2949</v>
      </c>
      <c r="Z420" t="s">
        <v>2950</v>
      </c>
      <c r="AA420" t="s">
        <v>2951</v>
      </c>
      <c r="AB420" t="s">
        <v>2952</v>
      </c>
      <c r="AE420">
        <v>-43.563518719999998</v>
      </c>
      <c r="AF420">
        <v>172.59079184000001</v>
      </c>
      <c r="AG420">
        <v>40</v>
      </c>
      <c r="AH420">
        <v>0</v>
      </c>
      <c r="AI420">
        <v>0</v>
      </c>
      <c r="AJ420">
        <v>0</v>
      </c>
      <c r="AK420">
        <v>8</v>
      </c>
      <c r="AL420">
        <v>7</v>
      </c>
      <c r="AM420">
        <v>15</v>
      </c>
      <c r="AN420">
        <v>0</v>
      </c>
      <c r="AO420">
        <v>30</v>
      </c>
      <c r="AP420">
        <v>21</v>
      </c>
      <c r="AQ420">
        <v>4</v>
      </c>
      <c r="AR420">
        <v>3</v>
      </c>
      <c r="AS420">
        <v>8</v>
      </c>
      <c r="AT420">
        <v>1</v>
      </c>
    </row>
    <row r="421" spans="1:46">
      <c r="A421">
        <v>5438</v>
      </c>
      <c r="B421" t="s">
        <v>3089</v>
      </c>
      <c r="C421" t="s">
        <v>3090</v>
      </c>
      <c r="D421" t="s">
        <v>2938</v>
      </c>
      <c r="E421" t="s">
        <v>3091</v>
      </c>
      <c r="F421" t="s">
        <v>3092</v>
      </c>
      <c r="G421" t="s">
        <v>2941</v>
      </c>
      <c r="H421" t="s">
        <v>517</v>
      </c>
      <c r="J421" t="s">
        <v>518</v>
      </c>
      <c r="K421" t="s">
        <v>519</v>
      </c>
      <c r="M421" t="s">
        <v>2287</v>
      </c>
      <c r="N421" t="s">
        <v>571</v>
      </c>
      <c r="O421" t="s">
        <v>2942</v>
      </c>
      <c r="P421" t="s">
        <v>654</v>
      </c>
      <c r="Q421" t="s">
        <v>2943</v>
      </c>
      <c r="R421" t="s">
        <v>2944</v>
      </c>
      <c r="S421" t="s">
        <v>2979</v>
      </c>
      <c r="T421" t="s">
        <v>2448</v>
      </c>
      <c r="U421">
        <v>332000</v>
      </c>
      <c r="V421" t="s">
        <v>3093</v>
      </c>
      <c r="W421" t="s">
        <v>3014</v>
      </c>
      <c r="X421" t="s">
        <v>2948</v>
      </c>
      <c r="Y421" t="s">
        <v>2949</v>
      </c>
      <c r="Z421" t="s">
        <v>2950</v>
      </c>
      <c r="AA421" t="s">
        <v>2951</v>
      </c>
      <c r="AB421" t="s">
        <v>2952</v>
      </c>
      <c r="AC421">
        <v>99196</v>
      </c>
      <c r="AD421" t="s">
        <v>3064</v>
      </c>
      <c r="AE421">
        <v>-43.55603129</v>
      </c>
      <c r="AF421">
        <v>172.72063194</v>
      </c>
      <c r="AG421">
        <v>40</v>
      </c>
      <c r="AH421">
        <v>0</v>
      </c>
      <c r="AI421">
        <v>0</v>
      </c>
      <c r="AJ421">
        <v>0</v>
      </c>
      <c r="AK421">
        <v>9</v>
      </c>
      <c r="AL421">
        <v>21</v>
      </c>
      <c r="AM421">
        <v>14</v>
      </c>
      <c r="AN421">
        <v>0</v>
      </c>
      <c r="AO421">
        <v>44</v>
      </c>
      <c r="AP421">
        <v>39</v>
      </c>
      <c r="AQ421">
        <v>3</v>
      </c>
      <c r="AR421">
        <v>0</v>
      </c>
      <c r="AS421">
        <v>4</v>
      </c>
      <c r="AT421">
        <v>2</v>
      </c>
    </row>
    <row r="422" spans="1:46">
      <c r="A422">
        <v>5440</v>
      </c>
      <c r="B422" t="s">
        <v>3094</v>
      </c>
      <c r="C422" t="s">
        <v>3095</v>
      </c>
      <c r="E422" t="s">
        <v>3096</v>
      </c>
      <c r="F422" t="s">
        <v>2984</v>
      </c>
      <c r="G422" t="s">
        <v>2941</v>
      </c>
      <c r="H422" t="s">
        <v>517</v>
      </c>
      <c r="J422" t="s">
        <v>518</v>
      </c>
      <c r="K422" t="s">
        <v>519</v>
      </c>
      <c r="M422" t="s">
        <v>2287</v>
      </c>
      <c r="N422" t="s">
        <v>557</v>
      </c>
      <c r="O422" t="s">
        <v>2942</v>
      </c>
      <c r="P422" t="s">
        <v>654</v>
      </c>
      <c r="Q422" t="s">
        <v>2943</v>
      </c>
      <c r="R422" t="s">
        <v>2944</v>
      </c>
      <c r="S422" t="s">
        <v>2957</v>
      </c>
      <c r="T422" t="s">
        <v>2448</v>
      </c>
      <c r="U422">
        <v>319400</v>
      </c>
      <c r="V422" t="s">
        <v>3097</v>
      </c>
      <c r="W422" t="s">
        <v>3098</v>
      </c>
      <c r="X422" t="s">
        <v>2948</v>
      </c>
      <c r="Y422" t="s">
        <v>2949</v>
      </c>
      <c r="Z422" t="s">
        <v>2950</v>
      </c>
      <c r="AA422" t="s">
        <v>2951</v>
      </c>
      <c r="AB422" t="s">
        <v>2952</v>
      </c>
      <c r="AC422">
        <v>99039</v>
      </c>
      <c r="AD422" t="s">
        <v>2987</v>
      </c>
      <c r="AE422">
        <v>-43.48445564</v>
      </c>
      <c r="AF422">
        <v>172.6053197</v>
      </c>
      <c r="AG422">
        <v>30</v>
      </c>
      <c r="AH422">
        <v>0</v>
      </c>
      <c r="AI422">
        <v>0</v>
      </c>
      <c r="AJ422">
        <v>0</v>
      </c>
      <c r="AK422">
        <v>7</v>
      </c>
      <c r="AL422">
        <v>8</v>
      </c>
      <c r="AM422">
        <v>13</v>
      </c>
      <c r="AN422">
        <v>1</v>
      </c>
      <c r="AO422">
        <v>29</v>
      </c>
      <c r="AP422">
        <v>14</v>
      </c>
      <c r="AQ422">
        <v>2</v>
      </c>
      <c r="AR422">
        <v>7</v>
      </c>
      <c r="AS422">
        <v>7</v>
      </c>
      <c r="AT422">
        <v>3</v>
      </c>
    </row>
    <row r="423" spans="1:46">
      <c r="A423">
        <v>5441</v>
      </c>
      <c r="B423" t="s">
        <v>3099</v>
      </c>
      <c r="C423" t="s">
        <v>3100</v>
      </c>
      <c r="D423" t="s">
        <v>2938</v>
      </c>
      <c r="E423" t="s">
        <v>3101</v>
      </c>
      <c r="F423" t="s">
        <v>3102</v>
      </c>
      <c r="G423" t="s">
        <v>2941</v>
      </c>
      <c r="H423" t="s">
        <v>517</v>
      </c>
      <c r="J423" t="s">
        <v>518</v>
      </c>
      <c r="K423" t="s">
        <v>519</v>
      </c>
      <c r="M423" t="s">
        <v>2287</v>
      </c>
      <c r="N423" t="s">
        <v>571</v>
      </c>
      <c r="O423" t="s">
        <v>2942</v>
      </c>
      <c r="P423" t="s">
        <v>654</v>
      </c>
      <c r="Q423" t="s">
        <v>2943</v>
      </c>
      <c r="R423" t="s">
        <v>2944</v>
      </c>
      <c r="S423" t="s">
        <v>2973</v>
      </c>
      <c r="T423" t="s">
        <v>2448</v>
      </c>
      <c r="U423">
        <v>328300</v>
      </c>
      <c r="V423" t="s">
        <v>3103</v>
      </c>
      <c r="W423" t="s">
        <v>2974</v>
      </c>
      <c r="X423" t="s">
        <v>2948</v>
      </c>
      <c r="Y423" t="s">
        <v>2949</v>
      </c>
      <c r="Z423" t="s">
        <v>2950</v>
      </c>
      <c r="AA423" t="s">
        <v>2951</v>
      </c>
      <c r="AB423" t="s">
        <v>2952</v>
      </c>
      <c r="AE423">
        <v>-43.498119629999998</v>
      </c>
      <c r="AF423">
        <v>172.7150158</v>
      </c>
      <c r="AG423">
        <v>40</v>
      </c>
      <c r="AH423">
        <v>0</v>
      </c>
      <c r="AI423">
        <v>0</v>
      </c>
      <c r="AJ423">
        <v>0</v>
      </c>
      <c r="AK423">
        <v>6</v>
      </c>
      <c r="AL423">
        <v>16</v>
      </c>
      <c r="AM423">
        <v>18</v>
      </c>
      <c r="AN423">
        <v>1</v>
      </c>
      <c r="AO423">
        <v>41</v>
      </c>
      <c r="AP423">
        <v>33</v>
      </c>
      <c r="AQ423">
        <v>15</v>
      </c>
      <c r="AR423">
        <v>5</v>
      </c>
      <c r="AS423">
        <v>5</v>
      </c>
      <c r="AT423">
        <v>3</v>
      </c>
    </row>
    <row r="424" spans="1:46">
      <c r="A424">
        <v>5442</v>
      </c>
      <c r="B424" t="s">
        <v>3104</v>
      </c>
      <c r="C424" t="s">
        <v>3105</v>
      </c>
      <c r="D424" t="s">
        <v>2938</v>
      </c>
      <c r="E424" t="s">
        <v>3106</v>
      </c>
      <c r="F424" t="s">
        <v>3107</v>
      </c>
      <c r="G424" t="s">
        <v>2941</v>
      </c>
      <c r="H424" t="s">
        <v>517</v>
      </c>
      <c r="J424" t="s">
        <v>518</v>
      </c>
      <c r="K424" t="s">
        <v>519</v>
      </c>
      <c r="M424" t="s">
        <v>2287</v>
      </c>
      <c r="N424" t="s">
        <v>557</v>
      </c>
      <c r="O424" t="s">
        <v>2942</v>
      </c>
      <c r="P424" t="s">
        <v>654</v>
      </c>
      <c r="Q424" t="s">
        <v>2943</v>
      </c>
      <c r="R424" t="s">
        <v>2944</v>
      </c>
      <c r="S424" t="s">
        <v>2973</v>
      </c>
      <c r="T424" t="s">
        <v>2448</v>
      </c>
      <c r="U424">
        <v>330200</v>
      </c>
      <c r="V424" t="s">
        <v>3107</v>
      </c>
      <c r="W424" t="s">
        <v>2974</v>
      </c>
      <c r="X424" t="s">
        <v>2948</v>
      </c>
      <c r="Y424" t="s">
        <v>2949</v>
      </c>
      <c r="Z424" t="s">
        <v>2950</v>
      </c>
      <c r="AA424" t="s">
        <v>2951</v>
      </c>
      <c r="AB424" t="s">
        <v>2952</v>
      </c>
      <c r="AE424">
        <v>-43.509116069999997</v>
      </c>
      <c r="AF424">
        <v>172.72279011000001</v>
      </c>
      <c r="AG424">
        <v>30</v>
      </c>
      <c r="AH424">
        <v>0</v>
      </c>
      <c r="AI424">
        <v>0</v>
      </c>
      <c r="AJ424">
        <v>0</v>
      </c>
      <c r="AK424">
        <v>8</v>
      </c>
      <c r="AL424">
        <v>13</v>
      </c>
      <c r="AM424">
        <v>7</v>
      </c>
      <c r="AN424">
        <v>5</v>
      </c>
      <c r="AO424">
        <v>33</v>
      </c>
      <c r="AP424">
        <v>29</v>
      </c>
      <c r="AQ424">
        <v>9</v>
      </c>
      <c r="AR424">
        <v>5</v>
      </c>
      <c r="AS424">
        <v>1</v>
      </c>
      <c r="AT424">
        <v>1</v>
      </c>
    </row>
    <row r="425" spans="1:46">
      <c r="A425">
        <v>5443</v>
      </c>
      <c r="B425" t="s">
        <v>3108</v>
      </c>
      <c r="C425" t="s">
        <v>3109</v>
      </c>
      <c r="D425" t="s">
        <v>2938</v>
      </c>
      <c r="E425" t="s">
        <v>3110</v>
      </c>
      <c r="F425" t="s">
        <v>3111</v>
      </c>
      <c r="G425" t="s">
        <v>2941</v>
      </c>
      <c r="H425" t="s">
        <v>517</v>
      </c>
      <c r="J425" t="s">
        <v>518</v>
      </c>
      <c r="K425" t="s">
        <v>519</v>
      </c>
      <c r="M425" t="s">
        <v>2287</v>
      </c>
      <c r="N425" t="s">
        <v>571</v>
      </c>
      <c r="O425" t="s">
        <v>2942</v>
      </c>
      <c r="P425" t="s">
        <v>654</v>
      </c>
      <c r="Q425" t="s">
        <v>2943</v>
      </c>
      <c r="R425" t="s">
        <v>2944</v>
      </c>
      <c r="S425" t="s">
        <v>2957</v>
      </c>
      <c r="T425" t="s">
        <v>2448</v>
      </c>
      <c r="U425">
        <v>330900</v>
      </c>
      <c r="V425" t="s">
        <v>3111</v>
      </c>
      <c r="W425" t="s">
        <v>3014</v>
      </c>
      <c r="X425" t="s">
        <v>2948</v>
      </c>
      <c r="Y425" t="s">
        <v>2949</v>
      </c>
      <c r="Z425" t="s">
        <v>2950</v>
      </c>
      <c r="AA425" t="s">
        <v>2951</v>
      </c>
      <c r="AB425" t="s">
        <v>2952</v>
      </c>
      <c r="AC425">
        <v>99177</v>
      </c>
      <c r="AD425" t="s">
        <v>2959</v>
      </c>
      <c r="AE425">
        <v>-43.559635219999997</v>
      </c>
      <c r="AF425">
        <v>172.66137695</v>
      </c>
      <c r="AG425">
        <v>40</v>
      </c>
      <c r="AH425">
        <v>0</v>
      </c>
    </row>
    <row r="426" spans="1:46">
      <c r="A426">
        <v>5444</v>
      </c>
      <c r="B426" t="s">
        <v>3112</v>
      </c>
      <c r="C426" t="s">
        <v>3113</v>
      </c>
      <c r="D426" t="s">
        <v>2938</v>
      </c>
      <c r="E426" t="s">
        <v>3114</v>
      </c>
      <c r="F426" t="s">
        <v>3115</v>
      </c>
      <c r="G426" t="s">
        <v>2941</v>
      </c>
      <c r="H426" t="s">
        <v>517</v>
      </c>
      <c r="J426" t="s">
        <v>518</v>
      </c>
      <c r="K426" t="s">
        <v>519</v>
      </c>
      <c r="M426" t="s">
        <v>2287</v>
      </c>
      <c r="N426" t="s">
        <v>571</v>
      </c>
      <c r="O426" t="s">
        <v>2942</v>
      </c>
      <c r="P426" t="s">
        <v>654</v>
      </c>
      <c r="Q426" t="s">
        <v>2943</v>
      </c>
      <c r="R426" t="s">
        <v>2944</v>
      </c>
      <c r="S426" t="s">
        <v>2945</v>
      </c>
      <c r="T426" t="s">
        <v>2448</v>
      </c>
      <c r="U426">
        <v>320000</v>
      </c>
      <c r="V426" t="s">
        <v>3116</v>
      </c>
      <c r="W426" t="s">
        <v>3098</v>
      </c>
      <c r="X426" t="s">
        <v>2948</v>
      </c>
      <c r="Y426" t="s">
        <v>2949</v>
      </c>
      <c r="Z426" t="s">
        <v>2950</v>
      </c>
      <c r="AA426" t="s">
        <v>2951</v>
      </c>
      <c r="AB426" t="s">
        <v>2952</v>
      </c>
      <c r="AE426">
        <v>-43.498374480000003</v>
      </c>
      <c r="AF426">
        <v>172.60792137999999</v>
      </c>
      <c r="AG426">
        <v>40</v>
      </c>
      <c r="AH426">
        <v>0</v>
      </c>
      <c r="AI426">
        <v>0</v>
      </c>
      <c r="AJ426">
        <v>0</v>
      </c>
      <c r="AK426">
        <v>12</v>
      </c>
      <c r="AL426">
        <v>14</v>
      </c>
      <c r="AM426">
        <v>8</v>
      </c>
      <c r="AN426">
        <v>1</v>
      </c>
      <c r="AO426">
        <v>35</v>
      </c>
      <c r="AP426">
        <v>25</v>
      </c>
      <c r="AQ426">
        <v>6</v>
      </c>
      <c r="AR426">
        <v>4</v>
      </c>
      <c r="AS426">
        <v>4</v>
      </c>
      <c r="AT426">
        <v>1</v>
      </c>
    </row>
    <row r="427" spans="1:46">
      <c r="A427">
        <v>5445</v>
      </c>
      <c r="B427" t="s">
        <v>3117</v>
      </c>
      <c r="C427" t="s">
        <v>3118</v>
      </c>
      <c r="D427" t="s">
        <v>2938</v>
      </c>
      <c r="E427" t="s">
        <v>3119</v>
      </c>
      <c r="F427" t="s">
        <v>3120</v>
      </c>
      <c r="G427" t="s">
        <v>2941</v>
      </c>
      <c r="H427" t="s">
        <v>517</v>
      </c>
      <c r="J427" t="s">
        <v>518</v>
      </c>
      <c r="K427" t="s">
        <v>519</v>
      </c>
      <c r="M427" t="s">
        <v>2287</v>
      </c>
      <c r="N427" t="s">
        <v>521</v>
      </c>
      <c r="O427" t="s">
        <v>2942</v>
      </c>
      <c r="P427" t="s">
        <v>654</v>
      </c>
      <c r="Q427" t="s">
        <v>2943</v>
      </c>
      <c r="R427" t="s">
        <v>2944</v>
      </c>
      <c r="S427" t="s">
        <v>2957</v>
      </c>
      <c r="T427" t="s">
        <v>2448</v>
      </c>
      <c r="U427">
        <v>328900</v>
      </c>
      <c r="V427" t="s">
        <v>3120</v>
      </c>
      <c r="W427" t="s">
        <v>2443</v>
      </c>
      <c r="X427" t="s">
        <v>2948</v>
      </c>
      <c r="Y427" t="s">
        <v>2949</v>
      </c>
      <c r="Z427" t="s">
        <v>2950</v>
      </c>
      <c r="AA427" t="s">
        <v>2951</v>
      </c>
      <c r="AB427" t="s">
        <v>2952</v>
      </c>
      <c r="AC427">
        <v>99063</v>
      </c>
      <c r="AD427" t="s">
        <v>2994</v>
      </c>
      <c r="AE427">
        <v>-43.53665247</v>
      </c>
      <c r="AF427">
        <v>172.65933808</v>
      </c>
      <c r="AG427">
        <v>40</v>
      </c>
      <c r="AH427">
        <v>0</v>
      </c>
      <c r="AI427">
        <v>0</v>
      </c>
      <c r="AJ427">
        <v>0</v>
      </c>
      <c r="AK427">
        <v>9</v>
      </c>
      <c r="AL427">
        <v>10</v>
      </c>
      <c r="AM427">
        <v>10</v>
      </c>
      <c r="AN427">
        <v>1</v>
      </c>
      <c r="AO427">
        <v>30</v>
      </c>
      <c r="AP427">
        <v>6</v>
      </c>
      <c r="AQ427">
        <v>6</v>
      </c>
      <c r="AR427">
        <v>11</v>
      </c>
      <c r="AS427">
        <v>12</v>
      </c>
      <c r="AT427">
        <v>1</v>
      </c>
    </row>
    <row r="428" spans="1:46">
      <c r="A428">
        <v>5447</v>
      </c>
      <c r="B428" t="s">
        <v>3121</v>
      </c>
      <c r="C428" t="s">
        <v>3122</v>
      </c>
      <c r="D428" t="s">
        <v>2938</v>
      </c>
      <c r="E428" t="s">
        <v>3123</v>
      </c>
      <c r="F428" t="s">
        <v>3124</v>
      </c>
      <c r="G428" t="s">
        <v>2941</v>
      </c>
      <c r="H428" t="s">
        <v>517</v>
      </c>
      <c r="J428" t="s">
        <v>518</v>
      </c>
      <c r="K428" t="s">
        <v>519</v>
      </c>
      <c r="M428" t="s">
        <v>2287</v>
      </c>
      <c r="N428" t="s">
        <v>727</v>
      </c>
      <c r="O428" t="s">
        <v>2942</v>
      </c>
      <c r="P428" t="s">
        <v>654</v>
      </c>
      <c r="Q428" t="s">
        <v>2943</v>
      </c>
      <c r="R428" t="s">
        <v>2944</v>
      </c>
      <c r="S428" t="s">
        <v>2973</v>
      </c>
      <c r="T428" t="s">
        <v>2448</v>
      </c>
      <c r="U428">
        <v>328600</v>
      </c>
      <c r="V428" t="s">
        <v>3125</v>
      </c>
      <c r="W428" t="s">
        <v>3126</v>
      </c>
      <c r="X428" t="s">
        <v>2948</v>
      </c>
      <c r="Y428" t="s">
        <v>2949</v>
      </c>
      <c r="Z428" t="s">
        <v>2950</v>
      </c>
      <c r="AA428" t="s">
        <v>2951</v>
      </c>
      <c r="AB428" t="s">
        <v>2952</v>
      </c>
      <c r="AE428">
        <v>-43.510306300000003</v>
      </c>
      <c r="AF428">
        <v>172.70094810000001</v>
      </c>
      <c r="AG428">
        <v>40</v>
      </c>
      <c r="AH428">
        <v>0</v>
      </c>
      <c r="AI428">
        <v>0</v>
      </c>
      <c r="AJ428">
        <v>0</v>
      </c>
      <c r="AK428">
        <v>10</v>
      </c>
      <c r="AL428">
        <v>8</v>
      </c>
      <c r="AM428">
        <v>14</v>
      </c>
      <c r="AN428">
        <v>3</v>
      </c>
      <c r="AO428">
        <v>35</v>
      </c>
      <c r="AP428">
        <v>19</v>
      </c>
      <c r="AQ428">
        <v>19</v>
      </c>
      <c r="AR428">
        <v>3</v>
      </c>
      <c r="AS428">
        <v>1</v>
      </c>
      <c r="AT428">
        <v>0</v>
      </c>
    </row>
    <row r="429" spans="1:46">
      <c r="A429">
        <v>5448</v>
      </c>
      <c r="B429" t="s">
        <v>3127</v>
      </c>
      <c r="C429" t="s">
        <v>3128</v>
      </c>
      <c r="D429" t="s">
        <v>2938</v>
      </c>
      <c r="E429" t="s">
        <v>3129</v>
      </c>
      <c r="F429" t="s">
        <v>3130</v>
      </c>
      <c r="G429" t="s">
        <v>2941</v>
      </c>
      <c r="H429" t="s">
        <v>517</v>
      </c>
      <c r="J429" t="s">
        <v>518</v>
      </c>
      <c r="K429" t="s">
        <v>519</v>
      </c>
      <c r="M429" t="s">
        <v>2287</v>
      </c>
      <c r="N429" t="s">
        <v>571</v>
      </c>
      <c r="O429" t="s">
        <v>2942</v>
      </c>
      <c r="P429" t="s">
        <v>654</v>
      </c>
      <c r="Q429" t="s">
        <v>2943</v>
      </c>
      <c r="R429" t="s">
        <v>2944</v>
      </c>
      <c r="S429" t="s">
        <v>2973</v>
      </c>
      <c r="T429" t="s">
        <v>2448</v>
      </c>
      <c r="U429">
        <v>323700</v>
      </c>
      <c r="V429" t="s">
        <v>3131</v>
      </c>
      <c r="W429" t="s">
        <v>2974</v>
      </c>
      <c r="X429" t="s">
        <v>2948</v>
      </c>
      <c r="Y429" t="s">
        <v>2949</v>
      </c>
      <c r="Z429" t="s">
        <v>2950</v>
      </c>
      <c r="AA429" t="s">
        <v>2951</v>
      </c>
      <c r="AB429" t="s">
        <v>2952</v>
      </c>
      <c r="AE429">
        <v>-43.473144779999998</v>
      </c>
      <c r="AF429">
        <v>172.69607755999999</v>
      </c>
      <c r="AG429">
        <v>40</v>
      </c>
      <c r="AH429">
        <v>0</v>
      </c>
      <c r="AI429">
        <v>0</v>
      </c>
      <c r="AJ429">
        <v>0</v>
      </c>
      <c r="AK429">
        <v>8</v>
      </c>
      <c r="AL429">
        <v>18</v>
      </c>
      <c r="AM429">
        <v>12</v>
      </c>
      <c r="AN429">
        <v>1</v>
      </c>
      <c r="AO429">
        <v>39</v>
      </c>
      <c r="AP429">
        <v>36</v>
      </c>
      <c r="AQ429">
        <v>6</v>
      </c>
      <c r="AR429">
        <v>3</v>
      </c>
      <c r="AS429">
        <v>0</v>
      </c>
      <c r="AT429">
        <v>1</v>
      </c>
    </row>
    <row r="430" spans="1:46">
      <c r="A430">
        <v>5449</v>
      </c>
      <c r="B430" t="s">
        <v>3132</v>
      </c>
      <c r="C430" t="s">
        <v>3133</v>
      </c>
      <c r="D430" t="s">
        <v>2938</v>
      </c>
      <c r="E430" t="s">
        <v>3134</v>
      </c>
      <c r="F430" t="s">
        <v>3135</v>
      </c>
      <c r="G430" t="s">
        <v>2941</v>
      </c>
      <c r="H430" t="s">
        <v>517</v>
      </c>
      <c r="J430" t="s">
        <v>518</v>
      </c>
      <c r="K430" t="s">
        <v>519</v>
      </c>
      <c r="M430" t="s">
        <v>2287</v>
      </c>
      <c r="N430" t="s">
        <v>571</v>
      </c>
      <c r="O430" t="s">
        <v>2942</v>
      </c>
      <c r="P430" t="s">
        <v>654</v>
      </c>
      <c r="Q430" t="s">
        <v>2943</v>
      </c>
      <c r="R430" t="s">
        <v>2944</v>
      </c>
      <c r="S430" t="s">
        <v>2957</v>
      </c>
      <c r="T430" t="s">
        <v>2448</v>
      </c>
      <c r="U430">
        <v>318800</v>
      </c>
      <c r="V430" t="s">
        <v>3136</v>
      </c>
      <c r="W430" t="s">
        <v>3098</v>
      </c>
      <c r="X430" t="s">
        <v>2948</v>
      </c>
      <c r="Y430" t="s">
        <v>2949</v>
      </c>
      <c r="Z430" t="s">
        <v>2950</v>
      </c>
      <c r="AA430" t="s">
        <v>2951</v>
      </c>
      <c r="AB430" t="s">
        <v>2952</v>
      </c>
      <c r="AC430">
        <v>99039</v>
      </c>
      <c r="AD430" t="s">
        <v>2987</v>
      </c>
      <c r="AE430">
        <v>-43.476958740000001</v>
      </c>
      <c r="AF430">
        <v>172.61667550000001</v>
      </c>
      <c r="AG430">
        <v>40</v>
      </c>
      <c r="AH430">
        <v>0</v>
      </c>
      <c r="AI430">
        <v>0</v>
      </c>
      <c r="AJ430">
        <v>0</v>
      </c>
      <c r="AK430">
        <v>10</v>
      </c>
      <c r="AL430">
        <v>14</v>
      </c>
      <c r="AM430">
        <v>18</v>
      </c>
      <c r="AN430">
        <v>2</v>
      </c>
      <c r="AO430">
        <v>44</v>
      </c>
      <c r="AP430">
        <v>30</v>
      </c>
      <c r="AQ430">
        <v>12</v>
      </c>
      <c r="AR430">
        <v>6</v>
      </c>
      <c r="AS430">
        <v>11</v>
      </c>
      <c r="AT430">
        <v>1</v>
      </c>
    </row>
    <row r="431" spans="1:46">
      <c r="A431">
        <v>5450</v>
      </c>
      <c r="B431" t="s">
        <v>3137</v>
      </c>
      <c r="C431" t="s">
        <v>3138</v>
      </c>
      <c r="D431" t="s">
        <v>2938</v>
      </c>
      <c r="E431" t="s">
        <v>3139</v>
      </c>
      <c r="F431" t="s">
        <v>2950</v>
      </c>
      <c r="G431" t="s">
        <v>2941</v>
      </c>
      <c r="H431" t="s">
        <v>517</v>
      </c>
      <c r="J431" t="s">
        <v>518</v>
      </c>
      <c r="K431" t="s">
        <v>519</v>
      </c>
      <c r="M431" t="s">
        <v>2287</v>
      </c>
      <c r="N431" t="s">
        <v>571</v>
      </c>
      <c r="O431" t="s">
        <v>2942</v>
      </c>
      <c r="P431" t="s">
        <v>654</v>
      </c>
      <c r="Q431" t="s">
        <v>2943</v>
      </c>
      <c r="R431" t="s">
        <v>2944</v>
      </c>
      <c r="S431" t="s">
        <v>2945</v>
      </c>
      <c r="T431" t="s">
        <v>2448</v>
      </c>
      <c r="U431">
        <v>323200</v>
      </c>
      <c r="V431" t="s">
        <v>3140</v>
      </c>
      <c r="W431" t="s">
        <v>3076</v>
      </c>
      <c r="X431" t="s">
        <v>2948</v>
      </c>
      <c r="Y431" t="s">
        <v>2949</v>
      </c>
      <c r="Z431" t="s">
        <v>2950</v>
      </c>
      <c r="AA431" t="s">
        <v>2951</v>
      </c>
      <c r="AB431" t="s">
        <v>2952</v>
      </c>
      <c r="AC431">
        <v>99176</v>
      </c>
      <c r="AD431" t="s">
        <v>3077</v>
      </c>
      <c r="AE431">
        <v>-43.52768949</v>
      </c>
      <c r="AF431">
        <v>172.60525699999999</v>
      </c>
      <c r="AG431">
        <v>30</v>
      </c>
      <c r="AH431">
        <v>0</v>
      </c>
      <c r="AI431">
        <v>0</v>
      </c>
      <c r="AJ431">
        <v>0</v>
      </c>
      <c r="AK431">
        <v>7</v>
      </c>
      <c r="AL431">
        <v>4</v>
      </c>
      <c r="AM431">
        <v>12</v>
      </c>
      <c r="AN431">
        <v>0</v>
      </c>
      <c r="AO431">
        <v>23</v>
      </c>
      <c r="AP431">
        <v>4</v>
      </c>
      <c r="AQ431">
        <v>2</v>
      </c>
      <c r="AR431">
        <v>1</v>
      </c>
      <c r="AS431">
        <v>17</v>
      </c>
      <c r="AT431">
        <v>4</v>
      </c>
    </row>
    <row r="432" spans="1:46">
      <c r="A432">
        <v>5451</v>
      </c>
      <c r="B432" t="s">
        <v>3141</v>
      </c>
      <c r="C432" t="s">
        <v>3142</v>
      </c>
      <c r="E432" t="s">
        <v>3143</v>
      </c>
      <c r="F432" t="s">
        <v>2882</v>
      </c>
      <c r="G432" t="s">
        <v>2941</v>
      </c>
      <c r="H432" t="s">
        <v>517</v>
      </c>
      <c r="J432" t="s">
        <v>518</v>
      </c>
      <c r="K432" t="s">
        <v>519</v>
      </c>
      <c r="M432" t="s">
        <v>2287</v>
      </c>
      <c r="N432" t="s">
        <v>3144</v>
      </c>
      <c r="O432" t="s">
        <v>2942</v>
      </c>
      <c r="P432" t="s">
        <v>654</v>
      </c>
      <c r="Q432" t="s">
        <v>2943</v>
      </c>
      <c r="R432" t="s">
        <v>2944</v>
      </c>
      <c r="S432" t="s">
        <v>2973</v>
      </c>
      <c r="T432" t="s">
        <v>2448</v>
      </c>
      <c r="U432">
        <v>325900</v>
      </c>
      <c r="V432" t="s">
        <v>3145</v>
      </c>
      <c r="W432" t="s">
        <v>2443</v>
      </c>
      <c r="Y432" t="s">
        <v>2949</v>
      </c>
      <c r="Z432" t="s">
        <v>2950</v>
      </c>
      <c r="AA432" t="s">
        <v>2951</v>
      </c>
      <c r="AC432">
        <v>99175</v>
      </c>
      <c r="AD432" t="s">
        <v>3071</v>
      </c>
      <c r="AE432">
        <v>-43.517392450000003</v>
      </c>
      <c r="AF432">
        <v>172.65401072</v>
      </c>
      <c r="AG432">
        <v>0</v>
      </c>
      <c r="AH432">
        <v>0</v>
      </c>
      <c r="AI432">
        <v>0</v>
      </c>
      <c r="AJ432">
        <v>0</v>
      </c>
      <c r="AK432">
        <v>5</v>
      </c>
      <c r="AL432">
        <v>7</v>
      </c>
      <c r="AM432">
        <v>5</v>
      </c>
      <c r="AN432">
        <v>0</v>
      </c>
      <c r="AO432">
        <v>17</v>
      </c>
      <c r="AP432">
        <v>10</v>
      </c>
      <c r="AQ432">
        <v>3</v>
      </c>
      <c r="AR432">
        <v>1</v>
      </c>
      <c r="AS432">
        <v>5</v>
      </c>
      <c r="AT432">
        <v>1</v>
      </c>
    </row>
    <row r="433" spans="1:46">
      <c r="A433">
        <v>5452</v>
      </c>
      <c r="B433" t="s">
        <v>3146</v>
      </c>
      <c r="C433" t="s">
        <v>3147</v>
      </c>
      <c r="D433" t="s">
        <v>2938</v>
      </c>
      <c r="E433" t="s">
        <v>3148</v>
      </c>
      <c r="F433" t="s">
        <v>3086</v>
      </c>
      <c r="G433" t="s">
        <v>2941</v>
      </c>
      <c r="H433" t="s">
        <v>517</v>
      </c>
      <c r="J433" t="s">
        <v>518</v>
      </c>
      <c r="K433" t="s">
        <v>519</v>
      </c>
      <c r="M433" t="s">
        <v>2287</v>
      </c>
      <c r="N433" t="s">
        <v>539</v>
      </c>
      <c r="O433" t="s">
        <v>2942</v>
      </c>
      <c r="P433" t="s">
        <v>654</v>
      </c>
      <c r="Q433" t="s">
        <v>2943</v>
      </c>
      <c r="R433" t="s">
        <v>2944</v>
      </c>
      <c r="S433" t="s">
        <v>3019</v>
      </c>
      <c r="T433" t="s">
        <v>2448</v>
      </c>
      <c r="U433">
        <v>326701</v>
      </c>
      <c r="V433" t="s">
        <v>3087</v>
      </c>
      <c r="W433" t="s">
        <v>3088</v>
      </c>
      <c r="X433" t="s">
        <v>2948</v>
      </c>
      <c r="Y433" t="s">
        <v>2949</v>
      </c>
      <c r="Z433" t="s">
        <v>2950</v>
      </c>
      <c r="AA433" t="s">
        <v>2951</v>
      </c>
      <c r="AB433" t="s">
        <v>2952</v>
      </c>
      <c r="AE433">
        <v>-43.562828879999998</v>
      </c>
      <c r="AF433">
        <v>172.58743835999999</v>
      </c>
      <c r="AG433">
        <v>30</v>
      </c>
      <c r="AH433">
        <v>0</v>
      </c>
      <c r="AI433">
        <v>0</v>
      </c>
      <c r="AJ433">
        <v>0</v>
      </c>
      <c r="AK433">
        <v>5</v>
      </c>
      <c r="AL433">
        <v>10</v>
      </c>
      <c r="AM433">
        <v>13</v>
      </c>
      <c r="AN433">
        <v>3</v>
      </c>
      <c r="AO433">
        <v>31</v>
      </c>
      <c r="AP433">
        <v>14</v>
      </c>
      <c r="AQ433">
        <v>12</v>
      </c>
      <c r="AR433">
        <v>12</v>
      </c>
      <c r="AS433">
        <v>2</v>
      </c>
      <c r="AT433">
        <v>0</v>
      </c>
    </row>
    <row r="434" spans="1:46">
      <c r="A434">
        <v>5453</v>
      </c>
      <c r="B434" t="s">
        <v>3149</v>
      </c>
      <c r="C434" t="s">
        <v>3150</v>
      </c>
      <c r="D434" t="s">
        <v>2938</v>
      </c>
      <c r="E434" t="s">
        <v>3151</v>
      </c>
      <c r="F434" t="s">
        <v>2941</v>
      </c>
      <c r="G434" t="s">
        <v>2941</v>
      </c>
      <c r="H434" t="s">
        <v>517</v>
      </c>
      <c r="J434" t="s">
        <v>518</v>
      </c>
      <c r="K434" t="s">
        <v>519</v>
      </c>
      <c r="M434" t="s">
        <v>2287</v>
      </c>
      <c r="N434" t="s">
        <v>571</v>
      </c>
      <c r="O434" t="s">
        <v>2942</v>
      </c>
      <c r="P434" t="s">
        <v>654</v>
      </c>
      <c r="Q434" t="s">
        <v>2943</v>
      </c>
      <c r="R434" t="s">
        <v>2944</v>
      </c>
      <c r="S434" t="s">
        <v>2957</v>
      </c>
      <c r="T434" t="s">
        <v>2448</v>
      </c>
      <c r="U434">
        <v>322100</v>
      </c>
      <c r="V434" t="s">
        <v>3152</v>
      </c>
      <c r="W434" t="s">
        <v>3098</v>
      </c>
      <c r="X434" t="s">
        <v>2948</v>
      </c>
      <c r="Y434" t="s">
        <v>2949</v>
      </c>
      <c r="Z434" t="s">
        <v>2950</v>
      </c>
      <c r="AA434" t="s">
        <v>2951</v>
      </c>
      <c r="AB434" t="s">
        <v>2952</v>
      </c>
      <c r="AE434">
        <v>-43.500482050000002</v>
      </c>
      <c r="AF434">
        <v>172.62414193000001</v>
      </c>
      <c r="AG434">
        <v>40</v>
      </c>
      <c r="AH434">
        <v>0</v>
      </c>
      <c r="AI434">
        <v>0</v>
      </c>
      <c r="AJ434">
        <v>0</v>
      </c>
      <c r="AK434">
        <v>10</v>
      </c>
      <c r="AL434">
        <v>6</v>
      </c>
      <c r="AM434">
        <v>14</v>
      </c>
      <c r="AN434">
        <v>0</v>
      </c>
      <c r="AO434">
        <v>30</v>
      </c>
      <c r="AP434">
        <v>25</v>
      </c>
      <c r="AQ434">
        <v>5</v>
      </c>
      <c r="AR434">
        <v>2</v>
      </c>
      <c r="AS434">
        <v>1</v>
      </c>
      <c r="AT434">
        <v>1</v>
      </c>
    </row>
    <row r="435" spans="1:46">
      <c r="A435">
        <v>5454</v>
      </c>
      <c r="B435" t="s">
        <v>3153</v>
      </c>
      <c r="C435" t="s">
        <v>3154</v>
      </c>
      <c r="D435" t="s">
        <v>2938</v>
      </c>
      <c r="E435" t="s">
        <v>3155</v>
      </c>
      <c r="F435" t="s">
        <v>3156</v>
      </c>
      <c r="G435" t="s">
        <v>2941</v>
      </c>
      <c r="H435" t="s">
        <v>517</v>
      </c>
      <c r="J435" t="s">
        <v>518</v>
      </c>
      <c r="K435" t="s">
        <v>519</v>
      </c>
      <c r="M435" t="s">
        <v>2287</v>
      </c>
      <c r="N435" t="s">
        <v>557</v>
      </c>
      <c r="O435" t="s">
        <v>2942</v>
      </c>
      <c r="P435" t="s">
        <v>654</v>
      </c>
      <c r="Q435" t="s">
        <v>2943</v>
      </c>
      <c r="R435" t="s">
        <v>2944</v>
      </c>
      <c r="S435" t="s">
        <v>2957</v>
      </c>
      <c r="T435" t="s">
        <v>2448</v>
      </c>
      <c r="U435">
        <v>327400</v>
      </c>
      <c r="V435" t="s">
        <v>3157</v>
      </c>
      <c r="W435" t="s">
        <v>3088</v>
      </c>
      <c r="X435" t="s">
        <v>2948</v>
      </c>
      <c r="Y435" t="s">
        <v>2949</v>
      </c>
      <c r="Z435" t="s">
        <v>2950</v>
      </c>
      <c r="AA435" t="s">
        <v>2951</v>
      </c>
      <c r="AB435" t="s">
        <v>2952</v>
      </c>
      <c r="AC435">
        <v>99177</v>
      </c>
      <c r="AD435" t="s">
        <v>2959</v>
      </c>
      <c r="AE435">
        <v>-43.545585500000001</v>
      </c>
      <c r="AF435">
        <v>172.62208339</v>
      </c>
      <c r="AG435">
        <v>40</v>
      </c>
      <c r="AH435">
        <v>0</v>
      </c>
      <c r="AI435">
        <v>0</v>
      </c>
      <c r="AJ435">
        <v>0</v>
      </c>
      <c r="AK435">
        <v>7</v>
      </c>
      <c r="AL435">
        <v>13</v>
      </c>
      <c r="AM435">
        <v>21</v>
      </c>
      <c r="AN435">
        <v>1</v>
      </c>
      <c r="AO435">
        <v>42</v>
      </c>
      <c r="AP435">
        <v>26</v>
      </c>
      <c r="AQ435">
        <v>11</v>
      </c>
      <c r="AR435">
        <v>4</v>
      </c>
      <c r="AS435">
        <v>8</v>
      </c>
      <c r="AT435">
        <v>1</v>
      </c>
    </row>
    <row r="436" spans="1:46">
      <c r="A436">
        <v>5455</v>
      </c>
      <c r="B436" t="s">
        <v>3158</v>
      </c>
      <c r="C436" t="s">
        <v>3159</v>
      </c>
      <c r="D436" t="s">
        <v>2938</v>
      </c>
      <c r="E436" t="s">
        <v>3160</v>
      </c>
      <c r="F436" t="s">
        <v>3068</v>
      </c>
      <c r="G436" t="s">
        <v>2941</v>
      </c>
      <c r="H436" t="s">
        <v>517</v>
      </c>
      <c r="J436" t="s">
        <v>518</v>
      </c>
      <c r="K436" t="s">
        <v>519</v>
      </c>
      <c r="M436" t="s">
        <v>2287</v>
      </c>
      <c r="N436" t="s">
        <v>571</v>
      </c>
      <c r="O436" t="s">
        <v>2942</v>
      </c>
      <c r="P436" t="s">
        <v>654</v>
      </c>
      <c r="Q436" t="s">
        <v>2943</v>
      </c>
      <c r="R436" t="s">
        <v>2944</v>
      </c>
      <c r="S436" t="s">
        <v>2973</v>
      </c>
      <c r="T436" t="s">
        <v>2448</v>
      </c>
      <c r="U436">
        <v>326500</v>
      </c>
      <c r="V436" t="s">
        <v>3161</v>
      </c>
      <c r="W436" t="s">
        <v>3126</v>
      </c>
      <c r="X436" t="s">
        <v>2948</v>
      </c>
      <c r="Y436" t="s">
        <v>2949</v>
      </c>
      <c r="Z436" t="s">
        <v>2950</v>
      </c>
      <c r="AA436" t="s">
        <v>2951</v>
      </c>
      <c r="AB436" t="s">
        <v>2952</v>
      </c>
      <c r="AC436">
        <v>99175</v>
      </c>
      <c r="AD436" t="s">
        <v>3071</v>
      </c>
      <c r="AE436">
        <v>-43.509596850000001</v>
      </c>
      <c r="AF436">
        <v>172.66454185000001</v>
      </c>
      <c r="AG436">
        <v>30</v>
      </c>
      <c r="AH436">
        <v>0</v>
      </c>
      <c r="AI436">
        <v>0</v>
      </c>
      <c r="AJ436">
        <v>0</v>
      </c>
      <c r="AK436">
        <v>10</v>
      </c>
      <c r="AL436">
        <v>9</v>
      </c>
      <c r="AM436">
        <v>11</v>
      </c>
      <c r="AN436">
        <v>0</v>
      </c>
      <c r="AO436">
        <v>30</v>
      </c>
      <c r="AP436">
        <v>27</v>
      </c>
      <c r="AQ436">
        <v>4</v>
      </c>
      <c r="AR436">
        <v>4</v>
      </c>
      <c r="AS436">
        <v>1</v>
      </c>
      <c r="AT436">
        <v>0</v>
      </c>
    </row>
    <row r="437" spans="1:46">
      <c r="A437">
        <v>5456</v>
      </c>
      <c r="B437" t="s">
        <v>3162</v>
      </c>
      <c r="C437" t="s">
        <v>3163</v>
      </c>
      <c r="D437" t="s">
        <v>2938</v>
      </c>
      <c r="E437" t="s">
        <v>3164</v>
      </c>
      <c r="F437" t="s">
        <v>3165</v>
      </c>
      <c r="G437" t="s">
        <v>2941</v>
      </c>
      <c r="H437" t="s">
        <v>517</v>
      </c>
      <c r="J437" t="s">
        <v>518</v>
      </c>
      <c r="K437" t="s">
        <v>519</v>
      </c>
      <c r="M437" t="s">
        <v>2287</v>
      </c>
      <c r="N437" t="s">
        <v>571</v>
      </c>
      <c r="O437" t="s">
        <v>2942</v>
      </c>
      <c r="P437" t="s">
        <v>654</v>
      </c>
      <c r="Q437" t="s">
        <v>2943</v>
      </c>
      <c r="R437" t="s">
        <v>2944</v>
      </c>
      <c r="S437" t="s">
        <v>2973</v>
      </c>
      <c r="T437" t="s">
        <v>2448</v>
      </c>
      <c r="U437">
        <v>331700</v>
      </c>
      <c r="V437" t="s">
        <v>3165</v>
      </c>
      <c r="W437" t="s">
        <v>2974</v>
      </c>
      <c r="X437" t="s">
        <v>2948</v>
      </c>
      <c r="Y437" t="s">
        <v>2949</v>
      </c>
      <c r="Z437" t="s">
        <v>2950</v>
      </c>
      <c r="AA437" t="s">
        <v>2951</v>
      </c>
      <c r="AB437" t="s">
        <v>2952</v>
      </c>
      <c r="AE437">
        <v>-43.523234430000002</v>
      </c>
      <c r="AF437">
        <v>172.73347512999999</v>
      </c>
      <c r="AG437">
        <v>40</v>
      </c>
      <c r="AH437">
        <v>0</v>
      </c>
      <c r="AI437">
        <v>0</v>
      </c>
      <c r="AJ437">
        <v>0</v>
      </c>
      <c r="AK437">
        <v>10</v>
      </c>
      <c r="AL437">
        <v>18</v>
      </c>
      <c r="AM437">
        <v>7</v>
      </c>
      <c r="AN437">
        <v>0</v>
      </c>
      <c r="AO437">
        <v>35</v>
      </c>
      <c r="AP437">
        <v>33</v>
      </c>
      <c r="AQ437">
        <v>10</v>
      </c>
      <c r="AR437">
        <v>4</v>
      </c>
      <c r="AS437">
        <v>1</v>
      </c>
      <c r="AT437">
        <v>0</v>
      </c>
    </row>
    <row r="438" spans="1:46">
      <c r="A438">
        <v>5457</v>
      </c>
      <c r="B438" t="s">
        <v>3166</v>
      </c>
      <c r="C438" t="s">
        <v>3167</v>
      </c>
      <c r="D438" t="s">
        <v>2938</v>
      </c>
      <c r="E438" t="s">
        <v>3168</v>
      </c>
      <c r="F438" t="s">
        <v>3169</v>
      </c>
      <c r="G438" t="s">
        <v>2941</v>
      </c>
      <c r="H438" t="s">
        <v>517</v>
      </c>
      <c r="J438" t="s">
        <v>518</v>
      </c>
      <c r="K438" t="s">
        <v>519</v>
      </c>
      <c r="M438" t="s">
        <v>2287</v>
      </c>
      <c r="N438" t="s">
        <v>571</v>
      </c>
      <c r="O438" t="s">
        <v>2942</v>
      </c>
      <c r="P438" t="s">
        <v>654</v>
      </c>
      <c r="Q438" t="s">
        <v>2943</v>
      </c>
      <c r="R438" t="s">
        <v>2944</v>
      </c>
      <c r="S438" t="s">
        <v>2979</v>
      </c>
      <c r="T438" t="s">
        <v>2448</v>
      </c>
      <c r="U438">
        <v>332700</v>
      </c>
      <c r="V438" t="s">
        <v>3169</v>
      </c>
      <c r="W438" t="s">
        <v>3014</v>
      </c>
      <c r="X438" t="s">
        <v>2948</v>
      </c>
      <c r="Y438" t="s">
        <v>2949</v>
      </c>
      <c r="Z438" t="s">
        <v>2950</v>
      </c>
      <c r="AA438" t="s">
        <v>2951</v>
      </c>
      <c r="AB438" t="s">
        <v>2952</v>
      </c>
      <c r="AC438">
        <v>99196</v>
      </c>
      <c r="AD438" t="s">
        <v>3064</v>
      </c>
      <c r="AE438">
        <v>-43.572868059999998</v>
      </c>
      <c r="AF438">
        <v>172.76124125000001</v>
      </c>
      <c r="AG438">
        <v>36</v>
      </c>
      <c r="AH438">
        <v>0</v>
      </c>
      <c r="AI438">
        <v>0</v>
      </c>
      <c r="AJ438">
        <v>0</v>
      </c>
      <c r="AK438">
        <v>10</v>
      </c>
      <c r="AL438">
        <v>12</v>
      </c>
      <c r="AM438">
        <v>12</v>
      </c>
      <c r="AN438">
        <v>2</v>
      </c>
      <c r="AO438">
        <v>36</v>
      </c>
      <c r="AP438">
        <v>35</v>
      </c>
      <c r="AQ438">
        <v>3</v>
      </c>
      <c r="AR438">
        <v>0</v>
      </c>
      <c r="AS438">
        <v>3</v>
      </c>
      <c r="AT438">
        <v>1</v>
      </c>
    </row>
    <row r="439" spans="1:46">
      <c r="A439">
        <v>5458</v>
      </c>
      <c r="B439" t="s">
        <v>3170</v>
      </c>
      <c r="C439" t="s">
        <v>3171</v>
      </c>
      <c r="D439" t="s">
        <v>2938</v>
      </c>
      <c r="E439" t="s">
        <v>3172</v>
      </c>
      <c r="F439" t="s">
        <v>3173</v>
      </c>
      <c r="G439" t="s">
        <v>2941</v>
      </c>
      <c r="H439" t="s">
        <v>517</v>
      </c>
      <c r="J439" t="s">
        <v>518</v>
      </c>
      <c r="K439" t="s">
        <v>519</v>
      </c>
      <c r="M439" t="s">
        <v>2287</v>
      </c>
      <c r="N439" t="s">
        <v>571</v>
      </c>
      <c r="O439" t="s">
        <v>2942</v>
      </c>
      <c r="P439" t="s">
        <v>654</v>
      </c>
      <c r="Q439" t="s">
        <v>2943</v>
      </c>
      <c r="R439" t="s">
        <v>2944</v>
      </c>
      <c r="S439" t="s">
        <v>2957</v>
      </c>
      <c r="T439" t="s">
        <v>2448</v>
      </c>
      <c r="U439">
        <v>323800</v>
      </c>
      <c r="V439" t="s">
        <v>3174</v>
      </c>
      <c r="W439" t="s">
        <v>3070</v>
      </c>
      <c r="X439" t="s">
        <v>2948</v>
      </c>
      <c r="Y439" t="s">
        <v>2949</v>
      </c>
      <c r="Z439" t="s">
        <v>2950</v>
      </c>
      <c r="AA439" t="s">
        <v>2951</v>
      </c>
      <c r="AB439" t="s">
        <v>2952</v>
      </c>
      <c r="AE439">
        <v>-43.512745760000001</v>
      </c>
      <c r="AF439">
        <v>172.63702404</v>
      </c>
      <c r="AG439">
        <v>40</v>
      </c>
      <c r="AH439">
        <v>0</v>
      </c>
      <c r="AI439">
        <v>0</v>
      </c>
      <c r="AJ439">
        <v>0</v>
      </c>
      <c r="AK439">
        <v>15</v>
      </c>
      <c r="AL439">
        <v>17</v>
      </c>
      <c r="AM439">
        <v>15</v>
      </c>
      <c r="AN439">
        <v>3</v>
      </c>
      <c r="AO439">
        <v>50</v>
      </c>
      <c r="AP439">
        <v>28</v>
      </c>
      <c r="AQ439">
        <v>14</v>
      </c>
      <c r="AR439">
        <v>6</v>
      </c>
      <c r="AS439">
        <v>13</v>
      </c>
      <c r="AT439">
        <v>6</v>
      </c>
    </row>
    <row r="440" spans="1:46">
      <c r="A440">
        <v>5459</v>
      </c>
      <c r="B440" t="s">
        <v>3175</v>
      </c>
      <c r="C440" t="s">
        <v>3176</v>
      </c>
      <c r="D440" t="s">
        <v>2938</v>
      </c>
      <c r="E440" t="s">
        <v>3177</v>
      </c>
      <c r="G440" t="s">
        <v>3178</v>
      </c>
      <c r="H440" t="s">
        <v>517</v>
      </c>
      <c r="J440" t="s">
        <v>518</v>
      </c>
      <c r="K440" t="s">
        <v>519</v>
      </c>
      <c r="M440" t="s">
        <v>2287</v>
      </c>
      <c r="N440" t="s">
        <v>571</v>
      </c>
      <c r="O440" t="s">
        <v>2942</v>
      </c>
      <c r="P440" t="s">
        <v>654</v>
      </c>
      <c r="Q440" t="s">
        <v>2943</v>
      </c>
      <c r="R440" t="s">
        <v>2944</v>
      </c>
      <c r="S440" t="s">
        <v>3179</v>
      </c>
      <c r="T440" t="s">
        <v>2448</v>
      </c>
      <c r="U440">
        <v>318100</v>
      </c>
      <c r="V440" t="s">
        <v>3178</v>
      </c>
      <c r="W440" t="s">
        <v>3020</v>
      </c>
      <c r="X440" t="s">
        <v>2948</v>
      </c>
      <c r="Y440" t="s">
        <v>2949</v>
      </c>
      <c r="Z440" t="s">
        <v>2950</v>
      </c>
      <c r="AA440" t="s">
        <v>2951</v>
      </c>
      <c r="AB440" t="s">
        <v>2952</v>
      </c>
      <c r="AC440">
        <v>99045</v>
      </c>
      <c r="AD440" t="s">
        <v>3021</v>
      </c>
      <c r="AE440">
        <v>-43.550771830000002</v>
      </c>
      <c r="AF440">
        <v>172.47384611000001</v>
      </c>
      <c r="AG440">
        <v>40</v>
      </c>
      <c r="AH440">
        <v>0</v>
      </c>
      <c r="AI440">
        <v>0</v>
      </c>
      <c r="AJ440">
        <v>0</v>
      </c>
      <c r="AK440">
        <v>6</v>
      </c>
      <c r="AL440">
        <v>10</v>
      </c>
      <c r="AM440">
        <v>18</v>
      </c>
      <c r="AN440">
        <v>2</v>
      </c>
      <c r="AO440">
        <v>36</v>
      </c>
      <c r="AP440">
        <v>21</v>
      </c>
      <c r="AQ440">
        <v>2</v>
      </c>
      <c r="AR440">
        <v>4</v>
      </c>
      <c r="AS440">
        <v>14</v>
      </c>
      <c r="AT440">
        <v>0</v>
      </c>
    </row>
    <row r="441" spans="1:46">
      <c r="A441">
        <v>5460</v>
      </c>
      <c r="B441" t="s">
        <v>3180</v>
      </c>
      <c r="C441" t="s">
        <v>3181</v>
      </c>
      <c r="D441" t="s">
        <v>2938</v>
      </c>
      <c r="E441" t="s">
        <v>3182</v>
      </c>
      <c r="F441" t="s">
        <v>3183</v>
      </c>
      <c r="G441" t="s">
        <v>2941</v>
      </c>
      <c r="H441" t="s">
        <v>517</v>
      </c>
      <c r="J441" t="s">
        <v>518</v>
      </c>
      <c r="K441" t="s">
        <v>519</v>
      </c>
      <c r="M441" t="s">
        <v>2287</v>
      </c>
      <c r="N441" t="s">
        <v>571</v>
      </c>
      <c r="O441" t="s">
        <v>2942</v>
      </c>
      <c r="P441" t="s">
        <v>654</v>
      </c>
      <c r="Q441" t="s">
        <v>2943</v>
      </c>
      <c r="R441" t="s">
        <v>2944</v>
      </c>
      <c r="S441" t="s">
        <v>2945</v>
      </c>
      <c r="T441" t="s">
        <v>2448</v>
      </c>
      <c r="U441">
        <v>320600</v>
      </c>
      <c r="V441" t="s">
        <v>2998</v>
      </c>
      <c r="W441" t="s">
        <v>2999</v>
      </c>
      <c r="X441" t="s">
        <v>2948</v>
      </c>
      <c r="Y441" t="s">
        <v>2949</v>
      </c>
      <c r="Z441" t="s">
        <v>2950</v>
      </c>
      <c r="AA441" t="s">
        <v>2951</v>
      </c>
      <c r="AB441" t="s">
        <v>2952</v>
      </c>
      <c r="AC441">
        <v>99027</v>
      </c>
      <c r="AD441" t="s">
        <v>3000</v>
      </c>
      <c r="AE441">
        <v>-43.509881999999998</v>
      </c>
      <c r="AF441">
        <v>172.58866354</v>
      </c>
      <c r="AG441">
        <v>40</v>
      </c>
      <c r="AH441">
        <v>0</v>
      </c>
      <c r="AI441">
        <v>0</v>
      </c>
      <c r="AJ441">
        <v>0</v>
      </c>
      <c r="AK441">
        <v>9</v>
      </c>
      <c r="AL441">
        <v>11</v>
      </c>
      <c r="AM441">
        <v>19</v>
      </c>
      <c r="AN441">
        <v>0</v>
      </c>
      <c r="AO441">
        <v>39</v>
      </c>
      <c r="AP441">
        <v>13</v>
      </c>
      <c r="AQ441">
        <v>9</v>
      </c>
      <c r="AR441">
        <v>5</v>
      </c>
      <c r="AS441">
        <v>14</v>
      </c>
      <c r="AT441">
        <v>1</v>
      </c>
    </row>
    <row r="442" spans="1:46">
      <c r="A442">
        <v>5461</v>
      </c>
      <c r="B442" t="s">
        <v>3184</v>
      </c>
      <c r="C442" t="s">
        <v>3185</v>
      </c>
      <c r="D442" t="s">
        <v>2938</v>
      </c>
      <c r="E442" t="s">
        <v>3186</v>
      </c>
      <c r="G442" t="s">
        <v>3187</v>
      </c>
      <c r="H442" t="s">
        <v>517</v>
      </c>
      <c r="J442" t="s">
        <v>518</v>
      </c>
      <c r="K442" t="s">
        <v>519</v>
      </c>
      <c r="M442" t="s">
        <v>2287</v>
      </c>
      <c r="N442" t="s">
        <v>571</v>
      </c>
      <c r="O442" t="s">
        <v>2964</v>
      </c>
      <c r="P442" t="s">
        <v>1262</v>
      </c>
      <c r="Q442" t="s">
        <v>2943</v>
      </c>
      <c r="R442" t="s">
        <v>2944</v>
      </c>
      <c r="S442" t="s">
        <v>2965</v>
      </c>
      <c r="T442" t="s">
        <v>2448</v>
      </c>
      <c r="U442">
        <v>316200</v>
      </c>
      <c r="V442" t="s">
        <v>3188</v>
      </c>
      <c r="W442" t="s">
        <v>3189</v>
      </c>
      <c r="X442" t="s">
        <v>2948</v>
      </c>
      <c r="Y442" t="s">
        <v>2949</v>
      </c>
      <c r="Z442" t="s">
        <v>2950</v>
      </c>
      <c r="AA442" t="s">
        <v>2951</v>
      </c>
      <c r="AB442" t="s">
        <v>2952</v>
      </c>
      <c r="AC442">
        <v>99061</v>
      </c>
      <c r="AD442" t="s">
        <v>3190</v>
      </c>
      <c r="AE442">
        <v>-43.388824900000003</v>
      </c>
      <c r="AF442">
        <v>172.65080040999999</v>
      </c>
      <c r="AG442">
        <v>40</v>
      </c>
      <c r="AH442">
        <v>0</v>
      </c>
      <c r="AI442">
        <v>0</v>
      </c>
      <c r="AJ442">
        <v>0</v>
      </c>
      <c r="AK442">
        <v>4</v>
      </c>
      <c r="AL442">
        <v>14</v>
      </c>
      <c r="AM442">
        <v>18</v>
      </c>
      <c r="AN442">
        <v>2</v>
      </c>
      <c r="AO442">
        <v>38</v>
      </c>
      <c r="AP442">
        <v>36</v>
      </c>
      <c r="AQ442">
        <v>6</v>
      </c>
      <c r="AR442">
        <v>1</v>
      </c>
      <c r="AS442">
        <v>3</v>
      </c>
      <c r="AT442">
        <v>0</v>
      </c>
    </row>
    <row r="443" spans="1:46">
      <c r="A443">
        <v>5462</v>
      </c>
      <c r="B443" t="s">
        <v>3191</v>
      </c>
      <c r="C443" t="s">
        <v>3192</v>
      </c>
      <c r="D443" t="s">
        <v>2938</v>
      </c>
      <c r="E443" t="s">
        <v>3193</v>
      </c>
      <c r="F443" t="s">
        <v>3194</v>
      </c>
      <c r="G443" t="s">
        <v>2941</v>
      </c>
      <c r="H443" t="s">
        <v>517</v>
      </c>
      <c r="J443" t="s">
        <v>518</v>
      </c>
      <c r="K443" t="s">
        <v>519</v>
      </c>
      <c r="M443" t="s">
        <v>2287</v>
      </c>
      <c r="N443" t="s">
        <v>571</v>
      </c>
      <c r="O443" t="s">
        <v>2942</v>
      </c>
      <c r="P443" t="s">
        <v>654</v>
      </c>
      <c r="Q443" t="s">
        <v>2943</v>
      </c>
      <c r="R443" t="s">
        <v>2944</v>
      </c>
      <c r="S443" t="s">
        <v>2979</v>
      </c>
      <c r="T443" t="s">
        <v>2448</v>
      </c>
      <c r="U443">
        <v>326301</v>
      </c>
      <c r="V443" t="s">
        <v>3195</v>
      </c>
      <c r="W443" t="s">
        <v>3196</v>
      </c>
      <c r="X443" t="s">
        <v>2948</v>
      </c>
      <c r="Y443" t="s">
        <v>2949</v>
      </c>
      <c r="Z443" t="s">
        <v>2950</v>
      </c>
      <c r="AA443" t="s">
        <v>2951</v>
      </c>
      <c r="AB443" t="s">
        <v>2952</v>
      </c>
      <c r="AE443">
        <v>-43.576283029999999</v>
      </c>
      <c r="AF443">
        <v>172.55727436000001</v>
      </c>
      <c r="AG443">
        <v>40</v>
      </c>
      <c r="AH443">
        <v>0</v>
      </c>
      <c r="AI443">
        <v>0</v>
      </c>
      <c r="AJ443">
        <v>0</v>
      </c>
      <c r="AK443">
        <v>13</v>
      </c>
      <c r="AL443">
        <v>22</v>
      </c>
      <c r="AM443">
        <v>23</v>
      </c>
      <c r="AN443">
        <v>1</v>
      </c>
      <c r="AO443">
        <v>59</v>
      </c>
      <c r="AP443">
        <v>47</v>
      </c>
      <c r="AQ443">
        <v>8</v>
      </c>
      <c r="AR443">
        <v>2</v>
      </c>
      <c r="AS443">
        <v>10</v>
      </c>
      <c r="AT443">
        <v>2</v>
      </c>
    </row>
    <row r="444" spans="1:46">
      <c r="A444">
        <v>5463</v>
      </c>
      <c r="B444" t="s">
        <v>3197</v>
      </c>
      <c r="C444" t="s">
        <v>3198</v>
      </c>
      <c r="D444" t="s">
        <v>2938</v>
      </c>
      <c r="E444" t="s">
        <v>3199</v>
      </c>
      <c r="F444" t="s">
        <v>3033</v>
      </c>
      <c r="G444" t="s">
        <v>2941</v>
      </c>
      <c r="H444" t="s">
        <v>517</v>
      </c>
      <c r="J444" t="s">
        <v>518</v>
      </c>
      <c r="K444" t="s">
        <v>519</v>
      </c>
      <c r="M444" t="s">
        <v>2287</v>
      </c>
      <c r="N444" t="s">
        <v>539</v>
      </c>
      <c r="O444" t="s">
        <v>2942</v>
      </c>
      <c r="P444" t="s">
        <v>654</v>
      </c>
      <c r="Q444" t="s">
        <v>2943</v>
      </c>
      <c r="R444" t="s">
        <v>2944</v>
      </c>
      <c r="S444" t="s">
        <v>3019</v>
      </c>
      <c r="T444" t="s">
        <v>2448</v>
      </c>
      <c r="U444">
        <v>321101</v>
      </c>
      <c r="V444" t="s">
        <v>3034</v>
      </c>
      <c r="W444" t="s">
        <v>3020</v>
      </c>
      <c r="X444" t="s">
        <v>2948</v>
      </c>
      <c r="Y444" t="s">
        <v>2949</v>
      </c>
      <c r="Z444" t="s">
        <v>2950</v>
      </c>
      <c r="AA444" t="s">
        <v>2951</v>
      </c>
      <c r="AB444" t="s">
        <v>2952</v>
      </c>
      <c r="AE444">
        <v>-43.54774038</v>
      </c>
      <c r="AF444">
        <v>172.54096268999999</v>
      </c>
      <c r="AG444">
        <v>40</v>
      </c>
      <c r="AH444">
        <v>0</v>
      </c>
      <c r="AI444">
        <v>0</v>
      </c>
      <c r="AJ444">
        <v>0</v>
      </c>
      <c r="AK444">
        <v>7</v>
      </c>
      <c r="AL444">
        <v>12</v>
      </c>
      <c r="AM444">
        <v>12</v>
      </c>
      <c r="AN444">
        <v>1</v>
      </c>
      <c r="AO444">
        <v>32</v>
      </c>
      <c r="AP444">
        <v>13</v>
      </c>
      <c r="AQ444">
        <v>9</v>
      </c>
      <c r="AR444">
        <v>7</v>
      </c>
      <c r="AS444">
        <v>9</v>
      </c>
      <c r="AT444">
        <v>1</v>
      </c>
    </row>
    <row r="445" spans="1:46">
      <c r="A445">
        <v>5464</v>
      </c>
      <c r="B445" t="s">
        <v>3200</v>
      </c>
      <c r="C445" t="s">
        <v>3201</v>
      </c>
      <c r="D445" t="s">
        <v>2938</v>
      </c>
      <c r="E445" t="s">
        <v>3202</v>
      </c>
      <c r="F445" t="s">
        <v>717</v>
      </c>
      <c r="G445" t="s">
        <v>2941</v>
      </c>
      <c r="H445" t="s">
        <v>517</v>
      </c>
      <c r="J445" t="s">
        <v>518</v>
      </c>
      <c r="K445" t="s">
        <v>519</v>
      </c>
      <c r="M445" t="s">
        <v>2287</v>
      </c>
      <c r="N445" t="s">
        <v>557</v>
      </c>
      <c r="O445" t="s">
        <v>2942</v>
      </c>
      <c r="P445" t="s">
        <v>654</v>
      </c>
      <c r="Q445" t="s">
        <v>2943</v>
      </c>
      <c r="R445" t="s">
        <v>2944</v>
      </c>
      <c r="S445" t="s">
        <v>2973</v>
      </c>
      <c r="T445" t="s">
        <v>2448</v>
      </c>
      <c r="U445">
        <v>327500</v>
      </c>
      <c r="V445" t="s">
        <v>3203</v>
      </c>
      <c r="W445" t="s">
        <v>3126</v>
      </c>
      <c r="X445" t="s">
        <v>2948</v>
      </c>
      <c r="Y445" t="s">
        <v>2949</v>
      </c>
      <c r="Z445" t="s">
        <v>2950</v>
      </c>
      <c r="AA445" t="s">
        <v>2951</v>
      </c>
      <c r="AB445" t="s">
        <v>2952</v>
      </c>
      <c r="AE445">
        <v>-43.505663779999999</v>
      </c>
      <c r="AF445">
        <v>172.68999912999999</v>
      </c>
      <c r="AG445">
        <v>40</v>
      </c>
      <c r="AH445">
        <v>0</v>
      </c>
      <c r="AI445">
        <v>0</v>
      </c>
      <c r="AJ445">
        <v>0</v>
      </c>
      <c r="AK445">
        <v>8</v>
      </c>
      <c r="AL445">
        <v>5</v>
      </c>
      <c r="AM445">
        <v>6</v>
      </c>
      <c r="AN445">
        <v>1</v>
      </c>
      <c r="AO445">
        <v>20</v>
      </c>
      <c r="AP445">
        <v>14</v>
      </c>
      <c r="AQ445">
        <v>6</v>
      </c>
      <c r="AR445">
        <v>1</v>
      </c>
      <c r="AS445">
        <v>4</v>
      </c>
      <c r="AT445">
        <v>0</v>
      </c>
    </row>
    <row r="446" spans="1:46">
      <c r="A446">
        <v>5465</v>
      </c>
      <c r="B446" t="s">
        <v>3204</v>
      </c>
      <c r="C446" t="s">
        <v>3205</v>
      </c>
      <c r="D446" t="s">
        <v>2938</v>
      </c>
      <c r="E446" t="s">
        <v>3206</v>
      </c>
      <c r="G446" t="s">
        <v>3207</v>
      </c>
      <c r="H446" t="s">
        <v>517</v>
      </c>
      <c r="J446" t="s">
        <v>518</v>
      </c>
      <c r="K446" t="s">
        <v>519</v>
      </c>
      <c r="M446" t="s">
        <v>2287</v>
      </c>
      <c r="N446" t="s">
        <v>571</v>
      </c>
      <c r="O446" t="s">
        <v>3208</v>
      </c>
      <c r="P446" t="s">
        <v>523</v>
      </c>
      <c r="Q446" t="s">
        <v>2943</v>
      </c>
      <c r="R446" t="s">
        <v>2944</v>
      </c>
      <c r="S446" t="s">
        <v>3179</v>
      </c>
      <c r="T446" t="s">
        <v>2448</v>
      </c>
      <c r="U446">
        <v>334700</v>
      </c>
      <c r="V446" t="s">
        <v>3209</v>
      </c>
      <c r="W446" t="s">
        <v>3210</v>
      </c>
      <c r="X446" t="s">
        <v>2948</v>
      </c>
      <c r="Y446" t="s">
        <v>2949</v>
      </c>
      <c r="Z446" t="s">
        <v>2950</v>
      </c>
      <c r="AA446" t="s">
        <v>2951</v>
      </c>
      <c r="AB446" t="s">
        <v>2952</v>
      </c>
      <c r="AC446">
        <v>99206</v>
      </c>
      <c r="AD446" t="s">
        <v>3211</v>
      </c>
      <c r="AE446">
        <v>-43.619428550000002</v>
      </c>
      <c r="AF446">
        <v>172.29820867999999</v>
      </c>
      <c r="AG446">
        <v>40</v>
      </c>
      <c r="AH446">
        <v>0</v>
      </c>
      <c r="AI446">
        <v>0</v>
      </c>
      <c r="AJ446">
        <v>0</v>
      </c>
      <c r="AK446">
        <v>8</v>
      </c>
      <c r="AL446">
        <v>19</v>
      </c>
      <c r="AM446">
        <v>23</v>
      </c>
      <c r="AN446">
        <v>0</v>
      </c>
      <c r="AO446">
        <v>50</v>
      </c>
      <c r="AP446">
        <v>45</v>
      </c>
      <c r="AQ446">
        <v>12</v>
      </c>
      <c r="AR446">
        <v>3</v>
      </c>
      <c r="AS446">
        <v>1</v>
      </c>
      <c r="AT446">
        <v>0</v>
      </c>
    </row>
    <row r="447" spans="1:46">
      <c r="A447">
        <v>5466</v>
      </c>
      <c r="B447" t="s">
        <v>3212</v>
      </c>
      <c r="C447" t="s">
        <v>3213</v>
      </c>
      <c r="D447" t="s">
        <v>3214</v>
      </c>
      <c r="E447" t="s">
        <v>3215</v>
      </c>
      <c r="F447" t="s">
        <v>3216</v>
      </c>
      <c r="G447" t="s">
        <v>3217</v>
      </c>
      <c r="H447" t="s">
        <v>517</v>
      </c>
      <c r="J447" t="s">
        <v>518</v>
      </c>
      <c r="K447" t="s">
        <v>519</v>
      </c>
      <c r="M447" t="s">
        <v>2287</v>
      </c>
      <c r="N447" t="s">
        <v>571</v>
      </c>
      <c r="O447" t="s">
        <v>3218</v>
      </c>
      <c r="P447" t="s">
        <v>1262</v>
      </c>
      <c r="Q447" t="s">
        <v>2943</v>
      </c>
      <c r="R447" t="s">
        <v>2944</v>
      </c>
      <c r="S447" t="s">
        <v>3219</v>
      </c>
      <c r="T447" t="s">
        <v>2448</v>
      </c>
      <c r="U447">
        <v>337500</v>
      </c>
      <c r="V447" t="s">
        <v>3220</v>
      </c>
      <c r="W447" t="s">
        <v>3221</v>
      </c>
      <c r="X447" t="s">
        <v>3222</v>
      </c>
      <c r="Y447" t="s">
        <v>3223</v>
      </c>
      <c r="Z447" t="s">
        <v>3217</v>
      </c>
      <c r="AA447" t="s">
        <v>3224</v>
      </c>
      <c r="AB447" t="s">
        <v>3225</v>
      </c>
      <c r="AC447">
        <v>99043</v>
      </c>
      <c r="AD447" t="s">
        <v>3226</v>
      </c>
      <c r="AE447">
        <v>-43.887623169999998</v>
      </c>
      <c r="AF447">
        <v>171.74135688999999</v>
      </c>
      <c r="AG447">
        <v>40</v>
      </c>
      <c r="AH447">
        <v>0</v>
      </c>
      <c r="AI447">
        <v>0</v>
      </c>
      <c r="AJ447">
        <v>0</v>
      </c>
      <c r="AK447">
        <v>0</v>
      </c>
      <c r="AL447">
        <v>16</v>
      </c>
      <c r="AM447">
        <v>25</v>
      </c>
      <c r="AN447">
        <v>0</v>
      </c>
      <c r="AO447">
        <v>41</v>
      </c>
      <c r="AP447">
        <v>24</v>
      </c>
      <c r="AQ447">
        <v>6</v>
      </c>
      <c r="AR447">
        <v>15</v>
      </c>
      <c r="AS447">
        <v>7</v>
      </c>
      <c r="AT447">
        <v>2</v>
      </c>
    </row>
    <row r="448" spans="1:46">
      <c r="A448">
        <v>5467</v>
      </c>
      <c r="B448" t="s">
        <v>3227</v>
      </c>
      <c r="C448" t="s">
        <v>3228</v>
      </c>
      <c r="D448" t="s">
        <v>3214</v>
      </c>
      <c r="E448" t="s">
        <v>3229</v>
      </c>
      <c r="F448" t="s">
        <v>3230</v>
      </c>
      <c r="G448" t="s">
        <v>3217</v>
      </c>
      <c r="H448" t="s">
        <v>517</v>
      </c>
      <c r="J448" t="s">
        <v>518</v>
      </c>
      <c r="K448" t="s">
        <v>519</v>
      </c>
      <c r="M448" t="s">
        <v>2287</v>
      </c>
      <c r="N448" t="s">
        <v>571</v>
      </c>
      <c r="O448" t="s">
        <v>3218</v>
      </c>
      <c r="P448" t="s">
        <v>1262</v>
      </c>
      <c r="Q448" t="s">
        <v>2943</v>
      </c>
      <c r="R448" t="s">
        <v>2944</v>
      </c>
      <c r="S448" t="s">
        <v>3219</v>
      </c>
      <c r="T448" t="s">
        <v>2448</v>
      </c>
      <c r="U448">
        <v>338200</v>
      </c>
      <c r="V448" t="s">
        <v>3231</v>
      </c>
      <c r="W448" t="s">
        <v>3221</v>
      </c>
      <c r="X448" t="s">
        <v>3222</v>
      </c>
      <c r="Y448" t="s">
        <v>3223</v>
      </c>
      <c r="Z448" t="s">
        <v>3217</v>
      </c>
      <c r="AA448" t="s">
        <v>3224</v>
      </c>
      <c r="AB448" t="s">
        <v>3225</v>
      </c>
      <c r="AC448">
        <v>99043</v>
      </c>
      <c r="AD448" t="s">
        <v>3226</v>
      </c>
      <c r="AE448">
        <v>-43.922948099999999</v>
      </c>
      <c r="AF448">
        <v>171.71902097</v>
      </c>
      <c r="AG448">
        <v>42</v>
      </c>
      <c r="AH448">
        <v>0</v>
      </c>
      <c r="AI448">
        <v>0</v>
      </c>
      <c r="AJ448">
        <v>0</v>
      </c>
      <c r="AK448">
        <v>4</v>
      </c>
      <c r="AL448">
        <v>15</v>
      </c>
      <c r="AM448">
        <v>21</v>
      </c>
      <c r="AN448">
        <v>0</v>
      </c>
      <c r="AO448">
        <v>40</v>
      </c>
      <c r="AP448">
        <v>23</v>
      </c>
      <c r="AQ448">
        <v>6</v>
      </c>
      <c r="AR448">
        <v>6</v>
      </c>
      <c r="AS448">
        <v>4</v>
      </c>
      <c r="AT448">
        <v>5</v>
      </c>
    </row>
    <row r="449" spans="1:46">
      <c r="A449">
        <v>5468</v>
      </c>
      <c r="B449" t="s">
        <v>3232</v>
      </c>
      <c r="C449" t="s">
        <v>3233</v>
      </c>
      <c r="D449" t="s">
        <v>3214</v>
      </c>
      <c r="E449" t="s">
        <v>3234</v>
      </c>
      <c r="G449" t="s">
        <v>3217</v>
      </c>
      <c r="H449" t="s">
        <v>517</v>
      </c>
      <c r="J449" t="s">
        <v>518</v>
      </c>
      <c r="K449" t="s">
        <v>519</v>
      </c>
      <c r="M449" t="s">
        <v>2287</v>
      </c>
      <c r="N449" t="s">
        <v>539</v>
      </c>
      <c r="O449" t="s">
        <v>3218</v>
      </c>
      <c r="P449" t="s">
        <v>1262</v>
      </c>
      <c r="Q449" t="s">
        <v>2943</v>
      </c>
      <c r="R449" t="s">
        <v>2944</v>
      </c>
      <c r="S449" t="s">
        <v>3219</v>
      </c>
      <c r="T449" t="s">
        <v>2448</v>
      </c>
      <c r="U449">
        <v>338501</v>
      </c>
      <c r="V449" t="s">
        <v>3235</v>
      </c>
      <c r="W449" t="s">
        <v>3221</v>
      </c>
      <c r="X449" t="s">
        <v>3222</v>
      </c>
      <c r="Y449" t="s">
        <v>3223</v>
      </c>
      <c r="Z449" t="s">
        <v>3217</v>
      </c>
      <c r="AA449" t="s">
        <v>3224</v>
      </c>
      <c r="AB449" t="s">
        <v>3225</v>
      </c>
      <c r="AC449">
        <v>99043</v>
      </c>
      <c r="AD449" t="s">
        <v>3226</v>
      </c>
      <c r="AE449">
        <v>-43.909943140000003</v>
      </c>
      <c r="AF449">
        <v>171.75849091000001</v>
      </c>
      <c r="AG449">
        <v>44</v>
      </c>
      <c r="AH449">
        <v>0</v>
      </c>
      <c r="AI449">
        <v>0</v>
      </c>
      <c r="AJ449">
        <v>0</v>
      </c>
      <c r="AK449">
        <v>6</v>
      </c>
      <c r="AL449">
        <v>7</v>
      </c>
      <c r="AM449">
        <v>21</v>
      </c>
      <c r="AN449">
        <v>0</v>
      </c>
      <c r="AO449">
        <v>34</v>
      </c>
      <c r="AP449">
        <v>19</v>
      </c>
      <c r="AQ449">
        <v>9</v>
      </c>
      <c r="AR449">
        <v>14</v>
      </c>
      <c r="AS449">
        <v>0</v>
      </c>
      <c r="AT449">
        <v>1</v>
      </c>
    </row>
    <row r="450" spans="1:46">
      <c r="A450">
        <v>5469</v>
      </c>
      <c r="B450" t="s">
        <v>3236</v>
      </c>
      <c r="C450" t="s">
        <v>3237</v>
      </c>
      <c r="D450" t="s">
        <v>3214</v>
      </c>
      <c r="E450" t="s">
        <v>3238</v>
      </c>
      <c r="G450" t="s">
        <v>3217</v>
      </c>
      <c r="H450" t="s">
        <v>517</v>
      </c>
      <c r="J450" t="s">
        <v>518</v>
      </c>
      <c r="K450" t="s">
        <v>519</v>
      </c>
      <c r="M450" t="s">
        <v>2287</v>
      </c>
      <c r="N450" t="s">
        <v>521</v>
      </c>
      <c r="O450" t="s">
        <v>3218</v>
      </c>
      <c r="P450" t="s">
        <v>1262</v>
      </c>
      <c r="Q450" t="s">
        <v>2943</v>
      </c>
      <c r="R450" t="s">
        <v>2944</v>
      </c>
      <c r="S450" t="s">
        <v>3219</v>
      </c>
      <c r="T450" t="s">
        <v>2448</v>
      </c>
      <c r="U450">
        <v>338401</v>
      </c>
      <c r="V450" t="s">
        <v>3239</v>
      </c>
      <c r="W450" t="s">
        <v>3221</v>
      </c>
      <c r="X450" t="s">
        <v>3222</v>
      </c>
      <c r="Y450" t="s">
        <v>3223</v>
      </c>
      <c r="Z450" t="s">
        <v>3217</v>
      </c>
      <c r="AA450" t="s">
        <v>3224</v>
      </c>
      <c r="AB450" t="s">
        <v>3225</v>
      </c>
      <c r="AC450">
        <v>99043</v>
      </c>
      <c r="AD450" t="s">
        <v>3226</v>
      </c>
      <c r="AE450">
        <v>-43.897736309999999</v>
      </c>
      <c r="AF450">
        <v>171.76770285000001</v>
      </c>
      <c r="AG450">
        <v>30</v>
      </c>
      <c r="AH450">
        <v>0</v>
      </c>
      <c r="AI450">
        <v>0</v>
      </c>
      <c r="AJ450">
        <v>0</v>
      </c>
      <c r="AK450">
        <v>3</v>
      </c>
      <c r="AL450">
        <v>14</v>
      </c>
      <c r="AM450">
        <v>8</v>
      </c>
      <c r="AN450">
        <v>1</v>
      </c>
      <c r="AO450">
        <v>26</v>
      </c>
      <c r="AP450">
        <v>4</v>
      </c>
      <c r="AQ450">
        <v>14</v>
      </c>
      <c r="AR450">
        <v>13</v>
      </c>
      <c r="AS450">
        <v>5</v>
      </c>
      <c r="AT450">
        <v>0</v>
      </c>
    </row>
    <row r="451" spans="1:46">
      <c r="A451">
        <v>5470</v>
      </c>
      <c r="B451" t="s">
        <v>3240</v>
      </c>
      <c r="C451" t="s">
        <v>3241</v>
      </c>
      <c r="D451" t="s">
        <v>3214</v>
      </c>
      <c r="E451" t="s">
        <v>3242</v>
      </c>
      <c r="G451" t="s">
        <v>3217</v>
      </c>
      <c r="H451" t="s">
        <v>517</v>
      </c>
      <c r="J451" t="s">
        <v>518</v>
      </c>
      <c r="K451" t="s">
        <v>519</v>
      </c>
      <c r="M451" t="s">
        <v>2287</v>
      </c>
      <c r="N451" t="s">
        <v>557</v>
      </c>
      <c r="O451" t="s">
        <v>3218</v>
      </c>
      <c r="P451" t="s">
        <v>1262</v>
      </c>
      <c r="Q451" t="s">
        <v>2943</v>
      </c>
      <c r="R451" t="s">
        <v>2944</v>
      </c>
      <c r="S451" t="s">
        <v>3219</v>
      </c>
      <c r="T451" t="s">
        <v>2448</v>
      </c>
      <c r="U451">
        <v>337800</v>
      </c>
      <c r="V451" t="s">
        <v>3243</v>
      </c>
      <c r="W451" t="s">
        <v>3221</v>
      </c>
      <c r="X451" t="s">
        <v>3222</v>
      </c>
      <c r="Y451" t="s">
        <v>3223</v>
      </c>
      <c r="Z451" t="s">
        <v>3217</v>
      </c>
      <c r="AA451" t="s">
        <v>3224</v>
      </c>
      <c r="AB451" t="s">
        <v>3225</v>
      </c>
      <c r="AC451">
        <v>99043</v>
      </c>
      <c r="AD451" t="s">
        <v>3226</v>
      </c>
      <c r="AE451">
        <v>-43.888593739999997</v>
      </c>
      <c r="AF451">
        <v>171.75707930999999</v>
      </c>
      <c r="AG451">
        <v>40</v>
      </c>
      <c r="AH451">
        <v>0</v>
      </c>
      <c r="AI451">
        <v>0</v>
      </c>
      <c r="AJ451">
        <v>0</v>
      </c>
      <c r="AK451">
        <v>0</v>
      </c>
      <c r="AL451">
        <v>14</v>
      </c>
      <c r="AM451">
        <v>16</v>
      </c>
      <c r="AN451">
        <v>1</v>
      </c>
      <c r="AO451">
        <v>31</v>
      </c>
      <c r="AP451">
        <v>22</v>
      </c>
      <c r="AQ451">
        <v>5</v>
      </c>
      <c r="AR451">
        <v>3</v>
      </c>
      <c r="AS451">
        <v>5</v>
      </c>
      <c r="AT451">
        <v>2</v>
      </c>
    </row>
    <row r="452" spans="1:46">
      <c r="A452">
        <v>5471</v>
      </c>
      <c r="B452" t="s">
        <v>3244</v>
      </c>
      <c r="C452" t="s">
        <v>3245</v>
      </c>
      <c r="D452" t="s">
        <v>3246</v>
      </c>
      <c r="E452" t="s">
        <v>3247</v>
      </c>
      <c r="G452" t="s">
        <v>3248</v>
      </c>
      <c r="H452" t="s">
        <v>517</v>
      </c>
      <c r="J452" t="s">
        <v>518</v>
      </c>
      <c r="K452" t="s">
        <v>519</v>
      </c>
      <c r="M452" t="s">
        <v>2287</v>
      </c>
      <c r="N452" t="s">
        <v>571</v>
      </c>
      <c r="O452" t="s">
        <v>3249</v>
      </c>
      <c r="P452" t="s">
        <v>523</v>
      </c>
      <c r="Q452" t="s">
        <v>2943</v>
      </c>
      <c r="R452" t="s">
        <v>2944</v>
      </c>
      <c r="S452" t="s">
        <v>3250</v>
      </c>
      <c r="T452" t="s">
        <v>2448</v>
      </c>
      <c r="U452">
        <v>338901</v>
      </c>
      <c r="V452" t="s">
        <v>3248</v>
      </c>
      <c r="W452" t="s">
        <v>3251</v>
      </c>
      <c r="X452" t="s">
        <v>3252</v>
      </c>
      <c r="Y452" t="s">
        <v>3253</v>
      </c>
      <c r="Z452" t="s">
        <v>3248</v>
      </c>
      <c r="AA452" t="s">
        <v>3254</v>
      </c>
      <c r="AB452" t="s">
        <v>3255</v>
      </c>
      <c r="AC452">
        <v>99053</v>
      </c>
      <c r="AD452" t="s">
        <v>3256</v>
      </c>
      <c r="AE452">
        <v>-44.092091279999998</v>
      </c>
      <c r="AF452">
        <v>171.24286667000001</v>
      </c>
      <c r="AG452">
        <v>50</v>
      </c>
      <c r="AH452">
        <v>0</v>
      </c>
      <c r="AI452">
        <v>0</v>
      </c>
      <c r="AJ452">
        <v>0</v>
      </c>
      <c r="AK452">
        <v>11</v>
      </c>
      <c r="AL452">
        <v>23</v>
      </c>
      <c r="AM452">
        <v>16</v>
      </c>
      <c r="AN452">
        <v>1</v>
      </c>
      <c r="AO452">
        <v>51</v>
      </c>
      <c r="AP452">
        <v>43</v>
      </c>
      <c r="AQ452">
        <v>7</v>
      </c>
      <c r="AR452">
        <v>5</v>
      </c>
      <c r="AS452">
        <v>7</v>
      </c>
      <c r="AT452">
        <v>4</v>
      </c>
    </row>
    <row r="453" spans="1:46">
      <c r="A453">
        <v>5472</v>
      </c>
      <c r="B453" t="s">
        <v>3257</v>
      </c>
      <c r="C453" t="s">
        <v>3258</v>
      </c>
      <c r="D453" t="s">
        <v>3259</v>
      </c>
      <c r="E453" t="s">
        <v>3260</v>
      </c>
      <c r="G453" t="s">
        <v>3261</v>
      </c>
      <c r="H453" t="s">
        <v>517</v>
      </c>
      <c r="J453" t="s">
        <v>518</v>
      </c>
      <c r="K453" t="s">
        <v>519</v>
      </c>
      <c r="M453" t="s">
        <v>2287</v>
      </c>
      <c r="N453" t="s">
        <v>571</v>
      </c>
      <c r="O453" t="s">
        <v>3249</v>
      </c>
      <c r="P453" t="s">
        <v>1262</v>
      </c>
      <c r="Q453" t="s">
        <v>2943</v>
      </c>
      <c r="R453" t="s">
        <v>2944</v>
      </c>
      <c r="S453" t="s">
        <v>3219</v>
      </c>
      <c r="T453" t="s">
        <v>2448</v>
      </c>
      <c r="U453">
        <v>340000</v>
      </c>
      <c r="V453" t="s">
        <v>3262</v>
      </c>
      <c r="W453" t="s">
        <v>3263</v>
      </c>
      <c r="X453" t="s">
        <v>3264</v>
      </c>
      <c r="Y453" t="s">
        <v>3265</v>
      </c>
      <c r="AA453" t="s">
        <v>3266</v>
      </c>
      <c r="AB453" t="s">
        <v>3267</v>
      </c>
      <c r="AC453">
        <v>99174</v>
      </c>
      <c r="AD453" t="s">
        <v>3268</v>
      </c>
      <c r="AE453">
        <v>-44.384098790000003</v>
      </c>
      <c r="AF453">
        <v>171.19181795</v>
      </c>
      <c r="AG453">
        <v>40</v>
      </c>
      <c r="AH453">
        <v>0</v>
      </c>
      <c r="AI453">
        <v>0</v>
      </c>
      <c r="AJ453">
        <v>0</v>
      </c>
      <c r="AK453">
        <v>13</v>
      </c>
      <c r="AL453">
        <v>12</v>
      </c>
      <c r="AM453">
        <v>15</v>
      </c>
      <c r="AN453">
        <v>0</v>
      </c>
      <c r="AO453">
        <v>40</v>
      </c>
      <c r="AP453">
        <v>36</v>
      </c>
      <c r="AQ453">
        <v>7</v>
      </c>
      <c r="AR453">
        <v>3</v>
      </c>
      <c r="AS453">
        <v>3</v>
      </c>
      <c r="AT453">
        <v>3</v>
      </c>
    </row>
    <row r="454" spans="1:46">
      <c r="A454">
        <v>5473</v>
      </c>
      <c r="B454" t="s">
        <v>3269</v>
      </c>
      <c r="C454" t="s">
        <v>3270</v>
      </c>
      <c r="E454" t="s">
        <v>3271</v>
      </c>
      <c r="G454" t="s">
        <v>3261</v>
      </c>
      <c r="H454" t="s">
        <v>517</v>
      </c>
      <c r="J454" t="s">
        <v>518</v>
      </c>
      <c r="K454" t="s">
        <v>519</v>
      </c>
      <c r="M454" t="s">
        <v>2287</v>
      </c>
      <c r="N454" t="s">
        <v>557</v>
      </c>
      <c r="O454" t="s">
        <v>3249</v>
      </c>
      <c r="P454" t="s">
        <v>1262</v>
      </c>
      <c r="Q454" t="s">
        <v>2943</v>
      </c>
      <c r="R454" t="s">
        <v>2944</v>
      </c>
      <c r="S454" t="s">
        <v>3219</v>
      </c>
      <c r="T454" t="s">
        <v>2448</v>
      </c>
      <c r="U454">
        <v>341400</v>
      </c>
      <c r="V454" t="s">
        <v>3272</v>
      </c>
      <c r="W454" t="s">
        <v>3263</v>
      </c>
      <c r="X454" t="s">
        <v>3264</v>
      </c>
      <c r="Y454" t="s">
        <v>3265</v>
      </c>
      <c r="AA454" t="s">
        <v>3266</v>
      </c>
      <c r="AB454" t="s">
        <v>3267</v>
      </c>
      <c r="AC454">
        <v>99178</v>
      </c>
      <c r="AD454" t="s">
        <v>3273</v>
      </c>
      <c r="AE454">
        <v>-44.408160770000002</v>
      </c>
      <c r="AF454">
        <v>171.24193606</v>
      </c>
      <c r="AG454">
        <v>42</v>
      </c>
      <c r="AH454">
        <v>0</v>
      </c>
      <c r="AI454">
        <v>0</v>
      </c>
      <c r="AJ454">
        <v>0</v>
      </c>
      <c r="AK454">
        <v>0</v>
      </c>
      <c r="AL454">
        <v>13</v>
      </c>
      <c r="AM454">
        <v>16</v>
      </c>
      <c r="AN454">
        <v>2</v>
      </c>
      <c r="AO454">
        <v>31</v>
      </c>
      <c r="AP454">
        <v>18</v>
      </c>
      <c r="AQ454">
        <v>7</v>
      </c>
      <c r="AR454">
        <v>2</v>
      </c>
      <c r="AS454">
        <v>4</v>
      </c>
      <c r="AT454">
        <v>10</v>
      </c>
    </row>
    <row r="455" spans="1:46">
      <c r="A455">
        <v>5474</v>
      </c>
      <c r="B455" t="s">
        <v>3274</v>
      </c>
      <c r="C455" t="s">
        <v>3275</v>
      </c>
      <c r="D455" t="s">
        <v>3276</v>
      </c>
      <c r="E455" t="s">
        <v>3277</v>
      </c>
      <c r="G455" t="s">
        <v>3261</v>
      </c>
      <c r="H455" t="s">
        <v>517</v>
      </c>
      <c r="J455" t="s">
        <v>518</v>
      </c>
      <c r="K455" t="s">
        <v>519</v>
      </c>
      <c r="M455" t="s">
        <v>2287</v>
      </c>
      <c r="N455" t="s">
        <v>557</v>
      </c>
      <c r="O455" t="s">
        <v>3249</v>
      </c>
      <c r="P455" t="s">
        <v>1262</v>
      </c>
      <c r="Q455" t="s">
        <v>2943</v>
      </c>
      <c r="R455" t="s">
        <v>2944</v>
      </c>
      <c r="S455" t="s">
        <v>3219</v>
      </c>
      <c r="T455" t="s">
        <v>2448</v>
      </c>
      <c r="U455">
        <v>341000</v>
      </c>
      <c r="V455" t="s">
        <v>3278</v>
      </c>
      <c r="W455" t="s">
        <v>3263</v>
      </c>
      <c r="X455" t="s">
        <v>3264</v>
      </c>
      <c r="Y455" t="s">
        <v>3265</v>
      </c>
      <c r="AA455" t="s">
        <v>3266</v>
      </c>
      <c r="AB455" t="s">
        <v>3267</v>
      </c>
      <c r="AC455">
        <v>99178</v>
      </c>
      <c r="AD455" t="s">
        <v>3273</v>
      </c>
      <c r="AE455">
        <v>-44.405865110000001</v>
      </c>
      <c r="AF455">
        <v>171.23207386000001</v>
      </c>
      <c r="AG455">
        <v>40</v>
      </c>
      <c r="AH455">
        <v>0</v>
      </c>
      <c r="AI455">
        <v>0</v>
      </c>
      <c r="AJ455">
        <v>0</v>
      </c>
      <c r="AK455">
        <v>2</v>
      </c>
      <c r="AL455">
        <v>9</v>
      </c>
      <c r="AM455">
        <v>14</v>
      </c>
      <c r="AN455">
        <v>2</v>
      </c>
      <c r="AO455">
        <v>27</v>
      </c>
      <c r="AP455">
        <v>13</v>
      </c>
      <c r="AQ455">
        <v>6</v>
      </c>
      <c r="AR455">
        <v>9</v>
      </c>
      <c r="AS455">
        <v>3</v>
      </c>
      <c r="AT455">
        <v>1</v>
      </c>
    </row>
    <row r="456" spans="1:46">
      <c r="A456">
        <v>5475</v>
      </c>
      <c r="B456" t="s">
        <v>3279</v>
      </c>
      <c r="C456" t="s">
        <v>3280</v>
      </c>
      <c r="D456" t="s">
        <v>3281</v>
      </c>
      <c r="E456" t="s">
        <v>3282</v>
      </c>
      <c r="G456" t="s">
        <v>3283</v>
      </c>
      <c r="H456" t="s">
        <v>517</v>
      </c>
      <c r="J456" t="s">
        <v>518</v>
      </c>
      <c r="K456" t="s">
        <v>519</v>
      </c>
      <c r="M456" t="s">
        <v>2287</v>
      </c>
      <c r="N456" t="s">
        <v>571</v>
      </c>
      <c r="O456" t="s">
        <v>3284</v>
      </c>
      <c r="P456" t="s">
        <v>540</v>
      </c>
      <c r="Q456" t="s">
        <v>2943</v>
      </c>
      <c r="R456" t="s">
        <v>2944</v>
      </c>
      <c r="S456" t="s">
        <v>3250</v>
      </c>
      <c r="T456" t="s">
        <v>2448</v>
      </c>
      <c r="U456">
        <v>342000</v>
      </c>
      <c r="V456" t="s">
        <v>3283</v>
      </c>
      <c r="W456" t="s">
        <v>3285</v>
      </c>
      <c r="X456" t="s">
        <v>3264</v>
      </c>
      <c r="Y456" t="s">
        <v>3265</v>
      </c>
      <c r="AA456" t="s">
        <v>3266</v>
      </c>
      <c r="AB456" t="s">
        <v>3267</v>
      </c>
      <c r="AC456">
        <v>99143</v>
      </c>
      <c r="AD456" t="s">
        <v>3286</v>
      </c>
      <c r="AE456">
        <v>-44.096784100000001</v>
      </c>
      <c r="AF456">
        <v>170.82339639</v>
      </c>
      <c r="AG456">
        <v>40</v>
      </c>
      <c r="AH456">
        <v>0</v>
      </c>
      <c r="AI456">
        <v>0</v>
      </c>
      <c r="AJ456">
        <v>0</v>
      </c>
      <c r="AK456">
        <v>3</v>
      </c>
      <c r="AL456">
        <v>11</v>
      </c>
      <c r="AM456">
        <v>17</v>
      </c>
      <c r="AN456">
        <v>0</v>
      </c>
      <c r="AO456">
        <v>31</v>
      </c>
      <c r="AP456">
        <v>30</v>
      </c>
      <c r="AQ456">
        <v>3</v>
      </c>
      <c r="AR456">
        <v>0</v>
      </c>
      <c r="AS456">
        <v>1</v>
      </c>
      <c r="AT456">
        <v>1</v>
      </c>
    </row>
    <row r="457" spans="1:46">
      <c r="A457">
        <v>5476</v>
      </c>
      <c r="B457" t="s">
        <v>3287</v>
      </c>
      <c r="C457" t="s">
        <v>3288</v>
      </c>
      <c r="D457" t="s">
        <v>3289</v>
      </c>
      <c r="E457" t="s">
        <v>3290</v>
      </c>
      <c r="G457" t="s">
        <v>3261</v>
      </c>
      <c r="H457" t="s">
        <v>517</v>
      </c>
      <c r="J457" t="s">
        <v>518</v>
      </c>
      <c r="K457" t="s">
        <v>519</v>
      </c>
      <c r="M457" t="s">
        <v>2287</v>
      </c>
      <c r="N457" t="s">
        <v>557</v>
      </c>
      <c r="O457" t="s">
        <v>3249</v>
      </c>
      <c r="P457" t="s">
        <v>1262</v>
      </c>
      <c r="Q457" t="s">
        <v>2943</v>
      </c>
      <c r="R457" t="s">
        <v>2944</v>
      </c>
      <c r="S457" t="s">
        <v>3219</v>
      </c>
      <c r="T457" t="s">
        <v>2448</v>
      </c>
      <c r="U457">
        <v>340300</v>
      </c>
      <c r="V457" t="s">
        <v>3291</v>
      </c>
      <c r="W457" t="s">
        <v>3263</v>
      </c>
      <c r="X457" t="s">
        <v>3264</v>
      </c>
      <c r="Y457" t="s">
        <v>3265</v>
      </c>
      <c r="AA457" t="s">
        <v>3266</v>
      </c>
      <c r="AB457" t="s">
        <v>3267</v>
      </c>
      <c r="AC457">
        <v>99174</v>
      </c>
      <c r="AD457" t="s">
        <v>3268</v>
      </c>
      <c r="AE457">
        <v>-44.378824369999997</v>
      </c>
      <c r="AF457">
        <v>171.22971709999999</v>
      </c>
      <c r="AG457">
        <v>37</v>
      </c>
      <c r="AH457">
        <v>6</v>
      </c>
      <c r="AI457">
        <v>0</v>
      </c>
      <c r="AJ457">
        <v>8</v>
      </c>
      <c r="AK457">
        <v>7</v>
      </c>
      <c r="AL457">
        <v>16</v>
      </c>
      <c r="AM457">
        <v>9</v>
      </c>
      <c r="AN457">
        <v>0</v>
      </c>
      <c r="AO457">
        <v>40</v>
      </c>
      <c r="AP457">
        <v>36</v>
      </c>
      <c r="AQ457">
        <v>8</v>
      </c>
      <c r="AR457">
        <v>5</v>
      </c>
      <c r="AS457">
        <v>1</v>
      </c>
      <c r="AT457">
        <v>1</v>
      </c>
    </row>
    <row r="458" spans="1:46">
      <c r="A458">
        <v>5477</v>
      </c>
      <c r="B458" t="s">
        <v>3292</v>
      </c>
      <c r="C458" t="s">
        <v>3293</v>
      </c>
      <c r="D458" t="s">
        <v>3294</v>
      </c>
      <c r="E458" t="s">
        <v>3295</v>
      </c>
      <c r="G458" t="s">
        <v>3296</v>
      </c>
      <c r="H458" t="s">
        <v>517</v>
      </c>
      <c r="J458" t="s">
        <v>518</v>
      </c>
      <c r="K458" t="s">
        <v>519</v>
      </c>
      <c r="M458" t="s">
        <v>2287</v>
      </c>
      <c r="N458" t="s">
        <v>571</v>
      </c>
      <c r="O458" t="s">
        <v>3249</v>
      </c>
      <c r="P458" t="s">
        <v>523</v>
      </c>
      <c r="Q458" t="s">
        <v>2943</v>
      </c>
      <c r="R458" t="s">
        <v>2944</v>
      </c>
      <c r="S458" t="s">
        <v>3219</v>
      </c>
      <c r="T458" t="s">
        <v>2448</v>
      </c>
      <c r="U458">
        <v>339300</v>
      </c>
      <c r="V458" t="s">
        <v>3297</v>
      </c>
      <c r="W458" t="s">
        <v>3298</v>
      </c>
      <c r="X458" t="s">
        <v>3264</v>
      </c>
      <c r="Y458" t="s">
        <v>3265</v>
      </c>
      <c r="AA458" t="s">
        <v>3266</v>
      </c>
      <c r="AB458" t="s">
        <v>3267</v>
      </c>
      <c r="AC458">
        <v>99174</v>
      </c>
      <c r="AD458" t="s">
        <v>3268</v>
      </c>
      <c r="AE458">
        <v>-44.234365660000002</v>
      </c>
      <c r="AF458">
        <v>171.27744810999999</v>
      </c>
      <c r="AG458">
        <v>33</v>
      </c>
      <c r="AH458">
        <v>0</v>
      </c>
      <c r="AI458">
        <v>0</v>
      </c>
      <c r="AJ458">
        <v>0</v>
      </c>
      <c r="AK458">
        <v>4</v>
      </c>
      <c r="AL458">
        <v>5</v>
      </c>
      <c r="AM458">
        <v>8</v>
      </c>
      <c r="AN458">
        <v>0</v>
      </c>
      <c r="AO458">
        <v>17</v>
      </c>
      <c r="AP458">
        <v>11</v>
      </c>
      <c r="AQ458">
        <v>2</v>
      </c>
      <c r="AR458">
        <v>0</v>
      </c>
      <c r="AS458">
        <v>2</v>
      </c>
      <c r="AT458">
        <v>3</v>
      </c>
    </row>
    <row r="459" spans="1:46">
      <c r="A459">
        <v>5478</v>
      </c>
      <c r="B459" t="s">
        <v>3299</v>
      </c>
      <c r="C459" t="s">
        <v>3300</v>
      </c>
      <c r="E459" t="s">
        <v>3301</v>
      </c>
      <c r="G459" t="s">
        <v>3296</v>
      </c>
      <c r="H459" t="s">
        <v>517</v>
      </c>
      <c r="J459" t="s">
        <v>518</v>
      </c>
      <c r="K459" t="s">
        <v>519</v>
      </c>
      <c r="M459" t="s">
        <v>2287</v>
      </c>
      <c r="N459" t="s">
        <v>571</v>
      </c>
      <c r="O459" t="s">
        <v>3249</v>
      </c>
      <c r="P459" t="s">
        <v>523</v>
      </c>
      <c r="Q459" t="s">
        <v>2943</v>
      </c>
      <c r="R459" t="s">
        <v>2944</v>
      </c>
      <c r="S459" t="s">
        <v>3219</v>
      </c>
      <c r="T459" t="s">
        <v>2448</v>
      </c>
      <c r="U459">
        <v>339300</v>
      </c>
      <c r="V459" t="s">
        <v>3297</v>
      </c>
      <c r="W459" t="s">
        <v>3298</v>
      </c>
      <c r="X459" t="s">
        <v>3264</v>
      </c>
      <c r="Y459" t="s">
        <v>3265</v>
      </c>
      <c r="AA459" t="s">
        <v>3266</v>
      </c>
      <c r="AB459" t="s">
        <v>3267</v>
      </c>
      <c r="AC459">
        <v>99174</v>
      </c>
      <c r="AD459" t="s">
        <v>3268</v>
      </c>
      <c r="AE459">
        <v>-44.24369617</v>
      </c>
      <c r="AF459">
        <v>171.28235867999999</v>
      </c>
      <c r="AG459">
        <v>30</v>
      </c>
      <c r="AH459">
        <v>0</v>
      </c>
      <c r="AI459">
        <v>0</v>
      </c>
      <c r="AJ459">
        <v>0</v>
      </c>
      <c r="AK459">
        <v>6</v>
      </c>
      <c r="AL459">
        <v>9</v>
      </c>
      <c r="AM459">
        <v>18</v>
      </c>
      <c r="AN459">
        <v>0</v>
      </c>
      <c r="AO459">
        <v>33</v>
      </c>
      <c r="AP459">
        <v>24</v>
      </c>
      <c r="AQ459">
        <v>8</v>
      </c>
      <c r="AR459">
        <v>4</v>
      </c>
      <c r="AS459">
        <v>3</v>
      </c>
      <c r="AT459">
        <v>1</v>
      </c>
    </row>
    <row r="460" spans="1:46">
      <c r="A460">
        <v>5479</v>
      </c>
      <c r="B460" t="s">
        <v>3302</v>
      </c>
      <c r="C460" t="s">
        <v>3303</v>
      </c>
      <c r="D460" t="s">
        <v>3304</v>
      </c>
      <c r="E460" t="s">
        <v>3305</v>
      </c>
      <c r="G460" t="s">
        <v>3306</v>
      </c>
      <c r="H460" t="s">
        <v>517</v>
      </c>
      <c r="J460" t="s">
        <v>518</v>
      </c>
      <c r="K460" t="s">
        <v>519</v>
      </c>
      <c r="M460" t="s">
        <v>2287</v>
      </c>
      <c r="N460" t="s">
        <v>571</v>
      </c>
      <c r="O460" t="s">
        <v>3284</v>
      </c>
      <c r="P460" t="s">
        <v>523</v>
      </c>
      <c r="Q460" t="s">
        <v>2943</v>
      </c>
      <c r="R460" t="s">
        <v>2944</v>
      </c>
      <c r="S460" t="s">
        <v>3250</v>
      </c>
      <c r="T460" t="s">
        <v>2448</v>
      </c>
      <c r="U460">
        <v>341801</v>
      </c>
      <c r="V460" t="s">
        <v>3306</v>
      </c>
      <c r="W460" t="s">
        <v>3307</v>
      </c>
      <c r="X460" t="s">
        <v>3264</v>
      </c>
      <c r="Y460" t="s">
        <v>3265</v>
      </c>
      <c r="AA460" t="s">
        <v>3266</v>
      </c>
      <c r="AB460" t="s">
        <v>3267</v>
      </c>
      <c r="AE460">
        <v>-44.252961489999997</v>
      </c>
      <c r="AF460">
        <v>170.09757193999999</v>
      </c>
      <c r="AG460">
        <v>35</v>
      </c>
      <c r="AH460">
        <v>0</v>
      </c>
      <c r="AI460">
        <v>0</v>
      </c>
      <c r="AJ460">
        <v>0</v>
      </c>
      <c r="AK460">
        <v>3</v>
      </c>
      <c r="AL460">
        <v>6</v>
      </c>
      <c r="AM460">
        <v>12</v>
      </c>
      <c r="AN460">
        <v>2</v>
      </c>
      <c r="AO460">
        <v>23</v>
      </c>
      <c r="AP460">
        <v>22</v>
      </c>
      <c r="AQ460">
        <v>4</v>
      </c>
      <c r="AR460">
        <v>0</v>
      </c>
      <c r="AS460">
        <v>1</v>
      </c>
      <c r="AT460">
        <v>1</v>
      </c>
    </row>
    <row r="461" spans="1:46">
      <c r="A461">
        <v>5480</v>
      </c>
      <c r="B461" t="s">
        <v>3308</v>
      </c>
      <c r="C461" t="s">
        <v>3309</v>
      </c>
      <c r="D461" t="s">
        <v>3310</v>
      </c>
      <c r="E461" t="s">
        <v>3311</v>
      </c>
      <c r="G461" t="s">
        <v>3261</v>
      </c>
      <c r="H461" t="s">
        <v>517</v>
      </c>
      <c r="J461" t="s">
        <v>518</v>
      </c>
      <c r="K461" t="s">
        <v>519</v>
      </c>
      <c r="M461" t="s">
        <v>2287</v>
      </c>
      <c r="N461" t="s">
        <v>571</v>
      </c>
      <c r="O461" t="s">
        <v>3249</v>
      </c>
      <c r="P461" t="s">
        <v>1262</v>
      </c>
      <c r="Q461" t="s">
        <v>2943</v>
      </c>
      <c r="R461" t="s">
        <v>2944</v>
      </c>
      <c r="S461" t="s">
        <v>3219</v>
      </c>
      <c r="T461" t="s">
        <v>2448</v>
      </c>
      <c r="U461">
        <v>340601</v>
      </c>
      <c r="V461" t="s">
        <v>3312</v>
      </c>
      <c r="W461" t="s">
        <v>3263</v>
      </c>
      <c r="X461" t="s">
        <v>3264</v>
      </c>
      <c r="Y461" t="s">
        <v>3265</v>
      </c>
      <c r="AA461" t="s">
        <v>3266</v>
      </c>
      <c r="AB461" t="s">
        <v>3267</v>
      </c>
      <c r="AC461">
        <v>99174</v>
      </c>
      <c r="AD461" t="s">
        <v>3268</v>
      </c>
      <c r="AE461">
        <v>-44.384946069999998</v>
      </c>
      <c r="AF461">
        <v>171.24009136000001</v>
      </c>
      <c r="AG461">
        <v>38</v>
      </c>
      <c r="AH461">
        <v>0</v>
      </c>
      <c r="AI461">
        <v>0</v>
      </c>
      <c r="AJ461">
        <v>0</v>
      </c>
      <c r="AK461">
        <v>2</v>
      </c>
      <c r="AL461">
        <v>11</v>
      </c>
      <c r="AM461">
        <v>18</v>
      </c>
      <c r="AN461">
        <v>1</v>
      </c>
      <c r="AO461">
        <v>32</v>
      </c>
      <c r="AP461">
        <v>22</v>
      </c>
      <c r="AQ461">
        <v>10</v>
      </c>
      <c r="AR461">
        <v>2</v>
      </c>
      <c r="AS461">
        <v>7</v>
      </c>
      <c r="AT461">
        <v>0</v>
      </c>
    </row>
    <row r="462" spans="1:46">
      <c r="A462">
        <v>5481</v>
      </c>
      <c r="B462" t="s">
        <v>3313</v>
      </c>
      <c r="C462" t="s">
        <v>3314</v>
      </c>
      <c r="D462" t="s">
        <v>3315</v>
      </c>
      <c r="E462" t="s">
        <v>3316</v>
      </c>
      <c r="G462" t="s">
        <v>3261</v>
      </c>
      <c r="H462" t="s">
        <v>517</v>
      </c>
      <c r="J462" t="s">
        <v>518</v>
      </c>
      <c r="K462" t="s">
        <v>519</v>
      </c>
      <c r="M462" t="s">
        <v>2287</v>
      </c>
      <c r="N462" t="s">
        <v>571</v>
      </c>
      <c r="O462" t="s">
        <v>3249</v>
      </c>
      <c r="P462" t="s">
        <v>1262</v>
      </c>
      <c r="Q462" t="s">
        <v>2943</v>
      </c>
      <c r="R462" t="s">
        <v>2944</v>
      </c>
      <c r="S462" t="s">
        <v>3219</v>
      </c>
      <c r="T462" t="s">
        <v>2448</v>
      </c>
      <c r="U462">
        <v>340500</v>
      </c>
      <c r="V462" t="s">
        <v>3317</v>
      </c>
      <c r="W462" t="s">
        <v>3263</v>
      </c>
      <c r="X462" t="s">
        <v>3264</v>
      </c>
      <c r="Y462" t="s">
        <v>3265</v>
      </c>
      <c r="AA462" t="s">
        <v>3266</v>
      </c>
      <c r="AB462" t="s">
        <v>3267</v>
      </c>
      <c r="AC462">
        <v>99174</v>
      </c>
      <c r="AD462" t="s">
        <v>3268</v>
      </c>
      <c r="AE462">
        <v>-44.391075989999997</v>
      </c>
      <c r="AF462">
        <v>171.22484381999999</v>
      </c>
      <c r="AG462">
        <v>52</v>
      </c>
      <c r="AH462">
        <v>12</v>
      </c>
      <c r="AI462">
        <v>2</v>
      </c>
      <c r="AJ462">
        <v>12</v>
      </c>
      <c r="AK462">
        <v>18</v>
      </c>
      <c r="AL462">
        <v>18</v>
      </c>
      <c r="AM462">
        <v>14</v>
      </c>
      <c r="AN462">
        <v>0</v>
      </c>
      <c r="AO462">
        <v>64</v>
      </c>
      <c r="AP462">
        <v>59</v>
      </c>
      <c r="AQ462">
        <v>14</v>
      </c>
      <c r="AR462">
        <v>1</v>
      </c>
      <c r="AS462">
        <v>2</v>
      </c>
      <c r="AT462">
        <v>0</v>
      </c>
    </row>
    <row r="463" spans="1:46">
      <c r="A463">
        <v>5482</v>
      </c>
      <c r="B463" t="s">
        <v>3318</v>
      </c>
      <c r="C463" t="s">
        <v>3319</v>
      </c>
      <c r="D463" t="s">
        <v>3320</v>
      </c>
      <c r="E463" t="s">
        <v>3321</v>
      </c>
      <c r="G463" t="s">
        <v>3322</v>
      </c>
      <c r="H463" t="s">
        <v>517</v>
      </c>
      <c r="J463" t="s">
        <v>518</v>
      </c>
      <c r="K463" t="s">
        <v>519</v>
      </c>
      <c r="M463" t="s">
        <v>2287</v>
      </c>
      <c r="N463" t="s">
        <v>571</v>
      </c>
      <c r="O463" t="s">
        <v>3323</v>
      </c>
      <c r="P463" t="s">
        <v>572</v>
      </c>
      <c r="Q463" t="s">
        <v>2943</v>
      </c>
      <c r="R463" t="s">
        <v>2944</v>
      </c>
      <c r="S463" t="s">
        <v>3250</v>
      </c>
      <c r="T463" t="s">
        <v>2448</v>
      </c>
      <c r="U463">
        <v>342200</v>
      </c>
      <c r="V463" t="s">
        <v>3324</v>
      </c>
      <c r="W463" t="s">
        <v>3325</v>
      </c>
      <c r="X463" t="s">
        <v>3326</v>
      </c>
      <c r="Y463" t="s">
        <v>3327</v>
      </c>
      <c r="AA463" t="s">
        <v>3328</v>
      </c>
      <c r="AB463" t="s">
        <v>3329</v>
      </c>
      <c r="AC463">
        <v>99040</v>
      </c>
      <c r="AD463" t="s">
        <v>3330</v>
      </c>
      <c r="AE463">
        <v>-44.527002899999999</v>
      </c>
      <c r="AF463">
        <v>171.08157739000001</v>
      </c>
      <c r="AG463">
        <v>22</v>
      </c>
      <c r="AH463">
        <v>0</v>
      </c>
      <c r="AI463">
        <v>0</v>
      </c>
      <c r="AJ463">
        <v>0</v>
      </c>
      <c r="AK463">
        <v>9</v>
      </c>
      <c r="AL463">
        <v>6</v>
      </c>
      <c r="AM463">
        <v>10</v>
      </c>
      <c r="AN463">
        <v>1</v>
      </c>
      <c r="AO463">
        <v>26</v>
      </c>
      <c r="AP463">
        <v>25</v>
      </c>
      <c r="AQ463">
        <v>3</v>
      </c>
      <c r="AR463">
        <v>0</v>
      </c>
      <c r="AS463">
        <v>1</v>
      </c>
      <c r="AT463">
        <v>1</v>
      </c>
    </row>
    <row r="464" spans="1:46">
      <c r="A464">
        <v>5483</v>
      </c>
      <c r="B464" t="s">
        <v>3331</v>
      </c>
      <c r="C464" t="s">
        <v>3332</v>
      </c>
      <c r="D464" t="s">
        <v>3333</v>
      </c>
      <c r="E464" t="s">
        <v>3334</v>
      </c>
      <c r="G464" t="s">
        <v>3335</v>
      </c>
      <c r="H464" t="s">
        <v>517</v>
      </c>
      <c r="J464" t="s">
        <v>518</v>
      </c>
      <c r="K464" t="s">
        <v>519</v>
      </c>
      <c r="M464" t="s">
        <v>2287</v>
      </c>
      <c r="N464" t="s">
        <v>539</v>
      </c>
      <c r="O464" t="s">
        <v>3336</v>
      </c>
      <c r="P464" t="s">
        <v>1262</v>
      </c>
      <c r="Q464" t="s">
        <v>3337</v>
      </c>
      <c r="R464" t="s">
        <v>3338</v>
      </c>
      <c r="S464" t="s">
        <v>3250</v>
      </c>
      <c r="T464" t="s">
        <v>2448</v>
      </c>
      <c r="U464">
        <v>344000</v>
      </c>
      <c r="V464" t="s">
        <v>3339</v>
      </c>
      <c r="W464" t="s">
        <v>3340</v>
      </c>
      <c r="X464" t="s">
        <v>3341</v>
      </c>
      <c r="Y464" t="s">
        <v>3342</v>
      </c>
      <c r="AA464" t="s">
        <v>3343</v>
      </c>
      <c r="AB464" t="s">
        <v>3344</v>
      </c>
      <c r="AE464">
        <v>-45.077913610000003</v>
      </c>
      <c r="AF464">
        <v>170.98387665000001</v>
      </c>
      <c r="AG464">
        <v>30</v>
      </c>
      <c r="AH464">
        <v>0</v>
      </c>
      <c r="AI464">
        <v>0</v>
      </c>
      <c r="AJ464">
        <v>0</v>
      </c>
      <c r="AK464">
        <v>0</v>
      </c>
      <c r="AL464">
        <v>16</v>
      </c>
      <c r="AM464">
        <v>25</v>
      </c>
      <c r="AN464">
        <v>2</v>
      </c>
      <c r="AO464">
        <v>43</v>
      </c>
      <c r="AP464">
        <v>21</v>
      </c>
      <c r="AQ464">
        <v>4</v>
      </c>
      <c r="AR464">
        <v>16</v>
      </c>
      <c r="AS464">
        <v>5</v>
      </c>
      <c r="AT464">
        <v>2</v>
      </c>
    </row>
    <row r="465" spans="1:46">
      <c r="A465">
        <v>5484</v>
      </c>
      <c r="B465" t="s">
        <v>3345</v>
      </c>
      <c r="C465" t="s">
        <v>3346</v>
      </c>
      <c r="D465" t="s">
        <v>3347</v>
      </c>
      <c r="E465" t="s">
        <v>3348</v>
      </c>
      <c r="G465" t="s">
        <v>3335</v>
      </c>
      <c r="H465" t="s">
        <v>517</v>
      </c>
      <c r="J465" t="s">
        <v>518</v>
      </c>
      <c r="K465" t="s">
        <v>519</v>
      </c>
      <c r="M465" t="s">
        <v>2287</v>
      </c>
      <c r="N465" t="s">
        <v>571</v>
      </c>
      <c r="O465" t="s">
        <v>3336</v>
      </c>
      <c r="P465" t="s">
        <v>1262</v>
      </c>
      <c r="Q465" t="s">
        <v>3337</v>
      </c>
      <c r="R465" t="s">
        <v>3338</v>
      </c>
      <c r="S465" t="s">
        <v>3250</v>
      </c>
      <c r="T465" t="s">
        <v>2448</v>
      </c>
      <c r="U465">
        <v>344300</v>
      </c>
      <c r="V465" t="s">
        <v>3349</v>
      </c>
      <c r="W465" t="s">
        <v>3340</v>
      </c>
      <c r="X465" t="s">
        <v>3341</v>
      </c>
      <c r="Y465" t="s">
        <v>3342</v>
      </c>
      <c r="AA465" t="s">
        <v>3343</v>
      </c>
      <c r="AB465" t="s">
        <v>3344</v>
      </c>
      <c r="AE465">
        <v>-45.105576540000001</v>
      </c>
      <c r="AF465">
        <v>170.94556213000001</v>
      </c>
      <c r="AG465">
        <v>39</v>
      </c>
      <c r="AH465">
        <v>0</v>
      </c>
      <c r="AI465">
        <v>0</v>
      </c>
      <c r="AJ465">
        <v>0</v>
      </c>
      <c r="AK465">
        <v>8</v>
      </c>
      <c r="AL465">
        <v>14</v>
      </c>
      <c r="AM465">
        <v>28</v>
      </c>
      <c r="AN465">
        <v>3</v>
      </c>
      <c r="AO465">
        <v>53</v>
      </c>
      <c r="AP465">
        <v>46</v>
      </c>
      <c r="AQ465">
        <v>10</v>
      </c>
      <c r="AR465">
        <v>5</v>
      </c>
      <c r="AS465">
        <v>3</v>
      </c>
      <c r="AT465">
        <v>0</v>
      </c>
    </row>
    <row r="466" spans="1:46">
      <c r="A466">
        <v>5485</v>
      </c>
      <c r="B466" t="s">
        <v>3350</v>
      </c>
      <c r="C466" t="s">
        <v>3351</v>
      </c>
      <c r="D466" t="s">
        <v>3352</v>
      </c>
      <c r="E466" t="s">
        <v>3353</v>
      </c>
      <c r="G466" t="s">
        <v>3335</v>
      </c>
      <c r="H466" t="s">
        <v>517</v>
      </c>
      <c r="J466" t="s">
        <v>518</v>
      </c>
      <c r="K466" t="s">
        <v>519</v>
      </c>
      <c r="M466" t="s">
        <v>2287</v>
      </c>
      <c r="N466" t="s">
        <v>539</v>
      </c>
      <c r="O466" t="s">
        <v>3336</v>
      </c>
      <c r="P466" t="s">
        <v>1262</v>
      </c>
      <c r="Q466" t="s">
        <v>3337</v>
      </c>
      <c r="R466" t="s">
        <v>3338</v>
      </c>
      <c r="S466" t="s">
        <v>3250</v>
      </c>
      <c r="T466" t="s">
        <v>2448</v>
      </c>
      <c r="U466">
        <v>344500</v>
      </c>
      <c r="V466" t="s">
        <v>3354</v>
      </c>
      <c r="W466" t="s">
        <v>3340</v>
      </c>
      <c r="X466" t="s">
        <v>3341</v>
      </c>
      <c r="Y466" t="s">
        <v>3342</v>
      </c>
      <c r="AA466" t="s">
        <v>3343</v>
      </c>
      <c r="AB466" t="s">
        <v>3344</v>
      </c>
      <c r="AE466">
        <v>-45.105914470000002</v>
      </c>
      <c r="AF466">
        <v>170.96557308000001</v>
      </c>
      <c r="AG466">
        <v>40</v>
      </c>
      <c r="AH466">
        <v>0</v>
      </c>
      <c r="AI466">
        <v>0</v>
      </c>
      <c r="AJ466">
        <v>0</v>
      </c>
      <c r="AK466">
        <v>8</v>
      </c>
      <c r="AL466">
        <v>18</v>
      </c>
      <c r="AM466">
        <v>24</v>
      </c>
      <c r="AN466">
        <v>0</v>
      </c>
      <c r="AO466">
        <v>50</v>
      </c>
      <c r="AP466">
        <v>42</v>
      </c>
      <c r="AQ466">
        <v>13</v>
      </c>
      <c r="AR466">
        <v>1</v>
      </c>
      <c r="AS466">
        <v>2</v>
      </c>
      <c r="AT466">
        <v>1</v>
      </c>
    </row>
    <row r="467" spans="1:46">
      <c r="A467">
        <v>5486</v>
      </c>
      <c r="B467" t="s">
        <v>3355</v>
      </c>
      <c r="C467" t="s">
        <v>3356</v>
      </c>
      <c r="D467" t="s">
        <v>3357</v>
      </c>
      <c r="E467" t="s">
        <v>3358</v>
      </c>
      <c r="G467" t="s">
        <v>3359</v>
      </c>
      <c r="H467" t="s">
        <v>517</v>
      </c>
      <c r="J467" t="s">
        <v>518</v>
      </c>
      <c r="K467" t="s">
        <v>519</v>
      </c>
      <c r="M467" t="s">
        <v>2287</v>
      </c>
      <c r="N467" t="s">
        <v>571</v>
      </c>
      <c r="O467" t="s">
        <v>3360</v>
      </c>
      <c r="P467" t="s">
        <v>523</v>
      </c>
      <c r="Q467" t="s">
        <v>3337</v>
      </c>
      <c r="R467" t="s">
        <v>3338</v>
      </c>
      <c r="S467" t="s">
        <v>3361</v>
      </c>
      <c r="T467" t="s">
        <v>2448</v>
      </c>
      <c r="U467">
        <v>345600</v>
      </c>
      <c r="V467" t="s">
        <v>3362</v>
      </c>
      <c r="W467" t="s">
        <v>3363</v>
      </c>
      <c r="X467" t="s">
        <v>2948</v>
      </c>
      <c r="Y467" t="s">
        <v>2949</v>
      </c>
      <c r="Z467" t="s">
        <v>2950</v>
      </c>
      <c r="AA467" t="s">
        <v>2951</v>
      </c>
      <c r="AB467" t="s">
        <v>2952</v>
      </c>
      <c r="AC467">
        <v>99049</v>
      </c>
      <c r="AD467" t="s">
        <v>3364</v>
      </c>
      <c r="AE467">
        <v>-45.255102129999997</v>
      </c>
      <c r="AF467">
        <v>169.39053168000001</v>
      </c>
      <c r="AG467">
        <v>40</v>
      </c>
      <c r="AH467">
        <v>0</v>
      </c>
      <c r="AI467">
        <v>0</v>
      </c>
      <c r="AJ467">
        <v>0</v>
      </c>
      <c r="AK467">
        <v>14</v>
      </c>
      <c r="AL467">
        <v>17</v>
      </c>
      <c r="AM467">
        <v>22</v>
      </c>
      <c r="AN467">
        <v>0</v>
      </c>
      <c r="AO467">
        <v>53</v>
      </c>
      <c r="AP467">
        <v>49</v>
      </c>
      <c r="AQ467">
        <v>4</v>
      </c>
      <c r="AR467">
        <v>2</v>
      </c>
      <c r="AS467">
        <v>3</v>
      </c>
      <c r="AT467">
        <v>4</v>
      </c>
    </row>
    <row r="468" spans="1:46">
      <c r="A468">
        <v>5487</v>
      </c>
      <c r="B468" t="s">
        <v>3365</v>
      </c>
      <c r="C468" t="s">
        <v>3366</v>
      </c>
      <c r="D468" t="s">
        <v>3367</v>
      </c>
      <c r="E468" t="s">
        <v>3368</v>
      </c>
      <c r="G468" t="s">
        <v>3369</v>
      </c>
      <c r="H468" t="s">
        <v>517</v>
      </c>
      <c r="J468" t="s">
        <v>518</v>
      </c>
      <c r="K468" t="s">
        <v>519</v>
      </c>
      <c r="M468" t="s">
        <v>2287</v>
      </c>
      <c r="N468" t="s">
        <v>571</v>
      </c>
      <c r="O468" t="s">
        <v>3360</v>
      </c>
      <c r="P468" t="s">
        <v>523</v>
      </c>
      <c r="Q468" t="s">
        <v>3337</v>
      </c>
      <c r="R468" t="s">
        <v>3338</v>
      </c>
      <c r="S468" t="s">
        <v>3250</v>
      </c>
      <c r="T468" t="s">
        <v>2448</v>
      </c>
      <c r="U468">
        <v>344900</v>
      </c>
      <c r="V468" t="s">
        <v>3370</v>
      </c>
      <c r="W468" t="s">
        <v>3371</v>
      </c>
      <c r="X468" t="s">
        <v>2948</v>
      </c>
      <c r="Y468" t="s">
        <v>2949</v>
      </c>
      <c r="Z468" t="s">
        <v>2950</v>
      </c>
      <c r="AA468" t="s">
        <v>2951</v>
      </c>
      <c r="AB468" t="s">
        <v>2952</v>
      </c>
      <c r="AC468">
        <v>99046</v>
      </c>
      <c r="AD468" t="s">
        <v>3372</v>
      </c>
      <c r="AE468">
        <v>-45.043609709999998</v>
      </c>
      <c r="AF468">
        <v>169.18643818999999</v>
      </c>
      <c r="AG468">
        <v>30</v>
      </c>
      <c r="AH468">
        <v>0</v>
      </c>
      <c r="AI468">
        <v>0</v>
      </c>
      <c r="AJ468">
        <v>0</v>
      </c>
      <c r="AK468">
        <v>6</v>
      </c>
      <c r="AL468">
        <v>12</v>
      </c>
      <c r="AM468">
        <v>12</v>
      </c>
      <c r="AN468">
        <v>1</v>
      </c>
      <c r="AO468">
        <v>31</v>
      </c>
      <c r="AP468">
        <v>21</v>
      </c>
      <c r="AQ468">
        <v>5</v>
      </c>
      <c r="AR468">
        <v>1</v>
      </c>
      <c r="AS468">
        <v>7</v>
      </c>
      <c r="AT468">
        <v>1</v>
      </c>
    </row>
    <row r="469" spans="1:46">
      <c r="A469">
        <v>5488</v>
      </c>
      <c r="B469" t="s">
        <v>3373</v>
      </c>
      <c r="C469" t="s">
        <v>3374</v>
      </c>
      <c r="D469" t="s">
        <v>3375</v>
      </c>
      <c r="E469" t="s">
        <v>3376</v>
      </c>
      <c r="G469" t="s">
        <v>3359</v>
      </c>
      <c r="H469" t="s">
        <v>517</v>
      </c>
      <c r="J469" t="s">
        <v>518</v>
      </c>
      <c r="K469" t="s">
        <v>519</v>
      </c>
      <c r="M469" t="s">
        <v>2287</v>
      </c>
      <c r="N469" t="s">
        <v>571</v>
      </c>
      <c r="O469" t="s">
        <v>3360</v>
      </c>
      <c r="P469" t="s">
        <v>523</v>
      </c>
      <c r="Q469" t="s">
        <v>3337</v>
      </c>
      <c r="R469" t="s">
        <v>3338</v>
      </c>
      <c r="S469" t="s">
        <v>3361</v>
      </c>
      <c r="T469" t="s">
        <v>2448</v>
      </c>
      <c r="U469">
        <v>345500</v>
      </c>
      <c r="V469" t="s">
        <v>3377</v>
      </c>
      <c r="W469" t="s">
        <v>3363</v>
      </c>
      <c r="X469" t="s">
        <v>2948</v>
      </c>
      <c r="Y469" t="s">
        <v>2949</v>
      </c>
      <c r="Z469" t="s">
        <v>2950</v>
      </c>
      <c r="AA469" t="s">
        <v>2951</v>
      </c>
      <c r="AB469" t="s">
        <v>2952</v>
      </c>
      <c r="AC469">
        <v>99049</v>
      </c>
      <c r="AD469" t="s">
        <v>3364</v>
      </c>
      <c r="AE469">
        <v>-45.243429599999999</v>
      </c>
      <c r="AF469">
        <v>169.39034401000001</v>
      </c>
      <c r="AG469">
        <v>40</v>
      </c>
      <c r="AH469">
        <v>0</v>
      </c>
      <c r="AI469">
        <v>0</v>
      </c>
      <c r="AJ469">
        <v>0</v>
      </c>
      <c r="AK469">
        <v>13</v>
      </c>
      <c r="AL469">
        <v>12</v>
      </c>
      <c r="AM469">
        <v>11</v>
      </c>
      <c r="AN469">
        <v>0</v>
      </c>
      <c r="AO469">
        <v>36</v>
      </c>
      <c r="AP469">
        <v>24</v>
      </c>
      <c r="AQ469">
        <v>10</v>
      </c>
      <c r="AR469">
        <v>0</v>
      </c>
      <c r="AS469">
        <v>4</v>
      </c>
      <c r="AT469">
        <v>4</v>
      </c>
    </row>
    <row r="470" spans="1:46">
      <c r="A470">
        <v>5489</v>
      </c>
      <c r="B470" t="s">
        <v>3378</v>
      </c>
      <c r="C470" t="s">
        <v>3379</v>
      </c>
      <c r="E470" t="s">
        <v>3380</v>
      </c>
      <c r="F470" t="s">
        <v>3381</v>
      </c>
      <c r="G470" t="s">
        <v>3382</v>
      </c>
      <c r="H470" t="s">
        <v>517</v>
      </c>
      <c r="J470" t="s">
        <v>518</v>
      </c>
      <c r="K470" t="s">
        <v>519</v>
      </c>
      <c r="M470" t="s">
        <v>2287</v>
      </c>
      <c r="N470" t="s">
        <v>571</v>
      </c>
      <c r="O470" t="s">
        <v>3383</v>
      </c>
      <c r="P470" t="s">
        <v>654</v>
      </c>
      <c r="Q470" t="s">
        <v>3337</v>
      </c>
      <c r="R470" t="s">
        <v>3338</v>
      </c>
      <c r="S470" t="s">
        <v>3384</v>
      </c>
      <c r="T470" t="s">
        <v>2448</v>
      </c>
      <c r="U470">
        <v>351100</v>
      </c>
      <c r="V470" t="s">
        <v>3381</v>
      </c>
      <c r="W470" t="s">
        <v>1652</v>
      </c>
      <c r="X470" t="s">
        <v>3385</v>
      </c>
      <c r="Y470" t="s">
        <v>3386</v>
      </c>
      <c r="Z470" t="s">
        <v>3387</v>
      </c>
      <c r="AA470" t="s">
        <v>3388</v>
      </c>
      <c r="AB470" t="s">
        <v>3389</v>
      </c>
      <c r="AE470">
        <v>-45.90090301</v>
      </c>
      <c r="AF470">
        <v>170.42654254999999</v>
      </c>
      <c r="AG470">
        <v>43</v>
      </c>
      <c r="AH470">
        <v>0</v>
      </c>
      <c r="AI470">
        <v>0</v>
      </c>
      <c r="AJ470">
        <v>0</v>
      </c>
      <c r="AK470">
        <v>12</v>
      </c>
      <c r="AL470">
        <v>16</v>
      </c>
      <c r="AM470">
        <v>20</v>
      </c>
      <c r="AN470">
        <v>0</v>
      </c>
      <c r="AO470">
        <v>48</v>
      </c>
      <c r="AP470">
        <v>42</v>
      </c>
      <c r="AQ470">
        <v>6</v>
      </c>
      <c r="AR470">
        <v>2</v>
      </c>
      <c r="AS470">
        <v>6</v>
      </c>
      <c r="AT470">
        <v>0</v>
      </c>
    </row>
    <row r="471" spans="1:46">
      <c r="A471">
        <v>5490</v>
      </c>
      <c r="B471" t="s">
        <v>3390</v>
      </c>
      <c r="C471" t="s">
        <v>3391</v>
      </c>
      <c r="E471" t="s">
        <v>3392</v>
      </c>
      <c r="F471" t="s">
        <v>3393</v>
      </c>
      <c r="G471" t="s">
        <v>3382</v>
      </c>
      <c r="H471" t="s">
        <v>517</v>
      </c>
      <c r="J471" t="s">
        <v>518</v>
      </c>
      <c r="K471" t="s">
        <v>519</v>
      </c>
      <c r="M471" t="s">
        <v>2287</v>
      </c>
      <c r="N471" t="s">
        <v>571</v>
      </c>
      <c r="O471" t="s">
        <v>3383</v>
      </c>
      <c r="P471" t="s">
        <v>654</v>
      </c>
      <c r="Q471" t="s">
        <v>3337</v>
      </c>
      <c r="R471" t="s">
        <v>3338</v>
      </c>
      <c r="S471" t="s">
        <v>3384</v>
      </c>
      <c r="T471" t="s">
        <v>2448</v>
      </c>
      <c r="U471">
        <v>355300</v>
      </c>
      <c r="V471" t="s">
        <v>3394</v>
      </c>
      <c r="W471" t="s">
        <v>1652</v>
      </c>
      <c r="X471" t="s">
        <v>3385</v>
      </c>
      <c r="Y471" t="s">
        <v>3386</v>
      </c>
      <c r="Z471" t="s">
        <v>3387</v>
      </c>
      <c r="AA471" t="s">
        <v>3388</v>
      </c>
      <c r="AB471" t="s">
        <v>3389</v>
      </c>
      <c r="AE471">
        <v>-45.896767599999997</v>
      </c>
      <c r="AF471">
        <v>170.52462269</v>
      </c>
      <c r="AG471">
        <v>42</v>
      </c>
      <c r="AH471">
        <v>0</v>
      </c>
      <c r="AI471">
        <v>0</v>
      </c>
      <c r="AJ471">
        <v>0</v>
      </c>
      <c r="AK471">
        <v>9</v>
      </c>
      <c r="AL471">
        <v>14</v>
      </c>
      <c r="AM471">
        <v>18</v>
      </c>
      <c r="AN471">
        <v>1</v>
      </c>
      <c r="AO471">
        <v>42</v>
      </c>
      <c r="AP471">
        <v>38</v>
      </c>
      <c r="AQ471">
        <v>6</v>
      </c>
      <c r="AR471">
        <v>3</v>
      </c>
      <c r="AS471">
        <v>2</v>
      </c>
      <c r="AT471">
        <v>0</v>
      </c>
    </row>
    <row r="472" spans="1:46">
      <c r="A472">
        <v>5491</v>
      </c>
      <c r="B472" t="s">
        <v>3395</v>
      </c>
      <c r="C472" t="s">
        <v>3396</v>
      </c>
      <c r="E472" t="s">
        <v>3397</v>
      </c>
      <c r="F472" t="s">
        <v>3398</v>
      </c>
      <c r="G472" t="s">
        <v>3382</v>
      </c>
      <c r="H472" t="s">
        <v>517</v>
      </c>
      <c r="J472" t="s">
        <v>518</v>
      </c>
      <c r="K472" t="s">
        <v>519</v>
      </c>
      <c r="M472" t="s">
        <v>2287</v>
      </c>
      <c r="N472" t="s">
        <v>539</v>
      </c>
      <c r="O472" t="s">
        <v>3383</v>
      </c>
      <c r="P472" t="s">
        <v>654</v>
      </c>
      <c r="Q472" t="s">
        <v>3337</v>
      </c>
      <c r="R472" t="s">
        <v>3338</v>
      </c>
      <c r="S472" t="s">
        <v>3382</v>
      </c>
      <c r="T472" t="s">
        <v>2448</v>
      </c>
      <c r="U472">
        <v>350900</v>
      </c>
      <c r="V472" t="s">
        <v>3398</v>
      </c>
      <c r="W472" t="s">
        <v>1652</v>
      </c>
      <c r="X472" t="s">
        <v>3385</v>
      </c>
      <c r="Y472" t="s">
        <v>3386</v>
      </c>
      <c r="Z472" t="s">
        <v>3387</v>
      </c>
      <c r="AA472" t="s">
        <v>3388</v>
      </c>
      <c r="AB472" t="s">
        <v>3389</v>
      </c>
      <c r="AE472">
        <v>-45.86699436</v>
      </c>
      <c r="AF472">
        <v>170.46097044000001</v>
      </c>
      <c r="AG472">
        <v>40</v>
      </c>
      <c r="AH472">
        <v>0</v>
      </c>
      <c r="AI472">
        <v>0</v>
      </c>
      <c r="AJ472">
        <v>0</v>
      </c>
      <c r="AK472">
        <v>5</v>
      </c>
      <c r="AL472">
        <v>16</v>
      </c>
      <c r="AM472">
        <v>11</v>
      </c>
      <c r="AN472">
        <v>0</v>
      </c>
      <c r="AO472">
        <v>32</v>
      </c>
      <c r="AP472">
        <v>19</v>
      </c>
      <c r="AQ472">
        <v>10</v>
      </c>
      <c r="AR472">
        <v>0</v>
      </c>
      <c r="AS472">
        <v>5</v>
      </c>
      <c r="AT472">
        <v>4</v>
      </c>
    </row>
    <row r="473" spans="1:46">
      <c r="A473">
        <v>5492</v>
      </c>
      <c r="B473" t="s">
        <v>3399</v>
      </c>
      <c r="C473" t="s">
        <v>3400</v>
      </c>
      <c r="E473" t="s">
        <v>3401</v>
      </c>
      <c r="F473" t="s">
        <v>3402</v>
      </c>
      <c r="G473" t="s">
        <v>3382</v>
      </c>
      <c r="H473" t="s">
        <v>517</v>
      </c>
      <c r="J473" t="s">
        <v>518</v>
      </c>
      <c r="K473" t="s">
        <v>519</v>
      </c>
      <c r="M473" t="s">
        <v>2287</v>
      </c>
      <c r="N473" t="s">
        <v>557</v>
      </c>
      <c r="O473" t="s">
        <v>3383</v>
      </c>
      <c r="P473" t="s">
        <v>654</v>
      </c>
      <c r="Q473" t="s">
        <v>3337</v>
      </c>
      <c r="R473" t="s">
        <v>3338</v>
      </c>
      <c r="S473" t="s">
        <v>3384</v>
      </c>
      <c r="T473" t="s">
        <v>2448</v>
      </c>
      <c r="U473">
        <v>354000</v>
      </c>
      <c r="V473" t="s">
        <v>3402</v>
      </c>
      <c r="W473" t="s">
        <v>1652</v>
      </c>
      <c r="X473" t="s">
        <v>3385</v>
      </c>
      <c r="Y473" t="s">
        <v>3386</v>
      </c>
      <c r="Z473" t="s">
        <v>3387</v>
      </c>
      <c r="AA473" t="s">
        <v>3388</v>
      </c>
      <c r="AB473" t="s">
        <v>3389</v>
      </c>
      <c r="AE473">
        <v>-45.905914989999999</v>
      </c>
      <c r="AF473">
        <v>170.46265697000001</v>
      </c>
      <c r="AG473">
        <v>40</v>
      </c>
      <c r="AH473">
        <v>0</v>
      </c>
      <c r="AI473">
        <v>0</v>
      </c>
      <c r="AJ473">
        <v>0</v>
      </c>
      <c r="AK473">
        <v>2</v>
      </c>
      <c r="AL473">
        <v>6</v>
      </c>
      <c r="AM473">
        <v>11</v>
      </c>
      <c r="AN473">
        <v>0</v>
      </c>
      <c r="AO473">
        <v>19</v>
      </c>
      <c r="AP473">
        <v>11</v>
      </c>
      <c r="AQ473">
        <v>3</v>
      </c>
      <c r="AR473">
        <v>0</v>
      </c>
      <c r="AS473">
        <v>8</v>
      </c>
      <c r="AT473">
        <v>0</v>
      </c>
    </row>
    <row r="474" spans="1:46">
      <c r="A474">
        <v>5493</v>
      </c>
      <c r="B474" t="s">
        <v>3403</v>
      </c>
      <c r="C474" t="s">
        <v>3404</v>
      </c>
      <c r="E474" t="s">
        <v>3405</v>
      </c>
      <c r="G474" t="s">
        <v>3382</v>
      </c>
      <c r="H474" t="s">
        <v>517</v>
      </c>
      <c r="J474" t="s">
        <v>518</v>
      </c>
      <c r="K474" t="s">
        <v>519</v>
      </c>
      <c r="M474" t="s">
        <v>2287</v>
      </c>
      <c r="N474" t="s">
        <v>521</v>
      </c>
      <c r="O474" t="s">
        <v>3383</v>
      </c>
      <c r="P474" t="s">
        <v>654</v>
      </c>
      <c r="Q474" t="s">
        <v>3337</v>
      </c>
      <c r="R474" t="s">
        <v>3338</v>
      </c>
      <c r="S474" t="s">
        <v>3384</v>
      </c>
      <c r="T474" t="s">
        <v>2448</v>
      </c>
      <c r="U474">
        <v>354500</v>
      </c>
      <c r="V474" t="s">
        <v>3406</v>
      </c>
      <c r="W474" t="s">
        <v>1652</v>
      </c>
      <c r="X474" t="s">
        <v>3385</v>
      </c>
      <c r="Y474" t="s">
        <v>3386</v>
      </c>
      <c r="Z474" t="s">
        <v>3387</v>
      </c>
      <c r="AA474" t="s">
        <v>3388</v>
      </c>
      <c r="AB474" t="s">
        <v>3389</v>
      </c>
      <c r="AE474">
        <v>-45.905096110000002</v>
      </c>
      <c r="AF474">
        <v>170.47818169999999</v>
      </c>
      <c r="AG474">
        <v>90</v>
      </c>
      <c r="AH474">
        <v>0</v>
      </c>
      <c r="AI474">
        <v>0</v>
      </c>
      <c r="AJ474">
        <v>0</v>
      </c>
      <c r="AK474">
        <v>9</v>
      </c>
      <c r="AL474">
        <v>10</v>
      </c>
      <c r="AM474">
        <v>7</v>
      </c>
      <c r="AN474">
        <v>1</v>
      </c>
      <c r="AO474">
        <v>27</v>
      </c>
      <c r="AP474">
        <v>19</v>
      </c>
      <c r="AQ474">
        <v>15</v>
      </c>
      <c r="AR474">
        <v>4</v>
      </c>
      <c r="AS474">
        <v>0</v>
      </c>
      <c r="AT474">
        <v>1</v>
      </c>
    </row>
    <row r="475" spans="1:46">
      <c r="A475">
        <v>5494</v>
      </c>
      <c r="B475" t="s">
        <v>3407</v>
      </c>
      <c r="C475" t="s">
        <v>3408</v>
      </c>
      <c r="E475" t="s">
        <v>3409</v>
      </c>
      <c r="G475" t="s">
        <v>3382</v>
      </c>
      <c r="H475" t="s">
        <v>517</v>
      </c>
      <c r="J475" t="s">
        <v>518</v>
      </c>
      <c r="K475" t="s">
        <v>519</v>
      </c>
      <c r="M475" t="s">
        <v>2287</v>
      </c>
      <c r="N475" t="s">
        <v>571</v>
      </c>
      <c r="O475" t="s">
        <v>3383</v>
      </c>
      <c r="P475" t="s">
        <v>654</v>
      </c>
      <c r="Q475" t="s">
        <v>3337</v>
      </c>
      <c r="R475" t="s">
        <v>3338</v>
      </c>
      <c r="S475" t="s">
        <v>3382</v>
      </c>
      <c r="T475" t="s">
        <v>2448</v>
      </c>
      <c r="U475">
        <v>354901</v>
      </c>
      <c r="V475" t="s">
        <v>3410</v>
      </c>
      <c r="W475" t="s">
        <v>1652</v>
      </c>
      <c r="X475" t="s">
        <v>3385</v>
      </c>
      <c r="Y475" t="s">
        <v>3386</v>
      </c>
      <c r="Z475" t="s">
        <v>3387</v>
      </c>
      <c r="AA475" t="s">
        <v>3388</v>
      </c>
      <c r="AB475" t="s">
        <v>3389</v>
      </c>
      <c r="AE475">
        <v>-45.886350579999998</v>
      </c>
      <c r="AF475">
        <v>170.53253856000001</v>
      </c>
      <c r="AG475">
        <v>43</v>
      </c>
      <c r="AH475">
        <v>0</v>
      </c>
      <c r="AI475">
        <v>0</v>
      </c>
      <c r="AJ475">
        <v>0</v>
      </c>
      <c r="AK475">
        <v>14</v>
      </c>
      <c r="AL475">
        <v>11</v>
      </c>
      <c r="AM475">
        <v>24</v>
      </c>
      <c r="AN475">
        <v>0</v>
      </c>
      <c r="AO475">
        <v>49</v>
      </c>
      <c r="AP475">
        <v>36</v>
      </c>
      <c r="AQ475">
        <v>5</v>
      </c>
      <c r="AR475">
        <v>1</v>
      </c>
      <c r="AS475">
        <v>15</v>
      </c>
      <c r="AT475">
        <v>1</v>
      </c>
    </row>
    <row r="476" spans="1:46">
      <c r="A476">
        <v>5495</v>
      </c>
      <c r="B476" t="s">
        <v>3411</v>
      </c>
      <c r="C476" t="s">
        <v>3412</v>
      </c>
      <c r="E476" t="s">
        <v>3413</v>
      </c>
      <c r="F476" t="s">
        <v>3414</v>
      </c>
      <c r="G476" t="s">
        <v>3382</v>
      </c>
      <c r="H476" t="s">
        <v>517</v>
      </c>
      <c r="J476" t="s">
        <v>518</v>
      </c>
      <c r="K476" t="s">
        <v>519</v>
      </c>
      <c r="M476" t="s">
        <v>2287</v>
      </c>
      <c r="N476" t="s">
        <v>571</v>
      </c>
      <c r="O476" t="s">
        <v>3383</v>
      </c>
      <c r="P476" t="s">
        <v>654</v>
      </c>
      <c r="Q476" t="s">
        <v>3337</v>
      </c>
      <c r="R476" t="s">
        <v>3338</v>
      </c>
      <c r="S476" t="s">
        <v>3384</v>
      </c>
      <c r="T476" t="s">
        <v>2448</v>
      </c>
      <c r="U476">
        <v>352600</v>
      </c>
      <c r="V476" t="s">
        <v>3414</v>
      </c>
      <c r="W476" t="s">
        <v>1652</v>
      </c>
      <c r="X476" t="s">
        <v>3385</v>
      </c>
      <c r="Y476" t="s">
        <v>3386</v>
      </c>
      <c r="Z476" t="s">
        <v>3387</v>
      </c>
      <c r="AA476" t="s">
        <v>3388</v>
      </c>
      <c r="AB476" t="s">
        <v>3389</v>
      </c>
      <c r="AE476">
        <v>-45.904559259999999</v>
      </c>
      <c r="AF476">
        <v>170.42995822</v>
      </c>
      <c r="AG476">
        <v>44</v>
      </c>
      <c r="AH476">
        <v>0</v>
      </c>
      <c r="AI476">
        <v>0</v>
      </c>
      <c r="AJ476">
        <v>0</v>
      </c>
      <c r="AK476">
        <v>6</v>
      </c>
      <c r="AL476">
        <v>23</v>
      </c>
      <c r="AM476">
        <v>14</v>
      </c>
      <c r="AN476">
        <v>0</v>
      </c>
      <c r="AO476">
        <v>43</v>
      </c>
      <c r="AP476">
        <v>42</v>
      </c>
      <c r="AQ476">
        <v>9</v>
      </c>
      <c r="AR476">
        <v>2</v>
      </c>
      <c r="AS476">
        <v>1</v>
      </c>
      <c r="AT476">
        <v>1</v>
      </c>
    </row>
    <row r="477" spans="1:46">
      <c r="A477">
        <v>5496</v>
      </c>
      <c r="B477" t="s">
        <v>3415</v>
      </c>
      <c r="C477" t="s">
        <v>3416</v>
      </c>
      <c r="E477" t="s">
        <v>3417</v>
      </c>
      <c r="F477" t="s">
        <v>3418</v>
      </c>
      <c r="G477" t="s">
        <v>3382</v>
      </c>
      <c r="H477" t="s">
        <v>517</v>
      </c>
      <c r="J477" t="s">
        <v>518</v>
      </c>
      <c r="K477" t="s">
        <v>519</v>
      </c>
      <c r="M477" t="s">
        <v>2287</v>
      </c>
      <c r="N477" t="s">
        <v>571</v>
      </c>
      <c r="O477" t="s">
        <v>3383</v>
      </c>
      <c r="P477" t="s">
        <v>654</v>
      </c>
      <c r="Q477" t="s">
        <v>3337</v>
      </c>
      <c r="R477" t="s">
        <v>3338</v>
      </c>
      <c r="S477" t="s">
        <v>3382</v>
      </c>
      <c r="T477" t="s">
        <v>2448</v>
      </c>
      <c r="U477">
        <v>350401</v>
      </c>
      <c r="V477" t="s">
        <v>3418</v>
      </c>
      <c r="W477" t="s">
        <v>1652</v>
      </c>
      <c r="X477" t="s">
        <v>3385</v>
      </c>
      <c r="Y477" t="s">
        <v>3386</v>
      </c>
      <c r="Z477" t="s">
        <v>3387</v>
      </c>
      <c r="AA477" t="s">
        <v>3388</v>
      </c>
      <c r="AB477" t="s">
        <v>3389</v>
      </c>
      <c r="AE477">
        <v>-45.85473605</v>
      </c>
      <c r="AF477">
        <v>170.47056147000001</v>
      </c>
      <c r="AG477">
        <v>45</v>
      </c>
      <c r="AH477">
        <v>0</v>
      </c>
      <c r="AI477">
        <v>0</v>
      </c>
      <c r="AJ477">
        <v>0</v>
      </c>
      <c r="AK477">
        <v>6</v>
      </c>
      <c r="AL477">
        <v>18</v>
      </c>
      <c r="AM477">
        <v>10</v>
      </c>
      <c r="AN477">
        <v>0</v>
      </c>
      <c r="AO477">
        <v>34</v>
      </c>
      <c r="AP477">
        <v>23</v>
      </c>
      <c r="AQ477">
        <v>4</v>
      </c>
      <c r="AR477">
        <v>2</v>
      </c>
      <c r="AS477">
        <v>6</v>
      </c>
      <c r="AT477">
        <v>3</v>
      </c>
    </row>
    <row r="478" spans="1:46">
      <c r="A478">
        <v>5497</v>
      </c>
      <c r="B478" t="s">
        <v>3419</v>
      </c>
      <c r="C478" t="s">
        <v>3420</v>
      </c>
      <c r="E478" t="s">
        <v>3386</v>
      </c>
      <c r="F478" t="s">
        <v>3421</v>
      </c>
      <c r="G478" t="s">
        <v>3382</v>
      </c>
      <c r="H478" t="s">
        <v>517</v>
      </c>
      <c r="J478" t="s">
        <v>518</v>
      </c>
      <c r="K478" t="s">
        <v>519</v>
      </c>
      <c r="M478" t="s">
        <v>2287</v>
      </c>
      <c r="N478" t="s">
        <v>571</v>
      </c>
      <c r="O478" t="s">
        <v>3383</v>
      </c>
      <c r="P478" t="s">
        <v>654</v>
      </c>
      <c r="Q478" t="s">
        <v>3337</v>
      </c>
      <c r="R478" t="s">
        <v>3338</v>
      </c>
      <c r="S478" t="s">
        <v>3384</v>
      </c>
      <c r="T478" t="s">
        <v>2448</v>
      </c>
      <c r="U478">
        <v>354600</v>
      </c>
      <c r="V478" t="s">
        <v>3422</v>
      </c>
      <c r="W478" t="s">
        <v>1652</v>
      </c>
      <c r="X478" t="s">
        <v>3385</v>
      </c>
      <c r="Y478" t="s">
        <v>3386</v>
      </c>
      <c r="Z478" t="s">
        <v>3387</v>
      </c>
      <c r="AA478" t="s">
        <v>3388</v>
      </c>
      <c r="AB478" t="s">
        <v>3389</v>
      </c>
      <c r="AE478">
        <v>-45.902924560000002</v>
      </c>
      <c r="AF478">
        <v>170.48723189</v>
      </c>
      <c r="AG478">
        <v>43</v>
      </c>
      <c r="AH478">
        <v>0</v>
      </c>
      <c r="AI478">
        <v>0</v>
      </c>
      <c r="AJ478">
        <v>0</v>
      </c>
      <c r="AK478">
        <v>11</v>
      </c>
      <c r="AL478">
        <v>12</v>
      </c>
      <c r="AM478">
        <v>17</v>
      </c>
      <c r="AN478">
        <v>1</v>
      </c>
      <c r="AO478">
        <v>41</v>
      </c>
      <c r="AP478">
        <v>28</v>
      </c>
      <c r="AQ478">
        <v>7</v>
      </c>
      <c r="AR478">
        <v>1</v>
      </c>
      <c r="AS478">
        <v>9</v>
      </c>
      <c r="AT478">
        <v>8</v>
      </c>
    </row>
    <row r="479" spans="1:46">
      <c r="A479">
        <v>5498</v>
      </c>
      <c r="B479" t="s">
        <v>3423</v>
      </c>
      <c r="C479" t="s">
        <v>3424</v>
      </c>
      <c r="E479" t="s">
        <v>3425</v>
      </c>
      <c r="F479" t="s">
        <v>3426</v>
      </c>
      <c r="G479" t="s">
        <v>3382</v>
      </c>
      <c r="H479" t="s">
        <v>517</v>
      </c>
      <c r="J479" t="s">
        <v>518</v>
      </c>
      <c r="K479" t="s">
        <v>519</v>
      </c>
      <c r="M479" t="s">
        <v>2287</v>
      </c>
      <c r="N479" t="s">
        <v>571</v>
      </c>
      <c r="O479" t="s">
        <v>3383</v>
      </c>
      <c r="P479" t="s">
        <v>654</v>
      </c>
      <c r="Q479" t="s">
        <v>3337</v>
      </c>
      <c r="R479" t="s">
        <v>3338</v>
      </c>
      <c r="S479" t="s">
        <v>3382</v>
      </c>
      <c r="T479" t="s">
        <v>2448</v>
      </c>
      <c r="U479">
        <v>351700</v>
      </c>
      <c r="V479" t="s">
        <v>3427</v>
      </c>
      <c r="W479" t="s">
        <v>1652</v>
      </c>
      <c r="X479" t="s">
        <v>3385</v>
      </c>
      <c r="Y479" t="s">
        <v>3386</v>
      </c>
      <c r="Z479" t="s">
        <v>3387</v>
      </c>
      <c r="AA479" t="s">
        <v>3388</v>
      </c>
      <c r="AB479" t="s">
        <v>3389</v>
      </c>
      <c r="AC479">
        <v>99208</v>
      </c>
      <c r="AD479" t="s">
        <v>3428</v>
      </c>
      <c r="AE479">
        <v>-45.847241140000001</v>
      </c>
      <c r="AF479">
        <v>170.53513810999999</v>
      </c>
      <c r="AG479">
        <v>45</v>
      </c>
      <c r="AH479">
        <v>0</v>
      </c>
      <c r="AI479">
        <v>0</v>
      </c>
      <c r="AJ479">
        <v>0</v>
      </c>
      <c r="AK479">
        <v>10</v>
      </c>
      <c r="AL479">
        <v>15</v>
      </c>
      <c r="AM479">
        <v>17</v>
      </c>
      <c r="AN479">
        <v>0</v>
      </c>
      <c r="AO479">
        <v>42</v>
      </c>
      <c r="AP479">
        <v>28</v>
      </c>
      <c r="AQ479">
        <v>14</v>
      </c>
      <c r="AR479">
        <v>6</v>
      </c>
      <c r="AS479">
        <v>3</v>
      </c>
      <c r="AT479">
        <v>5</v>
      </c>
    </row>
    <row r="480" spans="1:46">
      <c r="A480">
        <v>5499</v>
      </c>
      <c r="B480" t="s">
        <v>3429</v>
      </c>
      <c r="C480" t="s">
        <v>3430</v>
      </c>
      <c r="E480" t="s">
        <v>3431</v>
      </c>
      <c r="F480" t="s">
        <v>3432</v>
      </c>
      <c r="G480" t="s">
        <v>3382</v>
      </c>
      <c r="H480" t="s">
        <v>517</v>
      </c>
      <c r="J480" t="s">
        <v>518</v>
      </c>
      <c r="K480" t="s">
        <v>519</v>
      </c>
      <c r="M480" t="s">
        <v>2287</v>
      </c>
      <c r="N480" t="s">
        <v>571</v>
      </c>
      <c r="O480" t="s">
        <v>3383</v>
      </c>
      <c r="P480" t="s">
        <v>654</v>
      </c>
      <c r="Q480" t="s">
        <v>3337</v>
      </c>
      <c r="R480" t="s">
        <v>3338</v>
      </c>
      <c r="S480" t="s">
        <v>3382</v>
      </c>
      <c r="T480" t="s">
        <v>2448</v>
      </c>
      <c r="U480">
        <v>351000</v>
      </c>
      <c r="V480" t="s">
        <v>3433</v>
      </c>
      <c r="W480" t="s">
        <v>1652</v>
      </c>
      <c r="X480" t="s">
        <v>3385</v>
      </c>
      <c r="Y480" t="s">
        <v>3386</v>
      </c>
      <c r="Z480" t="s">
        <v>3387</v>
      </c>
      <c r="AA480" t="s">
        <v>3388</v>
      </c>
      <c r="AB480" t="s">
        <v>3389</v>
      </c>
      <c r="AE480">
        <v>-45.866550250000003</v>
      </c>
      <c r="AF480">
        <v>170.48096572</v>
      </c>
      <c r="AG480">
        <v>40</v>
      </c>
      <c r="AH480">
        <v>0</v>
      </c>
      <c r="AI480">
        <v>0</v>
      </c>
      <c r="AJ480">
        <v>0</v>
      </c>
      <c r="AK480">
        <v>2</v>
      </c>
      <c r="AL480">
        <v>13</v>
      </c>
      <c r="AM480">
        <v>12</v>
      </c>
      <c r="AN480">
        <v>0</v>
      </c>
      <c r="AO480">
        <v>27</v>
      </c>
      <c r="AP480">
        <v>21</v>
      </c>
      <c r="AQ480">
        <v>7</v>
      </c>
      <c r="AR480">
        <v>4</v>
      </c>
      <c r="AS480">
        <v>3</v>
      </c>
      <c r="AT480">
        <v>1</v>
      </c>
    </row>
    <row r="481" spans="1:46">
      <c r="A481">
        <v>5500</v>
      </c>
      <c r="B481" t="s">
        <v>3434</v>
      </c>
      <c r="C481" t="s">
        <v>3435</v>
      </c>
      <c r="E481" t="s">
        <v>3436</v>
      </c>
      <c r="F481" t="s">
        <v>3437</v>
      </c>
      <c r="G481" t="s">
        <v>3382</v>
      </c>
      <c r="H481" t="s">
        <v>517</v>
      </c>
      <c r="J481" t="s">
        <v>518</v>
      </c>
      <c r="K481" t="s">
        <v>519</v>
      </c>
      <c r="M481" t="s">
        <v>2287</v>
      </c>
      <c r="N481" t="s">
        <v>571</v>
      </c>
      <c r="O481" t="s">
        <v>3383</v>
      </c>
      <c r="P481" t="s">
        <v>654</v>
      </c>
      <c r="Q481" t="s">
        <v>3337</v>
      </c>
      <c r="R481" t="s">
        <v>3338</v>
      </c>
      <c r="S481" t="s">
        <v>3382</v>
      </c>
      <c r="T481" t="s">
        <v>2448</v>
      </c>
      <c r="U481">
        <v>353200</v>
      </c>
      <c r="V481" t="s">
        <v>3438</v>
      </c>
      <c r="W481" t="s">
        <v>1652</v>
      </c>
      <c r="X481" t="s">
        <v>3385</v>
      </c>
      <c r="Y481" t="s">
        <v>3386</v>
      </c>
      <c r="Z481" t="s">
        <v>3387</v>
      </c>
      <c r="AA481" t="s">
        <v>3388</v>
      </c>
      <c r="AB481" t="s">
        <v>3389</v>
      </c>
      <c r="AC481">
        <v>99208</v>
      </c>
      <c r="AD481" t="s">
        <v>3428</v>
      </c>
      <c r="AE481">
        <v>-45.867328110000003</v>
      </c>
      <c r="AF481">
        <v>170.51485393999999</v>
      </c>
      <c r="AG481">
        <v>45</v>
      </c>
      <c r="AH481">
        <v>0</v>
      </c>
      <c r="AI481">
        <v>0</v>
      </c>
      <c r="AJ481">
        <v>0</v>
      </c>
      <c r="AK481">
        <v>8</v>
      </c>
      <c r="AL481">
        <v>12</v>
      </c>
      <c r="AM481">
        <v>12</v>
      </c>
      <c r="AN481">
        <v>0</v>
      </c>
      <c r="AO481">
        <v>32</v>
      </c>
      <c r="AP481">
        <v>22</v>
      </c>
      <c r="AQ481">
        <v>6</v>
      </c>
      <c r="AR481">
        <v>1</v>
      </c>
      <c r="AS481">
        <v>10</v>
      </c>
      <c r="AT481">
        <v>0</v>
      </c>
    </row>
    <row r="482" spans="1:46">
      <c r="A482">
        <v>5502</v>
      </c>
      <c r="B482" t="s">
        <v>3439</v>
      </c>
      <c r="C482" t="s">
        <v>3440</v>
      </c>
      <c r="E482" t="s">
        <v>3441</v>
      </c>
      <c r="G482" t="s">
        <v>3442</v>
      </c>
      <c r="H482" t="s">
        <v>517</v>
      </c>
      <c r="J482" t="s">
        <v>518</v>
      </c>
      <c r="K482" t="s">
        <v>519</v>
      </c>
      <c r="M482" t="s">
        <v>2287</v>
      </c>
      <c r="N482" t="s">
        <v>571</v>
      </c>
      <c r="O482" t="s">
        <v>3383</v>
      </c>
      <c r="P482" t="s">
        <v>654</v>
      </c>
      <c r="Q482" t="s">
        <v>3337</v>
      </c>
      <c r="R482" t="s">
        <v>3338</v>
      </c>
      <c r="S482" t="s">
        <v>3382</v>
      </c>
      <c r="T482" t="s">
        <v>2448</v>
      </c>
      <c r="U482">
        <v>352701</v>
      </c>
      <c r="V482" t="s">
        <v>3442</v>
      </c>
      <c r="W482" t="s">
        <v>1652</v>
      </c>
      <c r="X482" t="s">
        <v>3385</v>
      </c>
      <c r="Y482" t="s">
        <v>3386</v>
      </c>
      <c r="Z482" t="s">
        <v>3387</v>
      </c>
      <c r="AA482" t="s">
        <v>3388</v>
      </c>
      <c r="AB482" t="s">
        <v>3389</v>
      </c>
      <c r="AC482">
        <v>99208</v>
      </c>
      <c r="AD482" t="s">
        <v>3428</v>
      </c>
      <c r="AE482">
        <v>-45.820710859999998</v>
      </c>
      <c r="AF482">
        <v>170.61821122999999</v>
      </c>
      <c r="AG482">
        <v>43</v>
      </c>
      <c r="AH482">
        <v>0</v>
      </c>
      <c r="AI482">
        <v>0</v>
      </c>
      <c r="AJ482">
        <v>0</v>
      </c>
      <c r="AK482">
        <v>6</v>
      </c>
      <c r="AL482">
        <v>10</v>
      </c>
      <c r="AM482">
        <v>11</v>
      </c>
      <c r="AN482">
        <v>0</v>
      </c>
      <c r="AO482">
        <v>27</v>
      </c>
      <c r="AP482">
        <v>26</v>
      </c>
      <c r="AQ482">
        <v>1</v>
      </c>
      <c r="AR482">
        <v>1</v>
      </c>
      <c r="AS482">
        <v>0</v>
      </c>
      <c r="AT482">
        <v>0</v>
      </c>
    </row>
    <row r="483" spans="1:46">
      <c r="A483">
        <v>5503</v>
      </c>
      <c r="B483" t="s">
        <v>3443</v>
      </c>
      <c r="C483" t="s">
        <v>3444</v>
      </c>
      <c r="E483" t="s">
        <v>3445</v>
      </c>
      <c r="G483" t="s">
        <v>3382</v>
      </c>
      <c r="H483" t="s">
        <v>517</v>
      </c>
      <c r="J483" t="s">
        <v>518</v>
      </c>
      <c r="K483" t="s">
        <v>519</v>
      </c>
      <c r="M483" t="s">
        <v>2287</v>
      </c>
      <c r="N483" t="s">
        <v>539</v>
      </c>
      <c r="O483" t="s">
        <v>3383</v>
      </c>
      <c r="P483" t="s">
        <v>654</v>
      </c>
      <c r="Q483" t="s">
        <v>3337</v>
      </c>
      <c r="R483" t="s">
        <v>3338</v>
      </c>
      <c r="S483" t="s">
        <v>3384</v>
      </c>
      <c r="T483" t="s">
        <v>2448</v>
      </c>
      <c r="U483">
        <v>354701</v>
      </c>
      <c r="V483" t="s">
        <v>3446</v>
      </c>
      <c r="W483" t="s">
        <v>1652</v>
      </c>
      <c r="X483" t="s">
        <v>3385</v>
      </c>
      <c r="Y483" t="s">
        <v>3386</v>
      </c>
      <c r="Z483" t="s">
        <v>3387</v>
      </c>
      <c r="AA483" t="s">
        <v>3388</v>
      </c>
      <c r="AB483" t="s">
        <v>3389</v>
      </c>
      <c r="AE483">
        <v>-45.898925259999999</v>
      </c>
      <c r="AF483">
        <v>170.49533893</v>
      </c>
      <c r="AG483">
        <v>45</v>
      </c>
      <c r="AH483">
        <v>0</v>
      </c>
      <c r="AI483">
        <v>0</v>
      </c>
      <c r="AJ483">
        <v>0</v>
      </c>
      <c r="AK483">
        <v>3</v>
      </c>
      <c r="AL483">
        <v>11</v>
      </c>
      <c r="AM483">
        <v>12</v>
      </c>
      <c r="AN483">
        <v>1</v>
      </c>
      <c r="AO483">
        <v>27</v>
      </c>
      <c r="AP483">
        <v>15</v>
      </c>
      <c r="AQ483">
        <v>13</v>
      </c>
      <c r="AR483">
        <v>7</v>
      </c>
      <c r="AS483">
        <v>2</v>
      </c>
      <c r="AT483">
        <v>0</v>
      </c>
    </row>
    <row r="484" spans="1:46">
      <c r="A484">
        <v>5504</v>
      </c>
      <c r="B484" t="s">
        <v>3447</v>
      </c>
      <c r="C484" t="s">
        <v>3448</v>
      </c>
      <c r="E484" t="s">
        <v>3449</v>
      </c>
      <c r="F484" t="s">
        <v>3450</v>
      </c>
      <c r="G484" t="s">
        <v>3382</v>
      </c>
      <c r="H484" t="s">
        <v>517</v>
      </c>
      <c r="J484" t="s">
        <v>518</v>
      </c>
      <c r="K484" t="s">
        <v>519</v>
      </c>
      <c r="M484" t="s">
        <v>2287</v>
      </c>
      <c r="N484" t="s">
        <v>557</v>
      </c>
      <c r="O484" t="s">
        <v>3383</v>
      </c>
      <c r="P484" t="s">
        <v>654</v>
      </c>
      <c r="Q484" t="s">
        <v>3337</v>
      </c>
      <c r="R484" t="s">
        <v>3338</v>
      </c>
      <c r="S484" t="s">
        <v>3384</v>
      </c>
      <c r="T484" t="s">
        <v>2448</v>
      </c>
      <c r="U484">
        <v>354200</v>
      </c>
      <c r="V484" t="s">
        <v>3450</v>
      </c>
      <c r="W484" t="s">
        <v>1652</v>
      </c>
      <c r="X484" t="s">
        <v>3385</v>
      </c>
      <c r="Y484" t="s">
        <v>3386</v>
      </c>
      <c r="Z484" t="s">
        <v>3387</v>
      </c>
      <c r="AA484" t="s">
        <v>3388</v>
      </c>
      <c r="AB484" t="s">
        <v>3389</v>
      </c>
      <c r="AE484">
        <v>-45.898469609999999</v>
      </c>
      <c r="AF484">
        <v>170.48250704</v>
      </c>
      <c r="AG484">
        <v>45</v>
      </c>
      <c r="AH484">
        <v>0</v>
      </c>
      <c r="AI484">
        <v>0</v>
      </c>
      <c r="AJ484">
        <v>0</v>
      </c>
      <c r="AK484">
        <v>5</v>
      </c>
      <c r="AL484">
        <v>13</v>
      </c>
      <c r="AM484">
        <v>12</v>
      </c>
      <c r="AN484">
        <v>0</v>
      </c>
      <c r="AO484">
        <v>30</v>
      </c>
      <c r="AP484">
        <v>21</v>
      </c>
      <c r="AQ484">
        <v>6</v>
      </c>
      <c r="AR484">
        <v>1</v>
      </c>
      <c r="AS484">
        <v>5</v>
      </c>
      <c r="AT484">
        <v>5</v>
      </c>
    </row>
    <row r="485" spans="1:46">
      <c r="A485">
        <v>5505</v>
      </c>
      <c r="B485" t="s">
        <v>3451</v>
      </c>
      <c r="C485" t="s">
        <v>3452</v>
      </c>
      <c r="E485" t="s">
        <v>3453</v>
      </c>
      <c r="G485" t="s">
        <v>3382</v>
      </c>
      <c r="H485" t="s">
        <v>517</v>
      </c>
      <c r="J485" t="s">
        <v>518</v>
      </c>
      <c r="K485" t="s">
        <v>519</v>
      </c>
      <c r="M485" t="s">
        <v>2287</v>
      </c>
      <c r="N485" t="s">
        <v>571</v>
      </c>
      <c r="O485" t="s">
        <v>3383</v>
      </c>
      <c r="P485" t="s">
        <v>654</v>
      </c>
      <c r="Q485" t="s">
        <v>3337</v>
      </c>
      <c r="R485" t="s">
        <v>3338</v>
      </c>
      <c r="S485" t="s">
        <v>3382</v>
      </c>
      <c r="T485" t="s">
        <v>2448</v>
      </c>
      <c r="U485">
        <v>352100</v>
      </c>
      <c r="V485" t="s">
        <v>3454</v>
      </c>
      <c r="W485" t="s">
        <v>1652</v>
      </c>
      <c r="X485" t="s">
        <v>3385</v>
      </c>
      <c r="Y485" t="s">
        <v>3386</v>
      </c>
      <c r="Z485" t="s">
        <v>3387</v>
      </c>
      <c r="AA485" t="s">
        <v>3388</v>
      </c>
      <c r="AB485" t="s">
        <v>3389</v>
      </c>
      <c r="AE485">
        <v>-45.871143859999997</v>
      </c>
      <c r="AF485">
        <v>170.48223077</v>
      </c>
      <c r="AG485">
        <v>44</v>
      </c>
      <c r="AH485">
        <v>0</v>
      </c>
      <c r="AI485">
        <v>0</v>
      </c>
      <c r="AJ485">
        <v>0</v>
      </c>
      <c r="AK485">
        <v>4</v>
      </c>
      <c r="AL485">
        <v>25</v>
      </c>
      <c r="AM485">
        <v>14</v>
      </c>
      <c r="AN485">
        <v>0</v>
      </c>
      <c r="AO485">
        <v>43</v>
      </c>
      <c r="AP485">
        <v>40</v>
      </c>
      <c r="AQ485">
        <v>9</v>
      </c>
      <c r="AR485">
        <v>3</v>
      </c>
      <c r="AS485">
        <v>4</v>
      </c>
      <c r="AT485">
        <v>3</v>
      </c>
    </row>
    <row r="486" spans="1:46">
      <c r="A486">
        <v>5506</v>
      </c>
      <c r="B486" t="s">
        <v>3455</v>
      </c>
      <c r="C486" t="s">
        <v>3456</v>
      </c>
      <c r="E486" t="s">
        <v>3457</v>
      </c>
      <c r="G486" t="s">
        <v>3382</v>
      </c>
      <c r="H486" t="s">
        <v>517</v>
      </c>
      <c r="J486" t="s">
        <v>518</v>
      </c>
      <c r="K486" t="s">
        <v>519</v>
      </c>
      <c r="M486" t="s">
        <v>2287</v>
      </c>
      <c r="N486" t="s">
        <v>571</v>
      </c>
      <c r="O486" t="s">
        <v>3383</v>
      </c>
      <c r="P486" t="s">
        <v>654</v>
      </c>
      <c r="Q486" t="s">
        <v>3337</v>
      </c>
      <c r="R486" t="s">
        <v>3338</v>
      </c>
      <c r="S486" t="s">
        <v>3382</v>
      </c>
      <c r="T486" t="s">
        <v>2448</v>
      </c>
      <c r="U486">
        <v>355400</v>
      </c>
      <c r="V486" t="s">
        <v>3458</v>
      </c>
      <c r="W486" t="s">
        <v>1652</v>
      </c>
      <c r="X486" t="s">
        <v>3385</v>
      </c>
      <c r="Y486" t="s">
        <v>3386</v>
      </c>
      <c r="Z486" t="s">
        <v>3387</v>
      </c>
      <c r="AA486" t="s">
        <v>3388</v>
      </c>
      <c r="AB486" t="s">
        <v>3389</v>
      </c>
      <c r="AE486">
        <v>-45.885077189999997</v>
      </c>
      <c r="AF486">
        <v>170.54572089000001</v>
      </c>
      <c r="AG486">
        <v>41</v>
      </c>
      <c r="AH486">
        <v>0</v>
      </c>
      <c r="AI486">
        <v>0</v>
      </c>
      <c r="AJ486">
        <v>0</v>
      </c>
      <c r="AK486">
        <v>6</v>
      </c>
      <c r="AL486">
        <v>10</v>
      </c>
      <c r="AM486">
        <v>13</v>
      </c>
      <c r="AN486">
        <v>0</v>
      </c>
      <c r="AO486">
        <v>29</v>
      </c>
      <c r="AP486">
        <v>23</v>
      </c>
      <c r="AQ486">
        <v>7</v>
      </c>
      <c r="AR486">
        <v>2</v>
      </c>
      <c r="AS486">
        <v>1</v>
      </c>
      <c r="AT486">
        <v>0</v>
      </c>
    </row>
    <row r="487" spans="1:46">
      <c r="A487">
        <v>5507</v>
      </c>
      <c r="B487" t="s">
        <v>3459</v>
      </c>
      <c r="C487" t="s">
        <v>3460</v>
      </c>
      <c r="E487" t="s">
        <v>3461</v>
      </c>
      <c r="F487" t="s">
        <v>3462</v>
      </c>
      <c r="G487" t="s">
        <v>3382</v>
      </c>
      <c r="H487" t="s">
        <v>517</v>
      </c>
      <c r="J487" t="s">
        <v>518</v>
      </c>
      <c r="K487" t="s">
        <v>519</v>
      </c>
      <c r="M487" t="s">
        <v>2287</v>
      </c>
      <c r="N487" t="s">
        <v>557</v>
      </c>
      <c r="O487" t="s">
        <v>3383</v>
      </c>
      <c r="P487" t="s">
        <v>654</v>
      </c>
      <c r="Q487" t="s">
        <v>3337</v>
      </c>
      <c r="R487" t="s">
        <v>3338</v>
      </c>
      <c r="S487" t="s">
        <v>3384</v>
      </c>
      <c r="T487" t="s">
        <v>2448</v>
      </c>
      <c r="U487">
        <v>355500</v>
      </c>
      <c r="V487" t="s">
        <v>3463</v>
      </c>
      <c r="W487" t="s">
        <v>1652</v>
      </c>
      <c r="X487" t="s">
        <v>3385</v>
      </c>
      <c r="Y487" t="s">
        <v>3386</v>
      </c>
      <c r="Z487" t="s">
        <v>3387</v>
      </c>
      <c r="AA487" t="s">
        <v>3388</v>
      </c>
      <c r="AB487" t="s">
        <v>3389</v>
      </c>
      <c r="AE487">
        <v>-45.905426159999998</v>
      </c>
      <c r="AF487">
        <v>170.51375113</v>
      </c>
      <c r="AG487">
        <v>40</v>
      </c>
      <c r="AH487">
        <v>0</v>
      </c>
      <c r="AI487">
        <v>0</v>
      </c>
      <c r="AJ487">
        <v>0</v>
      </c>
      <c r="AK487">
        <v>8</v>
      </c>
      <c r="AL487">
        <v>16</v>
      </c>
      <c r="AM487">
        <v>8</v>
      </c>
      <c r="AN487">
        <v>0</v>
      </c>
      <c r="AO487">
        <v>32</v>
      </c>
      <c r="AP487">
        <v>24</v>
      </c>
      <c r="AQ487">
        <v>2</v>
      </c>
      <c r="AR487">
        <v>5</v>
      </c>
      <c r="AS487">
        <v>4</v>
      </c>
      <c r="AT487">
        <v>3</v>
      </c>
    </row>
    <row r="488" spans="1:46">
      <c r="A488">
        <v>5508</v>
      </c>
      <c r="B488" t="s">
        <v>3464</v>
      </c>
      <c r="C488" t="s">
        <v>3465</v>
      </c>
      <c r="E488" t="s">
        <v>3466</v>
      </c>
      <c r="G488" t="s">
        <v>3382</v>
      </c>
      <c r="H488" t="s">
        <v>517</v>
      </c>
      <c r="J488" t="s">
        <v>518</v>
      </c>
      <c r="K488" t="s">
        <v>519</v>
      </c>
      <c r="M488" t="s">
        <v>2287</v>
      </c>
      <c r="N488" t="s">
        <v>571</v>
      </c>
      <c r="O488" t="s">
        <v>3383</v>
      </c>
      <c r="P488" t="s">
        <v>654</v>
      </c>
      <c r="Q488" t="s">
        <v>3337</v>
      </c>
      <c r="R488" t="s">
        <v>3338</v>
      </c>
      <c r="S488" t="s">
        <v>3382</v>
      </c>
      <c r="T488" t="s">
        <v>2448</v>
      </c>
      <c r="U488">
        <v>351000</v>
      </c>
      <c r="V488" t="s">
        <v>3433</v>
      </c>
      <c r="W488" t="s">
        <v>1652</v>
      </c>
      <c r="X488" t="s">
        <v>3385</v>
      </c>
      <c r="Y488" t="s">
        <v>3386</v>
      </c>
      <c r="Z488" t="s">
        <v>3387</v>
      </c>
      <c r="AA488" t="s">
        <v>3388</v>
      </c>
      <c r="AB488" t="s">
        <v>3389</v>
      </c>
      <c r="AE488">
        <v>-45.854876900000001</v>
      </c>
      <c r="AF488">
        <v>170.48789217999999</v>
      </c>
      <c r="AG488">
        <v>45</v>
      </c>
      <c r="AH488">
        <v>0</v>
      </c>
      <c r="AI488">
        <v>0</v>
      </c>
      <c r="AJ488">
        <v>0</v>
      </c>
      <c r="AK488">
        <v>6</v>
      </c>
      <c r="AL488">
        <v>15</v>
      </c>
      <c r="AM488">
        <v>23</v>
      </c>
      <c r="AN488">
        <v>0</v>
      </c>
      <c r="AO488">
        <v>44</v>
      </c>
      <c r="AP488">
        <v>38</v>
      </c>
      <c r="AQ488">
        <v>5</v>
      </c>
      <c r="AR488">
        <v>3</v>
      </c>
      <c r="AS488">
        <v>5</v>
      </c>
      <c r="AT488">
        <v>2</v>
      </c>
    </row>
    <row r="489" spans="1:46">
      <c r="A489">
        <v>5509</v>
      </c>
      <c r="B489" t="s">
        <v>3467</v>
      </c>
      <c r="C489" t="s">
        <v>3468</v>
      </c>
      <c r="E489" t="s">
        <v>3469</v>
      </c>
      <c r="G489" t="s">
        <v>3470</v>
      </c>
      <c r="H489" t="s">
        <v>517</v>
      </c>
      <c r="J489" t="s">
        <v>518</v>
      </c>
      <c r="K489" t="s">
        <v>519</v>
      </c>
      <c r="M489" t="s">
        <v>2287</v>
      </c>
      <c r="N489" t="s">
        <v>571</v>
      </c>
      <c r="O489" t="s">
        <v>3383</v>
      </c>
      <c r="P489" t="s">
        <v>1262</v>
      </c>
      <c r="Q489" t="s">
        <v>3337</v>
      </c>
      <c r="R489" t="s">
        <v>3338</v>
      </c>
      <c r="S489" t="s">
        <v>3384</v>
      </c>
      <c r="T489" t="s">
        <v>2448</v>
      </c>
      <c r="U489">
        <v>349900</v>
      </c>
      <c r="V489" t="s">
        <v>3471</v>
      </c>
      <c r="W489" t="s">
        <v>1652</v>
      </c>
      <c r="X489" t="s">
        <v>3385</v>
      </c>
      <c r="Y489" t="s">
        <v>3386</v>
      </c>
      <c r="Z489" t="s">
        <v>3387</v>
      </c>
      <c r="AA489" t="s">
        <v>3388</v>
      </c>
      <c r="AB489" t="s">
        <v>3389</v>
      </c>
      <c r="AE489">
        <v>-45.875307679999999</v>
      </c>
      <c r="AF489">
        <v>170.34733442999999</v>
      </c>
      <c r="AG489">
        <v>43</v>
      </c>
      <c r="AH489">
        <v>0</v>
      </c>
      <c r="AI489">
        <v>0</v>
      </c>
      <c r="AJ489">
        <v>0</v>
      </c>
      <c r="AK489">
        <v>12</v>
      </c>
      <c r="AL489">
        <v>15</v>
      </c>
      <c r="AM489">
        <v>24</v>
      </c>
      <c r="AN489">
        <v>0</v>
      </c>
      <c r="AO489">
        <v>51</v>
      </c>
      <c r="AP489">
        <v>47</v>
      </c>
      <c r="AQ489">
        <v>5</v>
      </c>
      <c r="AR489">
        <v>3</v>
      </c>
      <c r="AS489">
        <v>4</v>
      </c>
      <c r="AT489">
        <v>0</v>
      </c>
    </row>
    <row r="490" spans="1:46">
      <c r="A490">
        <v>5510</v>
      </c>
      <c r="B490" t="s">
        <v>3472</v>
      </c>
      <c r="C490" t="s">
        <v>3473</v>
      </c>
      <c r="E490" t="s">
        <v>3474</v>
      </c>
      <c r="G490" t="s">
        <v>3470</v>
      </c>
      <c r="H490" t="s">
        <v>517</v>
      </c>
      <c r="J490" t="s">
        <v>518</v>
      </c>
      <c r="K490" t="s">
        <v>519</v>
      </c>
      <c r="M490" t="s">
        <v>2287</v>
      </c>
      <c r="N490" t="s">
        <v>557</v>
      </c>
      <c r="O490" t="s">
        <v>3383</v>
      </c>
      <c r="P490" t="s">
        <v>1262</v>
      </c>
      <c r="Q490" t="s">
        <v>3337</v>
      </c>
      <c r="R490" t="s">
        <v>3338</v>
      </c>
      <c r="S490" t="s">
        <v>3384</v>
      </c>
      <c r="T490" t="s">
        <v>2448</v>
      </c>
      <c r="U490">
        <v>350000</v>
      </c>
      <c r="V490" t="s">
        <v>3475</v>
      </c>
      <c r="W490" t="s">
        <v>1652</v>
      </c>
      <c r="X490" t="s">
        <v>3385</v>
      </c>
      <c r="Y490" t="s">
        <v>3386</v>
      </c>
      <c r="Z490" t="s">
        <v>3387</v>
      </c>
      <c r="AA490" t="s">
        <v>3388</v>
      </c>
      <c r="AB490" t="s">
        <v>3389</v>
      </c>
      <c r="AE490">
        <v>-45.867426899999998</v>
      </c>
      <c r="AF490">
        <v>170.35525672</v>
      </c>
      <c r="AG490">
        <v>45</v>
      </c>
      <c r="AH490">
        <v>0</v>
      </c>
      <c r="AI490">
        <v>0</v>
      </c>
      <c r="AJ490">
        <v>0</v>
      </c>
      <c r="AK490">
        <v>13</v>
      </c>
      <c r="AL490">
        <v>14</v>
      </c>
      <c r="AM490">
        <v>17</v>
      </c>
      <c r="AN490">
        <v>1</v>
      </c>
      <c r="AO490">
        <v>45</v>
      </c>
      <c r="AP490">
        <v>36</v>
      </c>
      <c r="AQ490">
        <v>11</v>
      </c>
      <c r="AR490">
        <v>5</v>
      </c>
      <c r="AS490">
        <v>0</v>
      </c>
      <c r="AT490">
        <v>3</v>
      </c>
    </row>
    <row r="491" spans="1:46">
      <c r="A491">
        <v>5511</v>
      </c>
      <c r="B491" t="s">
        <v>3476</v>
      </c>
      <c r="C491" t="s">
        <v>3477</v>
      </c>
      <c r="D491" t="s">
        <v>3478</v>
      </c>
      <c r="E491" t="s">
        <v>3479</v>
      </c>
      <c r="G491" t="s">
        <v>3480</v>
      </c>
      <c r="H491" t="s">
        <v>517</v>
      </c>
      <c r="J491" t="s">
        <v>518</v>
      </c>
      <c r="K491" t="s">
        <v>519</v>
      </c>
      <c r="M491" t="s">
        <v>2287</v>
      </c>
      <c r="N491" t="s">
        <v>571</v>
      </c>
      <c r="O491" t="s">
        <v>3481</v>
      </c>
      <c r="P491" t="s">
        <v>523</v>
      </c>
      <c r="Q491" t="s">
        <v>3337</v>
      </c>
      <c r="R491" t="s">
        <v>3338</v>
      </c>
      <c r="S491" t="s">
        <v>3384</v>
      </c>
      <c r="T491" t="s">
        <v>2448</v>
      </c>
      <c r="U491">
        <v>356500</v>
      </c>
      <c r="V491" t="s">
        <v>3482</v>
      </c>
      <c r="W491" t="s">
        <v>3483</v>
      </c>
      <c r="X491" t="s">
        <v>3484</v>
      </c>
      <c r="Y491" t="s">
        <v>1890</v>
      </c>
      <c r="AA491" t="s">
        <v>1891</v>
      </c>
      <c r="AB491" t="s">
        <v>3485</v>
      </c>
      <c r="AC491">
        <v>99080</v>
      </c>
      <c r="AD491" t="s">
        <v>3486</v>
      </c>
      <c r="AE491">
        <v>-46.237544409999998</v>
      </c>
      <c r="AF491">
        <v>169.74358255000001</v>
      </c>
      <c r="AG491">
        <v>40</v>
      </c>
      <c r="AH491">
        <v>0</v>
      </c>
      <c r="AI491">
        <v>0</v>
      </c>
      <c r="AJ491">
        <v>0</v>
      </c>
      <c r="AK491">
        <v>7</v>
      </c>
      <c r="AL491">
        <v>6</v>
      </c>
      <c r="AM491">
        <v>13</v>
      </c>
      <c r="AN491">
        <v>0</v>
      </c>
      <c r="AO491">
        <v>26</v>
      </c>
      <c r="AP491">
        <v>13</v>
      </c>
      <c r="AQ491">
        <v>6</v>
      </c>
      <c r="AR491">
        <v>3</v>
      </c>
      <c r="AS491">
        <v>4</v>
      </c>
      <c r="AT491">
        <v>3</v>
      </c>
    </row>
    <row r="492" spans="1:46">
      <c r="A492">
        <v>5512</v>
      </c>
      <c r="B492" t="s">
        <v>3487</v>
      </c>
      <c r="C492" t="s">
        <v>3488</v>
      </c>
      <c r="D492" t="s">
        <v>3489</v>
      </c>
      <c r="E492" t="s">
        <v>3490</v>
      </c>
      <c r="G492" t="s">
        <v>3480</v>
      </c>
      <c r="H492" t="s">
        <v>517</v>
      </c>
      <c r="J492" t="s">
        <v>518</v>
      </c>
      <c r="K492" t="s">
        <v>519</v>
      </c>
      <c r="M492" t="s">
        <v>2287</v>
      </c>
      <c r="N492" t="s">
        <v>571</v>
      </c>
      <c r="O492" t="s">
        <v>3481</v>
      </c>
      <c r="P492" t="s">
        <v>523</v>
      </c>
      <c r="Q492" t="s">
        <v>3337</v>
      </c>
      <c r="R492" t="s">
        <v>3338</v>
      </c>
      <c r="S492" t="s">
        <v>3384</v>
      </c>
      <c r="T492" t="s">
        <v>2448</v>
      </c>
      <c r="U492">
        <v>356500</v>
      </c>
      <c r="V492" t="s">
        <v>3482</v>
      </c>
      <c r="W492" t="s">
        <v>3483</v>
      </c>
      <c r="X492" t="s">
        <v>3484</v>
      </c>
      <c r="Y492" t="s">
        <v>1890</v>
      </c>
      <c r="AA492" t="s">
        <v>1891</v>
      </c>
      <c r="AB492" t="s">
        <v>3485</v>
      </c>
      <c r="AC492">
        <v>99080</v>
      </c>
      <c r="AD492" t="s">
        <v>3486</v>
      </c>
      <c r="AE492">
        <v>-46.245009830000001</v>
      </c>
      <c r="AF492">
        <v>169.72527131000001</v>
      </c>
      <c r="AG492">
        <v>40</v>
      </c>
      <c r="AH492">
        <v>0</v>
      </c>
      <c r="AI492">
        <v>0</v>
      </c>
      <c r="AJ492">
        <v>0</v>
      </c>
      <c r="AK492">
        <v>5</v>
      </c>
      <c r="AL492">
        <v>15</v>
      </c>
      <c r="AM492">
        <v>15</v>
      </c>
      <c r="AN492">
        <v>0</v>
      </c>
      <c r="AO492">
        <v>35</v>
      </c>
      <c r="AP492">
        <v>27</v>
      </c>
      <c r="AQ492">
        <v>12</v>
      </c>
      <c r="AR492">
        <v>2</v>
      </c>
      <c r="AS492">
        <v>2</v>
      </c>
      <c r="AT492">
        <v>4</v>
      </c>
    </row>
    <row r="493" spans="1:46">
      <c r="A493">
        <v>5513</v>
      </c>
      <c r="B493" t="s">
        <v>3491</v>
      </c>
      <c r="C493" t="s">
        <v>3492</v>
      </c>
      <c r="D493" t="s">
        <v>3493</v>
      </c>
      <c r="E493" t="s">
        <v>3494</v>
      </c>
      <c r="G493" t="s">
        <v>3495</v>
      </c>
      <c r="H493" t="s">
        <v>517</v>
      </c>
      <c r="J493" t="s">
        <v>518</v>
      </c>
      <c r="K493" t="s">
        <v>519</v>
      </c>
      <c r="M493" t="s">
        <v>2287</v>
      </c>
      <c r="N493" t="s">
        <v>521</v>
      </c>
      <c r="O493" t="s">
        <v>3496</v>
      </c>
      <c r="P493" t="s">
        <v>523</v>
      </c>
      <c r="Q493" t="s">
        <v>3497</v>
      </c>
      <c r="R493" t="s">
        <v>3338</v>
      </c>
      <c r="S493" t="s">
        <v>3498</v>
      </c>
      <c r="T493" t="s">
        <v>2448</v>
      </c>
      <c r="U493">
        <v>363301</v>
      </c>
      <c r="V493" t="s">
        <v>3495</v>
      </c>
      <c r="W493" t="s">
        <v>1652</v>
      </c>
      <c r="X493" t="s">
        <v>3499</v>
      </c>
      <c r="Y493" t="s">
        <v>3500</v>
      </c>
      <c r="Z493" t="s">
        <v>3498</v>
      </c>
      <c r="AA493" t="s">
        <v>3501</v>
      </c>
      <c r="AB493" t="s">
        <v>3502</v>
      </c>
      <c r="AE493">
        <v>-46.600644789999997</v>
      </c>
      <c r="AF493">
        <v>168.33716720999999</v>
      </c>
      <c r="AG493">
        <v>30</v>
      </c>
      <c r="AH493">
        <v>0</v>
      </c>
      <c r="AI493">
        <v>0</v>
      </c>
      <c r="AJ493">
        <v>0</v>
      </c>
      <c r="AK493">
        <v>3</v>
      </c>
      <c r="AL493">
        <v>1</v>
      </c>
      <c r="AM493">
        <v>4</v>
      </c>
      <c r="AN493">
        <v>0</v>
      </c>
      <c r="AO493">
        <v>8</v>
      </c>
      <c r="AP493">
        <v>5</v>
      </c>
      <c r="AQ493">
        <v>6</v>
      </c>
      <c r="AR493">
        <v>1</v>
      </c>
      <c r="AS493">
        <v>0</v>
      </c>
      <c r="AT493">
        <v>0</v>
      </c>
    </row>
    <row r="494" spans="1:46">
      <c r="A494">
        <v>5514</v>
      </c>
      <c r="B494" t="s">
        <v>3503</v>
      </c>
      <c r="C494" t="s">
        <v>3504</v>
      </c>
      <c r="D494" t="s">
        <v>3505</v>
      </c>
      <c r="E494" t="s">
        <v>3506</v>
      </c>
      <c r="G494" t="s">
        <v>3498</v>
      </c>
      <c r="H494" t="s">
        <v>517</v>
      </c>
      <c r="J494" t="s">
        <v>518</v>
      </c>
      <c r="K494" t="s">
        <v>519</v>
      </c>
      <c r="M494" t="s">
        <v>2287</v>
      </c>
      <c r="N494" t="s">
        <v>521</v>
      </c>
      <c r="O494" t="s">
        <v>3496</v>
      </c>
      <c r="P494" t="s">
        <v>584</v>
      </c>
      <c r="Q494" t="s">
        <v>3497</v>
      </c>
      <c r="R494" t="s">
        <v>3338</v>
      </c>
      <c r="S494" t="s">
        <v>3498</v>
      </c>
      <c r="T494" t="s">
        <v>2448</v>
      </c>
      <c r="U494">
        <v>362901</v>
      </c>
      <c r="V494" t="s">
        <v>3507</v>
      </c>
      <c r="W494" t="s">
        <v>1652</v>
      </c>
      <c r="X494" t="s">
        <v>3499</v>
      </c>
      <c r="Y494" t="s">
        <v>3500</v>
      </c>
      <c r="Z494" t="s">
        <v>3498</v>
      </c>
      <c r="AA494" t="s">
        <v>3501</v>
      </c>
      <c r="AB494" t="s">
        <v>3502</v>
      </c>
      <c r="AC494">
        <v>99146</v>
      </c>
      <c r="AD494" t="s">
        <v>3508</v>
      </c>
      <c r="AE494">
        <v>-46.445080920000002</v>
      </c>
      <c r="AF494">
        <v>168.37247181999999</v>
      </c>
      <c r="AG494">
        <v>40</v>
      </c>
      <c r="AH494">
        <v>0</v>
      </c>
      <c r="AI494">
        <v>0</v>
      </c>
      <c r="AJ494">
        <v>0</v>
      </c>
      <c r="AK494">
        <v>5</v>
      </c>
      <c r="AL494">
        <v>10</v>
      </c>
      <c r="AM494">
        <v>13</v>
      </c>
      <c r="AN494">
        <v>0</v>
      </c>
      <c r="AO494">
        <v>28</v>
      </c>
      <c r="AP494">
        <v>23</v>
      </c>
      <c r="AQ494">
        <v>6</v>
      </c>
      <c r="AR494">
        <v>0</v>
      </c>
      <c r="AS494">
        <v>1</v>
      </c>
      <c r="AT494">
        <v>2</v>
      </c>
    </row>
    <row r="495" spans="1:46">
      <c r="A495">
        <v>5515</v>
      </c>
      <c r="B495" t="s">
        <v>3509</v>
      </c>
      <c r="C495" t="s">
        <v>3510</v>
      </c>
      <c r="D495" t="s">
        <v>3511</v>
      </c>
      <c r="E495" t="s">
        <v>3512</v>
      </c>
      <c r="G495" t="s">
        <v>3513</v>
      </c>
      <c r="H495" t="s">
        <v>517</v>
      </c>
      <c r="J495" t="s">
        <v>518</v>
      </c>
      <c r="K495" t="s">
        <v>519</v>
      </c>
      <c r="M495" t="s">
        <v>2287</v>
      </c>
      <c r="N495" t="s">
        <v>571</v>
      </c>
      <c r="O495" t="s">
        <v>3514</v>
      </c>
      <c r="P495" t="s">
        <v>523</v>
      </c>
      <c r="Q495" t="s">
        <v>3497</v>
      </c>
      <c r="R495" t="s">
        <v>3338</v>
      </c>
      <c r="S495" t="s">
        <v>3361</v>
      </c>
      <c r="T495" t="s">
        <v>2448</v>
      </c>
      <c r="U495">
        <v>360200</v>
      </c>
      <c r="V495" t="s">
        <v>3515</v>
      </c>
      <c r="W495" t="s">
        <v>3516</v>
      </c>
      <c r="X495" t="s">
        <v>3499</v>
      </c>
      <c r="Y495" t="s">
        <v>3500</v>
      </c>
      <c r="Z495" t="s">
        <v>3498</v>
      </c>
      <c r="AA495" t="s">
        <v>3501</v>
      </c>
      <c r="AB495" t="s">
        <v>3502</v>
      </c>
      <c r="AC495">
        <v>99055</v>
      </c>
      <c r="AD495" t="s">
        <v>3517</v>
      </c>
      <c r="AE495">
        <v>-46.104627030000003</v>
      </c>
      <c r="AF495">
        <v>168.93737467</v>
      </c>
      <c r="AG495">
        <v>45</v>
      </c>
      <c r="AH495">
        <v>0</v>
      </c>
      <c r="AI495">
        <v>0</v>
      </c>
      <c r="AJ495">
        <v>0</v>
      </c>
      <c r="AK495">
        <v>0</v>
      </c>
      <c r="AL495">
        <v>23</v>
      </c>
      <c r="AM495">
        <v>20</v>
      </c>
      <c r="AN495">
        <v>0</v>
      </c>
      <c r="AO495">
        <v>43</v>
      </c>
      <c r="AP495">
        <v>39</v>
      </c>
      <c r="AQ495">
        <v>8</v>
      </c>
      <c r="AR495">
        <v>0</v>
      </c>
      <c r="AS495">
        <v>2</v>
      </c>
      <c r="AT495">
        <v>1</v>
      </c>
    </row>
    <row r="496" spans="1:46">
      <c r="A496">
        <v>5516</v>
      </c>
      <c r="B496" t="s">
        <v>3518</v>
      </c>
      <c r="C496" t="s">
        <v>3519</v>
      </c>
      <c r="D496" t="s">
        <v>3520</v>
      </c>
      <c r="E496" t="s">
        <v>3521</v>
      </c>
      <c r="G496" t="s">
        <v>3498</v>
      </c>
      <c r="H496" t="s">
        <v>517</v>
      </c>
      <c r="J496" t="s">
        <v>518</v>
      </c>
      <c r="K496" t="s">
        <v>519</v>
      </c>
      <c r="M496" t="s">
        <v>2287</v>
      </c>
      <c r="N496" t="s">
        <v>539</v>
      </c>
      <c r="O496" t="s">
        <v>3496</v>
      </c>
      <c r="P496" t="s">
        <v>584</v>
      </c>
      <c r="Q496" t="s">
        <v>3497</v>
      </c>
      <c r="R496" t="s">
        <v>3338</v>
      </c>
      <c r="S496" t="s">
        <v>3498</v>
      </c>
      <c r="T496" t="s">
        <v>2448</v>
      </c>
      <c r="U496">
        <v>362501</v>
      </c>
      <c r="V496" t="s">
        <v>3522</v>
      </c>
      <c r="W496" t="s">
        <v>1652</v>
      </c>
      <c r="X496" t="s">
        <v>3499</v>
      </c>
      <c r="Y496" t="s">
        <v>3500</v>
      </c>
      <c r="Z496" t="s">
        <v>3498</v>
      </c>
      <c r="AA496" t="s">
        <v>3501</v>
      </c>
      <c r="AB496" t="s">
        <v>3502</v>
      </c>
      <c r="AC496">
        <v>99146</v>
      </c>
      <c r="AD496" t="s">
        <v>3508</v>
      </c>
      <c r="AE496">
        <v>-46.434045349999998</v>
      </c>
      <c r="AF496">
        <v>168.37718131</v>
      </c>
      <c r="AG496">
        <v>40</v>
      </c>
      <c r="AH496">
        <v>0</v>
      </c>
      <c r="AI496">
        <v>0</v>
      </c>
      <c r="AJ496">
        <v>0</v>
      </c>
      <c r="AK496">
        <v>6</v>
      </c>
      <c r="AL496">
        <v>7</v>
      </c>
      <c r="AM496">
        <v>7</v>
      </c>
      <c r="AN496">
        <v>0</v>
      </c>
      <c r="AO496">
        <v>20</v>
      </c>
      <c r="AP496">
        <v>16</v>
      </c>
      <c r="AQ496">
        <v>8</v>
      </c>
      <c r="AR496">
        <v>0</v>
      </c>
      <c r="AS496">
        <v>0</v>
      </c>
      <c r="AT496">
        <v>0</v>
      </c>
    </row>
    <row r="497" spans="1:46">
      <c r="A497">
        <v>5517</v>
      </c>
      <c r="B497" t="s">
        <v>3523</v>
      </c>
      <c r="C497" t="s">
        <v>3524</v>
      </c>
      <c r="E497" t="s">
        <v>3525</v>
      </c>
      <c r="G497" t="s">
        <v>3526</v>
      </c>
      <c r="H497" t="s">
        <v>517</v>
      </c>
      <c r="J497" t="s">
        <v>518</v>
      </c>
      <c r="K497" t="s">
        <v>519</v>
      </c>
      <c r="M497" t="s">
        <v>2287</v>
      </c>
      <c r="N497" t="s">
        <v>571</v>
      </c>
      <c r="O497" t="s">
        <v>3527</v>
      </c>
      <c r="P497" t="s">
        <v>523</v>
      </c>
      <c r="Q497" t="s">
        <v>3497</v>
      </c>
      <c r="R497" t="s">
        <v>3338</v>
      </c>
      <c r="S497" t="s">
        <v>3361</v>
      </c>
      <c r="T497" t="s">
        <v>2448</v>
      </c>
      <c r="U497">
        <v>357501</v>
      </c>
      <c r="V497" t="s">
        <v>3528</v>
      </c>
      <c r="W497" t="s">
        <v>3529</v>
      </c>
      <c r="X497" t="s">
        <v>3499</v>
      </c>
      <c r="Y497" t="s">
        <v>3500</v>
      </c>
      <c r="Z497" t="s">
        <v>3498</v>
      </c>
      <c r="AA497" t="s">
        <v>3501</v>
      </c>
      <c r="AB497" t="s">
        <v>3502</v>
      </c>
      <c r="AC497">
        <v>99041</v>
      </c>
      <c r="AD497" t="s">
        <v>3530</v>
      </c>
      <c r="AE497">
        <v>-45.41226623</v>
      </c>
      <c r="AF497">
        <v>167.71949083999999</v>
      </c>
      <c r="AG497">
        <v>40</v>
      </c>
      <c r="AH497">
        <v>0</v>
      </c>
      <c r="AI497">
        <v>0</v>
      </c>
      <c r="AJ497">
        <v>0</v>
      </c>
      <c r="AK497">
        <v>5</v>
      </c>
      <c r="AL497">
        <v>12</v>
      </c>
      <c r="AM497">
        <v>13</v>
      </c>
      <c r="AN497">
        <v>1</v>
      </c>
      <c r="AO497">
        <v>31</v>
      </c>
      <c r="AP497">
        <v>25</v>
      </c>
      <c r="AQ497">
        <v>7</v>
      </c>
      <c r="AR497">
        <v>1</v>
      </c>
      <c r="AS497">
        <v>1</v>
      </c>
      <c r="AT497">
        <v>3</v>
      </c>
    </row>
    <row r="498" spans="1:46">
      <c r="A498">
        <v>5518</v>
      </c>
      <c r="B498" t="s">
        <v>3531</v>
      </c>
      <c r="C498" t="s">
        <v>3532</v>
      </c>
      <c r="D498" t="s">
        <v>3533</v>
      </c>
      <c r="E498" t="s">
        <v>3534</v>
      </c>
      <c r="G498" t="s">
        <v>3498</v>
      </c>
      <c r="H498" t="s">
        <v>517</v>
      </c>
      <c r="J498" t="s">
        <v>518</v>
      </c>
      <c r="K498" t="s">
        <v>519</v>
      </c>
      <c r="M498" t="s">
        <v>2287</v>
      </c>
      <c r="N498" t="s">
        <v>557</v>
      </c>
      <c r="O498" t="s">
        <v>3496</v>
      </c>
      <c r="P498" t="s">
        <v>584</v>
      </c>
      <c r="Q498" t="s">
        <v>3497</v>
      </c>
      <c r="R498" t="s">
        <v>3338</v>
      </c>
      <c r="S498" t="s">
        <v>3498</v>
      </c>
      <c r="T498" t="s">
        <v>2448</v>
      </c>
      <c r="U498">
        <v>361701</v>
      </c>
      <c r="V498" t="s">
        <v>3535</v>
      </c>
      <c r="W498" t="s">
        <v>1652</v>
      </c>
      <c r="X498" t="s">
        <v>3499</v>
      </c>
      <c r="Y498" t="s">
        <v>3500</v>
      </c>
      <c r="Z498" t="s">
        <v>3498</v>
      </c>
      <c r="AA498" t="s">
        <v>3501</v>
      </c>
      <c r="AB498" t="s">
        <v>3502</v>
      </c>
      <c r="AC498">
        <v>99146</v>
      </c>
      <c r="AD498" t="s">
        <v>3508</v>
      </c>
      <c r="AE498">
        <v>-46.401400889999998</v>
      </c>
      <c r="AF498">
        <v>168.38733757</v>
      </c>
      <c r="AG498">
        <v>40</v>
      </c>
      <c r="AH498">
        <v>0</v>
      </c>
      <c r="AI498">
        <v>0</v>
      </c>
      <c r="AJ498">
        <v>0</v>
      </c>
      <c r="AK498">
        <v>8</v>
      </c>
      <c r="AL498">
        <v>8</v>
      </c>
      <c r="AM498">
        <v>10</v>
      </c>
      <c r="AN498">
        <v>0</v>
      </c>
      <c r="AO498">
        <v>26</v>
      </c>
      <c r="AP498">
        <v>25</v>
      </c>
      <c r="AQ498">
        <v>9</v>
      </c>
      <c r="AR498">
        <v>1</v>
      </c>
      <c r="AS498">
        <v>0</v>
      </c>
      <c r="AT498">
        <v>0</v>
      </c>
    </row>
    <row r="499" spans="1:46">
      <c r="A499">
        <v>5519</v>
      </c>
      <c r="B499" t="s">
        <v>3536</v>
      </c>
      <c r="C499" t="s">
        <v>3537</v>
      </c>
      <c r="D499" t="s">
        <v>3538</v>
      </c>
      <c r="E499" t="s">
        <v>3539</v>
      </c>
      <c r="G499" t="s">
        <v>3498</v>
      </c>
      <c r="H499" t="s">
        <v>517</v>
      </c>
      <c r="J499" t="s">
        <v>518</v>
      </c>
      <c r="K499" t="s">
        <v>519</v>
      </c>
      <c r="M499" t="s">
        <v>2287</v>
      </c>
      <c r="N499" t="s">
        <v>571</v>
      </c>
      <c r="O499" t="s">
        <v>3496</v>
      </c>
      <c r="P499" t="s">
        <v>584</v>
      </c>
      <c r="Q499" t="s">
        <v>3497</v>
      </c>
      <c r="R499" t="s">
        <v>3338</v>
      </c>
      <c r="S499" t="s">
        <v>3498</v>
      </c>
      <c r="T499" t="s">
        <v>2448</v>
      </c>
      <c r="U499">
        <v>360601</v>
      </c>
      <c r="V499" t="s">
        <v>3540</v>
      </c>
      <c r="W499" t="s">
        <v>1652</v>
      </c>
      <c r="X499" t="s">
        <v>3499</v>
      </c>
      <c r="Y499" t="s">
        <v>3500</v>
      </c>
      <c r="Z499" t="s">
        <v>3498</v>
      </c>
      <c r="AA499" t="s">
        <v>3501</v>
      </c>
      <c r="AB499" t="s">
        <v>3502</v>
      </c>
      <c r="AC499">
        <v>99146</v>
      </c>
      <c r="AD499" t="s">
        <v>3508</v>
      </c>
      <c r="AE499">
        <v>-46.383432880000001</v>
      </c>
      <c r="AF499">
        <v>168.33658273</v>
      </c>
      <c r="AG499">
        <v>39</v>
      </c>
      <c r="AH499">
        <v>0</v>
      </c>
      <c r="AI499">
        <v>0</v>
      </c>
      <c r="AJ499">
        <v>0</v>
      </c>
      <c r="AK499">
        <v>8</v>
      </c>
      <c r="AL499">
        <v>8</v>
      </c>
      <c r="AM499">
        <v>14</v>
      </c>
      <c r="AN499">
        <v>0</v>
      </c>
      <c r="AO499">
        <v>30</v>
      </c>
      <c r="AP499">
        <v>19</v>
      </c>
      <c r="AQ499">
        <v>9</v>
      </c>
      <c r="AR499">
        <v>1</v>
      </c>
      <c r="AS499">
        <v>4</v>
      </c>
      <c r="AT499">
        <v>2</v>
      </c>
    </row>
    <row r="500" spans="1:46">
      <c r="A500">
        <v>5520</v>
      </c>
      <c r="B500" t="s">
        <v>3541</v>
      </c>
      <c r="C500" t="s">
        <v>3542</v>
      </c>
      <c r="D500" t="s">
        <v>3543</v>
      </c>
      <c r="E500" t="s">
        <v>3544</v>
      </c>
      <c r="G500" t="s">
        <v>3498</v>
      </c>
      <c r="H500" t="s">
        <v>517</v>
      </c>
      <c r="J500" t="s">
        <v>518</v>
      </c>
      <c r="K500" t="s">
        <v>519</v>
      </c>
      <c r="M500" t="s">
        <v>2287</v>
      </c>
      <c r="N500" t="s">
        <v>521</v>
      </c>
      <c r="O500" t="s">
        <v>3496</v>
      </c>
      <c r="P500" t="s">
        <v>584</v>
      </c>
      <c r="Q500" t="s">
        <v>3497</v>
      </c>
      <c r="R500" t="s">
        <v>3338</v>
      </c>
      <c r="S500" t="s">
        <v>3498</v>
      </c>
      <c r="T500" t="s">
        <v>2448</v>
      </c>
      <c r="U500">
        <v>362201</v>
      </c>
      <c r="V500" t="s">
        <v>3545</v>
      </c>
      <c r="W500" t="s">
        <v>1652</v>
      </c>
      <c r="X500" t="s">
        <v>3499</v>
      </c>
      <c r="Y500" t="s">
        <v>3500</v>
      </c>
      <c r="Z500" t="s">
        <v>3498</v>
      </c>
      <c r="AA500" t="s">
        <v>3501</v>
      </c>
      <c r="AB500" t="s">
        <v>3502</v>
      </c>
      <c r="AC500">
        <v>99146</v>
      </c>
      <c r="AD500" t="s">
        <v>3508</v>
      </c>
      <c r="AE500">
        <v>-46.429159050000003</v>
      </c>
      <c r="AF500">
        <v>168.35421776999999</v>
      </c>
      <c r="AG500">
        <v>40</v>
      </c>
      <c r="AH500">
        <v>0</v>
      </c>
      <c r="AI500">
        <v>0</v>
      </c>
      <c r="AJ500">
        <v>0</v>
      </c>
      <c r="AK500">
        <v>3</v>
      </c>
      <c r="AL500">
        <v>3</v>
      </c>
      <c r="AM500">
        <v>11</v>
      </c>
      <c r="AN500">
        <v>2</v>
      </c>
      <c r="AO500">
        <v>19</v>
      </c>
      <c r="AP500">
        <v>6</v>
      </c>
      <c r="AQ500">
        <v>8</v>
      </c>
      <c r="AR500">
        <v>1</v>
      </c>
      <c r="AS500">
        <v>5</v>
      </c>
      <c r="AT500">
        <v>4</v>
      </c>
    </row>
    <row r="501" spans="1:46">
      <c r="A501">
        <v>5521</v>
      </c>
      <c r="B501" t="s">
        <v>3546</v>
      </c>
      <c r="C501" t="s">
        <v>3547</v>
      </c>
      <c r="D501" t="s">
        <v>3548</v>
      </c>
      <c r="E501" t="s">
        <v>3549</v>
      </c>
      <c r="G501" t="s">
        <v>3498</v>
      </c>
      <c r="H501" t="s">
        <v>517</v>
      </c>
      <c r="J501" t="s">
        <v>518</v>
      </c>
      <c r="K501" t="s">
        <v>519</v>
      </c>
      <c r="M501" t="s">
        <v>2287</v>
      </c>
      <c r="N501" t="s">
        <v>557</v>
      </c>
      <c r="O501" t="s">
        <v>3496</v>
      </c>
      <c r="P501" t="s">
        <v>584</v>
      </c>
      <c r="Q501" t="s">
        <v>3497</v>
      </c>
      <c r="R501" t="s">
        <v>3338</v>
      </c>
      <c r="S501" t="s">
        <v>3498</v>
      </c>
      <c r="T501" t="s">
        <v>2448</v>
      </c>
      <c r="U501">
        <v>361601</v>
      </c>
      <c r="V501" t="s">
        <v>3550</v>
      </c>
      <c r="W501" t="s">
        <v>1652</v>
      </c>
      <c r="X501" t="s">
        <v>3499</v>
      </c>
      <c r="Y501" t="s">
        <v>3500</v>
      </c>
      <c r="Z501" t="s">
        <v>3498</v>
      </c>
      <c r="AA501" t="s">
        <v>3501</v>
      </c>
      <c r="AB501" t="s">
        <v>3502</v>
      </c>
      <c r="AC501">
        <v>99146</v>
      </c>
      <c r="AD501" t="s">
        <v>3508</v>
      </c>
      <c r="AE501">
        <v>-46.406559180000002</v>
      </c>
      <c r="AF501">
        <v>168.3677332</v>
      </c>
      <c r="AG501">
        <v>40</v>
      </c>
      <c r="AH501">
        <v>0</v>
      </c>
      <c r="AI501">
        <v>0</v>
      </c>
      <c r="AJ501">
        <v>0</v>
      </c>
      <c r="AK501">
        <v>4</v>
      </c>
      <c r="AL501">
        <v>8</v>
      </c>
      <c r="AM501">
        <v>16</v>
      </c>
      <c r="AN501">
        <v>0</v>
      </c>
      <c r="AO501">
        <v>28</v>
      </c>
      <c r="AP501">
        <v>23</v>
      </c>
      <c r="AQ501">
        <v>11</v>
      </c>
      <c r="AR501">
        <v>2</v>
      </c>
      <c r="AS501">
        <v>5</v>
      </c>
      <c r="AT501">
        <v>0</v>
      </c>
    </row>
    <row r="502" spans="1:46">
      <c r="A502">
        <v>5522</v>
      </c>
      <c r="B502" t="s">
        <v>3551</v>
      </c>
      <c r="C502" t="s">
        <v>3552</v>
      </c>
      <c r="D502" t="s">
        <v>3553</v>
      </c>
      <c r="E502" t="s">
        <v>3554</v>
      </c>
      <c r="G502" t="s">
        <v>3498</v>
      </c>
      <c r="H502" t="s">
        <v>517</v>
      </c>
      <c r="J502" t="s">
        <v>518</v>
      </c>
      <c r="K502" t="s">
        <v>519</v>
      </c>
      <c r="M502" t="s">
        <v>2287</v>
      </c>
      <c r="N502" t="s">
        <v>539</v>
      </c>
      <c r="O502" t="s">
        <v>3496</v>
      </c>
      <c r="P502" t="s">
        <v>584</v>
      </c>
      <c r="Q502" t="s">
        <v>3497</v>
      </c>
      <c r="R502" t="s">
        <v>3338</v>
      </c>
      <c r="S502" t="s">
        <v>3498</v>
      </c>
      <c r="T502" t="s">
        <v>2448</v>
      </c>
      <c r="U502">
        <v>362401</v>
      </c>
      <c r="V502" t="s">
        <v>3555</v>
      </c>
      <c r="W502" t="s">
        <v>1652</v>
      </c>
      <c r="X502" t="s">
        <v>3499</v>
      </c>
      <c r="Y502" t="s">
        <v>3500</v>
      </c>
      <c r="Z502" t="s">
        <v>3498</v>
      </c>
      <c r="AA502" t="s">
        <v>3501</v>
      </c>
      <c r="AB502" t="s">
        <v>3502</v>
      </c>
      <c r="AC502">
        <v>99146</v>
      </c>
      <c r="AD502" t="s">
        <v>3508</v>
      </c>
      <c r="AE502">
        <v>-46.421966769999997</v>
      </c>
      <c r="AF502">
        <v>168.37972600000001</v>
      </c>
      <c r="AG502">
        <v>40</v>
      </c>
      <c r="AH502">
        <v>0</v>
      </c>
      <c r="AI502">
        <v>0</v>
      </c>
      <c r="AJ502">
        <v>0</v>
      </c>
      <c r="AK502">
        <v>6</v>
      </c>
      <c r="AL502">
        <v>6</v>
      </c>
      <c r="AM502">
        <v>11</v>
      </c>
      <c r="AN502">
        <v>1</v>
      </c>
      <c r="AO502">
        <v>24</v>
      </c>
      <c r="AP502">
        <v>15</v>
      </c>
      <c r="AQ502">
        <v>9</v>
      </c>
      <c r="AR502">
        <v>2</v>
      </c>
      <c r="AS502">
        <v>4</v>
      </c>
      <c r="AT502">
        <v>0</v>
      </c>
    </row>
    <row r="503" spans="1:46">
      <c r="A503">
        <v>5523</v>
      </c>
      <c r="B503" t="s">
        <v>3556</v>
      </c>
      <c r="C503" t="s">
        <v>3557</v>
      </c>
      <c r="D503" t="s">
        <v>3558</v>
      </c>
      <c r="E503" t="s">
        <v>3559</v>
      </c>
      <c r="G503" t="s">
        <v>3498</v>
      </c>
      <c r="H503" t="s">
        <v>517</v>
      </c>
      <c r="J503" t="s">
        <v>518</v>
      </c>
      <c r="K503" t="s">
        <v>519</v>
      </c>
      <c r="M503" t="s">
        <v>2287</v>
      </c>
      <c r="N503" t="s">
        <v>571</v>
      </c>
      <c r="O503" t="s">
        <v>3496</v>
      </c>
      <c r="P503" t="s">
        <v>584</v>
      </c>
      <c r="Q503" t="s">
        <v>3497</v>
      </c>
      <c r="R503" t="s">
        <v>3338</v>
      </c>
      <c r="S503" t="s">
        <v>3498</v>
      </c>
      <c r="T503" t="s">
        <v>2448</v>
      </c>
      <c r="U503">
        <v>360900</v>
      </c>
      <c r="V503" t="s">
        <v>3560</v>
      </c>
      <c r="W503" t="s">
        <v>1652</v>
      </c>
      <c r="X503" t="s">
        <v>3499</v>
      </c>
      <c r="Y503" t="s">
        <v>3500</v>
      </c>
      <c r="Z503" t="s">
        <v>3498</v>
      </c>
      <c r="AA503" t="s">
        <v>3501</v>
      </c>
      <c r="AB503" t="s">
        <v>3502</v>
      </c>
      <c r="AC503">
        <v>99146</v>
      </c>
      <c r="AD503" t="s">
        <v>3508</v>
      </c>
      <c r="AE503">
        <v>-46.4315231</v>
      </c>
      <c r="AF503">
        <v>168.29106501999999</v>
      </c>
      <c r="AG503">
        <v>40</v>
      </c>
      <c r="AH503">
        <v>0</v>
      </c>
      <c r="AI503">
        <v>0</v>
      </c>
      <c r="AJ503">
        <v>0</v>
      </c>
      <c r="AK503">
        <v>1</v>
      </c>
      <c r="AL503">
        <v>15</v>
      </c>
      <c r="AM503">
        <v>17</v>
      </c>
      <c r="AN503">
        <v>1</v>
      </c>
      <c r="AO503">
        <v>34</v>
      </c>
      <c r="AP503">
        <v>31</v>
      </c>
      <c r="AQ503">
        <v>11</v>
      </c>
      <c r="AR503">
        <v>1</v>
      </c>
      <c r="AS503">
        <v>1</v>
      </c>
      <c r="AT503">
        <v>0</v>
      </c>
    </row>
    <row r="504" spans="1:46">
      <c r="A504">
        <v>5524</v>
      </c>
      <c r="B504" t="s">
        <v>3561</v>
      </c>
      <c r="C504" t="s">
        <v>3562</v>
      </c>
      <c r="D504" t="s">
        <v>3563</v>
      </c>
      <c r="E504" t="s">
        <v>3564</v>
      </c>
      <c r="G504" t="s">
        <v>3513</v>
      </c>
      <c r="H504" t="s">
        <v>517</v>
      </c>
      <c r="J504" t="s">
        <v>518</v>
      </c>
      <c r="K504" t="s">
        <v>519</v>
      </c>
      <c r="M504" t="s">
        <v>2287</v>
      </c>
      <c r="N504" t="s">
        <v>571</v>
      </c>
      <c r="O504" t="s">
        <v>3514</v>
      </c>
      <c r="P504" t="s">
        <v>523</v>
      </c>
      <c r="Q504" t="s">
        <v>3497</v>
      </c>
      <c r="R504" t="s">
        <v>3338</v>
      </c>
      <c r="S504" t="s">
        <v>3361</v>
      </c>
      <c r="T504" t="s">
        <v>2448</v>
      </c>
      <c r="U504">
        <v>360000</v>
      </c>
      <c r="V504" t="s">
        <v>3565</v>
      </c>
      <c r="W504" t="s">
        <v>3516</v>
      </c>
      <c r="X504" t="s">
        <v>3499</v>
      </c>
      <c r="Y504" t="s">
        <v>3500</v>
      </c>
      <c r="Z504" t="s">
        <v>3498</v>
      </c>
      <c r="AA504" t="s">
        <v>3501</v>
      </c>
      <c r="AB504" t="s">
        <v>3502</v>
      </c>
      <c r="AC504">
        <v>99055</v>
      </c>
      <c r="AD504" t="s">
        <v>3517</v>
      </c>
      <c r="AE504">
        <v>-46.092690060000002</v>
      </c>
      <c r="AF504">
        <v>168.95830652000001</v>
      </c>
      <c r="AG504">
        <v>40</v>
      </c>
      <c r="AH504">
        <v>0</v>
      </c>
      <c r="AI504">
        <v>0</v>
      </c>
      <c r="AJ504">
        <v>0</v>
      </c>
      <c r="AK504">
        <v>0</v>
      </c>
      <c r="AL504">
        <v>14</v>
      </c>
      <c r="AM504">
        <v>19</v>
      </c>
      <c r="AN504">
        <v>0</v>
      </c>
      <c r="AO504">
        <v>33</v>
      </c>
      <c r="AP504">
        <v>29</v>
      </c>
      <c r="AQ504">
        <v>8</v>
      </c>
      <c r="AR504">
        <v>3</v>
      </c>
      <c r="AS504">
        <v>0</v>
      </c>
      <c r="AT504">
        <v>0</v>
      </c>
    </row>
    <row r="505" spans="1:46">
      <c r="A505">
        <v>5525</v>
      </c>
      <c r="B505" t="s">
        <v>3566</v>
      </c>
      <c r="C505" t="s">
        <v>3567</v>
      </c>
      <c r="D505" t="s">
        <v>3568</v>
      </c>
      <c r="E505" t="s">
        <v>3569</v>
      </c>
      <c r="G505" t="s">
        <v>3498</v>
      </c>
      <c r="H505" t="s">
        <v>517</v>
      </c>
      <c r="J505" t="s">
        <v>518</v>
      </c>
      <c r="K505" t="s">
        <v>519</v>
      </c>
      <c r="M505" t="s">
        <v>2287</v>
      </c>
      <c r="N505" t="s">
        <v>521</v>
      </c>
      <c r="O505" t="s">
        <v>3496</v>
      </c>
      <c r="P505" t="s">
        <v>584</v>
      </c>
      <c r="Q505" t="s">
        <v>3497</v>
      </c>
      <c r="R505" t="s">
        <v>3338</v>
      </c>
      <c r="S505" t="s">
        <v>3498</v>
      </c>
      <c r="T505" t="s">
        <v>2448</v>
      </c>
      <c r="U505">
        <v>362501</v>
      </c>
      <c r="V505" t="s">
        <v>3522</v>
      </c>
      <c r="W505" t="s">
        <v>1652</v>
      </c>
      <c r="X505" t="s">
        <v>3499</v>
      </c>
      <c r="Y505" t="s">
        <v>3500</v>
      </c>
      <c r="Z505" t="s">
        <v>3498</v>
      </c>
      <c r="AA505" t="s">
        <v>3501</v>
      </c>
      <c r="AB505" t="s">
        <v>3502</v>
      </c>
      <c r="AC505">
        <v>99146</v>
      </c>
      <c r="AD505" t="s">
        <v>3508</v>
      </c>
      <c r="AE505">
        <v>-46.431255610000001</v>
      </c>
      <c r="AF505">
        <v>168.36729803</v>
      </c>
      <c r="AG505">
        <v>40</v>
      </c>
      <c r="AH505">
        <v>0</v>
      </c>
      <c r="AI505">
        <v>0</v>
      </c>
      <c r="AJ505">
        <v>0</v>
      </c>
      <c r="AK505">
        <v>9</v>
      </c>
      <c r="AL505">
        <v>5</v>
      </c>
      <c r="AM505">
        <v>11</v>
      </c>
      <c r="AN505">
        <v>2</v>
      </c>
      <c r="AO505">
        <v>27</v>
      </c>
      <c r="AP505">
        <v>19</v>
      </c>
      <c r="AQ505">
        <v>6</v>
      </c>
      <c r="AR505">
        <v>4</v>
      </c>
      <c r="AS505">
        <v>2</v>
      </c>
      <c r="AT505">
        <v>4</v>
      </c>
    </row>
    <row r="506" spans="1:46">
      <c r="A506">
        <v>5526</v>
      </c>
      <c r="B506" t="s">
        <v>3570</v>
      </c>
      <c r="C506" t="s">
        <v>3571</v>
      </c>
      <c r="D506" t="s">
        <v>3572</v>
      </c>
      <c r="E506" t="s">
        <v>3573</v>
      </c>
      <c r="G506" t="s">
        <v>3574</v>
      </c>
      <c r="H506" t="s">
        <v>517</v>
      </c>
      <c r="J506" t="s">
        <v>518</v>
      </c>
      <c r="K506" t="s">
        <v>519</v>
      </c>
      <c r="M506" t="s">
        <v>2287</v>
      </c>
      <c r="N506" t="s">
        <v>571</v>
      </c>
      <c r="O506" t="s">
        <v>3527</v>
      </c>
      <c r="P506" t="s">
        <v>523</v>
      </c>
      <c r="Q506" t="s">
        <v>3497</v>
      </c>
      <c r="R506" t="s">
        <v>3338</v>
      </c>
      <c r="S506" t="s">
        <v>3498</v>
      </c>
      <c r="T506" t="s">
        <v>2448</v>
      </c>
      <c r="U506">
        <v>358801</v>
      </c>
      <c r="V506" t="s">
        <v>3574</v>
      </c>
      <c r="W506" t="s">
        <v>3575</v>
      </c>
      <c r="X506" t="s">
        <v>3499</v>
      </c>
      <c r="Y506" t="s">
        <v>3500</v>
      </c>
      <c r="Z506" t="s">
        <v>3498</v>
      </c>
      <c r="AA506" t="s">
        <v>3501</v>
      </c>
      <c r="AB506" t="s">
        <v>3502</v>
      </c>
      <c r="AE506">
        <v>-46.35145893</v>
      </c>
      <c r="AF506">
        <v>168.01643157000001</v>
      </c>
      <c r="AG506">
        <v>20</v>
      </c>
      <c r="AH506">
        <v>0</v>
      </c>
      <c r="AI506">
        <v>0</v>
      </c>
      <c r="AJ506">
        <v>0</v>
      </c>
      <c r="AK506">
        <v>4</v>
      </c>
      <c r="AL506">
        <v>12</v>
      </c>
      <c r="AM506">
        <v>14</v>
      </c>
      <c r="AN506">
        <v>0</v>
      </c>
      <c r="AO506">
        <v>30</v>
      </c>
      <c r="AP506">
        <v>26</v>
      </c>
      <c r="AQ506">
        <v>12</v>
      </c>
      <c r="AR506">
        <v>0</v>
      </c>
      <c r="AS506">
        <v>1</v>
      </c>
      <c r="AT506">
        <v>1</v>
      </c>
    </row>
    <row r="507" spans="1:46">
      <c r="A507">
        <v>5528</v>
      </c>
      <c r="B507" t="s">
        <v>3576</v>
      </c>
      <c r="C507" t="s">
        <v>3577</v>
      </c>
      <c r="D507" t="s">
        <v>3578</v>
      </c>
      <c r="E507" t="s">
        <v>3579</v>
      </c>
      <c r="G507" t="s">
        <v>3498</v>
      </c>
      <c r="H507" t="s">
        <v>517</v>
      </c>
      <c r="J507" t="s">
        <v>518</v>
      </c>
      <c r="K507" t="s">
        <v>519</v>
      </c>
      <c r="M507" t="s">
        <v>2287</v>
      </c>
      <c r="N507" t="s">
        <v>571</v>
      </c>
      <c r="O507" t="s">
        <v>3496</v>
      </c>
      <c r="P507" t="s">
        <v>584</v>
      </c>
      <c r="Q507" t="s">
        <v>3497</v>
      </c>
      <c r="R507" t="s">
        <v>3338</v>
      </c>
      <c r="S507" t="s">
        <v>3498</v>
      </c>
      <c r="T507" t="s">
        <v>2448</v>
      </c>
      <c r="U507">
        <v>360701</v>
      </c>
      <c r="V507" t="s">
        <v>3580</v>
      </c>
      <c r="W507" t="s">
        <v>1652</v>
      </c>
      <c r="X507" t="s">
        <v>3499</v>
      </c>
      <c r="Y507" t="s">
        <v>3500</v>
      </c>
      <c r="Z507" t="s">
        <v>3498</v>
      </c>
      <c r="AA507" t="s">
        <v>3501</v>
      </c>
      <c r="AB507" t="s">
        <v>3502</v>
      </c>
      <c r="AC507">
        <v>99146</v>
      </c>
      <c r="AD507" t="s">
        <v>3508</v>
      </c>
      <c r="AE507">
        <v>-46.375377090000001</v>
      </c>
      <c r="AF507">
        <v>168.34490435000001</v>
      </c>
      <c r="AG507">
        <v>45</v>
      </c>
      <c r="AH507">
        <v>0</v>
      </c>
      <c r="AI507">
        <v>0</v>
      </c>
      <c r="AJ507">
        <v>0</v>
      </c>
      <c r="AK507">
        <v>3</v>
      </c>
      <c r="AL507">
        <v>8</v>
      </c>
      <c r="AM507">
        <v>27</v>
      </c>
      <c r="AN507">
        <v>3</v>
      </c>
      <c r="AO507">
        <v>41</v>
      </c>
      <c r="AP507">
        <v>38</v>
      </c>
      <c r="AQ507">
        <v>13</v>
      </c>
      <c r="AR507">
        <v>0</v>
      </c>
      <c r="AS507">
        <v>4</v>
      </c>
      <c r="AT507">
        <v>1</v>
      </c>
    </row>
    <row r="508" spans="1:46">
      <c r="A508">
        <v>5529</v>
      </c>
      <c r="B508" t="s">
        <v>3581</v>
      </c>
      <c r="C508" t="s">
        <v>3582</v>
      </c>
      <c r="D508" t="s">
        <v>3583</v>
      </c>
      <c r="E508" t="s">
        <v>3584</v>
      </c>
      <c r="G508" t="s">
        <v>3498</v>
      </c>
      <c r="H508" t="s">
        <v>517</v>
      </c>
      <c r="J508" t="s">
        <v>518</v>
      </c>
      <c r="K508" t="s">
        <v>519</v>
      </c>
      <c r="M508" t="s">
        <v>2287</v>
      </c>
      <c r="N508" t="s">
        <v>571</v>
      </c>
      <c r="O508" t="s">
        <v>3496</v>
      </c>
      <c r="P508" t="s">
        <v>584</v>
      </c>
      <c r="Q508" t="s">
        <v>3497</v>
      </c>
      <c r="R508" t="s">
        <v>3338</v>
      </c>
      <c r="S508" t="s">
        <v>3498</v>
      </c>
      <c r="T508" t="s">
        <v>2448</v>
      </c>
      <c r="U508">
        <v>361501</v>
      </c>
      <c r="V508" t="s">
        <v>3585</v>
      </c>
      <c r="W508" t="s">
        <v>1652</v>
      </c>
      <c r="X508" t="s">
        <v>3499</v>
      </c>
      <c r="Y508" t="s">
        <v>3500</v>
      </c>
      <c r="Z508" t="s">
        <v>3498</v>
      </c>
      <c r="AA508" t="s">
        <v>3501</v>
      </c>
      <c r="AB508" t="s">
        <v>3502</v>
      </c>
      <c r="AC508">
        <v>99146</v>
      </c>
      <c r="AD508" t="s">
        <v>3508</v>
      </c>
      <c r="AE508">
        <v>-46.396693910000003</v>
      </c>
      <c r="AF508">
        <v>168.37472964</v>
      </c>
      <c r="AG508">
        <v>45</v>
      </c>
      <c r="AH508">
        <v>0</v>
      </c>
      <c r="AI508">
        <v>0</v>
      </c>
      <c r="AJ508">
        <v>0</v>
      </c>
      <c r="AK508">
        <v>0</v>
      </c>
      <c r="AL508">
        <v>20</v>
      </c>
      <c r="AM508">
        <v>25</v>
      </c>
      <c r="AN508">
        <v>0</v>
      </c>
      <c r="AO508">
        <v>45</v>
      </c>
      <c r="AP508">
        <v>36</v>
      </c>
      <c r="AQ508">
        <v>9</v>
      </c>
      <c r="AR508">
        <v>3</v>
      </c>
      <c r="AS508">
        <v>9</v>
      </c>
      <c r="AT508">
        <v>2</v>
      </c>
    </row>
    <row r="509" spans="1:46">
      <c r="A509">
        <v>5531</v>
      </c>
      <c r="B509" t="s">
        <v>3586</v>
      </c>
      <c r="C509" t="s">
        <v>3587</v>
      </c>
      <c r="D509" t="s">
        <v>3588</v>
      </c>
      <c r="E509" t="s">
        <v>3589</v>
      </c>
      <c r="G509" t="s">
        <v>3590</v>
      </c>
      <c r="H509" t="s">
        <v>517</v>
      </c>
      <c r="J509" t="s">
        <v>518</v>
      </c>
      <c r="K509" t="s">
        <v>519</v>
      </c>
      <c r="M509" t="s">
        <v>2287</v>
      </c>
      <c r="N509" t="s">
        <v>571</v>
      </c>
      <c r="O509" t="s">
        <v>3527</v>
      </c>
      <c r="P509" t="s">
        <v>523</v>
      </c>
      <c r="Q509" t="s">
        <v>3497</v>
      </c>
      <c r="R509" t="s">
        <v>3338</v>
      </c>
      <c r="S509" t="s">
        <v>3361</v>
      </c>
      <c r="T509" t="s">
        <v>2448</v>
      </c>
      <c r="U509">
        <v>358600</v>
      </c>
      <c r="V509" t="s">
        <v>3590</v>
      </c>
      <c r="W509" t="s">
        <v>3591</v>
      </c>
      <c r="X509" t="s">
        <v>3499</v>
      </c>
      <c r="Y509" t="s">
        <v>3500</v>
      </c>
      <c r="Z509" t="s">
        <v>3498</v>
      </c>
      <c r="AA509" t="s">
        <v>3501</v>
      </c>
      <c r="AB509" t="s">
        <v>3502</v>
      </c>
      <c r="AE509">
        <v>-46.143401279999999</v>
      </c>
      <c r="AF509">
        <v>168.32400754</v>
      </c>
      <c r="AG509">
        <v>45</v>
      </c>
      <c r="AH509">
        <v>0</v>
      </c>
      <c r="AI509">
        <v>0</v>
      </c>
      <c r="AJ509">
        <v>0</v>
      </c>
      <c r="AK509">
        <v>0</v>
      </c>
      <c r="AL509">
        <v>15</v>
      </c>
      <c r="AM509">
        <v>31</v>
      </c>
      <c r="AN509">
        <v>0</v>
      </c>
      <c r="AO509">
        <v>46</v>
      </c>
      <c r="AP509">
        <v>41</v>
      </c>
      <c r="AQ509">
        <v>10</v>
      </c>
      <c r="AR509">
        <v>0</v>
      </c>
      <c r="AS509">
        <v>2</v>
      </c>
      <c r="AT509">
        <v>0</v>
      </c>
    </row>
    <row r="510" spans="1:46">
      <c r="A510">
        <v>5532</v>
      </c>
      <c r="B510" t="s">
        <v>3592</v>
      </c>
      <c r="C510" t="s">
        <v>3593</v>
      </c>
      <c r="E510" t="s">
        <v>3594</v>
      </c>
      <c r="G510" t="s">
        <v>2357</v>
      </c>
      <c r="H510" t="s">
        <v>517</v>
      </c>
      <c r="J510" t="s">
        <v>518</v>
      </c>
      <c r="K510" t="s">
        <v>519</v>
      </c>
      <c r="M510" t="s">
        <v>2287</v>
      </c>
      <c r="N510" t="s">
        <v>557</v>
      </c>
      <c r="O510" t="s">
        <v>2358</v>
      </c>
      <c r="P510" t="s">
        <v>523</v>
      </c>
      <c r="Q510" t="s">
        <v>2319</v>
      </c>
      <c r="R510" t="s">
        <v>2289</v>
      </c>
      <c r="S510" t="s">
        <v>2269</v>
      </c>
      <c r="T510" t="s">
        <v>2085</v>
      </c>
      <c r="U510">
        <v>257100</v>
      </c>
      <c r="V510" t="s">
        <v>2359</v>
      </c>
      <c r="W510" t="s">
        <v>1652</v>
      </c>
      <c r="X510" t="s">
        <v>1889</v>
      </c>
      <c r="Y510" t="s">
        <v>1890</v>
      </c>
      <c r="AA510" t="s">
        <v>1891</v>
      </c>
      <c r="AB510" t="s">
        <v>1892</v>
      </c>
      <c r="AC510">
        <v>99109</v>
      </c>
      <c r="AD510" t="s">
        <v>2335</v>
      </c>
      <c r="AE510">
        <v>-41.033678530000003</v>
      </c>
      <c r="AF510">
        <v>175.51957780999999</v>
      </c>
      <c r="AG510">
        <v>32</v>
      </c>
      <c r="AH510">
        <v>0</v>
      </c>
      <c r="AI510">
        <v>0</v>
      </c>
      <c r="AJ510">
        <v>0</v>
      </c>
      <c r="AK510">
        <v>9</v>
      </c>
      <c r="AL510">
        <v>14</v>
      </c>
      <c r="AM510">
        <v>13</v>
      </c>
      <c r="AN510">
        <v>1</v>
      </c>
      <c r="AO510">
        <v>37</v>
      </c>
      <c r="AP510">
        <v>32</v>
      </c>
      <c r="AQ510">
        <v>10</v>
      </c>
      <c r="AR510">
        <v>3</v>
      </c>
      <c r="AS510">
        <v>2</v>
      </c>
      <c r="AT510">
        <v>0</v>
      </c>
    </row>
    <row r="511" spans="1:46">
      <c r="A511">
        <v>5533</v>
      </c>
      <c r="B511" t="s">
        <v>3595</v>
      </c>
      <c r="C511" t="s">
        <v>3596</v>
      </c>
      <c r="D511" t="s">
        <v>3597</v>
      </c>
      <c r="E511" t="s">
        <v>3598</v>
      </c>
      <c r="G511" t="s">
        <v>2031</v>
      </c>
      <c r="H511" t="s">
        <v>517</v>
      </c>
      <c r="J511" t="s">
        <v>518</v>
      </c>
      <c r="K511" t="s">
        <v>519</v>
      </c>
      <c r="M511" t="s">
        <v>1297</v>
      </c>
      <c r="N511" t="s">
        <v>571</v>
      </c>
      <c r="O511" t="s">
        <v>1967</v>
      </c>
      <c r="P511" t="s">
        <v>523</v>
      </c>
      <c r="Q511" t="s">
        <v>1636</v>
      </c>
      <c r="R511" t="s">
        <v>1760</v>
      </c>
      <c r="S511" t="s">
        <v>1637</v>
      </c>
      <c r="T511" t="s">
        <v>1485</v>
      </c>
      <c r="U511">
        <v>226701</v>
      </c>
      <c r="V511" t="s">
        <v>3599</v>
      </c>
      <c r="W511" t="s">
        <v>2033</v>
      </c>
      <c r="X511" t="s">
        <v>1958</v>
      </c>
      <c r="Y511" t="s">
        <v>1959</v>
      </c>
      <c r="AA511" t="s">
        <v>1960</v>
      </c>
      <c r="AB511" t="s">
        <v>1961</v>
      </c>
      <c r="AC511">
        <v>99078</v>
      </c>
      <c r="AD511" t="s">
        <v>1969</v>
      </c>
      <c r="AE511">
        <v>-40.066534179999998</v>
      </c>
      <c r="AF511">
        <v>175.37542980000001</v>
      </c>
      <c r="AG511">
        <v>40</v>
      </c>
      <c r="AH511">
        <v>0</v>
      </c>
      <c r="AI511">
        <v>0</v>
      </c>
      <c r="AJ511">
        <v>0</v>
      </c>
      <c r="AK511">
        <v>4</v>
      </c>
      <c r="AL511">
        <v>15</v>
      </c>
      <c r="AM511">
        <v>30</v>
      </c>
      <c r="AN511">
        <v>1</v>
      </c>
      <c r="AO511">
        <v>50</v>
      </c>
      <c r="AP511">
        <v>32</v>
      </c>
      <c r="AQ511">
        <v>23</v>
      </c>
      <c r="AR511">
        <v>8</v>
      </c>
      <c r="AS511">
        <v>6</v>
      </c>
      <c r="AT511">
        <v>1</v>
      </c>
    </row>
    <row r="512" spans="1:46">
      <c r="A512">
        <v>5534</v>
      </c>
      <c r="B512" t="s">
        <v>3600</v>
      </c>
      <c r="C512" t="s">
        <v>3601</v>
      </c>
      <c r="D512" t="s">
        <v>3602</v>
      </c>
      <c r="E512" t="s">
        <v>3603</v>
      </c>
      <c r="G512" t="s">
        <v>1974</v>
      </c>
      <c r="H512" t="s">
        <v>517</v>
      </c>
      <c r="J512" t="s">
        <v>518</v>
      </c>
      <c r="K512" t="s">
        <v>519</v>
      </c>
      <c r="M512" t="s">
        <v>1297</v>
      </c>
      <c r="N512" t="s">
        <v>571</v>
      </c>
      <c r="O512" t="s">
        <v>1956</v>
      </c>
      <c r="P512" t="s">
        <v>584</v>
      </c>
      <c r="Q512" t="s">
        <v>1636</v>
      </c>
      <c r="R512" t="s">
        <v>1760</v>
      </c>
      <c r="S512" t="s">
        <v>1974</v>
      </c>
      <c r="T512" t="s">
        <v>1485</v>
      </c>
      <c r="U512">
        <v>231400</v>
      </c>
      <c r="V512" t="s">
        <v>3604</v>
      </c>
      <c r="W512" t="s">
        <v>1957</v>
      </c>
      <c r="X512" t="s">
        <v>1958</v>
      </c>
      <c r="Y512" t="s">
        <v>1959</v>
      </c>
      <c r="AA512" t="s">
        <v>1960</v>
      </c>
      <c r="AB512" t="s">
        <v>1961</v>
      </c>
      <c r="AC512">
        <v>99165</v>
      </c>
      <c r="AD512" t="s">
        <v>1976</v>
      </c>
      <c r="AE512">
        <v>-40.357321280000001</v>
      </c>
      <c r="AF512">
        <v>175.62269645000001</v>
      </c>
      <c r="AG512">
        <v>40</v>
      </c>
      <c r="AH512">
        <v>0</v>
      </c>
      <c r="AI512">
        <v>0</v>
      </c>
      <c r="AJ512">
        <v>0</v>
      </c>
      <c r="AK512">
        <v>2</v>
      </c>
      <c r="AL512">
        <v>18</v>
      </c>
      <c r="AM512">
        <v>29</v>
      </c>
      <c r="AN512">
        <v>1</v>
      </c>
      <c r="AO512">
        <v>50</v>
      </c>
      <c r="AP512">
        <v>30</v>
      </c>
      <c r="AQ512">
        <v>7</v>
      </c>
      <c r="AR512">
        <v>7</v>
      </c>
      <c r="AS512">
        <v>15</v>
      </c>
      <c r="AT512">
        <v>2</v>
      </c>
    </row>
    <row r="513" spans="1:46">
      <c r="A513">
        <v>5535</v>
      </c>
      <c r="B513" t="s">
        <v>3605</v>
      </c>
      <c r="C513" t="s">
        <v>3606</v>
      </c>
      <c r="D513" t="s">
        <v>2938</v>
      </c>
      <c r="E513" t="s">
        <v>3607</v>
      </c>
      <c r="G513" t="s">
        <v>3608</v>
      </c>
      <c r="H513" t="s">
        <v>517</v>
      </c>
      <c r="J513" t="s">
        <v>518</v>
      </c>
      <c r="K513" t="s">
        <v>519</v>
      </c>
      <c r="M513" t="s">
        <v>2287</v>
      </c>
      <c r="N513" t="s">
        <v>571</v>
      </c>
      <c r="O513" t="s">
        <v>2942</v>
      </c>
      <c r="P513" t="s">
        <v>654</v>
      </c>
      <c r="Q513" t="s">
        <v>2943</v>
      </c>
      <c r="R513" t="s">
        <v>2944</v>
      </c>
      <c r="S513" t="s">
        <v>2965</v>
      </c>
      <c r="T513" t="s">
        <v>2448</v>
      </c>
      <c r="U513">
        <v>317301</v>
      </c>
      <c r="V513" t="s">
        <v>3609</v>
      </c>
      <c r="W513" t="s">
        <v>2986</v>
      </c>
      <c r="X513" t="s">
        <v>2948</v>
      </c>
      <c r="Y513" t="s">
        <v>2949</v>
      </c>
      <c r="Z513" t="s">
        <v>2950</v>
      </c>
      <c r="AA513" t="s">
        <v>2951</v>
      </c>
      <c r="AB513" t="s">
        <v>2952</v>
      </c>
      <c r="AE513">
        <v>-43.454814659999997</v>
      </c>
      <c r="AF513">
        <v>172.62780427000001</v>
      </c>
      <c r="AG513">
        <v>40</v>
      </c>
      <c r="AH513">
        <v>0</v>
      </c>
      <c r="AI513">
        <v>0</v>
      </c>
      <c r="AJ513">
        <v>0</v>
      </c>
      <c r="AK513">
        <v>6</v>
      </c>
      <c r="AL513">
        <v>20</v>
      </c>
      <c r="AM513">
        <v>13</v>
      </c>
      <c r="AN513">
        <v>1</v>
      </c>
      <c r="AO513">
        <v>40</v>
      </c>
      <c r="AP513">
        <v>30</v>
      </c>
      <c r="AQ513">
        <v>7</v>
      </c>
      <c r="AR513">
        <v>2</v>
      </c>
      <c r="AS513">
        <v>6</v>
      </c>
      <c r="AT513">
        <v>2</v>
      </c>
    </row>
    <row r="514" spans="1:46">
      <c r="A514">
        <v>5536</v>
      </c>
      <c r="B514" t="s">
        <v>3610</v>
      </c>
      <c r="C514" t="s">
        <v>3611</v>
      </c>
      <c r="D514" t="s">
        <v>3612</v>
      </c>
      <c r="E514" t="s">
        <v>3613</v>
      </c>
      <c r="G514" t="s">
        <v>3498</v>
      </c>
      <c r="H514" t="s">
        <v>517</v>
      </c>
      <c r="J514" t="s">
        <v>518</v>
      </c>
      <c r="K514" t="s">
        <v>519</v>
      </c>
      <c r="M514" t="s">
        <v>2287</v>
      </c>
      <c r="N514" t="s">
        <v>571</v>
      </c>
      <c r="O514" t="s">
        <v>3496</v>
      </c>
      <c r="P514" t="s">
        <v>584</v>
      </c>
      <c r="Q514" t="s">
        <v>3497</v>
      </c>
      <c r="R514" t="s">
        <v>3338</v>
      </c>
      <c r="S514" t="s">
        <v>3498</v>
      </c>
      <c r="T514" t="s">
        <v>2448</v>
      </c>
      <c r="U514">
        <v>361100</v>
      </c>
      <c r="V514" t="s">
        <v>3614</v>
      </c>
      <c r="W514" t="s">
        <v>1652</v>
      </c>
      <c r="X514" t="s">
        <v>3499</v>
      </c>
      <c r="Y514" t="s">
        <v>3500</v>
      </c>
      <c r="Z514" t="s">
        <v>3498</v>
      </c>
      <c r="AA514" t="s">
        <v>3501</v>
      </c>
      <c r="AB514" t="s">
        <v>3502</v>
      </c>
      <c r="AC514">
        <v>99146</v>
      </c>
      <c r="AD514" t="s">
        <v>3508</v>
      </c>
      <c r="AE514">
        <v>-46.391006249999997</v>
      </c>
      <c r="AF514">
        <v>168.36012162</v>
      </c>
      <c r="AG514">
        <v>40</v>
      </c>
      <c r="AH514">
        <v>0</v>
      </c>
      <c r="AI514">
        <v>0</v>
      </c>
      <c r="AJ514">
        <v>0</v>
      </c>
      <c r="AK514">
        <v>0</v>
      </c>
      <c r="AL514">
        <v>13</v>
      </c>
      <c r="AM514">
        <v>22</v>
      </c>
      <c r="AN514">
        <v>0</v>
      </c>
      <c r="AO514">
        <v>35</v>
      </c>
      <c r="AP514">
        <v>30</v>
      </c>
      <c r="AQ514">
        <v>8</v>
      </c>
      <c r="AR514">
        <v>2</v>
      </c>
      <c r="AS514">
        <v>2</v>
      </c>
      <c r="AT514">
        <v>2</v>
      </c>
    </row>
    <row r="515" spans="1:46">
      <c r="A515">
        <v>5537</v>
      </c>
      <c r="B515" t="s">
        <v>3615</v>
      </c>
      <c r="C515" t="s">
        <v>3616</v>
      </c>
      <c r="D515" t="s">
        <v>3617</v>
      </c>
      <c r="E515" t="s">
        <v>3618</v>
      </c>
      <c r="F515" t="s">
        <v>2578</v>
      </c>
      <c r="G515" t="s">
        <v>2526</v>
      </c>
      <c r="H515" t="s">
        <v>517</v>
      </c>
      <c r="J515" t="s">
        <v>518</v>
      </c>
      <c r="K515" t="s">
        <v>519</v>
      </c>
      <c r="M515" t="s">
        <v>2287</v>
      </c>
      <c r="N515" t="s">
        <v>571</v>
      </c>
      <c r="O515" t="s">
        <v>2527</v>
      </c>
      <c r="P515" t="s">
        <v>584</v>
      </c>
      <c r="Q515" t="s">
        <v>2319</v>
      </c>
      <c r="R515" t="s">
        <v>2289</v>
      </c>
      <c r="S515" t="s">
        <v>2528</v>
      </c>
      <c r="T515" t="s">
        <v>1485</v>
      </c>
      <c r="U515">
        <v>240401</v>
      </c>
      <c r="V515" t="s">
        <v>2578</v>
      </c>
      <c r="W515" t="s">
        <v>2579</v>
      </c>
      <c r="X515" t="s">
        <v>1889</v>
      </c>
      <c r="Y515" t="s">
        <v>1890</v>
      </c>
      <c r="AA515" t="s">
        <v>1891</v>
      </c>
      <c r="AB515" t="s">
        <v>1892</v>
      </c>
      <c r="AC515">
        <v>99068</v>
      </c>
      <c r="AD515" t="s">
        <v>2530</v>
      </c>
      <c r="AE515">
        <v>-41.119627399999999</v>
      </c>
      <c r="AF515">
        <v>174.8902726</v>
      </c>
      <c r="AG515">
        <v>43</v>
      </c>
      <c r="AH515">
        <v>0</v>
      </c>
      <c r="AI515">
        <v>0</v>
      </c>
      <c r="AJ515">
        <v>0</v>
      </c>
      <c r="AK515">
        <v>13</v>
      </c>
      <c r="AL515">
        <v>12</v>
      </c>
      <c r="AM515">
        <v>18</v>
      </c>
      <c r="AN515">
        <v>0</v>
      </c>
      <c r="AO515">
        <v>43</v>
      </c>
      <c r="AP515">
        <v>29</v>
      </c>
      <c r="AQ515">
        <v>5</v>
      </c>
      <c r="AR515">
        <v>7</v>
      </c>
      <c r="AS515">
        <v>4</v>
      </c>
      <c r="AT515">
        <v>8</v>
      </c>
    </row>
    <row r="516" spans="1:46">
      <c r="A516">
        <v>5538</v>
      </c>
      <c r="B516" t="s">
        <v>3619</v>
      </c>
      <c r="C516" t="s">
        <v>3620</v>
      </c>
      <c r="D516" t="s">
        <v>3621</v>
      </c>
      <c r="E516" t="s">
        <v>3622</v>
      </c>
      <c r="G516" t="s">
        <v>3623</v>
      </c>
      <c r="H516" t="s">
        <v>517</v>
      </c>
      <c r="J516" t="s">
        <v>518</v>
      </c>
      <c r="K516" t="s">
        <v>519</v>
      </c>
      <c r="M516" t="s">
        <v>520</v>
      </c>
      <c r="N516" t="s">
        <v>571</v>
      </c>
      <c r="O516" t="s">
        <v>653</v>
      </c>
      <c r="P516" t="s">
        <v>584</v>
      </c>
      <c r="Q516" t="s">
        <v>638</v>
      </c>
      <c r="R516" t="s">
        <v>639</v>
      </c>
      <c r="S516" t="s">
        <v>668</v>
      </c>
      <c r="T516" t="s">
        <v>527</v>
      </c>
      <c r="U516">
        <v>115800</v>
      </c>
      <c r="V516" t="s">
        <v>3624</v>
      </c>
      <c r="W516" t="s">
        <v>657</v>
      </c>
      <c r="X516" t="s">
        <v>658</v>
      </c>
      <c r="Y516" t="s">
        <v>659</v>
      </c>
      <c r="Z516" t="s">
        <v>660</v>
      </c>
      <c r="AA516" t="s">
        <v>661</v>
      </c>
      <c r="AC516">
        <v>99095</v>
      </c>
      <c r="AD516" t="s">
        <v>701</v>
      </c>
      <c r="AE516">
        <v>-36.636909369999998</v>
      </c>
      <c r="AF516">
        <v>174.755436</v>
      </c>
      <c r="AG516">
        <v>40</v>
      </c>
      <c r="AH516">
        <v>0</v>
      </c>
      <c r="AI516">
        <v>0</v>
      </c>
      <c r="AJ516">
        <v>0</v>
      </c>
      <c r="AK516">
        <v>0</v>
      </c>
      <c r="AL516">
        <v>18</v>
      </c>
      <c r="AM516">
        <v>27</v>
      </c>
      <c r="AN516">
        <v>5</v>
      </c>
      <c r="AO516">
        <v>50</v>
      </c>
      <c r="AP516">
        <v>49</v>
      </c>
      <c r="AQ516">
        <v>8</v>
      </c>
      <c r="AR516">
        <v>5</v>
      </c>
      <c r="AS516">
        <v>6</v>
      </c>
      <c r="AT516">
        <v>1</v>
      </c>
    </row>
    <row r="517" spans="1:46">
      <c r="A517">
        <v>5539</v>
      </c>
      <c r="B517" t="s">
        <v>3625</v>
      </c>
      <c r="C517" t="s">
        <v>3626</v>
      </c>
      <c r="D517" t="s">
        <v>3627</v>
      </c>
      <c r="E517" t="s">
        <v>3628</v>
      </c>
      <c r="F517" t="s">
        <v>3629</v>
      </c>
      <c r="G517" t="s">
        <v>2119</v>
      </c>
      <c r="H517" t="s">
        <v>517</v>
      </c>
      <c r="J517" t="s">
        <v>518</v>
      </c>
      <c r="K517" t="s">
        <v>519</v>
      </c>
      <c r="M517" t="s">
        <v>1297</v>
      </c>
      <c r="N517" t="s">
        <v>571</v>
      </c>
      <c r="O517" t="s">
        <v>2131</v>
      </c>
      <c r="P517" t="s">
        <v>584</v>
      </c>
      <c r="Q517" t="s">
        <v>2118</v>
      </c>
      <c r="R517" t="s">
        <v>2084</v>
      </c>
      <c r="S517" t="s">
        <v>2119</v>
      </c>
      <c r="T517" t="s">
        <v>2085</v>
      </c>
      <c r="U517">
        <v>214500</v>
      </c>
      <c r="V517" t="s">
        <v>3630</v>
      </c>
      <c r="W517" t="s">
        <v>2132</v>
      </c>
      <c r="X517" t="s">
        <v>2120</v>
      </c>
      <c r="Y517" t="s">
        <v>2121</v>
      </c>
      <c r="Z517" t="s">
        <v>2122</v>
      </c>
      <c r="AA517" t="s">
        <v>2123</v>
      </c>
      <c r="AB517" t="s">
        <v>2124</v>
      </c>
      <c r="AC517">
        <v>99003</v>
      </c>
      <c r="AD517" t="s">
        <v>2147</v>
      </c>
      <c r="AE517">
        <v>-39.494764969999999</v>
      </c>
      <c r="AF517">
        <v>176.902523</v>
      </c>
      <c r="AG517">
        <v>43</v>
      </c>
      <c r="AH517">
        <v>0</v>
      </c>
      <c r="AI517">
        <v>0</v>
      </c>
      <c r="AJ517">
        <v>0</v>
      </c>
      <c r="AK517">
        <v>9</v>
      </c>
      <c r="AL517">
        <v>16</v>
      </c>
      <c r="AM517">
        <v>18</v>
      </c>
      <c r="AN517">
        <v>1</v>
      </c>
      <c r="AO517">
        <v>44</v>
      </c>
      <c r="AP517">
        <v>41</v>
      </c>
      <c r="AQ517">
        <v>7</v>
      </c>
      <c r="AR517">
        <v>1</v>
      </c>
      <c r="AS517">
        <v>2</v>
      </c>
      <c r="AT517">
        <v>3</v>
      </c>
    </row>
    <row r="518" spans="1:46">
      <c r="A518">
        <v>5541</v>
      </c>
      <c r="B518" t="s">
        <v>3631</v>
      </c>
      <c r="C518" t="s">
        <v>3632</v>
      </c>
      <c r="D518" t="s">
        <v>3633</v>
      </c>
      <c r="E518" t="s">
        <v>3634</v>
      </c>
      <c r="F518" t="s">
        <v>3635</v>
      </c>
      <c r="G518" t="s">
        <v>1757</v>
      </c>
      <c r="H518" t="s">
        <v>517</v>
      </c>
      <c r="J518" t="s">
        <v>518</v>
      </c>
      <c r="K518" t="s">
        <v>519</v>
      </c>
      <c r="M518" t="s">
        <v>1297</v>
      </c>
      <c r="N518" t="s">
        <v>571</v>
      </c>
      <c r="O518" t="s">
        <v>1758</v>
      </c>
      <c r="P518" t="s">
        <v>584</v>
      </c>
      <c r="Q518" t="s">
        <v>1759</v>
      </c>
      <c r="R518" t="s">
        <v>1760</v>
      </c>
      <c r="S518" t="s">
        <v>1757</v>
      </c>
      <c r="T518" t="s">
        <v>1485</v>
      </c>
      <c r="U518">
        <v>218001</v>
      </c>
      <c r="V518" t="s">
        <v>3635</v>
      </c>
      <c r="W518" t="s">
        <v>1762</v>
      </c>
      <c r="X518" t="s">
        <v>1763</v>
      </c>
      <c r="Y518" t="s">
        <v>1764</v>
      </c>
      <c r="AA518" t="s">
        <v>1765</v>
      </c>
      <c r="AB518" t="s">
        <v>1766</v>
      </c>
      <c r="AE518">
        <v>-39.087876530000003</v>
      </c>
      <c r="AF518">
        <v>174.07016045</v>
      </c>
      <c r="AG518">
        <v>45</v>
      </c>
      <c r="AH518">
        <v>0</v>
      </c>
      <c r="AI518">
        <v>0</v>
      </c>
      <c r="AJ518">
        <v>0</v>
      </c>
      <c r="AK518">
        <v>6</v>
      </c>
      <c r="AL518">
        <v>27</v>
      </c>
      <c r="AM518">
        <v>21</v>
      </c>
      <c r="AN518">
        <v>1</v>
      </c>
      <c r="AO518">
        <v>55</v>
      </c>
      <c r="AP518">
        <v>47</v>
      </c>
      <c r="AQ518">
        <v>13</v>
      </c>
      <c r="AR518">
        <v>1</v>
      </c>
      <c r="AS518">
        <v>8</v>
      </c>
      <c r="AT518">
        <v>1</v>
      </c>
    </row>
    <row r="519" spans="1:46">
      <c r="A519">
        <v>5542</v>
      </c>
      <c r="B519" t="s">
        <v>3636</v>
      </c>
      <c r="C519" t="s">
        <v>3329</v>
      </c>
      <c r="D519" t="s">
        <v>3320</v>
      </c>
      <c r="E519" t="s">
        <v>3327</v>
      </c>
      <c r="G519" t="s">
        <v>3637</v>
      </c>
      <c r="H519" t="s">
        <v>517</v>
      </c>
      <c r="J519" t="s">
        <v>518</v>
      </c>
      <c r="K519" t="s">
        <v>519</v>
      </c>
      <c r="M519" t="s">
        <v>2287</v>
      </c>
      <c r="N519" t="s">
        <v>557</v>
      </c>
      <c r="O519" t="s">
        <v>3323</v>
      </c>
      <c r="P519" t="s">
        <v>523</v>
      </c>
      <c r="Q519" t="s">
        <v>2943</v>
      </c>
      <c r="R519" t="s">
        <v>2944</v>
      </c>
      <c r="S519" t="s">
        <v>3250</v>
      </c>
      <c r="T519" t="s">
        <v>2448</v>
      </c>
      <c r="U519">
        <v>342800</v>
      </c>
      <c r="V519" t="s">
        <v>3638</v>
      </c>
      <c r="W519" t="s">
        <v>3639</v>
      </c>
      <c r="X519" t="s">
        <v>3326</v>
      </c>
      <c r="Y519" t="s">
        <v>3327</v>
      </c>
      <c r="AA519" t="s">
        <v>3328</v>
      </c>
      <c r="AB519" t="s">
        <v>3329</v>
      </c>
      <c r="AC519">
        <v>99040</v>
      </c>
      <c r="AD519" t="s">
        <v>3330</v>
      </c>
      <c r="AE519">
        <v>-44.734276209999997</v>
      </c>
      <c r="AF519">
        <v>171.04854857999999</v>
      </c>
      <c r="AG519">
        <v>30</v>
      </c>
      <c r="AH519">
        <v>0</v>
      </c>
      <c r="AI519">
        <v>0</v>
      </c>
      <c r="AJ519">
        <v>0</v>
      </c>
      <c r="AK519">
        <v>4</v>
      </c>
      <c r="AL519">
        <v>10</v>
      </c>
      <c r="AM519">
        <v>19</v>
      </c>
      <c r="AN519">
        <v>0</v>
      </c>
      <c r="AO519">
        <v>33</v>
      </c>
      <c r="AP519">
        <v>22</v>
      </c>
      <c r="AQ519">
        <v>3</v>
      </c>
      <c r="AR519">
        <v>0</v>
      </c>
      <c r="AS519">
        <v>10</v>
      </c>
      <c r="AT519">
        <v>0</v>
      </c>
    </row>
    <row r="520" spans="1:46">
      <c r="A520">
        <v>5544</v>
      </c>
      <c r="B520" t="s">
        <v>3640</v>
      </c>
      <c r="C520" t="s">
        <v>3641</v>
      </c>
      <c r="D520" t="s">
        <v>3642</v>
      </c>
      <c r="E520" t="s">
        <v>3643</v>
      </c>
      <c r="G520" t="s">
        <v>2725</v>
      </c>
      <c r="H520" t="s">
        <v>517</v>
      </c>
      <c r="I520" t="s">
        <v>3644</v>
      </c>
      <c r="J520" t="s">
        <v>518</v>
      </c>
      <c r="K520" t="s">
        <v>519</v>
      </c>
      <c r="M520" t="s">
        <v>2287</v>
      </c>
      <c r="N520" t="s">
        <v>521</v>
      </c>
      <c r="O520" t="s">
        <v>2066</v>
      </c>
      <c r="P520" t="s">
        <v>1262</v>
      </c>
      <c r="Q520" t="s">
        <v>1636</v>
      </c>
      <c r="R520" t="s">
        <v>2289</v>
      </c>
      <c r="S520" t="s">
        <v>2067</v>
      </c>
      <c r="T520" t="s">
        <v>1485</v>
      </c>
      <c r="U520">
        <v>235200</v>
      </c>
      <c r="V520" t="s">
        <v>3645</v>
      </c>
      <c r="W520" t="s">
        <v>2727</v>
      </c>
      <c r="X520" t="s">
        <v>1889</v>
      </c>
      <c r="Y520" t="s">
        <v>1890</v>
      </c>
      <c r="AA520" t="s">
        <v>1891</v>
      </c>
      <c r="AB520" t="s">
        <v>1892</v>
      </c>
      <c r="AC520">
        <v>99058</v>
      </c>
      <c r="AD520" t="s">
        <v>2728</v>
      </c>
      <c r="AE520">
        <v>-40.624824529999998</v>
      </c>
      <c r="AF520">
        <v>175.28608553999999</v>
      </c>
      <c r="AG520">
        <v>45</v>
      </c>
      <c r="AH520">
        <v>12</v>
      </c>
      <c r="AI520">
        <v>0</v>
      </c>
      <c r="AJ520">
        <v>6</v>
      </c>
      <c r="AK520">
        <v>19</v>
      </c>
      <c r="AL520">
        <v>10</v>
      </c>
      <c r="AM520">
        <v>16</v>
      </c>
      <c r="AN520">
        <v>0</v>
      </c>
      <c r="AO520">
        <v>51</v>
      </c>
      <c r="AP520">
        <v>21</v>
      </c>
      <c r="AQ520">
        <v>20</v>
      </c>
      <c r="AR520">
        <v>35</v>
      </c>
      <c r="AS520">
        <v>0</v>
      </c>
      <c r="AT520">
        <v>1</v>
      </c>
    </row>
    <row r="521" spans="1:46">
      <c r="A521">
        <v>5545</v>
      </c>
      <c r="B521" t="s">
        <v>3646</v>
      </c>
      <c r="C521" t="s">
        <v>3647</v>
      </c>
      <c r="D521" t="s">
        <v>2938</v>
      </c>
      <c r="E521" t="s">
        <v>3648</v>
      </c>
      <c r="F521" t="s">
        <v>3194</v>
      </c>
      <c r="G521" t="s">
        <v>2941</v>
      </c>
      <c r="H521" t="s">
        <v>517</v>
      </c>
      <c r="J521" t="s">
        <v>518</v>
      </c>
      <c r="K521" t="s">
        <v>519</v>
      </c>
      <c r="M521" t="s">
        <v>2287</v>
      </c>
      <c r="N521" t="s">
        <v>571</v>
      </c>
      <c r="O521" t="s">
        <v>2942</v>
      </c>
      <c r="P521" t="s">
        <v>654</v>
      </c>
      <c r="Q521" t="s">
        <v>2943</v>
      </c>
      <c r="R521" t="s">
        <v>2944</v>
      </c>
      <c r="S521" t="s">
        <v>2979</v>
      </c>
      <c r="T521" t="s">
        <v>2448</v>
      </c>
      <c r="U521">
        <v>327301</v>
      </c>
      <c r="V521" t="s">
        <v>3649</v>
      </c>
      <c r="W521" t="s">
        <v>3196</v>
      </c>
      <c r="X521" t="s">
        <v>2948</v>
      </c>
      <c r="Y521" t="s">
        <v>2949</v>
      </c>
      <c r="Z521" t="s">
        <v>2950</v>
      </c>
      <c r="AA521" t="s">
        <v>2951</v>
      </c>
      <c r="AB521" t="s">
        <v>2952</v>
      </c>
      <c r="AE521">
        <v>-43.579403370000001</v>
      </c>
      <c r="AF521">
        <v>172.56985284999999</v>
      </c>
      <c r="AG521">
        <v>40</v>
      </c>
      <c r="AH521">
        <v>0</v>
      </c>
      <c r="AI521">
        <v>0</v>
      </c>
      <c r="AJ521">
        <v>0</v>
      </c>
      <c r="AK521">
        <v>7</v>
      </c>
      <c r="AL521">
        <v>16</v>
      </c>
      <c r="AM521">
        <v>19</v>
      </c>
      <c r="AN521">
        <v>0</v>
      </c>
      <c r="AO521">
        <v>42</v>
      </c>
      <c r="AP521">
        <v>33</v>
      </c>
      <c r="AQ521">
        <v>3</v>
      </c>
      <c r="AR521">
        <v>1</v>
      </c>
      <c r="AS521">
        <v>9</v>
      </c>
      <c r="AT521">
        <v>2</v>
      </c>
    </row>
    <row r="522" spans="1:46">
      <c r="A522">
        <v>5546</v>
      </c>
      <c r="B522" t="s">
        <v>3650</v>
      </c>
      <c r="C522" t="s">
        <v>3651</v>
      </c>
      <c r="D522" t="s">
        <v>3652</v>
      </c>
      <c r="E522" t="s">
        <v>3653</v>
      </c>
      <c r="F522" t="s">
        <v>2466</v>
      </c>
      <c r="G522" t="s">
        <v>2427</v>
      </c>
      <c r="H522" t="s">
        <v>517</v>
      </c>
      <c r="J522" t="s">
        <v>518</v>
      </c>
      <c r="K522" t="s">
        <v>519</v>
      </c>
      <c r="M522" t="s">
        <v>2287</v>
      </c>
      <c r="N522" t="s">
        <v>571</v>
      </c>
      <c r="O522" t="s">
        <v>2428</v>
      </c>
      <c r="P522" t="s">
        <v>654</v>
      </c>
      <c r="Q522" t="s">
        <v>2319</v>
      </c>
      <c r="R522" t="s">
        <v>2289</v>
      </c>
      <c r="S522" t="s">
        <v>2373</v>
      </c>
      <c r="T522" t="s">
        <v>2085</v>
      </c>
      <c r="U522">
        <v>244500</v>
      </c>
      <c r="V522" t="s">
        <v>2496</v>
      </c>
      <c r="W522" t="s">
        <v>2468</v>
      </c>
      <c r="X522" t="s">
        <v>2432</v>
      </c>
      <c r="Y522" t="s">
        <v>2433</v>
      </c>
      <c r="AA522" t="s">
        <v>2434</v>
      </c>
      <c r="AB522" t="s">
        <v>2435</v>
      </c>
      <c r="AC522">
        <v>99111</v>
      </c>
      <c r="AD522" t="s">
        <v>2469</v>
      </c>
      <c r="AE522">
        <v>-41.16904487</v>
      </c>
      <c r="AF522">
        <v>174.97527799</v>
      </c>
      <c r="AG522">
        <v>40</v>
      </c>
      <c r="AH522">
        <v>0</v>
      </c>
      <c r="AI522">
        <v>0</v>
      </c>
      <c r="AJ522">
        <v>0</v>
      </c>
      <c r="AK522">
        <v>9</v>
      </c>
      <c r="AL522">
        <v>14</v>
      </c>
      <c r="AM522">
        <v>7</v>
      </c>
      <c r="AN522">
        <v>0</v>
      </c>
      <c r="AO522">
        <v>30</v>
      </c>
      <c r="AP522">
        <v>26</v>
      </c>
      <c r="AQ522">
        <v>4</v>
      </c>
      <c r="AR522">
        <v>5</v>
      </c>
      <c r="AS522">
        <v>6</v>
      </c>
      <c r="AT522">
        <v>0</v>
      </c>
    </row>
    <row r="523" spans="1:46">
      <c r="A523">
        <v>5547</v>
      </c>
      <c r="B523" t="s">
        <v>3654</v>
      </c>
      <c r="C523" t="s">
        <v>3655</v>
      </c>
      <c r="D523" t="s">
        <v>3656</v>
      </c>
      <c r="E523" t="s">
        <v>3657</v>
      </c>
      <c r="F523" t="s">
        <v>660</v>
      </c>
      <c r="G523" t="s">
        <v>652</v>
      </c>
      <c r="H523" t="s">
        <v>517</v>
      </c>
      <c r="J523" t="s">
        <v>518</v>
      </c>
      <c r="K523" t="s">
        <v>519</v>
      </c>
      <c r="M523" t="s">
        <v>520</v>
      </c>
      <c r="N523" t="s">
        <v>571</v>
      </c>
      <c r="O523" t="s">
        <v>653</v>
      </c>
      <c r="P523" t="s">
        <v>654</v>
      </c>
      <c r="Q523" t="s">
        <v>638</v>
      </c>
      <c r="R523" t="s">
        <v>639</v>
      </c>
      <c r="S523" t="s">
        <v>655</v>
      </c>
      <c r="T523" t="s">
        <v>527</v>
      </c>
      <c r="U523">
        <v>118200</v>
      </c>
      <c r="V523" t="s">
        <v>3658</v>
      </c>
      <c r="W523" t="s">
        <v>657</v>
      </c>
      <c r="X523" t="s">
        <v>658</v>
      </c>
      <c r="Y523" t="s">
        <v>659</v>
      </c>
      <c r="Z523" t="s">
        <v>660</v>
      </c>
      <c r="AA523" t="s">
        <v>661</v>
      </c>
      <c r="AC523">
        <v>99121</v>
      </c>
      <c r="AD523" t="s">
        <v>662</v>
      </c>
      <c r="AE523">
        <v>-36.724273859999997</v>
      </c>
      <c r="AF523">
        <v>174.72904242000001</v>
      </c>
      <c r="AG523">
        <v>40</v>
      </c>
      <c r="AH523">
        <v>0</v>
      </c>
      <c r="AI523">
        <v>0</v>
      </c>
      <c r="AJ523">
        <v>0</v>
      </c>
      <c r="AK523">
        <v>2</v>
      </c>
      <c r="AL523">
        <v>21</v>
      </c>
      <c r="AM523">
        <v>21</v>
      </c>
      <c r="AN523">
        <v>0</v>
      </c>
      <c r="AO523">
        <v>44</v>
      </c>
      <c r="AP523">
        <v>21</v>
      </c>
      <c r="AQ523">
        <v>5</v>
      </c>
      <c r="AR523">
        <v>1</v>
      </c>
      <c r="AS523">
        <v>28</v>
      </c>
      <c r="AT523">
        <v>2</v>
      </c>
    </row>
    <row r="524" spans="1:46">
      <c r="A524">
        <v>5548</v>
      </c>
      <c r="B524" t="s">
        <v>3659</v>
      </c>
      <c r="C524" t="s">
        <v>3660</v>
      </c>
      <c r="D524" t="s">
        <v>2938</v>
      </c>
      <c r="E524" t="s">
        <v>3661</v>
      </c>
      <c r="G524" t="s">
        <v>3662</v>
      </c>
      <c r="H524" t="s">
        <v>517</v>
      </c>
      <c r="J524" t="s">
        <v>518</v>
      </c>
      <c r="K524" t="s">
        <v>519</v>
      </c>
      <c r="M524" t="s">
        <v>2287</v>
      </c>
      <c r="N524" t="s">
        <v>571</v>
      </c>
      <c r="O524" t="s">
        <v>3208</v>
      </c>
      <c r="P524" t="s">
        <v>523</v>
      </c>
      <c r="Q524" t="s">
        <v>2943</v>
      </c>
      <c r="R524" t="s">
        <v>2944</v>
      </c>
      <c r="S524" t="s">
        <v>3179</v>
      </c>
      <c r="T524" t="s">
        <v>2448</v>
      </c>
      <c r="U524">
        <v>336001</v>
      </c>
      <c r="V524" t="s">
        <v>3663</v>
      </c>
      <c r="W524" t="s">
        <v>3664</v>
      </c>
      <c r="X524" t="s">
        <v>2948</v>
      </c>
      <c r="Y524" t="s">
        <v>2949</v>
      </c>
      <c r="Z524" t="s">
        <v>2950</v>
      </c>
      <c r="AA524" t="s">
        <v>2951</v>
      </c>
      <c r="AB524" t="s">
        <v>2952</v>
      </c>
      <c r="AC524">
        <v>99113</v>
      </c>
      <c r="AD524" t="s">
        <v>3665</v>
      </c>
      <c r="AE524">
        <v>-43.635685109999997</v>
      </c>
      <c r="AF524">
        <v>172.48775483</v>
      </c>
      <c r="AG524">
        <v>40</v>
      </c>
      <c r="AH524">
        <v>0</v>
      </c>
      <c r="AI524">
        <v>0</v>
      </c>
      <c r="AJ524">
        <v>0</v>
      </c>
      <c r="AK524">
        <v>11</v>
      </c>
      <c r="AL524">
        <v>20</v>
      </c>
      <c r="AM524">
        <v>26</v>
      </c>
      <c r="AN524">
        <v>1</v>
      </c>
      <c r="AO524">
        <v>58</v>
      </c>
      <c r="AP524">
        <v>54</v>
      </c>
      <c r="AQ524">
        <v>6</v>
      </c>
      <c r="AR524">
        <v>0</v>
      </c>
      <c r="AS524">
        <v>3</v>
      </c>
      <c r="AT524">
        <v>2</v>
      </c>
    </row>
    <row r="525" spans="1:46">
      <c r="A525">
        <v>5549</v>
      </c>
      <c r="B525" t="s">
        <v>3666</v>
      </c>
      <c r="C525" t="s">
        <v>3667</v>
      </c>
      <c r="D525" t="s">
        <v>2938</v>
      </c>
      <c r="E525" t="s">
        <v>3668</v>
      </c>
      <c r="F525" t="s">
        <v>3669</v>
      </c>
      <c r="G525" t="s">
        <v>2941</v>
      </c>
      <c r="H525" t="s">
        <v>517</v>
      </c>
      <c r="J525" t="s">
        <v>518</v>
      </c>
      <c r="K525" t="s">
        <v>519</v>
      </c>
      <c r="M525" t="s">
        <v>2287</v>
      </c>
      <c r="N525" t="s">
        <v>539</v>
      </c>
      <c r="O525" t="s">
        <v>2942</v>
      </c>
      <c r="P525" t="s">
        <v>654</v>
      </c>
      <c r="Q525" t="s">
        <v>2943</v>
      </c>
      <c r="R525" t="s">
        <v>2944</v>
      </c>
      <c r="S525" t="s">
        <v>3019</v>
      </c>
      <c r="T525" t="s">
        <v>2448</v>
      </c>
      <c r="U525">
        <v>318700</v>
      </c>
      <c r="V525" t="s">
        <v>3669</v>
      </c>
      <c r="W525" t="s">
        <v>3020</v>
      </c>
      <c r="X525" t="s">
        <v>2948</v>
      </c>
      <c r="Y525" t="s">
        <v>2949</v>
      </c>
      <c r="Z525" t="s">
        <v>2950</v>
      </c>
      <c r="AA525" t="s">
        <v>2951</v>
      </c>
      <c r="AB525" t="s">
        <v>2952</v>
      </c>
      <c r="AE525">
        <v>-43.529389610000003</v>
      </c>
      <c r="AF525">
        <v>172.53238084</v>
      </c>
      <c r="AG525">
        <v>40</v>
      </c>
      <c r="AH525">
        <v>0</v>
      </c>
      <c r="AI525">
        <v>0</v>
      </c>
      <c r="AJ525">
        <v>0</v>
      </c>
      <c r="AK525">
        <v>5</v>
      </c>
      <c r="AL525">
        <v>10</v>
      </c>
      <c r="AM525">
        <v>8</v>
      </c>
      <c r="AN525">
        <v>4</v>
      </c>
      <c r="AO525">
        <v>27</v>
      </c>
      <c r="AP525">
        <v>18</v>
      </c>
      <c r="AQ525">
        <v>10</v>
      </c>
      <c r="AR525">
        <v>8</v>
      </c>
      <c r="AS525">
        <v>5</v>
      </c>
      <c r="AT525">
        <v>1</v>
      </c>
    </row>
    <row r="526" spans="1:46">
      <c r="A526">
        <v>5550</v>
      </c>
      <c r="B526" t="s">
        <v>3670</v>
      </c>
      <c r="C526" t="s">
        <v>3671</v>
      </c>
      <c r="D526" t="s">
        <v>514</v>
      </c>
      <c r="E526" t="s">
        <v>3672</v>
      </c>
      <c r="G526" t="s">
        <v>3673</v>
      </c>
      <c r="H526" t="s">
        <v>517</v>
      </c>
      <c r="J526" t="s">
        <v>518</v>
      </c>
      <c r="K526" t="s">
        <v>519</v>
      </c>
      <c r="M526" t="s">
        <v>520</v>
      </c>
      <c r="N526" t="s">
        <v>571</v>
      </c>
      <c r="O526" t="s">
        <v>522</v>
      </c>
      <c r="P526" t="s">
        <v>523</v>
      </c>
      <c r="Q526" t="s">
        <v>524</v>
      </c>
      <c r="R526" t="s">
        <v>525</v>
      </c>
      <c r="S526" t="s">
        <v>526</v>
      </c>
      <c r="T526" t="s">
        <v>527</v>
      </c>
      <c r="U526">
        <v>103000</v>
      </c>
      <c r="V526" t="s">
        <v>3674</v>
      </c>
      <c r="W526" t="s">
        <v>558</v>
      </c>
      <c r="X526" t="s">
        <v>530</v>
      </c>
      <c r="Y526" t="s">
        <v>531</v>
      </c>
      <c r="Z526" t="s">
        <v>532</v>
      </c>
      <c r="AA526" t="s">
        <v>533</v>
      </c>
      <c r="AB526" t="s">
        <v>534</v>
      </c>
      <c r="AE526">
        <v>-35.224103820000003</v>
      </c>
      <c r="AF526">
        <v>173.95650420000001</v>
      </c>
      <c r="AG526">
        <v>40</v>
      </c>
      <c r="AH526">
        <v>0</v>
      </c>
      <c r="AI526">
        <v>0</v>
      </c>
      <c r="AJ526">
        <v>0</v>
      </c>
      <c r="AK526">
        <v>8</v>
      </c>
      <c r="AL526">
        <v>14</v>
      </c>
      <c r="AM526">
        <v>21</v>
      </c>
      <c r="AN526">
        <v>8</v>
      </c>
      <c r="AO526">
        <v>51</v>
      </c>
      <c r="AP526">
        <v>40</v>
      </c>
      <c r="AQ526">
        <v>21</v>
      </c>
      <c r="AR526">
        <v>5</v>
      </c>
      <c r="AS526">
        <v>5</v>
      </c>
      <c r="AT526">
        <v>1</v>
      </c>
    </row>
    <row r="527" spans="1:46">
      <c r="A527">
        <v>5551</v>
      </c>
      <c r="B527" t="s">
        <v>3675</v>
      </c>
      <c r="C527" t="s">
        <v>3676</v>
      </c>
      <c r="D527" t="s">
        <v>1293</v>
      </c>
      <c r="E527" t="s">
        <v>3677</v>
      </c>
      <c r="F527" t="s">
        <v>1295</v>
      </c>
      <c r="G527" t="s">
        <v>1296</v>
      </c>
      <c r="H527" t="s">
        <v>517</v>
      </c>
      <c r="J527" t="s">
        <v>518</v>
      </c>
      <c r="K527" t="s">
        <v>519</v>
      </c>
      <c r="M527" t="s">
        <v>1297</v>
      </c>
      <c r="N527" t="s">
        <v>557</v>
      </c>
      <c r="O527" t="s">
        <v>1298</v>
      </c>
      <c r="P527" t="s">
        <v>654</v>
      </c>
      <c r="Q527" t="s">
        <v>1299</v>
      </c>
      <c r="R527" t="s">
        <v>1300</v>
      </c>
      <c r="S527" t="s">
        <v>1301</v>
      </c>
      <c r="T527" t="s">
        <v>1235</v>
      </c>
      <c r="U527">
        <v>178800</v>
      </c>
      <c r="V527" t="s">
        <v>3678</v>
      </c>
      <c r="W527" t="s">
        <v>1303</v>
      </c>
      <c r="X527" t="s">
        <v>1304</v>
      </c>
      <c r="Y527" t="s">
        <v>1305</v>
      </c>
      <c r="AA527" t="s">
        <v>1306</v>
      </c>
      <c r="AB527" t="s">
        <v>1307</v>
      </c>
      <c r="AC527">
        <v>99035</v>
      </c>
      <c r="AD527" t="s">
        <v>1308</v>
      </c>
      <c r="AE527">
        <v>-37.800750749999999</v>
      </c>
      <c r="AF527">
        <v>175.24959254999999</v>
      </c>
      <c r="AG527">
        <v>44</v>
      </c>
      <c r="AH527">
        <v>0</v>
      </c>
      <c r="AI527">
        <v>0</v>
      </c>
      <c r="AJ527">
        <v>0</v>
      </c>
      <c r="AK527">
        <v>7</v>
      </c>
      <c r="AL527">
        <v>18</v>
      </c>
      <c r="AM527">
        <v>19</v>
      </c>
      <c r="AN527">
        <v>1</v>
      </c>
      <c r="AO527">
        <v>45</v>
      </c>
      <c r="AP527">
        <v>19</v>
      </c>
      <c r="AQ527">
        <v>20</v>
      </c>
      <c r="AR527">
        <v>6</v>
      </c>
      <c r="AS527">
        <v>16</v>
      </c>
      <c r="AT527">
        <v>1</v>
      </c>
    </row>
    <row r="528" spans="1:46">
      <c r="A528">
        <v>5552</v>
      </c>
      <c r="B528" t="s">
        <v>3679</v>
      </c>
      <c r="C528" t="s">
        <v>3680</v>
      </c>
      <c r="D528" t="s">
        <v>3681</v>
      </c>
      <c r="E528" t="s">
        <v>3682</v>
      </c>
      <c r="G528" t="s">
        <v>3683</v>
      </c>
      <c r="H528" t="s">
        <v>517</v>
      </c>
      <c r="J528" t="s">
        <v>518</v>
      </c>
      <c r="K528" t="s">
        <v>519</v>
      </c>
      <c r="M528" t="s">
        <v>1297</v>
      </c>
      <c r="N528" t="s">
        <v>557</v>
      </c>
      <c r="O528" t="s">
        <v>1437</v>
      </c>
      <c r="P528" t="s">
        <v>523</v>
      </c>
      <c r="Q528" t="s">
        <v>1299</v>
      </c>
      <c r="R528" t="s">
        <v>1300</v>
      </c>
      <c r="S528" t="s">
        <v>1438</v>
      </c>
      <c r="T528" t="s">
        <v>1235</v>
      </c>
      <c r="U528">
        <v>169500</v>
      </c>
      <c r="V528" t="s">
        <v>3684</v>
      </c>
      <c r="W528" t="s">
        <v>3685</v>
      </c>
      <c r="X528" t="s">
        <v>1596</v>
      </c>
      <c r="Y528" t="s">
        <v>1597</v>
      </c>
      <c r="Z528" t="s">
        <v>1598</v>
      </c>
      <c r="AA528" t="s">
        <v>1599</v>
      </c>
      <c r="AB528" t="s">
        <v>1600</v>
      </c>
      <c r="AC528">
        <v>99089</v>
      </c>
      <c r="AD528" t="s">
        <v>3686</v>
      </c>
      <c r="AE528">
        <v>-37.382214249999997</v>
      </c>
      <c r="AF528">
        <v>175.85524387000001</v>
      </c>
      <c r="AG528">
        <v>35</v>
      </c>
      <c r="AH528">
        <v>0</v>
      </c>
      <c r="AI528">
        <v>0</v>
      </c>
      <c r="AJ528">
        <v>0</v>
      </c>
      <c r="AK528">
        <v>3</v>
      </c>
      <c r="AL528">
        <v>11</v>
      </c>
      <c r="AM528">
        <v>17</v>
      </c>
      <c r="AN528">
        <v>3</v>
      </c>
      <c r="AO528">
        <v>34</v>
      </c>
      <c r="AP528">
        <v>34</v>
      </c>
      <c r="AQ528">
        <v>5</v>
      </c>
      <c r="AR528">
        <v>1</v>
      </c>
      <c r="AS528">
        <v>0</v>
      </c>
      <c r="AT528">
        <v>0</v>
      </c>
    </row>
    <row r="529" spans="1:46">
      <c r="A529">
        <v>5553</v>
      </c>
      <c r="B529" t="s">
        <v>3687</v>
      </c>
      <c r="C529" t="s">
        <v>3688</v>
      </c>
      <c r="D529" t="s">
        <v>3689</v>
      </c>
      <c r="E529" t="s">
        <v>3690</v>
      </c>
      <c r="G529" t="s">
        <v>2725</v>
      </c>
      <c r="H529" t="s">
        <v>517</v>
      </c>
      <c r="J529" t="s">
        <v>518</v>
      </c>
      <c r="K529" t="s">
        <v>519</v>
      </c>
      <c r="M529" t="s">
        <v>2287</v>
      </c>
      <c r="N529" t="s">
        <v>557</v>
      </c>
      <c r="O529" t="s">
        <v>2066</v>
      </c>
      <c r="P529" t="s">
        <v>1262</v>
      </c>
      <c r="Q529" t="s">
        <v>1636</v>
      </c>
      <c r="R529" t="s">
        <v>2289</v>
      </c>
      <c r="S529" t="s">
        <v>2067</v>
      </c>
      <c r="T529" t="s">
        <v>1485</v>
      </c>
      <c r="U529">
        <v>234900</v>
      </c>
      <c r="V529" t="s">
        <v>3691</v>
      </c>
      <c r="W529" t="s">
        <v>2727</v>
      </c>
      <c r="X529" t="s">
        <v>1889</v>
      </c>
      <c r="Y529" t="s">
        <v>1890</v>
      </c>
      <c r="AA529" t="s">
        <v>1891</v>
      </c>
      <c r="AB529" t="s">
        <v>1892</v>
      </c>
      <c r="AC529">
        <v>99058</v>
      </c>
      <c r="AD529" t="s">
        <v>2728</v>
      </c>
      <c r="AE529">
        <v>-40.615299690000001</v>
      </c>
      <c r="AF529">
        <v>175.28635516</v>
      </c>
      <c r="AG529">
        <v>42</v>
      </c>
      <c r="AH529">
        <v>0</v>
      </c>
      <c r="AI529">
        <v>0</v>
      </c>
      <c r="AJ529">
        <v>0</v>
      </c>
      <c r="AK529">
        <v>6</v>
      </c>
      <c r="AL529">
        <v>24</v>
      </c>
      <c r="AM529">
        <v>27</v>
      </c>
      <c r="AN529">
        <v>0</v>
      </c>
      <c r="AO529">
        <v>57</v>
      </c>
      <c r="AP529">
        <v>44</v>
      </c>
      <c r="AQ529">
        <v>27</v>
      </c>
      <c r="AR529">
        <v>4</v>
      </c>
      <c r="AS529">
        <v>3</v>
      </c>
      <c r="AT529">
        <v>2</v>
      </c>
    </row>
    <row r="530" spans="1:46">
      <c r="A530">
        <v>5554</v>
      </c>
      <c r="B530" t="s">
        <v>3692</v>
      </c>
      <c r="C530" t="s">
        <v>3693</v>
      </c>
      <c r="D530" t="s">
        <v>3694</v>
      </c>
      <c r="E530" t="s">
        <v>3695</v>
      </c>
      <c r="F530" t="s">
        <v>828</v>
      </c>
      <c r="G530" t="s">
        <v>652</v>
      </c>
      <c r="H530" t="s">
        <v>517</v>
      </c>
      <c r="J530" t="s">
        <v>518</v>
      </c>
      <c r="K530" t="s">
        <v>519</v>
      </c>
      <c r="M530" t="s">
        <v>520</v>
      </c>
      <c r="N530" t="s">
        <v>557</v>
      </c>
      <c r="O530" t="s">
        <v>829</v>
      </c>
      <c r="P530" t="s">
        <v>654</v>
      </c>
      <c r="Q530" t="s">
        <v>638</v>
      </c>
      <c r="R530" t="s">
        <v>708</v>
      </c>
      <c r="S530" t="s">
        <v>805</v>
      </c>
      <c r="T530" t="s">
        <v>709</v>
      </c>
      <c r="U530">
        <v>145200</v>
      </c>
      <c r="V530" t="s">
        <v>3696</v>
      </c>
      <c r="W530" t="s">
        <v>807</v>
      </c>
      <c r="X530" t="s">
        <v>642</v>
      </c>
      <c r="Y530" t="s">
        <v>643</v>
      </c>
      <c r="Z530" t="s">
        <v>644</v>
      </c>
      <c r="AA530" t="s">
        <v>645</v>
      </c>
      <c r="AB530" t="s">
        <v>646</v>
      </c>
      <c r="AC530">
        <v>99190</v>
      </c>
      <c r="AD530" t="s">
        <v>831</v>
      </c>
      <c r="AE530">
        <v>-36.911475199999998</v>
      </c>
      <c r="AF530">
        <v>174.80009043999999</v>
      </c>
      <c r="AG530">
        <v>40</v>
      </c>
      <c r="AH530">
        <v>0</v>
      </c>
      <c r="AI530">
        <v>0</v>
      </c>
      <c r="AJ530">
        <v>0</v>
      </c>
      <c r="AK530">
        <v>4</v>
      </c>
      <c r="AL530">
        <v>9</v>
      </c>
      <c r="AM530">
        <v>19</v>
      </c>
      <c r="AN530">
        <v>3</v>
      </c>
      <c r="AO530">
        <v>35</v>
      </c>
      <c r="AP530">
        <v>11</v>
      </c>
      <c r="AQ530">
        <v>5</v>
      </c>
      <c r="AR530">
        <v>14</v>
      </c>
      <c r="AS530">
        <v>7</v>
      </c>
      <c r="AT530">
        <v>5</v>
      </c>
    </row>
    <row r="531" spans="1:46">
      <c r="A531">
        <v>5555</v>
      </c>
      <c r="B531" t="s">
        <v>3697</v>
      </c>
      <c r="C531" t="s">
        <v>3698</v>
      </c>
      <c r="D531" t="s">
        <v>3699</v>
      </c>
      <c r="E531" t="s">
        <v>3700</v>
      </c>
      <c r="F531" t="s">
        <v>3701</v>
      </c>
      <c r="G531" t="s">
        <v>2821</v>
      </c>
      <c r="H531" t="s">
        <v>517</v>
      </c>
      <c r="J531" t="s">
        <v>518</v>
      </c>
      <c r="K531" t="s">
        <v>519</v>
      </c>
      <c r="M531" t="s">
        <v>2287</v>
      </c>
      <c r="N531" t="s">
        <v>571</v>
      </c>
      <c r="O531" t="s">
        <v>2822</v>
      </c>
      <c r="P531" t="s">
        <v>1262</v>
      </c>
      <c r="Q531" t="s">
        <v>2823</v>
      </c>
      <c r="R531" t="s">
        <v>2824</v>
      </c>
      <c r="S531" t="s">
        <v>2825</v>
      </c>
      <c r="T531" t="s">
        <v>2448</v>
      </c>
      <c r="U531">
        <v>307501</v>
      </c>
      <c r="V531" t="s">
        <v>3701</v>
      </c>
      <c r="W531" t="s">
        <v>2826</v>
      </c>
      <c r="X531" t="s">
        <v>2827</v>
      </c>
      <c r="Y531" t="s">
        <v>2828</v>
      </c>
      <c r="AA531" t="s">
        <v>2829</v>
      </c>
      <c r="AB531" t="s">
        <v>2830</v>
      </c>
      <c r="AC531">
        <v>99006</v>
      </c>
      <c r="AD531" t="s">
        <v>2831</v>
      </c>
      <c r="AE531">
        <v>-41.5076824</v>
      </c>
      <c r="AF531">
        <v>173.93286108000001</v>
      </c>
      <c r="AG531">
        <v>43</v>
      </c>
      <c r="AH531">
        <v>0</v>
      </c>
      <c r="AI531">
        <v>0</v>
      </c>
      <c r="AJ531">
        <v>0</v>
      </c>
      <c r="AK531">
        <v>2</v>
      </c>
      <c r="AL531">
        <v>19</v>
      </c>
      <c r="AM531">
        <v>19</v>
      </c>
      <c r="AN531">
        <v>0</v>
      </c>
      <c r="AO531">
        <v>40</v>
      </c>
      <c r="AP531">
        <v>36</v>
      </c>
      <c r="AQ531">
        <v>4</v>
      </c>
      <c r="AR531">
        <v>0</v>
      </c>
      <c r="AS531">
        <v>1</v>
      </c>
      <c r="AT531">
        <v>0</v>
      </c>
    </row>
    <row r="532" spans="1:46">
      <c r="A532">
        <v>5557</v>
      </c>
      <c r="B532" t="s">
        <v>3702</v>
      </c>
      <c r="C532" t="s">
        <v>3703</v>
      </c>
      <c r="D532" t="s">
        <v>3704</v>
      </c>
      <c r="E532" t="s">
        <v>3705</v>
      </c>
      <c r="F532" t="s">
        <v>3706</v>
      </c>
      <c r="G532" t="s">
        <v>652</v>
      </c>
      <c r="H532" t="s">
        <v>517</v>
      </c>
      <c r="J532" t="s">
        <v>518</v>
      </c>
      <c r="K532" t="s">
        <v>519</v>
      </c>
      <c r="M532" t="s">
        <v>520</v>
      </c>
      <c r="N532" t="s">
        <v>571</v>
      </c>
      <c r="O532" t="s">
        <v>1168</v>
      </c>
      <c r="P532" t="s">
        <v>654</v>
      </c>
      <c r="Q532" t="s">
        <v>638</v>
      </c>
      <c r="R532" t="s">
        <v>639</v>
      </c>
      <c r="S532" t="s">
        <v>655</v>
      </c>
      <c r="T532" t="s">
        <v>527</v>
      </c>
      <c r="U532">
        <v>117400</v>
      </c>
      <c r="V532" t="s">
        <v>3707</v>
      </c>
      <c r="W532" t="s">
        <v>657</v>
      </c>
      <c r="X532" t="s">
        <v>658</v>
      </c>
      <c r="Y532" t="s">
        <v>659</v>
      </c>
      <c r="Z532" t="s">
        <v>660</v>
      </c>
      <c r="AA532" t="s">
        <v>661</v>
      </c>
      <c r="AE532">
        <v>-36.736805789999998</v>
      </c>
      <c r="AF532">
        <v>174.69097022</v>
      </c>
      <c r="AG532">
        <v>40</v>
      </c>
      <c r="AH532">
        <v>0</v>
      </c>
      <c r="AI532">
        <v>0</v>
      </c>
      <c r="AJ532">
        <v>0</v>
      </c>
      <c r="AK532">
        <v>6</v>
      </c>
      <c r="AL532">
        <v>18</v>
      </c>
      <c r="AM532">
        <v>25</v>
      </c>
      <c r="AN532">
        <v>1</v>
      </c>
      <c r="AO532">
        <v>50</v>
      </c>
      <c r="AP532">
        <v>20</v>
      </c>
      <c r="AQ532">
        <v>5</v>
      </c>
      <c r="AR532">
        <v>4</v>
      </c>
      <c r="AS532">
        <v>30</v>
      </c>
      <c r="AT532">
        <v>1</v>
      </c>
    </row>
    <row r="533" spans="1:46">
      <c r="A533">
        <v>5558</v>
      </c>
      <c r="B533" t="s">
        <v>3708</v>
      </c>
      <c r="C533" t="s">
        <v>3709</v>
      </c>
      <c r="D533" t="s">
        <v>3710</v>
      </c>
      <c r="E533" t="s">
        <v>3711</v>
      </c>
      <c r="G533" t="s">
        <v>3712</v>
      </c>
      <c r="H533" t="s">
        <v>517</v>
      </c>
      <c r="J533" t="s">
        <v>518</v>
      </c>
      <c r="K533" t="s">
        <v>519</v>
      </c>
      <c r="M533" t="s">
        <v>520</v>
      </c>
      <c r="N533" t="s">
        <v>571</v>
      </c>
      <c r="O533" t="s">
        <v>873</v>
      </c>
      <c r="P533" t="s">
        <v>654</v>
      </c>
      <c r="Q533" t="s">
        <v>638</v>
      </c>
      <c r="R533" t="s">
        <v>639</v>
      </c>
      <c r="S533" t="s">
        <v>770</v>
      </c>
      <c r="T533" t="s">
        <v>709</v>
      </c>
      <c r="U533">
        <v>137500</v>
      </c>
      <c r="V533" t="s">
        <v>3712</v>
      </c>
      <c r="W533" t="s">
        <v>815</v>
      </c>
      <c r="X533" t="s">
        <v>642</v>
      </c>
      <c r="Y533" t="s">
        <v>643</v>
      </c>
      <c r="Z533" t="s">
        <v>644</v>
      </c>
      <c r="AA533" t="s">
        <v>645</v>
      </c>
      <c r="AB533" t="s">
        <v>646</v>
      </c>
      <c r="AC533">
        <v>99062</v>
      </c>
      <c r="AD533" t="s">
        <v>893</v>
      </c>
      <c r="AE533">
        <v>-36.955776890000003</v>
      </c>
      <c r="AF533">
        <v>174.62598611999999</v>
      </c>
      <c r="AG533">
        <v>40</v>
      </c>
      <c r="AH533">
        <v>0</v>
      </c>
      <c r="AI533">
        <v>0</v>
      </c>
      <c r="AJ533">
        <v>0</v>
      </c>
      <c r="AK533">
        <v>14</v>
      </c>
      <c r="AL533">
        <v>22</v>
      </c>
      <c r="AM533">
        <v>19</v>
      </c>
      <c r="AN533">
        <v>0</v>
      </c>
      <c r="AO533">
        <v>55</v>
      </c>
      <c r="AP533">
        <v>53</v>
      </c>
      <c r="AQ533">
        <v>7</v>
      </c>
      <c r="AR533">
        <v>5</v>
      </c>
      <c r="AS533">
        <v>5</v>
      </c>
      <c r="AT533">
        <v>0</v>
      </c>
    </row>
    <row r="534" spans="1:46">
      <c r="A534">
        <v>5559</v>
      </c>
      <c r="B534" t="s">
        <v>3713</v>
      </c>
      <c r="C534" t="s">
        <v>3714</v>
      </c>
      <c r="D534" t="s">
        <v>3715</v>
      </c>
      <c r="E534" t="s">
        <v>3716</v>
      </c>
      <c r="G534" t="s">
        <v>3717</v>
      </c>
      <c r="H534" t="s">
        <v>517</v>
      </c>
      <c r="J534" t="s">
        <v>518</v>
      </c>
      <c r="K534" t="s">
        <v>519</v>
      </c>
      <c r="M534" t="s">
        <v>520</v>
      </c>
      <c r="N534" t="s">
        <v>571</v>
      </c>
      <c r="O534" t="s">
        <v>637</v>
      </c>
      <c r="P534" t="s">
        <v>572</v>
      </c>
      <c r="Q534" t="s">
        <v>638</v>
      </c>
      <c r="R534" t="s">
        <v>639</v>
      </c>
      <c r="S534" t="s">
        <v>640</v>
      </c>
      <c r="T534" t="s">
        <v>527</v>
      </c>
      <c r="U534">
        <v>116401</v>
      </c>
      <c r="V534" t="s">
        <v>3717</v>
      </c>
      <c r="W534" t="s">
        <v>641</v>
      </c>
      <c r="X534" t="s">
        <v>642</v>
      </c>
      <c r="Y534" t="s">
        <v>643</v>
      </c>
      <c r="Z534" t="s">
        <v>644</v>
      </c>
      <c r="AA534" t="s">
        <v>645</v>
      </c>
      <c r="AB534" t="s">
        <v>646</v>
      </c>
      <c r="AE534">
        <v>-36.820568989999998</v>
      </c>
      <c r="AF534">
        <v>174.54419998</v>
      </c>
      <c r="AG534">
        <v>40</v>
      </c>
      <c r="AH534">
        <v>0</v>
      </c>
      <c r="AI534">
        <v>0</v>
      </c>
      <c r="AJ534">
        <v>0</v>
      </c>
      <c r="AK534">
        <v>9</v>
      </c>
      <c r="AL534">
        <v>15</v>
      </c>
      <c r="AM534">
        <v>15</v>
      </c>
      <c r="AN534">
        <v>2</v>
      </c>
      <c r="AO534">
        <v>41</v>
      </c>
      <c r="AP534">
        <v>38</v>
      </c>
      <c r="AQ534">
        <v>7</v>
      </c>
      <c r="AR534">
        <v>0</v>
      </c>
      <c r="AS534">
        <v>5</v>
      </c>
      <c r="AT534">
        <v>0</v>
      </c>
    </row>
    <row r="535" spans="1:46">
      <c r="A535">
        <v>5560</v>
      </c>
      <c r="B535" t="s">
        <v>3718</v>
      </c>
      <c r="C535" t="s">
        <v>3719</v>
      </c>
      <c r="D535" t="s">
        <v>3720</v>
      </c>
      <c r="E535" t="s">
        <v>3721</v>
      </c>
      <c r="F535" t="s">
        <v>3722</v>
      </c>
      <c r="G535" t="s">
        <v>1598</v>
      </c>
      <c r="H535" t="s">
        <v>517</v>
      </c>
      <c r="J535" t="s">
        <v>518</v>
      </c>
      <c r="K535" t="s">
        <v>519</v>
      </c>
      <c r="M535" t="s">
        <v>1297</v>
      </c>
      <c r="N535" t="s">
        <v>571</v>
      </c>
      <c r="O535" t="s">
        <v>1698</v>
      </c>
      <c r="P535" t="s">
        <v>654</v>
      </c>
      <c r="Q535" t="s">
        <v>1471</v>
      </c>
      <c r="R535" t="s">
        <v>1472</v>
      </c>
      <c r="S535" t="s">
        <v>1598</v>
      </c>
      <c r="T535" t="s">
        <v>1474</v>
      </c>
      <c r="U535">
        <v>194802</v>
      </c>
      <c r="V535" t="s">
        <v>3723</v>
      </c>
      <c r="W535" t="s">
        <v>3724</v>
      </c>
      <c r="X535" t="s">
        <v>1596</v>
      </c>
      <c r="Y535" t="s">
        <v>1597</v>
      </c>
      <c r="Z535" t="s">
        <v>1598</v>
      </c>
      <c r="AA535" t="s">
        <v>1599</v>
      </c>
      <c r="AB535" t="s">
        <v>1600</v>
      </c>
      <c r="AC535">
        <v>99085</v>
      </c>
      <c r="AD535" t="s">
        <v>1718</v>
      </c>
      <c r="AE535">
        <v>-37.710530749999997</v>
      </c>
      <c r="AF535">
        <v>176.14964322</v>
      </c>
      <c r="AG535">
        <v>42</v>
      </c>
      <c r="AH535">
        <v>0</v>
      </c>
      <c r="AI535">
        <v>0</v>
      </c>
      <c r="AJ535">
        <v>0</v>
      </c>
      <c r="AK535">
        <v>7</v>
      </c>
      <c r="AL535">
        <v>23</v>
      </c>
      <c r="AM535">
        <v>23</v>
      </c>
      <c r="AN535">
        <v>1</v>
      </c>
      <c r="AO535">
        <v>54</v>
      </c>
      <c r="AP535">
        <v>46</v>
      </c>
      <c r="AQ535">
        <v>7</v>
      </c>
      <c r="AR535">
        <v>5</v>
      </c>
      <c r="AS535">
        <v>9</v>
      </c>
      <c r="AT535">
        <v>2</v>
      </c>
    </row>
    <row r="536" spans="1:46">
      <c r="A536">
        <v>5561</v>
      </c>
      <c r="B536" t="s">
        <v>3725</v>
      </c>
      <c r="C536" t="s">
        <v>3726</v>
      </c>
      <c r="D536" t="s">
        <v>3727</v>
      </c>
      <c r="E536" t="s">
        <v>3728</v>
      </c>
      <c r="F536" t="s">
        <v>3729</v>
      </c>
      <c r="G536" t="s">
        <v>2081</v>
      </c>
      <c r="H536" t="s">
        <v>517</v>
      </c>
      <c r="J536" t="s">
        <v>518</v>
      </c>
      <c r="K536" t="s">
        <v>519</v>
      </c>
      <c r="M536" t="s">
        <v>1297</v>
      </c>
      <c r="N536" t="s">
        <v>539</v>
      </c>
      <c r="O536" t="s">
        <v>2082</v>
      </c>
      <c r="P536" t="s">
        <v>584</v>
      </c>
      <c r="Q536" t="s">
        <v>2083</v>
      </c>
      <c r="R536" t="s">
        <v>2084</v>
      </c>
      <c r="S536" t="s">
        <v>1473</v>
      </c>
      <c r="T536" t="s">
        <v>2085</v>
      </c>
      <c r="U536">
        <v>205700</v>
      </c>
      <c r="V536" t="s">
        <v>3729</v>
      </c>
      <c r="W536" t="s">
        <v>2087</v>
      </c>
      <c r="X536" t="s">
        <v>2088</v>
      </c>
      <c r="Y536" t="s">
        <v>2089</v>
      </c>
      <c r="AA536" t="s">
        <v>2090</v>
      </c>
      <c r="AB536" t="s">
        <v>2091</v>
      </c>
      <c r="AC536">
        <v>99083</v>
      </c>
      <c r="AD536" t="s">
        <v>2099</v>
      </c>
      <c r="AE536">
        <v>-38.644523820000003</v>
      </c>
      <c r="AF536">
        <v>178.00351229</v>
      </c>
      <c r="AG536">
        <v>40</v>
      </c>
      <c r="AH536">
        <v>0</v>
      </c>
      <c r="AI536">
        <v>0</v>
      </c>
      <c r="AJ536">
        <v>0</v>
      </c>
      <c r="AK536">
        <v>6</v>
      </c>
      <c r="AL536">
        <v>5</v>
      </c>
      <c r="AM536">
        <v>17</v>
      </c>
      <c r="AN536">
        <v>1</v>
      </c>
      <c r="AO536">
        <v>29</v>
      </c>
      <c r="AP536">
        <v>12</v>
      </c>
      <c r="AQ536">
        <v>17</v>
      </c>
      <c r="AR536">
        <v>4</v>
      </c>
      <c r="AS536">
        <v>1</v>
      </c>
      <c r="AT536">
        <v>2</v>
      </c>
    </row>
    <row r="537" spans="1:46">
      <c r="A537">
        <v>5562</v>
      </c>
      <c r="B537" t="s">
        <v>3730</v>
      </c>
      <c r="C537" t="s">
        <v>3731</v>
      </c>
      <c r="D537" t="s">
        <v>3732</v>
      </c>
      <c r="E537" t="s">
        <v>3733</v>
      </c>
      <c r="G537" t="s">
        <v>3734</v>
      </c>
      <c r="H537" t="s">
        <v>517</v>
      </c>
      <c r="I537" t="s">
        <v>856</v>
      </c>
      <c r="J537" t="s">
        <v>518</v>
      </c>
      <c r="K537" t="s">
        <v>519</v>
      </c>
      <c r="M537" t="s">
        <v>1297</v>
      </c>
      <c r="N537" t="s">
        <v>571</v>
      </c>
      <c r="O537" t="s">
        <v>2131</v>
      </c>
      <c r="P537" t="s">
        <v>584</v>
      </c>
      <c r="Q537" t="s">
        <v>2118</v>
      </c>
      <c r="R537" t="s">
        <v>2084</v>
      </c>
      <c r="S537" t="s">
        <v>2119</v>
      </c>
      <c r="T537" t="s">
        <v>2085</v>
      </c>
      <c r="U537">
        <v>212301</v>
      </c>
      <c r="V537" t="s">
        <v>3735</v>
      </c>
      <c r="W537" t="s">
        <v>3736</v>
      </c>
      <c r="X537" t="s">
        <v>2120</v>
      </c>
      <c r="Y537" t="s">
        <v>2121</v>
      </c>
      <c r="Z537" t="s">
        <v>2122</v>
      </c>
      <c r="AA537" t="s">
        <v>2123</v>
      </c>
      <c r="AB537" t="s">
        <v>2124</v>
      </c>
      <c r="AC537">
        <v>99003</v>
      </c>
      <c r="AD537" t="s">
        <v>2147</v>
      </c>
      <c r="AE537">
        <v>-39.421603689999998</v>
      </c>
      <c r="AF537">
        <v>176.86674226</v>
      </c>
      <c r="AG537">
        <v>31</v>
      </c>
      <c r="AH537">
        <v>0</v>
      </c>
      <c r="AI537">
        <v>0</v>
      </c>
      <c r="AJ537">
        <v>0</v>
      </c>
      <c r="AK537">
        <v>9</v>
      </c>
      <c r="AL537">
        <v>21</v>
      </c>
      <c r="AM537">
        <v>19</v>
      </c>
      <c r="AN537">
        <v>0</v>
      </c>
      <c r="AO537">
        <v>49</v>
      </c>
      <c r="AP537">
        <v>46</v>
      </c>
      <c r="AQ537">
        <v>10</v>
      </c>
      <c r="AR537">
        <v>0</v>
      </c>
      <c r="AS537">
        <v>1</v>
      </c>
      <c r="AT537">
        <v>0</v>
      </c>
    </row>
    <row r="538" spans="1:46">
      <c r="A538">
        <v>5563</v>
      </c>
      <c r="B538" t="s">
        <v>3737</v>
      </c>
      <c r="C538" t="s">
        <v>3738</v>
      </c>
      <c r="D538" t="s">
        <v>514</v>
      </c>
      <c r="E538" t="s">
        <v>3739</v>
      </c>
      <c r="G538" t="s">
        <v>3740</v>
      </c>
      <c r="H538" t="s">
        <v>517</v>
      </c>
      <c r="J538" t="s">
        <v>518</v>
      </c>
      <c r="K538" t="s">
        <v>519</v>
      </c>
      <c r="M538" t="s">
        <v>520</v>
      </c>
      <c r="N538" t="s">
        <v>557</v>
      </c>
      <c r="O538" t="s">
        <v>583</v>
      </c>
      <c r="P538" t="s">
        <v>523</v>
      </c>
      <c r="Q538" t="s">
        <v>524</v>
      </c>
      <c r="R538" t="s">
        <v>525</v>
      </c>
      <c r="S538" t="s">
        <v>585</v>
      </c>
      <c r="T538" t="s">
        <v>527</v>
      </c>
      <c r="U538">
        <v>108800</v>
      </c>
      <c r="V538" t="s">
        <v>3741</v>
      </c>
      <c r="W538" t="s">
        <v>618</v>
      </c>
      <c r="X538" t="s">
        <v>530</v>
      </c>
      <c r="Y538" t="s">
        <v>531</v>
      </c>
      <c r="Z538" t="s">
        <v>532</v>
      </c>
      <c r="AA538" t="s">
        <v>533</v>
      </c>
      <c r="AB538" t="s">
        <v>534</v>
      </c>
      <c r="AC538">
        <v>99184</v>
      </c>
      <c r="AD538" t="s">
        <v>3742</v>
      </c>
      <c r="AE538">
        <v>-35.876057529999997</v>
      </c>
      <c r="AF538">
        <v>174.45777931000001</v>
      </c>
      <c r="AG538">
        <v>40</v>
      </c>
      <c r="AH538">
        <v>0</v>
      </c>
      <c r="AI538">
        <v>0</v>
      </c>
      <c r="AJ538">
        <v>0</v>
      </c>
      <c r="AK538">
        <v>10</v>
      </c>
      <c r="AL538">
        <v>13</v>
      </c>
      <c r="AM538">
        <v>23</v>
      </c>
      <c r="AN538">
        <v>0</v>
      </c>
      <c r="AO538">
        <v>46</v>
      </c>
      <c r="AP538">
        <v>39</v>
      </c>
      <c r="AQ538">
        <v>20</v>
      </c>
      <c r="AR538">
        <v>2</v>
      </c>
      <c r="AS538">
        <v>2</v>
      </c>
      <c r="AT538">
        <v>0</v>
      </c>
    </row>
    <row r="539" spans="1:46">
      <c r="A539">
        <v>5564</v>
      </c>
      <c r="B539" t="s">
        <v>3743</v>
      </c>
      <c r="C539" t="s">
        <v>3744</v>
      </c>
      <c r="D539" t="s">
        <v>3745</v>
      </c>
      <c r="E539" t="s">
        <v>3746</v>
      </c>
      <c r="F539" t="s">
        <v>2853</v>
      </c>
      <c r="G539" t="s">
        <v>2853</v>
      </c>
      <c r="H539" t="s">
        <v>517</v>
      </c>
      <c r="J539" t="s">
        <v>518</v>
      </c>
      <c r="K539" t="s">
        <v>519</v>
      </c>
      <c r="M539" t="s">
        <v>2287</v>
      </c>
      <c r="N539" t="s">
        <v>539</v>
      </c>
      <c r="O539" t="s">
        <v>2854</v>
      </c>
      <c r="P539" t="s">
        <v>584</v>
      </c>
      <c r="Q539" t="s">
        <v>2855</v>
      </c>
      <c r="R539" t="s">
        <v>2824</v>
      </c>
      <c r="S539" t="s">
        <v>2853</v>
      </c>
      <c r="T539" t="s">
        <v>2448</v>
      </c>
      <c r="U539">
        <v>304500</v>
      </c>
      <c r="V539" t="s">
        <v>3747</v>
      </c>
      <c r="W539" t="s">
        <v>2033</v>
      </c>
      <c r="X539" t="s">
        <v>2858</v>
      </c>
      <c r="Y539" t="s">
        <v>2859</v>
      </c>
      <c r="Z539" t="s">
        <v>2853</v>
      </c>
      <c r="AA539" t="s">
        <v>2860</v>
      </c>
      <c r="AB539" t="s">
        <v>2861</v>
      </c>
      <c r="AC539">
        <v>99005</v>
      </c>
      <c r="AD539" t="s">
        <v>2878</v>
      </c>
      <c r="AE539">
        <v>-41.280250199999998</v>
      </c>
      <c r="AF539">
        <v>173.26996041999999</v>
      </c>
      <c r="AG539">
        <v>49</v>
      </c>
      <c r="AH539">
        <v>0</v>
      </c>
      <c r="AI539">
        <v>0</v>
      </c>
      <c r="AJ539">
        <v>0</v>
      </c>
      <c r="AK539">
        <v>10</v>
      </c>
      <c r="AL539">
        <v>10</v>
      </c>
      <c r="AM539">
        <v>21</v>
      </c>
      <c r="AN539">
        <v>1</v>
      </c>
      <c r="AO539">
        <v>42</v>
      </c>
      <c r="AP539">
        <v>16</v>
      </c>
      <c r="AQ539">
        <v>10</v>
      </c>
      <c r="AR539">
        <v>5</v>
      </c>
      <c r="AS539">
        <v>12</v>
      </c>
      <c r="AT539">
        <v>3</v>
      </c>
    </row>
    <row r="540" spans="1:46">
      <c r="A540">
        <v>5565</v>
      </c>
      <c r="B540" t="s">
        <v>3748</v>
      </c>
      <c r="C540" t="s">
        <v>3749</v>
      </c>
      <c r="D540" t="s">
        <v>3750</v>
      </c>
      <c r="E540" t="s">
        <v>3751</v>
      </c>
      <c r="F540" t="s">
        <v>1114</v>
      </c>
      <c r="G540" t="s">
        <v>652</v>
      </c>
      <c r="H540" t="s">
        <v>517</v>
      </c>
      <c r="J540" t="s">
        <v>518</v>
      </c>
      <c r="K540" t="s">
        <v>519</v>
      </c>
      <c r="M540" t="s">
        <v>520</v>
      </c>
      <c r="N540" t="s">
        <v>539</v>
      </c>
      <c r="O540" t="s">
        <v>813</v>
      </c>
      <c r="P540" t="s">
        <v>654</v>
      </c>
      <c r="Q540" t="s">
        <v>638</v>
      </c>
      <c r="R540" t="s">
        <v>639</v>
      </c>
      <c r="S540" t="s">
        <v>899</v>
      </c>
      <c r="T540" t="s">
        <v>527</v>
      </c>
      <c r="U540">
        <v>123000</v>
      </c>
      <c r="V540" t="s">
        <v>3752</v>
      </c>
      <c r="W540" t="s">
        <v>815</v>
      </c>
      <c r="X540" t="s">
        <v>642</v>
      </c>
      <c r="Y540" t="s">
        <v>643</v>
      </c>
      <c r="Z540" t="s">
        <v>644</v>
      </c>
      <c r="AA540" t="s">
        <v>645</v>
      </c>
      <c r="AB540" t="s">
        <v>646</v>
      </c>
      <c r="AE540">
        <v>-36.856146469999999</v>
      </c>
      <c r="AF540">
        <v>174.60194736</v>
      </c>
      <c r="AG540">
        <v>30</v>
      </c>
      <c r="AH540">
        <v>0</v>
      </c>
      <c r="AI540">
        <v>0</v>
      </c>
      <c r="AJ540">
        <v>0</v>
      </c>
      <c r="AK540">
        <v>7</v>
      </c>
      <c r="AL540">
        <v>11</v>
      </c>
      <c r="AM540">
        <v>20</v>
      </c>
      <c r="AN540">
        <v>1</v>
      </c>
      <c r="AO540">
        <v>39</v>
      </c>
      <c r="AP540">
        <v>13</v>
      </c>
      <c r="AQ540">
        <v>8</v>
      </c>
      <c r="AR540">
        <v>20</v>
      </c>
      <c r="AS540">
        <v>6</v>
      </c>
      <c r="AT540">
        <v>4</v>
      </c>
    </row>
    <row r="541" spans="1:46">
      <c r="A541">
        <v>5566</v>
      </c>
      <c r="B541" t="s">
        <v>3753</v>
      </c>
      <c r="C541" t="s">
        <v>3754</v>
      </c>
      <c r="D541" t="s">
        <v>3755</v>
      </c>
      <c r="E541" t="s">
        <v>3756</v>
      </c>
      <c r="F541" t="s">
        <v>763</v>
      </c>
      <c r="G541" t="s">
        <v>652</v>
      </c>
      <c r="H541" t="s">
        <v>517</v>
      </c>
      <c r="J541" t="s">
        <v>518</v>
      </c>
      <c r="K541" t="s">
        <v>519</v>
      </c>
      <c r="M541" t="s">
        <v>520</v>
      </c>
      <c r="N541" t="s">
        <v>571</v>
      </c>
      <c r="O541" t="s">
        <v>738</v>
      </c>
      <c r="P541" t="s">
        <v>654</v>
      </c>
      <c r="Q541" t="s">
        <v>638</v>
      </c>
      <c r="R541" t="s">
        <v>639</v>
      </c>
      <c r="S541" t="s">
        <v>756</v>
      </c>
      <c r="T541" t="s">
        <v>527</v>
      </c>
      <c r="U541">
        <v>126300</v>
      </c>
      <c r="V541" t="s">
        <v>3757</v>
      </c>
      <c r="W541" t="s">
        <v>741</v>
      </c>
      <c r="X541" t="s">
        <v>642</v>
      </c>
      <c r="Y541" t="s">
        <v>643</v>
      </c>
      <c r="Z541" t="s">
        <v>644</v>
      </c>
      <c r="AA541" t="s">
        <v>645</v>
      </c>
      <c r="AB541" t="s">
        <v>646</v>
      </c>
      <c r="AC541">
        <v>99214</v>
      </c>
      <c r="AD541" t="s">
        <v>758</v>
      </c>
      <c r="AE541">
        <v>-36.815063100000003</v>
      </c>
      <c r="AF541">
        <v>174.70840652999999</v>
      </c>
      <c r="AG541">
        <v>30</v>
      </c>
      <c r="AH541">
        <v>0</v>
      </c>
      <c r="AI541">
        <v>0</v>
      </c>
      <c r="AJ541">
        <v>0</v>
      </c>
      <c r="AK541">
        <v>0</v>
      </c>
      <c r="AL541">
        <v>8</v>
      </c>
      <c r="AM541">
        <v>29</v>
      </c>
      <c r="AN541">
        <v>2</v>
      </c>
      <c r="AO541">
        <v>39</v>
      </c>
      <c r="AP541">
        <v>30</v>
      </c>
      <c r="AQ541">
        <v>3</v>
      </c>
      <c r="AR541">
        <v>2</v>
      </c>
      <c r="AS541">
        <v>9</v>
      </c>
      <c r="AT541">
        <v>0</v>
      </c>
    </row>
    <row r="542" spans="1:46">
      <c r="A542">
        <v>5567</v>
      </c>
      <c r="B542" t="s">
        <v>3758</v>
      </c>
      <c r="C542" t="s">
        <v>3759</v>
      </c>
      <c r="D542" t="s">
        <v>3760</v>
      </c>
      <c r="E542" t="s">
        <v>3761</v>
      </c>
      <c r="F542" t="s">
        <v>3762</v>
      </c>
      <c r="G542" t="s">
        <v>3763</v>
      </c>
      <c r="H542" t="s">
        <v>517</v>
      </c>
      <c r="J542" t="s">
        <v>518</v>
      </c>
      <c r="K542" t="s">
        <v>519</v>
      </c>
      <c r="M542" t="s">
        <v>520</v>
      </c>
      <c r="N542" t="s">
        <v>571</v>
      </c>
      <c r="O542" t="s">
        <v>3764</v>
      </c>
      <c r="P542" t="s">
        <v>523</v>
      </c>
      <c r="Q542" t="s">
        <v>638</v>
      </c>
      <c r="R542" t="s">
        <v>708</v>
      </c>
      <c r="S542" t="s">
        <v>958</v>
      </c>
      <c r="T542" t="s">
        <v>709</v>
      </c>
      <c r="U542">
        <v>147600</v>
      </c>
      <c r="V542" t="s">
        <v>3762</v>
      </c>
      <c r="W542" t="s">
        <v>959</v>
      </c>
      <c r="X542" t="s">
        <v>642</v>
      </c>
      <c r="Y542" t="s">
        <v>643</v>
      </c>
      <c r="Z542" t="s">
        <v>644</v>
      </c>
      <c r="AA542" t="s">
        <v>645</v>
      </c>
      <c r="AB542" t="s">
        <v>646</v>
      </c>
      <c r="AC542">
        <v>99088</v>
      </c>
      <c r="AD542" t="s">
        <v>3765</v>
      </c>
      <c r="AE542">
        <v>-36.796733590000002</v>
      </c>
      <c r="AF542">
        <v>175.03119975000001</v>
      </c>
      <c r="AG542">
        <v>30</v>
      </c>
      <c r="AH542">
        <v>0</v>
      </c>
      <c r="AI542">
        <v>0</v>
      </c>
      <c r="AJ542">
        <v>0</v>
      </c>
      <c r="AK542">
        <v>0</v>
      </c>
      <c r="AL542">
        <v>0</v>
      </c>
      <c r="AM542">
        <v>42</v>
      </c>
      <c r="AN542">
        <v>0</v>
      </c>
      <c r="AO542">
        <v>42</v>
      </c>
      <c r="AP542">
        <v>35</v>
      </c>
      <c r="AQ542">
        <v>9</v>
      </c>
      <c r="AR542">
        <v>2</v>
      </c>
      <c r="AS542">
        <v>3</v>
      </c>
      <c r="AT542">
        <v>1</v>
      </c>
    </row>
    <row r="543" spans="1:46">
      <c r="A543">
        <v>5569</v>
      </c>
      <c r="B543" t="s">
        <v>3766</v>
      </c>
      <c r="C543" t="s">
        <v>3767</v>
      </c>
      <c r="D543" t="s">
        <v>3768</v>
      </c>
      <c r="E543" t="s">
        <v>3769</v>
      </c>
      <c r="F543" t="s">
        <v>3770</v>
      </c>
      <c r="G543" t="s">
        <v>1598</v>
      </c>
      <c r="H543" t="s">
        <v>517</v>
      </c>
      <c r="J543" t="s">
        <v>518</v>
      </c>
      <c r="K543" t="s">
        <v>519</v>
      </c>
      <c r="M543" t="s">
        <v>1297</v>
      </c>
      <c r="N543" t="s">
        <v>571</v>
      </c>
      <c r="O543" t="s">
        <v>1698</v>
      </c>
      <c r="P543" t="s">
        <v>654</v>
      </c>
      <c r="Q543" t="s">
        <v>1471</v>
      </c>
      <c r="R543" t="s">
        <v>1472</v>
      </c>
      <c r="S543" t="s">
        <v>1699</v>
      </c>
      <c r="T543" t="s">
        <v>1474</v>
      </c>
      <c r="U543">
        <v>197300</v>
      </c>
      <c r="V543" t="s">
        <v>3771</v>
      </c>
      <c r="W543" t="s">
        <v>3772</v>
      </c>
      <c r="X543" t="s">
        <v>1596</v>
      </c>
      <c r="Y543" t="s">
        <v>1597</v>
      </c>
      <c r="Z543" t="s">
        <v>1598</v>
      </c>
      <c r="AA543" t="s">
        <v>1599</v>
      </c>
      <c r="AB543" t="s">
        <v>1600</v>
      </c>
      <c r="AC543">
        <v>99073</v>
      </c>
      <c r="AD543" t="s">
        <v>3773</v>
      </c>
      <c r="AE543">
        <v>-37.706504080000002</v>
      </c>
      <c r="AF543">
        <v>176.2879217</v>
      </c>
      <c r="AG543">
        <v>45</v>
      </c>
      <c r="AH543">
        <v>0</v>
      </c>
      <c r="AI543">
        <v>0</v>
      </c>
      <c r="AJ543">
        <v>0</v>
      </c>
      <c r="AK543">
        <v>1</v>
      </c>
      <c r="AL543">
        <v>13</v>
      </c>
      <c r="AM543">
        <v>17</v>
      </c>
      <c r="AN543">
        <v>3</v>
      </c>
      <c r="AO543">
        <v>34</v>
      </c>
      <c r="AP543">
        <v>25</v>
      </c>
      <c r="AQ543">
        <v>15</v>
      </c>
      <c r="AR543">
        <v>3</v>
      </c>
      <c r="AS543">
        <v>7</v>
      </c>
      <c r="AT543">
        <v>0</v>
      </c>
    </row>
    <row r="544" spans="1:46">
      <c r="A544">
        <v>5596</v>
      </c>
      <c r="B544" t="s">
        <v>3774</v>
      </c>
      <c r="C544" t="s">
        <v>3775</v>
      </c>
      <c r="D544" t="s">
        <v>3776</v>
      </c>
      <c r="E544" t="s">
        <v>3777</v>
      </c>
      <c r="G544" t="s">
        <v>1067</v>
      </c>
      <c r="H544" t="s">
        <v>517</v>
      </c>
      <c r="J544" t="s">
        <v>518</v>
      </c>
      <c r="K544" t="s">
        <v>519</v>
      </c>
      <c r="M544" t="s">
        <v>520</v>
      </c>
      <c r="N544" t="s">
        <v>571</v>
      </c>
      <c r="O544" t="s">
        <v>873</v>
      </c>
      <c r="P544" t="s">
        <v>540</v>
      </c>
      <c r="Q544" t="s">
        <v>638</v>
      </c>
      <c r="R544" t="s">
        <v>639</v>
      </c>
      <c r="S544" t="s">
        <v>770</v>
      </c>
      <c r="T544" t="s">
        <v>527</v>
      </c>
      <c r="U544">
        <v>118001</v>
      </c>
      <c r="V544" t="s">
        <v>3778</v>
      </c>
      <c r="W544" t="s">
        <v>815</v>
      </c>
      <c r="X544" t="s">
        <v>642</v>
      </c>
      <c r="Y544" t="s">
        <v>643</v>
      </c>
      <c r="Z544" t="s">
        <v>644</v>
      </c>
      <c r="AA544" t="s">
        <v>645</v>
      </c>
      <c r="AB544" t="s">
        <v>646</v>
      </c>
      <c r="AE544">
        <v>-36.848350789999998</v>
      </c>
      <c r="AF544">
        <v>174.5444119</v>
      </c>
      <c r="AG544">
        <v>40</v>
      </c>
      <c r="AH544">
        <v>0</v>
      </c>
      <c r="AI544">
        <v>0</v>
      </c>
      <c r="AJ544">
        <v>0</v>
      </c>
      <c r="AK544">
        <v>12</v>
      </c>
      <c r="AL544">
        <v>11</v>
      </c>
      <c r="AM544">
        <v>20</v>
      </c>
      <c r="AN544">
        <v>1</v>
      </c>
      <c r="AO544">
        <v>44</v>
      </c>
      <c r="AP544">
        <v>42</v>
      </c>
      <c r="AQ544">
        <v>5</v>
      </c>
      <c r="AR544">
        <v>3</v>
      </c>
      <c r="AS544">
        <v>3</v>
      </c>
      <c r="AT544">
        <v>1</v>
      </c>
    </row>
    <row r="545" spans="1:46">
      <c r="A545">
        <v>5613</v>
      </c>
      <c r="B545" t="s">
        <v>3779</v>
      </c>
      <c r="C545" t="s">
        <v>3780</v>
      </c>
      <c r="D545" t="s">
        <v>1293</v>
      </c>
      <c r="E545" t="s">
        <v>3781</v>
      </c>
      <c r="F545" t="s">
        <v>1295</v>
      </c>
      <c r="G545" t="s">
        <v>1296</v>
      </c>
      <c r="H545" t="s">
        <v>517</v>
      </c>
      <c r="J545" t="s">
        <v>518</v>
      </c>
      <c r="K545" t="s">
        <v>519</v>
      </c>
      <c r="M545" t="s">
        <v>1297</v>
      </c>
      <c r="N545" t="s">
        <v>521</v>
      </c>
      <c r="O545" t="s">
        <v>1298</v>
      </c>
      <c r="P545" t="s">
        <v>654</v>
      </c>
      <c r="Q545" t="s">
        <v>1299</v>
      </c>
      <c r="R545" t="s">
        <v>1300</v>
      </c>
      <c r="S545" t="s">
        <v>1301</v>
      </c>
      <c r="T545" t="s">
        <v>1235</v>
      </c>
      <c r="U545">
        <v>176800</v>
      </c>
      <c r="V545" t="s">
        <v>3782</v>
      </c>
      <c r="W545" t="s">
        <v>1303</v>
      </c>
      <c r="X545" t="s">
        <v>1304</v>
      </c>
      <c r="Y545" t="s">
        <v>1305</v>
      </c>
      <c r="AA545" t="s">
        <v>1306</v>
      </c>
      <c r="AB545" t="s">
        <v>1307</v>
      </c>
      <c r="AE545">
        <v>-37.773781339999999</v>
      </c>
      <c r="AF545">
        <v>175.23240489</v>
      </c>
      <c r="AG545">
        <v>40</v>
      </c>
      <c r="AH545">
        <v>0</v>
      </c>
      <c r="AI545">
        <v>0</v>
      </c>
      <c r="AJ545">
        <v>0</v>
      </c>
      <c r="AK545">
        <v>10</v>
      </c>
      <c r="AL545">
        <v>17</v>
      </c>
      <c r="AM545">
        <v>17</v>
      </c>
      <c r="AN545">
        <v>0</v>
      </c>
      <c r="AO545">
        <v>44</v>
      </c>
      <c r="AP545">
        <v>13</v>
      </c>
      <c r="AQ545">
        <v>30</v>
      </c>
      <c r="AR545">
        <v>9</v>
      </c>
      <c r="AS545">
        <v>5</v>
      </c>
      <c r="AT545">
        <v>1</v>
      </c>
    </row>
    <row r="546" spans="1:46">
      <c r="A546">
        <v>5614</v>
      </c>
      <c r="B546" t="s">
        <v>3783</v>
      </c>
      <c r="C546" t="s">
        <v>3784</v>
      </c>
      <c r="D546" t="s">
        <v>3785</v>
      </c>
      <c r="E546" t="s">
        <v>3786</v>
      </c>
      <c r="G546" t="s">
        <v>3787</v>
      </c>
      <c r="H546" t="s">
        <v>517</v>
      </c>
      <c r="J546" t="s">
        <v>518</v>
      </c>
      <c r="K546" t="s">
        <v>519</v>
      </c>
      <c r="M546" t="s">
        <v>1297</v>
      </c>
      <c r="N546" t="s">
        <v>521</v>
      </c>
      <c r="O546" t="s">
        <v>1743</v>
      </c>
      <c r="P546" t="s">
        <v>523</v>
      </c>
      <c r="Q546" t="s">
        <v>1471</v>
      </c>
      <c r="R546" t="s">
        <v>1472</v>
      </c>
      <c r="S546" t="s">
        <v>1438</v>
      </c>
      <c r="T546" t="s">
        <v>1474</v>
      </c>
      <c r="U546">
        <v>190602</v>
      </c>
      <c r="V546" t="s">
        <v>3788</v>
      </c>
      <c r="W546" t="s">
        <v>3789</v>
      </c>
      <c r="X546" t="s">
        <v>1596</v>
      </c>
      <c r="Y546" t="s">
        <v>1597</v>
      </c>
      <c r="Z546" t="s">
        <v>1598</v>
      </c>
      <c r="AA546" t="s">
        <v>1599</v>
      </c>
      <c r="AB546" t="s">
        <v>1600</v>
      </c>
      <c r="AE546">
        <v>-37.557311890000001</v>
      </c>
      <c r="AF546">
        <v>175.92247028</v>
      </c>
      <c r="AG546">
        <v>30</v>
      </c>
      <c r="AH546">
        <v>0</v>
      </c>
      <c r="AI546">
        <v>0</v>
      </c>
      <c r="AJ546">
        <v>0</v>
      </c>
      <c r="AK546">
        <v>0</v>
      </c>
      <c r="AL546">
        <v>15</v>
      </c>
      <c r="AM546">
        <v>20</v>
      </c>
      <c r="AN546">
        <v>0</v>
      </c>
      <c r="AO546">
        <v>35</v>
      </c>
      <c r="AP546">
        <v>30</v>
      </c>
      <c r="AQ546">
        <v>6</v>
      </c>
      <c r="AR546">
        <v>4</v>
      </c>
      <c r="AS546">
        <v>3</v>
      </c>
      <c r="AT546">
        <v>0</v>
      </c>
    </row>
    <row r="547" spans="1:46">
      <c r="A547">
        <v>5615</v>
      </c>
      <c r="B547" t="s">
        <v>3790</v>
      </c>
      <c r="C547" t="s">
        <v>3791</v>
      </c>
      <c r="E547" t="s">
        <v>3792</v>
      </c>
      <c r="F547" t="s">
        <v>3793</v>
      </c>
      <c r="G547" t="s">
        <v>652</v>
      </c>
      <c r="H547" t="s">
        <v>517</v>
      </c>
      <c r="J547" t="s">
        <v>518</v>
      </c>
      <c r="K547" t="s">
        <v>519</v>
      </c>
      <c r="M547" t="s">
        <v>520</v>
      </c>
      <c r="N547" t="s">
        <v>727</v>
      </c>
      <c r="O547" t="s">
        <v>1216</v>
      </c>
      <c r="P547" t="s">
        <v>654</v>
      </c>
      <c r="Q547" t="s">
        <v>638</v>
      </c>
      <c r="R547" t="s">
        <v>729</v>
      </c>
      <c r="S547" t="s">
        <v>1036</v>
      </c>
      <c r="T547" t="s">
        <v>709</v>
      </c>
      <c r="U547">
        <v>158401</v>
      </c>
      <c r="V547" t="s">
        <v>3794</v>
      </c>
      <c r="W547" t="s">
        <v>1219</v>
      </c>
      <c r="X547" t="s">
        <v>1220</v>
      </c>
      <c r="Y547" t="s">
        <v>1221</v>
      </c>
      <c r="Z547" t="s">
        <v>1217</v>
      </c>
      <c r="AA547" t="s">
        <v>1222</v>
      </c>
      <c r="AB547" t="s">
        <v>1223</v>
      </c>
      <c r="AC547">
        <v>99187</v>
      </c>
      <c r="AD547" t="s">
        <v>1257</v>
      </c>
      <c r="AE547">
        <v>-37.000711789999997</v>
      </c>
      <c r="AF547">
        <v>174.88493224999999</v>
      </c>
      <c r="AG547">
        <v>40</v>
      </c>
      <c r="AH547">
        <v>0</v>
      </c>
      <c r="AI547">
        <v>0</v>
      </c>
      <c r="AJ547">
        <v>0</v>
      </c>
      <c r="AK547">
        <v>2</v>
      </c>
      <c r="AL547">
        <v>14</v>
      </c>
      <c r="AM547">
        <v>11</v>
      </c>
      <c r="AN547">
        <v>1</v>
      </c>
      <c r="AO547">
        <v>28</v>
      </c>
      <c r="AP547">
        <v>4</v>
      </c>
      <c r="AQ547">
        <v>10</v>
      </c>
      <c r="AR547">
        <v>20</v>
      </c>
      <c r="AS547">
        <v>2</v>
      </c>
      <c r="AT547">
        <v>0</v>
      </c>
    </row>
    <row r="548" spans="1:46">
      <c r="A548">
        <v>5616</v>
      </c>
      <c r="B548" t="s">
        <v>3795</v>
      </c>
      <c r="C548" t="s">
        <v>3796</v>
      </c>
      <c r="D548" t="s">
        <v>3797</v>
      </c>
      <c r="E548" t="s">
        <v>3798</v>
      </c>
      <c r="F548" t="s">
        <v>2426</v>
      </c>
      <c r="G548" t="s">
        <v>2427</v>
      </c>
      <c r="H548" t="s">
        <v>517</v>
      </c>
      <c r="J548" t="s">
        <v>518</v>
      </c>
      <c r="K548" t="s">
        <v>519</v>
      </c>
      <c r="M548" t="s">
        <v>2287</v>
      </c>
      <c r="N548" t="s">
        <v>557</v>
      </c>
      <c r="O548" t="s">
        <v>2428</v>
      </c>
      <c r="P548" t="s">
        <v>654</v>
      </c>
      <c r="Q548" t="s">
        <v>2319</v>
      </c>
      <c r="R548" t="s">
        <v>2289</v>
      </c>
      <c r="S548" t="s">
        <v>2429</v>
      </c>
      <c r="T548" t="s">
        <v>2085</v>
      </c>
      <c r="U548">
        <v>247000</v>
      </c>
      <c r="V548" t="s">
        <v>2515</v>
      </c>
      <c r="W548" t="s">
        <v>2431</v>
      </c>
      <c r="X548" t="s">
        <v>2432</v>
      </c>
      <c r="Y548" t="s">
        <v>2433</v>
      </c>
      <c r="AA548" t="s">
        <v>2434</v>
      </c>
      <c r="AB548" t="s">
        <v>2435</v>
      </c>
      <c r="AC548">
        <v>99090</v>
      </c>
      <c r="AD548" t="s">
        <v>2436</v>
      </c>
      <c r="AE548">
        <v>-41.24680232</v>
      </c>
      <c r="AF548">
        <v>174.95465788999999</v>
      </c>
      <c r="AG548">
        <v>42</v>
      </c>
      <c r="AH548">
        <v>0</v>
      </c>
      <c r="AI548">
        <v>0</v>
      </c>
      <c r="AJ548">
        <v>0</v>
      </c>
      <c r="AK548">
        <v>10</v>
      </c>
      <c r="AL548">
        <v>13</v>
      </c>
      <c r="AM548">
        <v>11</v>
      </c>
      <c r="AN548">
        <v>0</v>
      </c>
      <c r="AO548">
        <v>34</v>
      </c>
      <c r="AP548">
        <v>26</v>
      </c>
      <c r="AQ548">
        <v>9</v>
      </c>
      <c r="AR548">
        <v>6</v>
      </c>
      <c r="AS548">
        <v>5</v>
      </c>
      <c r="AT548">
        <v>1</v>
      </c>
    </row>
    <row r="549" spans="1:46">
      <c r="A549">
        <v>5619</v>
      </c>
      <c r="B549" t="s">
        <v>3799</v>
      </c>
      <c r="C549" t="s">
        <v>3800</v>
      </c>
      <c r="D549" t="s">
        <v>3801</v>
      </c>
      <c r="E549" t="s">
        <v>3802</v>
      </c>
      <c r="G549" t="s">
        <v>1987</v>
      </c>
      <c r="H549" t="s">
        <v>517</v>
      </c>
      <c r="I549" t="s">
        <v>856</v>
      </c>
      <c r="J549" t="s">
        <v>518</v>
      </c>
      <c r="K549" t="s">
        <v>519</v>
      </c>
      <c r="M549" t="s">
        <v>1297</v>
      </c>
      <c r="N549" t="s">
        <v>539</v>
      </c>
      <c r="O549" t="s">
        <v>1988</v>
      </c>
      <c r="P549" t="s">
        <v>1262</v>
      </c>
      <c r="Q549" t="s">
        <v>1636</v>
      </c>
      <c r="R549" t="s">
        <v>1760</v>
      </c>
      <c r="S549" t="s">
        <v>1637</v>
      </c>
      <c r="T549" t="s">
        <v>1485</v>
      </c>
      <c r="U549">
        <v>227900</v>
      </c>
      <c r="V549" t="s">
        <v>3803</v>
      </c>
      <c r="W549" t="s">
        <v>1990</v>
      </c>
      <c r="X549" t="s">
        <v>1958</v>
      </c>
      <c r="Y549" t="s">
        <v>1959</v>
      </c>
      <c r="AA549" t="s">
        <v>1960</v>
      </c>
      <c r="AB549" t="s">
        <v>1961</v>
      </c>
      <c r="AC549">
        <v>99134</v>
      </c>
      <c r="AD549" t="s">
        <v>1991</v>
      </c>
      <c r="AE549">
        <v>-40.209955039999997</v>
      </c>
      <c r="AF549">
        <v>175.5625598</v>
      </c>
      <c r="AG549">
        <v>40</v>
      </c>
      <c r="AH549">
        <v>0</v>
      </c>
      <c r="AI549">
        <v>0</v>
      </c>
      <c r="AJ549">
        <v>0</v>
      </c>
      <c r="AK549">
        <v>1</v>
      </c>
      <c r="AL549">
        <v>13</v>
      </c>
      <c r="AM549">
        <v>17</v>
      </c>
      <c r="AN549">
        <v>1</v>
      </c>
      <c r="AO549">
        <v>32</v>
      </c>
      <c r="AP549">
        <v>30</v>
      </c>
      <c r="AQ549">
        <v>11</v>
      </c>
      <c r="AR549">
        <v>0</v>
      </c>
      <c r="AS549">
        <v>3</v>
      </c>
      <c r="AT549">
        <v>1</v>
      </c>
    </row>
    <row r="550" spans="1:46">
      <c r="A550">
        <v>5620</v>
      </c>
      <c r="B550" t="s">
        <v>3804</v>
      </c>
      <c r="C550" t="s">
        <v>3805</v>
      </c>
      <c r="D550" t="s">
        <v>3806</v>
      </c>
      <c r="E550" t="s">
        <v>3807</v>
      </c>
      <c r="F550" t="s">
        <v>2441</v>
      </c>
      <c r="G550" t="s">
        <v>2427</v>
      </c>
      <c r="H550" t="s">
        <v>517</v>
      </c>
      <c r="J550" t="s">
        <v>518</v>
      </c>
      <c r="K550" t="s">
        <v>519</v>
      </c>
      <c r="M550" t="s">
        <v>2287</v>
      </c>
      <c r="N550" t="s">
        <v>571</v>
      </c>
      <c r="O550" t="s">
        <v>2428</v>
      </c>
      <c r="P550" t="s">
        <v>654</v>
      </c>
      <c r="Q550" t="s">
        <v>2319</v>
      </c>
      <c r="R550" t="s">
        <v>2289</v>
      </c>
      <c r="S550" t="s">
        <v>2429</v>
      </c>
      <c r="T550" t="s">
        <v>2448</v>
      </c>
      <c r="U550">
        <v>246001</v>
      </c>
      <c r="V550" t="s">
        <v>3808</v>
      </c>
      <c r="W550" t="s">
        <v>2455</v>
      </c>
      <c r="X550" t="s">
        <v>2432</v>
      </c>
      <c r="Y550" t="s">
        <v>2433</v>
      </c>
      <c r="AA550" t="s">
        <v>2434</v>
      </c>
      <c r="AB550" t="s">
        <v>2435</v>
      </c>
      <c r="AE550">
        <v>-41.221517650000003</v>
      </c>
      <c r="AF550">
        <v>174.91489773999999</v>
      </c>
      <c r="AG550">
        <v>43</v>
      </c>
      <c r="AH550">
        <v>0</v>
      </c>
      <c r="AI550">
        <v>0</v>
      </c>
      <c r="AJ550">
        <v>0</v>
      </c>
      <c r="AK550">
        <v>2</v>
      </c>
      <c r="AL550">
        <v>24</v>
      </c>
      <c r="AM550">
        <v>25</v>
      </c>
      <c r="AN550">
        <v>2</v>
      </c>
      <c r="AO550">
        <v>53</v>
      </c>
      <c r="AP550">
        <v>28</v>
      </c>
      <c r="AQ550">
        <v>14</v>
      </c>
      <c r="AR550">
        <v>10</v>
      </c>
      <c r="AS550">
        <v>18</v>
      </c>
      <c r="AT550">
        <v>4</v>
      </c>
    </row>
    <row r="551" spans="1:46">
      <c r="A551">
        <v>5621</v>
      </c>
      <c r="B551" t="s">
        <v>3809</v>
      </c>
      <c r="C551" t="s">
        <v>1223</v>
      </c>
      <c r="E551" t="s">
        <v>3810</v>
      </c>
      <c r="G551" t="s">
        <v>3811</v>
      </c>
      <c r="H551" t="s">
        <v>517</v>
      </c>
      <c r="J551" t="s">
        <v>518</v>
      </c>
      <c r="K551" t="s">
        <v>519</v>
      </c>
      <c r="M551" t="s">
        <v>520</v>
      </c>
      <c r="N551" t="s">
        <v>557</v>
      </c>
      <c r="O551" t="s">
        <v>1351</v>
      </c>
      <c r="P551" t="s">
        <v>523</v>
      </c>
      <c r="Q551" t="s">
        <v>1299</v>
      </c>
      <c r="R551" t="s">
        <v>729</v>
      </c>
      <c r="S551" t="s">
        <v>1246</v>
      </c>
      <c r="T551" t="s">
        <v>1235</v>
      </c>
      <c r="U551">
        <v>170300</v>
      </c>
      <c r="V551" t="s">
        <v>3812</v>
      </c>
      <c r="W551" t="s">
        <v>3813</v>
      </c>
      <c r="X551" t="s">
        <v>1220</v>
      </c>
      <c r="Y551" t="s">
        <v>1221</v>
      </c>
      <c r="Z551" t="s">
        <v>1217</v>
      </c>
      <c r="AA551" t="s">
        <v>1222</v>
      </c>
      <c r="AB551" t="s">
        <v>1223</v>
      </c>
      <c r="AE551">
        <v>-37.265463439999998</v>
      </c>
      <c r="AF551">
        <v>174.93935827999999</v>
      </c>
      <c r="AG551">
        <v>30</v>
      </c>
      <c r="AH551">
        <v>0</v>
      </c>
      <c r="AI551">
        <v>0</v>
      </c>
      <c r="AJ551">
        <v>0</v>
      </c>
      <c r="AK551">
        <v>3</v>
      </c>
      <c r="AL551">
        <v>14</v>
      </c>
      <c r="AM551">
        <v>24</v>
      </c>
      <c r="AN551">
        <v>1</v>
      </c>
      <c r="AO551">
        <v>42</v>
      </c>
      <c r="AP551">
        <v>30</v>
      </c>
      <c r="AQ551">
        <v>12</v>
      </c>
      <c r="AR551">
        <v>9</v>
      </c>
      <c r="AS551">
        <v>5</v>
      </c>
      <c r="AT551">
        <v>1</v>
      </c>
    </row>
    <row r="552" spans="1:46">
      <c r="A552">
        <v>5622</v>
      </c>
      <c r="B552" t="s">
        <v>3814</v>
      </c>
      <c r="C552" t="s">
        <v>3815</v>
      </c>
      <c r="D552" t="s">
        <v>3816</v>
      </c>
      <c r="E552" t="s">
        <v>3817</v>
      </c>
      <c r="F552" t="s">
        <v>1035</v>
      </c>
      <c r="G552" t="s">
        <v>652</v>
      </c>
      <c r="H552" t="s">
        <v>517</v>
      </c>
      <c r="J552" t="s">
        <v>518</v>
      </c>
      <c r="K552" t="s">
        <v>519</v>
      </c>
      <c r="M552" t="s">
        <v>520</v>
      </c>
      <c r="N552" t="s">
        <v>539</v>
      </c>
      <c r="O552" t="s">
        <v>728</v>
      </c>
      <c r="P552" t="s">
        <v>654</v>
      </c>
      <c r="Q552" t="s">
        <v>638</v>
      </c>
      <c r="R552" t="s">
        <v>729</v>
      </c>
      <c r="S552" t="s">
        <v>1036</v>
      </c>
      <c r="T552" t="s">
        <v>709</v>
      </c>
      <c r="U552">
        <v>154202</v>
      </c>
      <c r="V552" t="s">
        <v>3818</v>
      </c>
      <c r="W552" t="s">
        <v>732</v>
      </c>
      <c r="X552" t="s">
        <v>642</v>
      </c>
      <c r="Y552" t="s">
        <v>643</v>
      </c>
      <c r="Z552" t="s">
        <v>644</v>
      </c>
      <c r="AA552" t="s">
        <v>645</v>
      </c>
      <c r="AB552" t="s">
        <v>646</v>
      </c>
      <c r="AC552">
        <v>99102</v>
      </c>
      <c r="AD552" t="s">
        <v>1038</v>
      </c>
      <c r="AE552">
        <v>-36.984732510000001</v>
      </c>
      <c r="AF552">
        <v>174.83822749999999</v>
      </c>
      <c r="AG552">
        <v>40</v>
      </c>
      <c r="AH552">
        <v>0</v>
      </c>
      <c r="AI552">
        <v>0</v>
      </c>
      <c r="AJ552">
        <v>0</v>
      </c>
      <c r="AK552">
        <v>11</v>
      </c>
      <c r="AL552">
        <v>10</v>
      </c>
      <c r="AM552">
        <v>15</v>
      </c>
      <c r="AN552">
        <v>1</v>
      </c>
      <c r="AO552">
        <v>37</v>
      </c>
      <c r="AP552">
        <v>6</v>
      </c>
      <c r="AQ552">
        <v>20</v>
      </c>
      <c r="AR552">
        <v>19</v>
      </c>
      <c r="AS552">
        <v>6</v>
      </c>
      <c r="AT552">
        <v>1</v>
      </c>
    </row>
    <row r="553" spans="1:46">
      <c r="A553">
        <v>5623</v>
      </c>
      <c r="B553" t="s">
        <v>3819</v>
      </c>
      <c r="C553" t="s">
        <v>1433</v>
      </c>
      <c r="D553" t="s">
        <v>3820</v>
      </c>
      <c r="E553" t="s">
        <v>3821</v>
      </c>
      <c r="G553" t="s">
        <v>1586</v>
      </c>
      <c r="H553" t="s">
        <v>517</v>
      </c>
      <c r="J553" t="s">
        <v>518</v>
      </c>
      <c r="K553" t="s">
        <v>519</v>
      </c>
      <c r="M553" t="s">
        <v>1297</v>
      </c>
      <c r="N553" t="s">
        <v>557</v>
      </c>
      <c r="O553" t="s">
        <v>1450</v>
      </c>
      <c r="P553" t="s">
        <v>523</v>
      </c>
      <c r="Q553" t="s">
        <v>1299</v>
      </c>
      <c r="R553" t="s">
        <v>1300</v>
      </c>
      <c r="S553" t="s">
        <v>1300</v>
      </c>
      <c r="T553" t="s">
        <v>1235</v>
      </c>
      <c r="U553">
        <v>174001</v>
      </c>
      <c r="V553" t="s">
        <v>3822</v>
      </c>
      <c r="W553" t="s">
        <v>1588</v>
      </c>
      <c r="X553" t="s">
        <v>1440</v>
      </c>
      <c r="Y553" t="s">
        <v>1441</v>
      </c>
      <c r="AA553" t="s">
        <v>1442</v>
      </c>
      <c r="AB553" t="s">
        <v>1443</v>
      </c>
      <c r="AC553">
        <v>99131</v>
      </c>
      <c r="AD553" t="s">
        <v>1589</v>
      </c>
      <c r="AE553">
        <v>-37.651272820000003</v>
      </c>
      <c r="AF553">
        <v>175.51870446000001</v>
      </c>
      <c r="AG553">
        <v>40</v>
      </c>
      <c r="AH553">
        <v>0</v>
      </c>
      <c r="AI553">
        <v>0</v>
      </c>
      <c r="AJ553">
        <v>0</v>
      </c>
      <c r="AK553">
        <v>9</v>
      </c>
      <c r="AL553">
        <v>12</v>
      </c>
      <c r="AM553">
        <v>18</v>
      </c>
      <c r="AN553">
        <v>4</v>
      </c>
      <c r="AO553">
        <v>43</v>
      </c>
      <c r="AP553">
        <v>29</v>
      </c>
      <c r="AQ553">
        <v>20</v>
      </c>
      <c r="AR553">
        <v>1</v>
      </c>
      <c r="AS553">
        <v>1</v>
      </c>
      <c r="AT553">
        <v>6</v>
      </c>
    </row>
    <row r="554" spans="1:46">
      <c r="A554">
        <v>5624</v>
      </c>
      <c r="B554" t="s">
        <v>3823</v>
      </c>
      <c r="C554" t="s">
        <v>1433</v>
      </c>
      <c r="D554" t="s">
        <v>3824</v>
      </c>
      <c r="E554" t="s">
        <v>3825</v>
      </c>
      <c r="G554" t="s">
        <v>3826</v>
      </c>
      <c r="H554" t="s">
        <v>517</v>
      </c>
      <c r="J554" t="s">
        <v>518</v>
      </c>
      <c r="K554" t="s">
        <v>519</v>
      </c>
      <c r="M554" t="s">
        <v>1297</v>
      </c>
      <c r="N554" t="s">
        <v>521</v>
      </c>
      <c r="O554" t="s">
        <v>1461</v>
      </c>
      <c r="P554" t="s">
        <v>523</v>
      </c>
      <c r="Q554" t="s">
        <v>1299</v>
      </c>
      <c r="R554" t="s">
        <v>1300</v>
      </c>
      <c r="S554" t="s">
        <v>1438</v>
      </c>
      <c r="T554" t="s">
        <v>1235</v>
      </c>
      <c r="U554">
        <v>167101</v>
      </c>
      <c r="V554" t="s">
        <v>3827</v>
      </c>
      <c r="W554" t="s">
        <v>3828</v>
      </c>
      <c r="X554" t="s">
        <v>1440</v>
      </c>
      <c r="Y554" t="s">
        <v>1441</v>
      </c>
      <c r="AA554" t="s">
        <v>1442</v>
      </c>
      <c r="AB554" t="s">
        <v>1443</v>
      </c>
      <c r="AC554">
        <v>99155</v>
      </c>
      <c r="AD554" t="s">
        <v>3829</v>
      </c>
      <c r="AE554">
        <v>-36.830781870000003</v>
      </c>
      <c r="AF554">
        <v>175.70472285</v>
      </c>
      <c r="AG554">
        <v>40</v>
      </c>
      <c r="AH554">
        <v>0</v>
      </c>
      <c r="AI554">
        <v>0</v>
      </c>
      <c r="AJ554">
        <v>0</v>
      </c>
      <c r="AK554">
        <v>3</v>
      </c>
      <c r="AL554">
        <v>7</v>
      </c>
      <c r="AM554">
        <v>10</v>
      </c>
      <c r="AN554">
        <v>1</v>
      </c>
      <c r="AO554">
        <v>21</v>
      </c>
      <c r="AP554">
        <v>13</v>
      </c>
      <c r="AQ554">
        <v>7</v>
      </c>
      <c r="AR554">
        <v>3</v>
      </c>
      <c r="AS554">
        <v>3</v>
      </c>
      <c r="AT554">
        <v>0</v>
      </c>
    </row>
    <row r="555" spans="1:46">
      <c r="A555">
        <v>5625</v>
      </c>
      <c r="B555" t="s">
        <v>3830</v>
      </c>
      <c r="C555" t="s">
        <v>3831</v>
      </c>
      <c r="D555" t="s">
        <v>3832</v>
      </c>
      <c r="E555" t="s">
        <v>3833</v>
      </c>
      <c r="G555" t="s">
        <v>3834</v>
      </c>
      <c r="H555" t="s">
        <v>517</v>
      </c>
      <c r="J555" t="s">
        <v>518</v>
      </c>
      <c r="K555" t="s">
        <v>519</v>
      </c>
      <c r="M555" t="s">
        <v>2287</v>
      </c>
      <c r="N555" t="s">
        <v>571</v>
      </c>
      <c r="O555" t="s">
        <v>3835</v>
      </c>
      <c r="P555" t="s">
        <v>1262</v>
      </c>
      <c r="Q555" t="s">
        <v>3337</v>
      </c>
      <c r="R555" t="s">
        <v>3338</v>
      </c>
      <c r="S555" t="s">
        <v>3361</v>
      </c>
      <c r="T555" t="s">
        <v>2448</v>
      </c>
      <c r="U555">
        <v>347700</v>
      </c>
      <c r="V555" t="s">
        <v>3836</v>
      </c>
      <c r="W555" t="s">
        <v>3837</v>
      </c>
      <c r="X555" t="s">
        <v>2948</v>
      </c>
      <c r="Y555" t="s">
        <v>2949</v>
      </c>
      <c r="Z555" t="s">
        <v>2950</v>
      </c>
      <c r="AA555" t="s">
        <v>2951</v>
      </c>
      <c r="AB555" t="s">
        <v>2952</v>
      </c>
      <c r="AE555">
        <v>-45.028861759999998</v>
      </c>
      <c r="AF555">
        <v>168.65768406999999</v>
      </c>
      <c r="AG555">
        <v>40</v>
      </c>
      <c r="AH555">
        <v>0</v>
      </c>
      <c r="AI555">
        <v>0</v>
      </c>
      <c r="AJ555">
        <v>0</v>
      </c>
      <c r="AK555">
        <v>4</v>
      </c>
      <c r="AL555">
        <v>13</v>
      </c>
      <c r="AM555">
        <v>16</v>
      </c>
      <c r="AN555">
        <v>0</v>
      </c>
      <c r="AO555">
        <v>33</v>
      </c>
      <c r="AP555">
        <v>19</v>
      </c>
      <c r="AQ555">
        <v>5</v>
      </c>
      <c r="AR555">
        <v>1</v>
      </c>
      <c r="AS555">
        <v>9</v>
      </c>
      <c r="AT555">
        <v>9</v>
      </c>
    </row>
    <row r="556" spans="1:46">
      <c r="A556">
        <v>5626</v>
      </c>
      <c r="B556" t="s">
        <v>3838</v>
      </c>
      <c r="C556" t="s">
        <v>3839</v>
      </c>
      <c r="D556" t="s">
        <v>3840</v>
      </c>
      <c r="E556" t="s">
        <v>3841</v>
      </c>
      <c r="G556" t="s">
        <v>3498</v>
      </c>
      <c r="H556" t="s">
        <v>517</v>
      </c>
      <c r="J556" t="s">
        <v>518</v>
      </c>
      <c r="K556" t="s">
        <v>519</v>
      </c>
      <c r="M556" t="s">
        <v>2287</v>
      </c>
      <c r="N556" t="s">
        <v>539</v>
      </c>
      <c r="O556" t="s">
        <v>3496</v>
      </c>
      <c r="P556" t="s">
        <v>584</v>
      </c>
      <c r="Q556" t="s">
        <v>3497</v>
      </c>
      <c r="R556" t="s">
        <v>3338</v>
      </c>
      <c r="S556" t="s">
        <v>3498</v>
      </c>
      <c r="T556" t="s">
        <v>2448</v>
      </c>
      <c r="U556">
        <v>362601</v>
      </c>
      <c r="V556" t="s">
        <v>3842</v>
      </c>
      <c r="W556" t="s">
        <v>1652</v>
      </c>
      <c r="X556" t="s">
        <v>3499</v>
      </c>
      <c r="Y556" t="s">
        <v>3500</v>
      </c>
      <c r="Z556" t="s">
        <v>3498</v>
      </c>
      <c r="AA556" t="s">
        <v>3501</v>
      </c>
      <c r="AB556" t="s">
        <v>3502</v>
      </c>
      <c r="AC556">
        <v>99146</v>
      </c>
      <c r="AD556" t="s">
        <v>3508</v>
      </c>
      <c r="AE556">
        <v>-46.424523499999999</v>
      </c>
      <c r="AF556">
        <v>168.39026569999999</v>
      </c>
      <c r="AG556">
        <v>37</v>
      </c>
      <c r="AH556">
        <v>0</v>
      </c>
      <c r="AI556">
        <v>0</v>
      </c>
      <c r="AJ556">
        <v>0</v>
      </c>
      <c r="AK556">
        <v>5</v>
      </c>
      <c r="AL556">
        <v>6</v>
      </c>
      <c r="AM556">
        <v>11</v>
      </c>
      <c r="AN556">
        <v>0</v>
      </c>
      <c r="AO556">
        <v>22</v>
      </c>
      <c r="AP556">
        <v>15</v>
      </c>
      <c r="AQ556">
        <v>10</v>
      </c>
      <c r="AR556">
        <v>1</v>
      </c>
      <c r="AS556">
        <v>4</v>
      </c>
      <c r="AT556">
        <v>0</v>
      </c>
    </row>
    <row r="557" spans="1:46">
      <c r="A557">
        <v>5627</v>
      </c>
      <c r="B557" t="s">
        <v>3843</v>
      </c>
      <c r="C557" t="s">
        <v>3844</v>
      </c>
      <c r="D557" t="s">
        <v>3845</v>
      </c>
      <c r="E557" t="s">
        <v>3846</v>
      </c>
      <c r="F557" t="s">
        <v>2104</v>
      </c>
      <c r="G557" t="s">
        <v>2081</v>
      </c>
      <c r="H557" t="s">
        <v>517</v>
      </c>
      <c r="J557" t="s">
        <v>518</v>
      </c>
      <c r="K557" t="s">
        <v>519</v>
      </c>
      <c r="M557" t="s">
        <v>1297</v>
      </c>
      <c r="N557" t="s">
        <v>727</v>
      </c>
      <c r="O557" t="s">
        <v>2082</v>
      </c>
      <c r="P557" t="s">
        <v>584</v>
      </c>
      <c r="Q557" t="s">
        <v>2083</v>
      </c>
      <c r="R557" t="s">
        <v>2084</v>
      </c>
      <c r="S557" t="s">
        <v>1473</v>
      </c>
      <c r="T557" t="s">
        <v>2085</v>
      </c>
      <c r="U557">
        <v>207000</v>
      </c>
      <c r="V557" t="s">
        <v>3847</v>
      </c>
      <c r="W557" t="s">
        <v>2087</v>
      </c>
      <c r="X557" t="s">
        <v>2088</v>
      </c>
      <c r="Y557" t="s">
        <v>2089</v>
      </c>
      <c r="AA557" t="s">
        <v>2090</v>
      </c>
      <c r="AB557" t="s">
        <v>2091</v>
      </c>
      <c r="AC557">
        <v>99050</v>
      </c>
      <c r="AD557" t="s">
        <v>2106</v>
      </c>
      <c r="AE557">
        <v>-38.67587236</v>
      </c>
      <c r="AF557">
        <v>178.04516426999999</v>
      </c>
      <c r="AG557">
        <v>40</v>
      </c>
      <c r="AH557">
        <v>0</v>
      </c>
      <c r="AI557">
        <v>0</v>
      </c>
      <c r="AJ557">
        <v>1</v>
      </c>
      <c r="AK557">
        <v>7</v>
      </c>
      <c r="AL557">
        <v>15</v>
      </c>
      <c r="AM557">
        <v>14</v>
      </c>
      <c r="AN557">
        <v>2</v>
      </c>
      <c r="AO557">
        <v>39</v>
      </c>
      <c r="AP557">
        <v>7</v>
      </c>
      <c r="AQ557">
        <v>37</v>
      </c>
      <c r="AR557">
        <v>6</v>
      </c>
      <c r="AS557">
        <v>0</v>
      </c>
      <c r="AT557">
        <v>0</v>
      </c>
    </row>
    <row r="558" spans="1:46">
      <c r="A558">
        <v>5628</v>
      </c>
      <c r="B558" t="s">
        <v>3848</v>
      </c>
      <c r="C558" t="s">
        <v>3849</v>
      </c>
      <c r="D558" t="s">
        <v>2938</v>
      </c>
      <c r="E558" t="s">
        <v>3850</v>
      </c>
      <c r="F558" t="s">
        <v>2940</v>
      </c>
      <c r="G558" t="s">
        <v>2941</v>
      </c>
      <c r="H558" t="s">
        <v>517</v>
      </c>
      <c r="J558" t="s">
        <v>518</v>
      </c>
      <c r="K558" t="s">
        <v>519</v>
      </c>
      <c r="M558" t="s">
        <v>2287</v>
      </c>
      <c r="N558" t="s">
        <v>571</v>
      </c>
      <c r="O558" t="s">
        <v>2942</v>
      </c>
      <c r="P558" t="s">
        <v>654</v>
      </c>
      <c r="Q558" t="s">
        <v>2943</v>
      </c>
      <c r="R558" t="s">
        <v>2944</v>
      </c>
      <c r="S558" t="s">
        <v>2945</v>
      </c>
      <c r="T558" t="s">
        <v>2448</v>
      </c>
      <c r="U558">
        <v>318901</v>
      </c>
      <c r="V558" t="s">
        <v>3851</v>
      </c>
      <c r="W558" t="s">
        <v>2947</v>
      </c>
      <c r="X558" t="s">
        <v>2948</v>
      </c>
      <c r="Y558" t="s">
        <v>2949</v>
      </c>
      <c r="Z558" t="s">
        <v>2950</v>
      </c>
      <c r="AA558" t="s">
        <v>2951</v>
      </c>
      <c r="AB558" t="s">
        <v>2952</v>
      </c>
      <c r="AE558">
        <v>-43.509406890000001</v>
      </c>
      <c r="AF558">
        <v>172.54640472</v>
      </c>
      <c r="AG558">
        <v>40</v>
      </c>
      <c r="AH558">
        <v>0</v>
      </c>
      <c r="AI558">
        <v>0</v>
      </c>
      <c r="AJ558">
        <v>0</v>
      </c>
      <c r="AK558">
        <v>9</v>
      </c>
      <c r="AL558">
        <v>19</v>
      </c>
      <c r="AM558">
        <v>20</v>
      </c>
      <c r="AN558">
        <v>1</v>
      </c>
      <c r="AO558">
        <v>49</v>
      </c>
      <c r="AP558">
        <v>37</v>
      </c>
      <c r="AQ558">
        <v>4</v>
      </c>
      <c r="AR558">
        <v>6</v>
      </c>
      <c r="AS558">
        <v>13</v>
      </c>
      <c r="AT558">
        <v>1</v>
      </c>
    </row>
    <row r="559" spans="1:46">
      <c r="A559">
        <v>5629</v>
      </c>
      <c r="B559" t="s">
        <v>3852</v>
      </c>
      <c r="C559" t="s">
        <v>1433</v>
      </c>
      <c r="D559" t="s">
        <v>3853</v>
      </c>
      <c r="E559" t="s">
        <v>3854</v>
      </c>
      <c r="G559" t="s">
        <v>3855</v>
      </c>
      <c r="H559" t="s">
        <v>517</v>
      </c>
      <c r="J559" t="s">
        <v>518</v>
      </c>
      <c r="K559" t="s">
        <v>519</v>
      </c>
      <c r="M559" t="s">
        <v>1297</v>
      </c>
      <c r="N559" t="s">
        <v>557</v>
      </c>
      <c r="O559" t="s">
        <v>1437</v>
      </c>
      <c r="P559" t="s">
        <v>523</v>
      </c>
      <c r="Q559" t="s">
        <v>1299</v>
      </c>
      <c r="R559" t="s">
        <v>1300</v>
      </c>
      <c r="S559" t="s">
        <v>1438</v>
      </c>
      <c r="T559" t="s">
        <v>1235</v>
      </c>
      <c r="U559">
        <v>168901</v>
      </c>
      <c r="V559" t="s">
        <v>3855</v>
      </c>
      <c r="W559" t="s">
        <v>3856</v>
      </c>
      <c r="X559" t="s">
        <v>1440</v>
      </c>
      <c r="Y559" t="s">
        <v>1441</v>
      </c>
      <c r="AA559" t="s">
        <v>1442</v>
      </c>
      <c r="AB559" t="s">
        <v>1443</v>
      </c>
      <c r="AC559">
        <v>99015</v>
      </c>
      <c r="AD559" t="s">
        <v>3857</v>
      </c>
      <c r="AE559">
        <v>-37.273663790000001</v>
      </c>
      <c r="AF559">
        <v>175.49805545999999</v>
      </c>
      <c r="AG559">
        <v>40</v>
      </c>
      <c r="AH559">
        <v>0</v>
      </c>
      <c r="AI559">
        <v>0</v>
      </c>
      <c r="AJ559">
        <v>0</v>
      </c>
      <c r="AK559">
        <v>9</v>
      </c>
      <c r="AL559">
        <v>20</v>
      </c>
      <c r="AM559">
        <v>21</v>
      </c>
      <c r="AN559">
        <v>2</v>
      </c>
      <c r="AO559">
        <v>52</v>
      </c>
      <c r="AP559">
        <v>44</v>
      </c>
      <c r="AQ559">
        <v>8</v>
      </c>
      <c r="AR559">
        <v>1</v>
      </c>
      <c r="AS559">
        <v>8</v>
      </c>
      <c r="AT559">
        <v>1</v>
      </c>
    </row>
    <row r="560" spans="1:46">
      <c r="A560">
        <v>5630</v>
      </c>
      <c r="B560" t="s">
        <v>3858</v>
      </c>
      <c r="C560" t="s">
        <v>3859</v>
      </c>
      <c r="D560" t="s">
        <v>3860</v>
      </c>
      <c r="E560" t="s">
        <v>3861</v>
      </c>
      <c r="F560" t="s">
        <v>791</v>
      </c>
      <c r="G560" t="s">
        <v>652</v>
      </c>
      <c r="H560" t="s">
        <v>517</v>
      </c>
      <c r="J560" t="s">
        <v>518</v>
      </c>
      <c r="K560" t="s">
        <v>519</v>
      </c>
      <c r="M560" t="s">
        <v>520</v>
      </c>
      <c r="N560" t="s">
        <v>571</v>
      </c>
      <c r="O560" t="s">
        <v>707</v>
      </c>
      <c r="P560" t="s">
        <v>654</v>
      </c>
      <c r="Q560" t="s">
        <v>638</v>
      </c>
      <c r="R560" t="s">
        <v>708</v>
      </c>
      <c r="S560" t="s">
        <v>706</v>
      </c>
      <c r="T560" t="s">
        <v>709</v>
      </c>
      <c r="U560">
        <v>148800</v>
      </c>
      <c r="V560" t="s">
        <v>3862</v>
      </c>
      <c r="W560" t="s">
        <v>711</v>
      </c>
      <c r="X560" t="s">
        <v>642</v>
      </c>
      <c r="Y560" t="s">
        <v>643</v>
      </c>
      <c r="Z560" t="s">
        <v>644</v>
      </c>
      <c r="AA560" t="s">
        <v>645</v>
      </c>
      <c r="AB560" t="s">
        <v>646</v>
      </c>
      <c r="AE560">
        <v>-36.888665789999997</v>
      </c>
      <c r="AF560">
        <v>174.90113020000001</v>
      </c>
      <c r="AG560">
        <v>40</v>
      </c>
      <c r="AH560">
        <v>0</v>
      </c>
      <c r="AI560">
        <v>0</v>
      </c>
      <c r="AJ560">
        <v>0</v>
      </c>
      <c r="AK560">
        <v>10</v>
      </c>
      <c r="AL560">
        <v>9</v>
      </c>
      <c r="AM560">
        <v>15</v>
      </c>
      <c r="AN560">
        <v>1</v>
      </c>
      <c r="AO560">
        <v>35</v>
      </c>
      <c r="AP560">
        <v>14</v>
      </c>
      <c r="AQ560">
        <v>2</v>
      </c>
      <c r="AR560">
        <v>4</v>
      </c>
      <c r="AS560">
        <v>20</v>
      </c>
      <c r="AT560">
        <v>2</v>
      </c>
    </row>
    <row r="561" spans="1:46">
      <c r="A561">
        <v>5631</v>
      </c>
      <c r="B561" t="s">
        <v>3863</v>
      </c>
      <c r="C561" t="s">
        <v>3864</v>
      </c>
      <c r="D561" t="s">
        <v>3865</v>
      </c>
      <c r="E561" t="s">
        <v>3866</v>
      </c>
      <c r="G561" t="s">
        <v>3867</v>
      </c>
      <c r="H561" t="s">
        <v>517</v>
      </c>
      <c r="J561" t="s">
        <v>518</v>
      </c>
      <c r="K561" t="s">
        <v>519</v>
      </c>
      <c r="M561" t="s">
        <v>2287</v>
      </c>
      <c r="N561" t="s">
        <v>571</v>
      </c>
      <c r="O561" t="s">
        <v>2822</v>
      </c>
      <c r="P561" t="s">
        <v>523</v>
      </c>
      <c r="Q561" t="s">
        <v>2823</v>
      </c>
      <c r="R561" t="s">
        <v>2824</v>
      </c>
      <c r="S561" t="s">
        <v>2825</v>
      </c>
      <c r="T561" t="s">
        <v>2448</v>
      </c>
      <c r="U561">
        <v>307100</v>
      </c>
      <c r="V561" t="s">
        <v>3867</v>
      </c>
      <c r="W561" t="s">
        <v>3868</v>
      </c>
      <c r="X561" t="s">
        <v>2827</v>
      </c>
      <c r="Y561" t="s">
        <v>2828</v>
      </c>
      <c r="AA561" t="s">
        <v>2829</v>
      </c>
      <c r="AB561" t="s">
        <v>2830</v>
      </c>
      <c r="AC561">
        <v>99006</v>
      </c>
      <c r="AD561" t="s">
        <v>2831</v>
      </c>
      <c r="AE561">
        <v>-41.512048589999999</v>
      </c>
      <c r="AF561">
        <v>173.82880757999999</v>
      </c>
      <c r="AG561">
        <v>44</v>
      </c>
      <c r="AH561">
        <v>0</v>
      </c>
      <c r="AI561">
        <v>0</v>
      </c>
      <c r="AJ561">
        <v>0</v>
      </c>
      <c r="AK561">
        <v>0</v>
      </c>
      <c r="AL561">
        <v>14</v>
      </c>
      <c r="AM561">
        <v>28</v>
      </c>
      <c r="AN561">
        <v>2</v>
      </c>
      <c r="AO561">
        <v>44</v>
      </c>
      <c r="AP561">
        <v>41</v>
      </c>
      <c r="AQ561">
        <v>5</v>
      </c>
      <c r="AR561">
        <v>0</v>
      </c>
      <c r="AS561">
        <v>0</v>
      </c>
      <c r="AT561">
        <v>2</v>
      </c>
    </row>
    <row r="562" spans="1:46">
      <c r="A562">
        <v>5632</v>
      </c>
      <c r="B562" t="s">
        <v>3869</v>
      </c>
      <c r="C562" t="s">
        <v>3870</v>
      </c>
      <c r="D562" t="s">
        <v>3871</v>
      </c>
      <c r="E562" t="s">
        <v>3872</v>
      </c>
      <c r="F562" t="s">
        <v>3873</v>
      </c>
      <c r="G562" t="s">
        <v>1598</v>
      </c>
      <c r="H562" t="s">
        <v>517</v>
      </c>
      <c r="J562" t="s">
        <v>518</v>
      </c>
      <c r="K562" t="s">
        <v>519</v>
      </c>
      <c r="M562" t="s">
        <v>1297</v>
      </c>
      <c r="N562" t="s">
        <v>571</v>
      </c>
      <c r="O562" t="s">
        <v>1698</v>
      </c>
      <c r="P562" t="s">
        <v>654</v>
      </c>
      <c r="Q562" t="s">
        <v>1471</v>
      </c>
      <c r="R562" t="s">
        <v>1472</v>
      </c>
      <c r="S562" t="s">
        <v>1699</v>
      </c>
      <c r="T562" t="s">
        <v>1474</v>
      </c>
      <c r="U562">
        <v>196600</v>
      </c>
      <c r="V562" t="s">
        <v>3874</v>
      </c>
      <c r="W562" t="s">
        <v>1731</v>
      </c>
      <c r="X562" t="s">
        <v>1596</v>
      </c>
      <c r="Y562" t="s">
        <v>1597</v>
      </c>
      <c r="Z562" t="s">
        <v>1598</v>
      </c>
      <c r="AA562" t="s">
        <v>1599</v>
      </c>
      <c r="AB562" t="s">
        <v>1600</v>
      </c>
      <c r="AC562">
        <v>99085</v>
      </c>
      <c r="AD562" t="s">
        <v>1718</v>
      </c>
      <c r="AE562">
        <v>-37.733186750000002</v>
      </c>
      <c r="AF562">
        <v>176.18323332</v>
      </c>
      <c r="AG562">
        <v>43</v>
      </c>
      <c r="AH562">
        <v>0</v>
      </c>
      <c r="AI562">
        <v>0</v>
      </c>
      <c r="AJ562">
        <v>0</v>
      </c>
      <c r="AK562">
        <v>5</v>
      </c>
      <c r="AL562">
        <v>20</v>
      </c>
      <c r="AM562">
        <v>21</v>
      </c>
      <c r="AN562">
        <v>0</v>
      </c>
      <c r="AO562">
        <v>46</v>
      </c>
      <c r="AP562">
        <v>41</v>
      </c>
      <c r="AQ562">
        <v>9</v>
      </c>
      <c r="AR562">
        <v>1</v>
      </c>
      <c r="AS562">
        <v>6</v>
      </c>
      <c r="AT562">
        <v>1</v>
      </c>
    </row>
    <row r="563" spans="1:46">
      <c r="A563">
        <v>5633</v>
      </c>
      <c r="B563" t="s">
        <v>3875</v>
      </c>
      <c r="C563" t="s">
        <v>3876</v>
      </c>
      <c r="D563" t="s">
        <v>3877</v>
      </c>
      <c r="E563" t="s">
        <v>3878</v>
      </c>
      <c r="G563" t="s">
        <v>3879</v>
      </c>
      <c r="H563" t="s">
        <v>517</v>
      </c>
      <c r="J563" t="s">
        <v>518</v>
      </c>
      <c r="K563" t="s">
        <v>519</v>
      </c>
      <c r="M563" t="s">
        <v>2287</v>
      </c>
      <c r="N563" t="s">
        <v>557</v>
      </c>
      <c r="O563" t="s">
        <v>3481</v>
      </c>
      <c r="P563" t="s">
        <v>523</v>
      </c>
      <c r="Q563" t="s">
        <v>3337</v>
      </c>
      <c r="R563" t="s">
        <v>3338</v>
      </c>
      <c r="S563" t="s">
        <v>3384</v>
      </c>
      <c r="T563" t="s">
        <v>2448</v>
      </c>
      <c r="U563">
        <v>356400</v>
      </c>
      <c r="V563" t="s">
        <v>3879</v>
      </c>
      <c r="W563" t="s">
        <v>3880</v>
      </c>
      <c r="X563" t="s">
        <v>3484</v>
      </c>
      <c r="Y563" t="s">
        <v>1890</v>
      </c>
      <c r="AA563" t="s">
        <v>1891</v>
      </c>
      <c r="AB563" t="s">
        <v>3485</v>
      </c>
      <c r="AC563">
        <v>99179</v>
      </c>
      <c r="AD563" t="s">
        <v>3881</v>
      </c>
      <c r="AE563">
        <v>-46.113634359999999</v>
      </c>
      <c r="AF563">
        <v>169.9622468</v>
      </c>
      <c r="AG563">
        <v>40</v>
      </c>
      <c r="AH563">
        <v>0</v>
      </c>
      <c r="AI563">
        <v>0</v>
      </c>
      <c r="AJ563">
        <v>0</v>
      </c>
      <c r="AK563">
        <v>15</v>
      </c>
      <c r="AL563">
        <v>10</v>
      </c>
      <c r="AM563">
        <v>17</v>
      </c>
      <c r="AN563">
        <v>0</v>
      </c>
      <c r="AO563">
        <v>42</v>
      </c>
      <c r="AP563">
        <v>34</v>
      </c>
      <c r="AQ563">
        <v>12</v>
      </c>
      <c r="AR563">
        <v>0</v>
      </c>
      <c r="AS563">
        <v>2</v>
      </c>
      <c r="AT563">
        <v>0</v>
      </c>
    </row>
    <row r="564" spans="1:46">
      <c r="A564">
        <v>5634</v>
      </c>
      <c r="B564" t="s">
        <v>3882</v>
      </c>
      <c r="C564" t="s">
        <v>3883</v>
      </c>
      <c r="E564" t="s">
        <v>3884</v>
      </c>
      <c r="F564" t="s">
        <v>3885</v>
      </c>
      <c r="G564" t="s">
        <v>652</v>
      </c>
      <c r="H564" t="s">
        <v>517</v>
      </c>
      <c r="J564" t="s">
        <v>518</v>
      </c>
      <c r="K564" t="s">
        <v>519</v>
      </c>
      <c r="M564" t="s">
        <v>520</v>
      </c>
      <c r="N564" t="s">
        <v>571</v>
      </c>
      <c r="O564" t="s">
        <v>1268</v>
      </c>
      <c r="P564" t="s">
        <v>654</v>
      </c>
      <c r="Q564" t="s">
        <v>638</v>
      </c>
      <c r="R564" t="s">
        <v>729</v>
      </c>
      <c r="S564" t="s">
        <v>1217</v>
      </c>
      <c r="T564" t="s">
        <v>709</v>
      </c>
      <c r="U564">
        <v>161800</v>
      </c>
      <c r="V564" t="s">
        <v>3886</v>
      </c>
      <c r="W564" t="s">
        <v>1219</v>
      </c>
      <c r="X564" t="s">
        <v>1220</v>
      </c>
      <c r="Y564" t="s">
        <v>1221</v>
      </c>
      <c r="Z564" t="s">
        <v>1217</v>
      </c>
      <c r="AA564" t="s">
        <v>1222</v>
      </c>
      <c r="AB564" t="s">
        <v>1223</v>
      </c>
      <c r="AE564">
        <v>-37.047508690000001</v>
      </c>
      <c r="AF564">
        <v>174.90975003</v>
      </c>
      <c r="AG564">
        <v>40</v>
      </c>
      <c r="AH564">
        <v>0</v>
      </c>
      <c r="AI564">
        <v>0</v>
      </c>
      <c r="AJ564">
        <v>0</v>
      </c>
      <c r="AK564">
        <v>9</v>
      </c>
      <c r="AL564">
        <v>18</v>
      </c>
      <c r="AM564">
        <v>18</v>
      </c>
      <c r="AN564">
        <v>2</v>
      </c>
      <c r="AO564">
        <v>47</v>
      </c>
      <c r="AP564">
        <v>29</v>
      </c>
      <c r="AQ564">
        <v>7</v>
      </c>
      <c r="AR564">
        <v>4</v>
      </c>
      <c r="AS564">
        <v>17</v>
      </c>
      <c r="AT564">
        <v>4</v>
      </c>
    </row>
    <row r="565" spans="1:46">
      <c r="A565">
        <v>5635</v>
      </c>
      <c r="B565" t="s">
        <v>3887</v>
      </c>
      <c r="C565" t="s">
        <v>3888</v>
      </c>
      <c r="D565" t="s">
        <v>3889</v>
      </c>
      <c r="E565" t="s">
        <v>3890</v>
      </c>
      <c r="F565" t="s">
        <v>3891</v>
      </c>
      <c r="G565" t="s">
        <v>652</v>
      </c>
      <c r="H565" t="s">
        <v>517</v>
      </c>
      <c r="J565" t="s">
        <v>518</v>
      </c>
      <c r="K565" t="s">
        <v>519</v>
      </c>
      <c r="M565" t="s">
        <v>520</v>
      </c>
      <c r="N565" t="s">
        <v>571</v>
      </c>
      <c r="O565" t="s">
        <v>1233</v>
      </c>
      <c r="P565" t="s">
        <v>523</v>
      </c>
      <c r="Q565" t="s">
        <v>638</v>
      </c>
      <c r="R565" t="s">
        <v>708</v>
      </c>
      <c r="S565" t="s">
        <v>1234</v>
      </c>
      <c r="T565" t="s">
        <v>1235</v>
      </c>
      <c r="U565">
        <v>157400</v>
      </c>
      <c r="V565" t="s">
        <v>3891</v>
      </c>
      <c r="W565" t="s">
        <v>1237</v>
      </c>
      <c r="X565" t="s">
        <v>642</v>
      </c>
      <c r="Y565" t="s">
        <v>643</v>
      </c>
      <c r="Z565" t="s">
        <v>644</v>
      </c>
      <c r="AA565" t="s">
        <v>645</v>
      </c>
      <c r="AB565" t="s">
        <v>646</v>
      </c>
      <c r="AC565">
        <v>99119</v>
      </c>
      <c r="AD565" t="s">
        <v>780</v>
      </c>
      <c r="AE565">
        <v>-36.877619840000001</v>
      </c>
      <c r="AF565">
        <v>175.03748536000001</v>
      </c>
      <c r="AG565">
        <v>40</v>
      </c>
      <c r="AH565">
        <v>0</v>
      </c>
      <c r="AI565">
        <v>0</v>
      </c>
      <c r="AJ565">
        <v>0</v>
      </c>
      <c r="AK565">
        <v>0</v>
      </c>
      <c r="AL565">
        <v>16</v>
      </c>
      <c r="AM565">
        <v>43</v>
      </c>
      <c r="AN565">
        <v>1</v>
      </c>
      <c r="AO565">
        <v>60</v>
      </c>
      <c r="AP565">
        <v>57</v>
      </c>
      <c r="AQ565">
        <v>8</v>
      </c>
      <c r="AR565">
        <v>2</v>
      </c>
      <c r="AS565">
        <v>8</v>
      </c>
      <c r="AT565">
        <v>3</v>
      </c>
    </row>
    <row r="566" spans="1:46">
      <c r="A566">
        <v>5636</v>
      </c>
      <c r="B566" t="s">
        <v>3892</v>
      </c>
      <c r="C566" t="s">
        <v>3893</v>
      </c>
      <c r="D566" t="s">
        <v>3894</v>
      </c>
      <c r="E566" t="s">
        <v>3895</v>
      </c>
      <c r="G566" t="s">
        <v>3896</v>
      </c>
      <c r="H566" t="s">
        <v>517</v>
      </c>
      <c r="J566" t="s">
        <v>518</v>
      </c>
      <c r="K566" t="s">
        <v>519</v>
      </c>
      <c r="M566" t="s">
        <v>1297</v>
      </c>
      <c r="N566" t="s">
        <v>571</v>
      </c>
      <c r="O566" t="s">
        <v>1758</v>
      </c>
      <c r="P566" t="s">
        <v>523</v>
      </c>
      <c r="Q566" t="s">
        <v>1759</v>
      </c>
      <c r="R566" t="s">
        <v>1760</v>
      </c>
      <c r="S566" t="s">
        <v>1757</v>
      </c>
      <c r="T566" t="s">
        <v>1485</v>
      </c>
      <c r="U566">
        <v>216500</v>
      </c>
      <c r="V566" t="s">
        <v>3897</v>
      </c>
      <c r="W566" t="s">
        <v>1762</v>
      </c>
      <c r="X566" t="s">
        <v>1763</v>
      </c>
      <c r="Y566" t="s">
        <v>1764</v>
      </c>
      <c r="AA566" t="s">
        <v>1765</v>
      </c>
      <c r="AB566" t="s">
        <v>1766</v>
      </c>
      <c r="AE566">
        <v>-39.119600599999998</v>
      </c>
      <c r="AF566">
        <v>173.95351654000001</v>
      </c>
      <c r="AG566">
        <v>50</v>
      </c>
      <c r="AH566">
        <v>0</v>
      </c>
      <c r="AI566">
        <v>0</v>
      </c>
      <c r="AJ566">
        <v>0</v>
      </c>
      <c r="AK566">
        <v>11</v>
      </c>
      <c r="AL566">
        <v>27</v>
      </c>
      <c r="AM566">
        <v>33</v>
      </c>
      <c r="AN566">
        <v>2</v>
      </c>
      <c r="AO566">
        <v>73</v>
      </c>
      <c r="AP566">
        <v>72</v>
      </c>
      <c r="AQ566">
        <v>15</v>
      </c>
      <c r="AR566">
        <v>1</v>
      </c>
      <c r="AS566">
        <v>2</v>
      </c>
      <c r="AT566">
        <v>2</v>
      </c>
    </row>
    <row r="567" spans="1:46">
      <c r="A567">
        <v>5637</v>
      </c>
      <c r="B567" t="s">
        <v>3898</v>
      </c>
      <c r="C567" t="s">
        <v>3899</v>
      </c>
      <c r="D567" t="s">
        <v>3900</v>
      </c>
      <c r="E567" t="s">
        <v>3901</v>
      </c>
      <c r="F567" t="s">
        <v>3902</v>
      </c>
      <c r="G567" t="s">
        <v>652</v>
      </c>
      <c r="H567" t="s">
        <v>517</v>
      </c>
      <c r="J567" t="s">
        <v>518</v>
      </c>
      <c r="K567" t="s">
        <v>519</v>
      </c>
      <c r="M567" t="s">
        <v>520</v>
      </c>
      <c r="N567" t="s">
        <v>571</v>
      </c>
      <c r="O567" t="s">
        <v>1168</v>
      </c>
      <c r="P567" t="s">
        <v>654</v>
      </c>
      <c r="Q567" t="s">
        <v>638</v>
      </c>
      <c r="R567" t="s">
        <v>639</v>
      </c>
      <c r="S567" t="s">
        <v>739</v>
      </c>
      <c r="T567" t="s">
        <v>527</v>
      </c>
      <c r="U567">
        <v>118900</v>
      </c>
      <c r="V567" t="s">
        <v>3903</v>
      </c>
      <c r="W567" t="s">
        <v>657</v>
      </c>
      <c r="X567" t="s">
        <v>642</v>
      </c>
      <c r="Y567" t="s">
        <v>643</v>
      </c>
      <c r="Z567" t="s">
        <v>644</v>
      </c>
      <c r="AA567" t="s">
        <v>645</v>
      </c>
      <c r="AB567" t="s">
        <v>646</v>
      </c>
      <c r="AE567">
        <v>-36.773766430000002</v>
      </c>
      <c r="AF567">
        <v>174.67654511000001</v>
      </c>
      <c r="AG567">
        <v>30</v>
      </c>
      <c r="AH567">
        <v>0</v>
      </c>
      <c r="AI567">
        <v>0</v>
      </c>
      <c r="AJ567">
        <v>0</v>
      </c>
      <c r="AK567">
        <v>0</v>
      </c>
      <c r="AL567">
        <v>18</v>
      </c>
      <c r="AM567">
        <v>20</v>
      </c>
      <c r="AN567">
        <v>0</v>
      </c>
      <c r="AO567">
        <v>38</v>
      </c>
      <c r="AP567">
        <v>30</v>
      </c>
      <c r="AQ567">
        <v>1</v>
      </c>
      <c r="AR567">
        <v>2</v>
      </c>
      <c r="AS567">
        <v>8</v>
      </c>
      <c r="AT567">
        <v>1</v>
      </c>
    </row>
    <row r="568" spans="1:46">
      <c r="A568">
        <v>5638</v>
      </c>
      <c r="B568" t="s">
        <v>3904</v>
      </c>
      <c r="C568" t="s">
        <v>3905</v>
      </c>
      <c r="D568" t="s">
        <v>3906</v>
      </c>
      <c r="E568" t="s">
        <v>3907</v>
      </c>
      <c r="F568" t="s">
        <v>1023</v>
      </c>
      <c r="G568" t="s">
        <v>652</v>
      </c>
      <c r="H568" t="s">
        <v>517</v>
      </c>
      <c r="J568" t="s">
        <v>518</v>
      </c>
      <c r="K568" t="s">
        <v>519</v>
      </c>
      <c r="M568" t="s">
        <v>520</v>
      </c>
      <c r="N568" t="s">
        <v>727</v>
      </c>
      <c r="O568" t="s">
        <v>912</v>
      </c>
      <c r="P568" t="s">
        <v>654</v>
      </c>
      <c r="Q568" t="s">
        <v>638</v>
      </c>
      <c r="R568" t="s">
        <v>708</v>
      </c>
      <c r="S568" t="s">
        <v>913</v>
      </c>
      <c r="T568" t="s">
        <v>709</v>
      </c>
      <c r="U568">
        <v>137901</v>
      </c>
      <c r="V568" t="s">
        <v>3908</v>
      </c>
      <c r="W568" t="s">
        <v>860</v>
      </c>
      <c r="X568" t="s">
        <v>642</v>
      </c>
      <c r="Y568" t="s">
        <v>643</v>
      </c>
      <c r="Z568" t="s">
        <v>644</v>
      </c>
      <c r="AA568" t="s">
        <v>645</v>
      </c>
      <c r="AB568" t="s">
        <v>646</v>
      </c>
      <c r="AC568">
        <v>99150</v>
      </c>
      <c r="AD568" t="s">
        <v>861</v>
      </c>
      <c r="AE568">
        <v>-36.89915517</v>
      </c>
      <c r="AF568">
        <v>174.72893182999999</v>
      </c>
      <c r="AG568">
        <v>30</v>
      </c>
      <c r="AH568">
        <v>0</v>
      </c>
      <c r="AI568">
        <v>0</v>
      </c>
      <c r="AJ568">
        <v>0</v>
      </c>
      <c r="AK568">
        <v>1</v>
      </c>
      <c r="AL568">
        <v>5</v>
      </c>
      <c r="AM568">
        <v>18</v>
      </c>
      <c r="AN568">
        <v>2</v>
      </c>
      <c r="AO568">
        <v>26</v>
      </c>
      <c r="AP568">
        <v>3</v>
      </c>
      <c r="AQ568">
        <v>11</v>
      </c>
      <c r="AR568">
        <v>19</v>
      </c>
      <c r="AS568">
        <v>3</v>
      </c>
      <c r="AT568">
        <v>3</v>
      </c>
    </row>
    <row r="569" spans="1:46">
      <c r="A569">
        <v>5639</v>
      </c>
      <c r="B569" t="s">
        <v>3909</v>
      </c>
      <c r="C569" t="s">
        <v>3910</v>
      </c>
      <c r="D569" t="s">
        <v>3911</v>
      </c>
      <c r="E569" t="s">
        <v>3912</v>
      </c>
      <c r="F569" t="s">
        <v>822</v>
      </c>
      <c r="G569" t="s">
        <v>652</v>
      </c>
      <c r="H569" t="s">
        <v>517</v>
      </c>
      <c r="J569" t="s">
        <v>518</v>
      </c>
      <c r="K569" t="s">
        <v>519</v>
      </c>
      <c r="M569" t="s">
        <v>520</v>
      </c>
      <c r="N569" t="s">
        <v>571</v>
      </c>
      <c r="O569" t="s">
        <v>857</v>
      </c>
      <c r="P569" t="s">
        <v>654</v>
      </c>
      <c r="Q569" t="s">
        <v>638</v>
      </c>
      <c r="R569" t="s">
        <v>708</v>
      </c>
      <c r="S569" t="s">
        <v>822</v>
      </c>
      <c r="T569" t="s">
        <v>709</v>
      </c>
      <c r="U569">
        <v>140200</v>
      </c>
      <c r="V569" t="s">
        <v>951</v>
      </c>
      <c r="W569" t="s">
        <v>860</v>
      </c>
      <c r="X569" t="s">
        <v>642</v>
      </c>
      <c r="Y569" t="s">
        <v>643</v>
      </c>
      <c r="Z569" t="s">
        <v>644</v>
      </c>
      <c r="AA569" t="s">
        <v>645</v>
      </c>
      <c r="AB569" t="s">
        <v>646</v>
      </c>
      <c r="AE569">
        <v>-36.88719794</v>
      </c>
      <c r="AF569">
        <v>174.77143731000001</v>
      </c>
      <c r="AG569">
        <v>30</v>
      </c>
      <c r="AH569">
        <v>0</v>
      </c>
      <c r="AI569">
        <v>0</v>
      </c>
      <c r="AJ569">
        <v>0</v>
      </c>
      <c r="AK569">
        <v>3</v>
      </c>
      <c r="AL569">
        <v>6</v>
      </c>
      <c r="AM569">
        <v>6</v>
      </c>
      <c r="AN569">
        <v>0</v>
      </c>
      <c r="AO569">
        <v>15</v>
      </c>
      <c r="AP569">
        <v>9</v>
      </c>
      <c r="AQ569">
        <v>2</v>
      </c>
      <c r="AR569">
        <v>2</v>
      </c>
      <c r="AS569">
        <v>6</v>
      </c>
      <c r="AT569">
        <v>1</v>
      </c>
    </row>
    <row r="570" spans="1:46">
      <c r="A570">
        <v>5640</v>
      </c>
      <c r="B570" t="s">
        <v>3913</v>
      </c>
      <c r="C570" t="s">
        <v>1223</v>
      </c>
      <c r="E570" t="s">
        <v>3914</v>
      </c>
      <c r="G570" t="s">
        <v>3915</v>
      </c>
      <c r="H570" t="s">
        <v>517</v>
      </c>
      <c r="J570" t="s">
        <v>518</v>
      </c>
      <c r="K570" t="s">
        <v>519</v>
      </c>
      <c r="M570" t="s">
        <v>520</v>
      </c>
      <c r="N570" t="s">
        <v>571</v>
      </c>
      <c r="O570" t="s">
        <v>1233</v>
      </c>
      <c r="P570" t="s">
        <v>540</v>
      </c>
      <c r="Q570" t="s">
        <v>638</v>
      </c>
      <c r="R570" t="s">
        <v>729</v>
      </c>
      <c r="S570" t="s">
        <v>1246</v>
      </c>
      <c r="T570" t="s">
        <v>1235</v>
      </c>
      <c r="U570">
        <v>159801</v>
      </c>
      <c r="V570" t="s">
        <v>3916</v>
      </c>
      <c r="W570" t="s">
        <v>1237</v>
      </c>
      <c r="X570" t="s">
        <v>1220</v>
      </c>
      <c r="Y570" t="s">
        <v>1221</v>
      </c>
      <c r="Z570" t="s">
        <v>1217</v>
      </c>
      <c r="AA570" t="s">
        <v>1222</v>
      </c>
      <c r="AB570" t="s">
        <v>1223</v>
      </c>
      <c r="AE570">
        <v>-37.139318199999998</v>
      </c>
      <c r="AF570">
        <v>174.75299190000001</v>
      </c>
      <c r="AG570">
        <v>40</v>
      </c>
      <c r="AH570">
        <v>0</v>
      </c>
      <c r="AI570">
        <v>0</v>
      </c>
      <c r="AJ570">
        <v>0</v>
      </c>
      <c r="AK570">
        <v>8</v>
      </c>
      <c r="AL570">
        <v>14</v>
      </c>
      <c r="AM570">
        <v>19</v>
      </c>
      <c r="AN570">
        <v>0</v>
      </c>
      <c r="AO570">
        <v>41</v>
      </c>
      <c r="AP570">
        <v>37</v>
      </c>
      <c r="AQ570">
        <v>7</v>
      </c>
      <c r="AR570">
        <v>6</v>
      </c>
      <c r="AS570">
        <v>3</v>
      </c>
      <c r="AT570">
        <v>0</v>
      </c>
    </row>
    <row r="571" spans="1:46">
      <c r="A571">
        <v>5641</v>
      </c>
      <c r="B571" t="s">
        <v>3917</v>
      </c>
      <c r="C571" t="s">
        <v>3918</v>
      </c>
      <c r="D571" t="s">
        <v>3919</v>
      </c>
      <c r="E571" t="s">
        <v>3920</v>
      </c>
      <c r="G571" t="s">
        <v>3921</v>
      </c>
      <c r="H571" t="s">
        <v>517</v>
      </c>
      <c r="J571" t="s">
        <v>518</v>
      </c>
      <c r="K571" t="s">
        <v>519</v>
      </c>
      <c r="M571" t="s">
        <v>520</v>
      </c>
      <c r="N571" t="s">
        <v>571</v>
      </c>
      <c r="O571" t="s">
        <v>637</v>
      </c>
      <c r="P571" t="s">
        <v>523</v>
      </c>
      <c r="Q571" t="s">
        <v>638</v>
      </c>
      <c r="R571" t="s">
        <v>639</v>
      </c>
      <c r="S571" t="s">
        <v>640</v>
      </c>
      <c r="T571" t="s">
        <v>527</v>
      </c>
      <c r="U571">
        <v>112200</v>
      </c>
      <c r="V571" t="s">
        <v>3921</v>
      </c>
      <c r="W571" t="s">
        <v>641</v>
      </c>
      <c r="X571" t="s">
        <v>658</v>
      </c>
      <c r="Y571" t="s">
        <v>659</v>
      </c>
      <c r="Z571" t="s">
        <v>660</v>
      </c>
      <c r="AA571" t="s">
        <v>661</v>
      </c>
      <c r="AE571">
        <v>-36.663316289999997</v>
      </c>
      <c r="AF571">
        <v>174.43402635999999</v>
      </c>
      <c r="AG571">
        <v>40</v>
      </c>
      <c r="AH571">
        <v>0</v>
      </c>
      <c r="AI571">
        <v>0</v>
      </c>
      <c r="AJ571">
        <v>0</v>
      </c>
      <c r="AK571">
        <v>0</v>
      </c>
      <c r="AL571">
        <v>22</v>
      </c>
      <c r="AM571">
        <v>29</v>
      </c>
      <c r="AN571">
        <v>0</v>
      </c>
      <c r="AO571">
        <v>51</v>
      </c>
      <c r="AP571">
        <v>43</v>
      </c>
      <c r="AQ571">
        <v>19</v>
      </c>
      <c r="AR571">
        <v>2</v>
      </c>
      <c r="AS571">
        <v>1</v>
      </c>
      <c r="AT571">
        <v>0</v>
      </c>
    </row>
    <row r="572" spans="1:46">
      <c r="A572">
        <v>5642</v>
      </c>
      <c r="B572" t="s">
        <v>3922</v>
      </c>
      <c r="C572" t="s">
        <v>3923</v>
      </c>
      <c r="D572" t="s">
        <v>3924</v>
      </c>
      <c r="E572" t="s">
        <v>3925</v>
      </c>
      <c r="G572" t="s">
        <v>3926</v>
      </c>
      <c r="H572" t="s">
        <v>517</v>
      </c>
      <c r="J572" t="s">
        <v>518</v>
      </c>
      <c r="K572" t="s">
        <v>519</v>
      </c>
      <c r="M572" t="s">
        <v>2287</v>
      </c>
      <c r="N572" t="s">
        <v>571</v>
      </c>
      <c r="O572" t="s">
        <v>3835</v>
      </c>
      <c r="P572" t="s">
        <v>1262</v>
      </c>
      <c r="Q572" t="s">
        <v>3337</v>
      </c>
      <c r="R572" t="s">
        <v>3338</v>
      </c>
      <c r="S572" t="s">
        <v>3361</v>
      </c>
      <c r="T572" t="s">
        <v>2448</v>
      </c>
      <c r="U572">
        <v>348400</v>
      </c>
      <c r="V572" t="s">
        <v>1345</v>
      </c>
      <c r="W572" t="s">
        <v>3837</v>
      </c>
      <c r="X572" t="s">
        <v>2948</v>
      </c>
      <c r="Y572" t="s">
        <v>2949</v>
      </c>
      <c r="Z572" t="s">
        <v>2950</v>
      </c>
      <c r="AA572" t="s">
        <v>2951</v>
      </c>
      <c r="AB572" t="s">
        <v>2952</v>
      </c>
      <c r="AE572">
        <v>-45.027883539999998</v>
      </c>
      <c r="AF572">
        <v>168.7358054</v>
      </c>
      <c r="AG572">
        <v>50</v>
      </c>
      <c r="AH572">
        <v>0</v>
      </c>
      <c r="AI572">
        <v>0</v>
      </c>
      <c r="AJ572">
        <v>0</v>
      </c>
      <c r="AK572">
        <v>1</v>
      </c>
      <c r="AL572">
        <v>16</v>
      </c>
      <c r="AM572">
        <v>16</v>
      </c>
      <c r="AN572">
        <v>1</v>
      </c>
      <c r="AO572">
        <v>34</v>
      </c>
      <c r="AP572">
        <v>27</v>
      </c>
      <c r="AQ572">
        <v>7</v>
      </c>
      <c r="AR572">
        <v>3</v>
      </c>
      <c r="AS572">
        <v>5</v>
      </c>
      <c r="AT572">
        <v>5</v>
      </c>
    </row>
    <row r="573" spans="1:46">
      <c r="A573">
        <v>5643</v>
      </c>
      <c r="B573" t="s">
        <v>3927</v>
      </c>
      <c r="C573" t="s">
        <v>3928</v>
      </c>
      <c r="D573" t="s">
        <v>3929</v>
      </c>
      <c r="E573" t="s">
        <v>3930</v>
      </c>
      <c r="F573" t="s">
        <v>2559</v>
      </c>
      <c r="G573" t="s">
        <v>2289</v>
      </c>
      <c r="H573" t="s">
        <v>517</v>
      </c>
      <c r="J573" t="s">
        <v>518</v>
      </c>
      <c r="K573" t="s">
        <v>519</v>
      </c>
      <c r="M573" t="s">
        <v>2287</v>
      </c>
      <c r="N573" t="s">
        <v>571</v>
      </c>
      <c r="O573" t="s">
        <v>2536</v>
      </c>
      <c r="P573" t="s">
        <v>654</v>
      </c>
      <c r="Q573" t="s">
        <v>2319</v>
      </c>
      <c r="R573" t="s">
        <v>2289</v>
      </c>
      <c r="S573" t="s">
        <v>2553</v>
      </c>
      <c r="T573" t="s">
        <v>2448</v>
      </c>
      <c r="U573">
        <v>250600</v>
      </c>
      <c r="V573" t="s">
        <v>2560</v>
      </c>
      <c r="W573" t="s">
        <v>2561</v>
      </c>
      <c r="X573" t="s">
        <v>1889</v>
      </c>
      <c r="Y573" t="s">
        <v>1890</v>
      </c>
      <c r="AA573" t="s">
        <v>1891</v>
      </c>
      <c r="AB573" t="s">
        <v>1892</v>
      </c>
      <c r="AE573">
        <v>-41.292691269999999</v>
      </c>
      <c r="AF573">
        <v>174.74404365000001</v>
      </c>
      <c r="AG573">
        <v>30</v>
      </c>
      <c r="AH573">
        <v>0</v>
      </c>
      <c r="AI573">
        <v>0</v>
      </c>
      <c r="AJ573">
        <v>0</v>
      </c>
      <c r="AK573">
        <v>3</v>
      </c>
      <c r="AL573">
        <v>11</v>
      </c>
      <c r="AM573">
        <v>9</v>
      </c>
      <c r="AN573">
        <v>0</v>
      </c>
      <c r="AO573">
        <v>23</v>
      </c>
      <c r="AP573">
        <v>10</v>
      </c>
      <c r="AQ573">
        <v>1</v>
      </c>
      <c r="AR573">
        <v>1</v>
      </c>
      <c r="AS573">
        <v>12</v>
      </c>
      <c r="AT573">
        <v>3</v>
      </c>
    </row>
    <row r="574" spans="1:46">
      <c r="A574">
        <v>10002</v>
      </c>
      <c r="B574" t="s">
        <v>3931</v>
      </c>
      <c r="C574" t="s">
        <v>3932</v>
      </c>
      <c r="D574" t="s">
        <v>3933</v>
      </c>
      <c r="E574" t="s">
        <v>3934</v>
      </c>
      <c r="F574" t="s">
        <v>777</v>
      </c>
      <c r="G574" t="s">
        <v>652</v>
      </c>
      <c r="H574" t="s">
        <v>517</v>
      </c>
      <c r="J574" t="s">
        <v>518</v>
      </c>
      <c r="K574" t="s">
        <v>519</v>
      </c>
      <c r="M574" t="s">
        <v>520</v>
      </c>
      <c r="N574" t="s">
        <v>571</v>
      </c>
      <c r="O574" t="s">
        <v>707</v>
      </c>
      <c r="P574" t="s">
        <v>654</v>
      </c>
      <c r="Q574" t="s">
        <v>638</v>
      </c>
      <c r="R574" t="s">
        <v>708</v>
      </c>
      <c r="S574" t="s">
        <v>778</v>
      </c>
      <c r="T574" t="s">
        <v>709</v>
      </c>
      <c r="U574">
        <v>153800</v>
      </c>
      <c r="V574" t="s">
        <v>3935</v>
      </c>
      <c r="W574" t="s">
        <v>711</v>
      </c>
      <c r="X574" t="s">
        <v>642</v>
      </c>
      <c r="Y574" t="s">
        <v>643</v>
      </c>
      <c r="Z574" t="s">
        <v>644</v>
      </c>
      <c r="AA574" t="s">
        <v>645</v>
      </c>
      <c r="AB574" t="s">
        <v>646</v>
      </c>
      <c r="AC574">
        <v>99127</v>
      </c>
      <c r="AD574" t="s">
        <v>3936</v>
      </c>
      <c r="AE574">
        <v>-36.913441820000003</v>
      </c>
      <c r="AF574">
        <v>174.92973234999999</v>
      </c>
      <c r="AG574">
        <v>40</v>
      </c>
      <c r="AH574">
        <v>0</v>
      </c>
      <c r="AI574">
        <v>0</v>
      </c>
      <c r="AJ574">
        <v>0</v>
      </c>
      <c r="AK574">
        <v>0</v>
      </c>
      <c r="AL574">
        <v>26</v>
      </c>
      <c r="AM574">
        <v>24</v>
      </c>
      <c r="AN574">
        <v>4</v>
      </c>
      <c r="AO574">
        <v>54</v>
      </c>
      <c r="AP574">
        <v>34</v>
      </c>
      <c r="AQ574">
        <v>4</v>
      </c>
      <c r="AR574">
        <v>3</v>
      </c>
      <c r="AS574">
        <v>23</v>
      </c>
      <c r="AT574">
        <v>2</v>
      </c>
    </row>
    <row r="575" spans="1:46">
      <c r="A575">
        <v>10003</v>
      </c>
      <c r="B575" t="s">
        <v>3937</v>
      </c>
      <c r="C575" t="s">
        <v>3938</v>
      </c>
      <c r="D575" t="s">
        <v>3939</v>
      </c>
      <c r="E575" t="s">
        <v>3940</v>
      </c>
      <c r="F575" t="s">
        <v>3941</v>
      </c>
      <c r="G575" t="s">
        <v>652</v>
      </c>
      <c r="H575" t="s">
        <v>3942</v>
      </c>
      <c r="J575" t="s">
        <v>518</v>
      </c>
      <c r="K575" t="s">
        <v>519</v>
      </c>
      <c r="M575" t="s">
        <v>520</v>
      </c>
      <c r="N575" t="s">
        <v>571</v>
      </c>
      <c r="O575" t="s">
        <v>707</v>
      </c>
      <c r="P575" t="s">
        <v>654</v>
      </c>
      <c r="Q575" t="s">
        <v>638</v>
      </c>
      <c r="R575" t="s">
        <v>708</v>
      </c>
      <c r="S575" t="s">
        <v>778</v>
      </c>
      <c r="T575" t="s">
        <v>709</v>
      </c>
      <c r="U575">
        <v>153100</v>
      </c>
      <c r="V575" t="s">
        <v>3941</v>
      </c>
      <c r="W575" t="s">
        <v>711</v>
      </c>
      <c r="X575" t="s">
        <v>3943</v>
      </c>
      <c r="Y575" t="s">
        <v>3944</v>
      </c>
      <c r="Z575" t="s">
        <v>3945</v>
      </c>
      <c r="AA575" t="s">
        <v>3946</v>
      </c>
      <c r="AB575" t="s">
        <v>3947</v>
      </c>
      <c r="AC575">
        <v>99119</v>
      </c>
      <c r="AD575" t="s">
        <v>780</v>
      </c>
      <c r="AE575">
        <v>-36.924041580000001</v>
      </c>
      <c r="AF575">
        <v>174.91268586000001</v>
      </c>
      <c r="AG575">
        <v>104</v>
      </c>
      <c r="AH575">
        <v>24</v>
      </c>
      <c r="AI575">
        <v>3</v>
      </c>
      <c r="AJ575">
        <v>14</v>
      </c>
      <c r="AK575">
        <v>27</v>
      </c>
      <c r="AL575">
        <v>31</v>
      </c>
      <c r="AM575">
        <v>25</v>
      </c>
      <c r="AN575">
        <v>1</v>
      </c>
      <c r="AO575">
        <v>101</v>
      </c>
      <c r="AP575">
        <v>42</v>
      </c>
      <c r="AQ575">
        <v>14</v>
      </c>
      <c r="AR575">
        <v>7</v>
      </c>
      <c r="AS575">
        <v>51</v>
      </c>
      <c r="AT575">
        <v>8</v>
      </c>
    </row>
    <row r="576" spans="1:46">
      <c r="A576">
        <v>10004</v>
      </c>
      <c r="B576" t="s">
        <v>3948</v>
      </c>
      <c r="C576" t="s">
        <v>3949</v>
      </c>
      <c r="D576" t="s">
        <v>3950</v>
      </c>
      <c r="E576" t="s">
        <v>3951</v>
      </c>
      <c r="F576" t="s">
        <v>3952</v>
      </c>
      <c r="G576" t="s">
        <v>652</v>
      </c>
      <c r="H576" t="s">
        <v>3942</v>
      </c>
      <c r="I576" t="s">
        <v>3953</v>
      </c>
      <c r="J576" t="s">
        <v>518</v>
      </c>
      <c r="K576" t="s">
        <v>519</v>
      </c>
      <c r="M576" t="s">
        <v>520</v>
      </c>
      <c r="N576" t="s">
        <v>571</v>
      </c>
      <c r="O576" t="s">
        <v>1168</v>
      </c>
      <c r="P576" t="s">
        <v>654</v>
      </c>
      <c r="Q576" t="s">
        <v>638</v>
      </c>
      <c r="R576" t="s">
        <v>639</v>
      </c>
      <c r="S576" t="s">
        <v>739</v>
      </c>
      <c r="T576" t="s">
        <v>527</v>
      </c>
      <c r="U576">
        <v>119901</v>
      </c>
      <c r="V576" t="s">
        <v>3954</v>
      </c>
      <c r="W576" t="s">
        <v>657</v>
      </c>
      <c r="X576" t="s">
        <v>3955</v>
      </c>
      <c r="Y576" t="s">
        <v>3951</v>
      </c>
      <c r="Z576" t="s">
        <v>3952</v>
      </c>
      <c r="AA576" t="s">
        <v>3956</v>
      </c>
      <c r="AC576">
        <v>99210</v>
      </c>
      <c r="AD576" t="s">
        <v>3957</v>
      </c>
      <c r="AE576">
        <v>-36.760469540000003</v>
      </c>
      <c r="AF576">
        <v>174.71106184999999</v>
      </c>
      <c r="AG576">
        <v>28</v>
      </c>
      <c r="AH576">
        <v>0</v>
      </c>
      <c r="AI576">
        <v>1</v>
      </c>
      <c r="AJ576">
        <v>0</v>
      </c>
      <c r="AK576">
        <v>2</v>
      </c>
      <c r="AL576">
        <v>5</v>
      </c>
      <c r="AM576">
        <v>9</v>
      </c>
      <c r="AN576">
        <v>1</v>
      </c>
      <c r="AO576">
        <v>18</v>
      </c>
      <c r="AP576">
        <v>13</v>
      </c>
      <c r="AQ576">
        <v>0</v>
      </c>
      <c r="AR576">
        <v>0</v>
      </c>
      <c r="AS576">
        <v>8</v>
      </c>
      <c r="AT576">
        <v>0</v>
      </c>
    </row>
    <row r="577" spans="1:46">
      <c r="A577">
        <v>10005</v>
      </c>
      <c r="B577" t="s">
        <v>3958</v>
      </c>
      <c r="C577" t="s">
        <v>3959</v>
      </c>
      <c r="D577" t="s">
        <v>3960</v>
      </c>
      <c r="E577" t="s">
        <v>3961</v>
      </c>
      <c r="F577" t="s">
        <v>898</v>
      </c>
      <c r="G577" t="s">
        <v>652</v>
      </c>
      <c r="H577" t="s">
        <v>3942</v>
      </c>
      <c r="J577" t="s">
        <v>3962</v>
      </c>
      <c r="K577" t="s">
        <v>519</v>
      </c>
      <c r="M577" t="s">
        <v>520</v>
      </c>
      <c r="N577" t="s">
        <v>571</v>
      </c>
      <c r="O577" t="s">
        <v>813</v>
      </c>
      <c r="P577" t="s">
        <v>654</v>
      </c>
      <c r="Q577" t="s">
        <v>638</v>
      </c>
      <c r="R577" t="s">
        <v>639</v>
      </c>
      <c r="S577" t="s">
        <v>899</v>
      </c>
      <c r="T577" t="s">
        <v>527</v>
      </c>
      <c r="U577">
        <v>126702</v>
      </c>
      <c r="V577" t="s">
        <v>900</v>
      </c>
      <c r="W577" t="s">
        <v>815</v>
      </c>
      <c r="X577" t="s">
        <v>3963</v>
      </c>
      <c r="Y577" t="s">
        <v>3961</v>
      </c>
      <c r="Z577" t="s">
        <v>898</v>
      </c>
      <c r="AA577" t="s">
        <v>3964</v>
      </c>
      <c r="AB577" t="s">
        <v>3965</v>
      </c>
      <c r="AE577">
        <v>-36.879612280000003</v>
      </c>
      <c r="AF577">
        <v>174.61738724</v>
      </c>
      <c r="AG577">
        <v>25</v>
      </c>
      <c r="AH577">
        <v>0</v>
      </c>
      <c r="AI577">
        <v>0</v>
      </c>
      <c r="AJ577">
        <v>0</v>
      </c>
      <c r="AK577">
        <v>8</v>
      </c>
      <c r="AL577">
        <v>9</v>
      </c>
      <c r="AM577">
        <v>16</v>
      </c>
      <c r="AN577">
        <v>1</v>
      </c>
      <c r="AO577">
        <v>34</v>
      </c>
      <c r="AP577">
        <v>25</v>
      </c>
      <c r="AQ577">
        <v>9</v>
      </c>
      <c r="AR577">
        <v>6</v>
      </c>
      <c r="AS577">
        <v>7</v>
      </c>
      <c r="AT577">
        <v>1</v>
      </c>
    </row>
    <row r="578" spans="1:46">
      <c r="A578">
        <v>10008</v>
      </c>
      <c r="B578" t="s">
        <v>3966</v>
      </c>
      <c r="C578" t="s">
        <v>3967</v>
      </c>
      <c r="D578" t="s">
        <v>3968</v>
      </c>
      <c r="E578" t="s">
        <v>3969</v>
      </c>
      <c r="G578" t="s">
        <v>3970</v>
      </c>
      <c r="H578" t="s">
        <v>3942</v>
      </c>
      <c r="I578" t="s">
        <v>3971</v>
      </c>
      <c r="J578" t="s">
        <v>3962</v>
      </c>
      <c r="K578" t="s">
        <v>519</v>
      </c>
      <c r="M578" t="s">
        <v>520</v>
      </c>
      <c r="N578" t="s">
        <v>571</v>
      </c>
      <c r="O578" t="s">
        <v>873</v>
      </c>
      <c r="P578" t="s">
        <v>572</v>
      </c>
      <c r="Q578" t="s">
        <v>638</v>
      </c>
      <c r="R578" t="s">
        <v>639</v>
      </c>
      <c r="S578" t="s">
        <v>770</v>
      </c>
      <c r="T578" t="s">
        <v>527</v>
      </c>
      <c r="U578">
        <v>121100</v>
      </c>
      <c r="V578" t="s">
        <v>3972</v>
      </c>
      <c r="W578" t="s">
        <v>815</v>
      </c>
      <c r="X578" t="s">
        <v>3973</v>
      </c>
      <c r="Y578" t="s">
        <v>3974</v>
      </c>
      <c r="Z578" t="s">
        <v>3970</v>
      </c>
      <c r="AA578" t="s">
        <v>3975</v>
      </c>
      <c r="AB578" t="s">
        <v>3976</v>
      </c>
      <c r="AE578">
        <v>-36.886625979999998</v>
      </c>
      <c r="AF578">
        <v>174.57599396000001</v>
      </c>
      <c r="AG578">
        <v>36</v>
      </c>
      <c r="AH578">
        <v>0</v>
      </c>
      <c r="AI578">
        <v>0</v>
      </c>
      <c r="AJ578">
        <v>1</v>
      </c>
      <c r="AK578">
        <v>10</v>
      </c>
      <c r="AL578">
        <v>17</v>
      </c>
      <c r="AM578">
        <v>15</v>
      </c>
      <c r="AN578">
        <v>2</v>
      </c>
      <c r="AO578">
        <v>45</v>
      </c>
      <c r="AP578">
        <v>39</v>
      </c>
      <c r="AQ578">
        <v>7</v>
      </c>
      <c r="AR578">
        <v>5</v>
      </c>
      <c r="AS578">
        <v>5</v>
      </c>
      <c r="AT578">
        <v>0</v>
      </c>
    </row>
    <row r="579" spans="1:46">
      <c r="A579">
        <v>10009</v>
      </c>
      <c r="B579" t="s">
        <v>3977</v>
      </c>
      <c r="C579" t="s">
        <v>3978</v>
      </c>
      <c r="E579" t="s">
        <v>3979</v>
      </c>
      <c r="G579" t="s">
        <v>3673</v>
      </c>
      <c r="H579" t="s">
        <v>3942</v>
      </c>
      <c r="J579" t="s">
        <v>3962</v>
      </c>
      <c r="K579" t="s">
        <v>519</v>
      </c>
      <c r="M579" t="s">
        <v>520</v>
      </c>
      <c r="N579" t="s">
        <v>727</v>
      </c>
      <c r="O579" t="s">
        <v>522</v>
      </c>
      <c r="P579" t="s">
        <v>523</v>
      </c>
      <c r="Q579" t="s">
        <v>524</v>
      </c>
      <c r="R579" t="s">
        <v>525</v>
      </c>
      <c r="S579" t="s">
        <v>526</v>
      </c>
      <c r="T579" t="s">
        <v>527</v>
      </c>
      <c r="U579">
        <v>103000</v>
      </c>
      <c r="V579" t="s">
        <v>3674</v>
      </c>
      <c r="W579" t="s">
        <v>558</v>
      </c>
      <c r="X579" t="s">
        <v>3980</v>
      </c>
      <c r="Y579" t="s">
        <v>3981</v>
      </c>
      <c r="AA579" t="s">
        <v>3982</v>
      </c>
      <c r="AE579">
        <v>-35.229966900000001</v>
      </c>
      <c r="AF579">
        <v>173.95657138000001</v>
      </c>
      <c r="AG579">
        <v>45</v>
      </c>
      <c r="AH579">
        <v>0</v>
      </c>
      <c r="AI579">
        <v>0</v>
      </c>
      <c r="AJ579">
        <v>0</v>
      </c>
      <c r="AK579">
        <v>1</v>
      </c>
      <c r="AL579">
        <v>20</v>
      </c>
      <c r="AM579">
        <v>25</v>
      </c>
      <c r="AN579">
        <v>0</v>
      </c>
      <c r="AO579">
        <v>46</v>
      </c>
      <c r="AP579">
        <v>31</v>
      </c>
      <c r="AQ579">
        <v>19</v>
      </c>
      <c r="AR579">
        <v>2</v>
      </c>
      <c r="AS579">
        <v>8</v>
      </c>
      <c r="AT579">
        <v>2</v>
      </c>
    </row>
    <row r="580" spans="1:46">
      <c r="A580">
        <v>10013</v>
      </c>
      <c r="B580" t="s">
        <v>3983</v>
      </c>
      <c r="C580" t="s">
        <v>3984</v>
      </c>
      <c r="D580" t="s">
        <v>3985</v>
      </c>
      <c r="E580" t="s">
        <v>3986</v>
      </c>
      <c r="G580" t="s">
        <v>1261</v>
      </c>
      <c r="H580" t="s">
        <v>3942</v>
      </c>
      <c r="J580" t="s">
        <v>3962</v>
      </c>
      <c r="K580" t="s">
        <v>519</v>
      </c>
      <c r="M580" t="s">
        <v>520</v>
      </c>
      <c r="N580" t="s">
        <v>571</v>
      </c>
      <c r="O580" t="s">
        <v>1233</v>
      </c>
      <c r="P580" t="s">
        <v>1262</v>
      </c>
      <c r="Q580" t="s">
        <v>638</v>
      </c>
      <c r="R580" t="s">
        <v>729</v>
      </c>
      <c r="S580" t="s">
        <v>1246</v>
      </c>
      <c r="T580" t="s">
        <v>1235</v>
      </c>
      <c r="U580">
        <v>165501</v>
      </c>
      <c r="V580" t="s">
        <v>3987</v>
      </c>
      <c r="W580" t="s">
        <v>1237</v>
      </c>
      <c r="X580" t="s">
        <v>3988</v>
      </c>
      <c r="Y580" t="s">
        <v>3989</v>
      </c>
      <c r="Z580" t="s">
        <v>3990</v>
      </c>
      <c r="AA580" t="s">
        <v>3991</v>
      </c>
      <c r="AB580" t="s">
        <v>3992</v>
      </c>
      <c r="AC580">
        <v>99075</v>
      </c>
      <c r="AD580" t="s">
        <v>1264</v>
      </c>
      <c r="AE580">
        <v>-37.201468069999997</v>
      </c>
      <c r="AF580">
        <v>174.89418662</v>
      </c>
      <c r="AG580">
        <v>44</v>
      </c>
      <c r="AH580">
        <v>15</v>
      </c>
      <c r="AI580">
        <v>0</v>
      </c>
      <c r="AJ580">
        <v>12</v>
      </c>
      <c r="AK580">
        <v>9</v>
      </c>
      <c r="AL580">
        <v>15</v>
      </c>
      <c r="AM580">
        <v>7</v>
      </c>
      <c r="AN580">
        <v>1</v>
      </c>
      <c r="AO580">
        <v>44</v>
      </c>
      <c r="AP580">
        <v>30</v>
      </c>
      <c r="AQ580">
        <v>18</v>
      </c>
      <c r="AR580">
        <v>8</v>
      </c>
      <c r="AS580">
        <v>5</v>
      </c>
      <c r="AT580">
        <v>4</v>
      </c>
    </row>
    <row r="581" spans="1:46">
      <c r="A581">
        <v>10016</v>
      </c>
      <c r="B581" t="s">
        <v>3993</v>
      </c>
      <c r="C581" t="s">
        <v>3994</v>
      </c>
      <c r="D581" t="s">
        <v>3995</v>
      </c>
      <c r="E581" t="s">
        <v>3996</v>
      </c>
      <c r="F581" t="s">
        <v>3706</v>
      </c>
      <c r="G581" t="s">
        <v>652</v>
      </c>
      <c r="H581" t="s">
        <v>3942</v>
      </c>
      <c r="I581" t="s">
        <v>3953</v>
      </c>
      <c r="J581" t="s">
        <v>518</v>
      </c>
      <c r="K581" t="s">
        <v>519</v>
      </c>
      <c r="M581" t="s">
        <v>520</v>
      </c>
      <c r="N581" t="s">
        <v>571</v>
      </c>
      <c r="O581" t="s">
        <v>1168</v>
      </c>
      <c r="P581" t="s">
        <v>654</v>
      </c>
      <c r="Q581" t="s">
        <v>638</v>
      </c>
      <c r="R581" t="s">
        <v>639</v>
      </c>
      <c r="S581" t="s">
        <v>655</v>
      </c>
      <c r="T581" t="s">
        <v>527</v>
      </c>
      <c r="U581">
        <v>117600</v>
      </c>
      <c r="V581" t="s">
        <v>3997</v>
      </c>
      <c r="W581" t="s">
        <v>657</v>
      </c>
      <c r="X581" t="s">
        <v>3998</v>
      </c>
      <c r="Y581" t="s">
        <v>3999</v>
      </c>
      <c r="Z581" t="s">
        <v>660</v>
      </c>
      <c r="AA581" t="s">
        <v>661</v>
      </c>
      <c r="AE581">
        <v>-36.721928030000001</v>
      </c>
      <c r="AF581">
        <v>174.72329293000001</v>
      </c>
      <c r="AG581">
        <v>128</v>
      </c>
      <c r="AH581">
        <v>0</v>
      </c>
      <c r="AI581">
        <v>0</v>
      </c>
      <c r="AJ581">
        <v>0</v>
      </c>
      <c r="AK581">
        <v>9</v>
      </c>
      <c r="AL581">
        <v>25</v>
      </c>
      <c r="AM581">
        <v>23</v>
      </c>
      <c r="AN581">
        <v>3</v>
      </c>
      <c r="AO581">
        <v>60</v>
      </c>
      <c r="AP581">
        <v>35</v>
      </c>
      <c r="AQ581">
        <v>1</v>
      </c>
      <c r="AR581">
        <v>1</v>
      </c>
      <c r="AS581">
        <v>26</v>
      </c>
      <c r="AT581">
        <v>3</v>
      </c>
    </row>
    <row r="582" spans="1:46">
      <c r="A582">
        <v>10017</v>
      </c>
      <c r="B582" t="s">
        <v>4000</v>
      </c>
      <c r="C582" t="s">
        <v>4001</v>
      </c>
      <c r="D582" t="s">
        <v>4002</v>
      </c>
      <c r="E582" t="s">
        <v>4003</v>
      </c>
      <c r="F582" t="s">
        <v>3987</v>
      </c>
      <c r="G582" t="s">
        <v>652</v>
      </c>
      <c r="H582" t="s">
        <v>3942</v>
      </c>
      <c r="J582" t="s">
        <v>518</v>
      </c>
      <c r="K582" t="s">
        <v>519</v>
      </c>
      <c r="M582" t="s">
        <v>520</v>
      </c>
      <c r="N582" t="s">
        <v>571</v>
      </c>
      <c r="O582" t="s">
        <v>1233</v>
      </c>
      <c r="P582" t="s">
        <v>1262</v>
      </c>
      <c r="Q582" t="s">
        <v>638</v>
      </c>
      <c r="R582" t="s">
        <v>729</v>
      </c>
      <c r="S582" t="s">
        <v>1246</v>
      </c>
      <c r="T582" t="s">
        <v>1235</v>
      </c>
      <c r="U582">
        <v>165800</v>
      </c>
      <c r="V582" t="s">
        <v>4004</v>
      </c>
      <c r="W582" t="s">
        <v>1237</v>
      </c>
      <c r="X582" t="s">
        <v>4005</v>
      </c>
      <c r="Y582" t="s">
        <v>4003</v>
      </c>
      <c r="Z582" t="s">
        <v>1261</v>
      </c>
      <c r="AA582" t="s">
        <v>4006</v>
      </c>
      <c r="AB582" t="s">
        <v>4007</v>
      </c>
      <c r="AC582">
        <v>99075</v>
      </c>
      <c r="AD582" t="s">
        <v>1264</v>
      </c>
      <c r="AE582">
        <v>-37.19242509</v>
      </c>
      <c r="AF582">
        <v>174.90692931000001</v>
      </c>
      <c r="AG582">
        <v>50</v>
      </c>
      <c r="AH582">
        <v>14</v>
      </c>
      <c r="AI582">
        <v>2</v>
      </c>
      <c r="AJ582">
        <v>7</v>
      </c>
      <c r="AK582">
        <v>9</v>
      </c>
      <c r="AL582">
        <v>12</v>
      </c>
      <c r="AM582">
        <v>19</v>
      </c>
      <c r="AN582">
        <v>1</v>
      </c>
      <c r="AO582">
        <v>50</v>
      </c>
      <c r="AP582">
        <v>36</v>
      </c>
      <c r="AQ582">
        <v>25</v>
      </c>
      <c r="AR582">
        <v>3</v>
      </c>
      <c r="AS582">
        <v>4</v>
      </c>
      <c r="AT582">
        <v>0</v>
      </c>
    </row>
    <row r="583" spans="1:46">
      <c r="A583">
        <v>10022</v>
      </c>
      <c r="B583" t="s">
        <v>4008</v>
      </c>
      <c r="C583" t="s">
        <v>4009</v>
      </c>
      <c r="D583" t="s">
        <v>4010</v>
      </c>
      <c r="E583" t="s">
        <v>4011</v>
      </c>
      <c r="F583" t="s">
        <v>3706</v>
      </c>
      <c r="G583" t="s">
        <v>652</v>
      </c>
      <c r="H583" t="s">
        <v>3942</v>
      </c>
      <c r="J583" t="s">
        <v>3962</v>
      </c>
      <c r="K583" t="s">
        <v>519</v>
      </c>
      <c r="M583" t="s">
        <v>520</v>
      </c>
      <c r="N583" t="s">
        <v>571</v>
      </c>
      <c r="O583" t="s">
        <v>1168</v>
      </c>
      <c r="P583" t="s">
        <v>654</v>
      </c>
      <c r="Q583" t="s">
        <v>638</v>
      </c>
      <c r="R583" t="s">
        <v>639</v>
      </c>
      <c r="S583" t="s">
        <v>655</v>
      </c>
      <c r="T583" t="s">
        <v>527</v>
      </c>
      <c r="U583">
        <v>118600</v>
      </c>
      <c r="V583" t="s">
        <v>4012</v>
      </c>
      <c r="W583" t="s">
        <v>657</v>
      </c>
      <c r="X583" t="s">
        <v>4013</v>
      </c>
      <c r="Y583" t="s">
        <v>4014</v>
      </c>
      <c r="Z583" t="s">
        <v>681</v>
      </c>
      <c r="AA583" t="s">
        <v>4015</v>
      </c>
      <c r="AB583" t="s">
        <v>4009</v>
      </c>
      <c r="AE583">
        <v>-36.741351530000003</v>
      </c>
      <c r="AF583">
        <v>174.70347967999999</v>
      </c>
      <c r="AG583">
        <v>130</v>
      </c>
      <c r="AH583">
        <v>30</v>
      </c>
      <c r="AI583">
        <v>4</v>
      </c>
      <c r="AJ583">
        <v>18</v>
      </c>
      <c r="AK583">
        <v>24</v>
      </c>
      <c r="AL583">
        <v>42</v>
      </c>
      <c r="AM583">
        <v>18</v>
      </c>
      <c r="AN583">
        <v>0</v>
      </c>
      <c r="AO583">
        <v>106</v>
      </c>
      <c r="AP583">
        <v>31</v>
      </c>
      <c r="AQ583">
        <v>5</v>
      </c>
      <c r="AR583">
        <v>0</v>
      </c>
      <c r="AS583">
        <v>68</v>
      </c>
      <c r="AT583">
        <v>13</v>
      </c>
    </row>
    <row r="584" spans="1:46">
      <c r="A584">
        <v>10023</v>
      </c>
      <c r="B584" t="s">
        <v>4016</v>
      </c>
      <c r="C584" t="s">
        <v>4017</v>
      </c>
      <c r="E584" t="s">
        <v>4018</v>
      </c>
      <c r="G584" t="s">
        <v>4019</v>
      </c>
      <c r="H584" t="s">
        <v>517</v>
      </c>
      <c r="J584" t="s">
        <v>518</v>
      </c>
      <c r="K584" t="s">
        <v>519</v>
      </c>
      <c r="M584" t="s">
        <v>520</v>
      </c>
      <c r="N584" t="s">
        <v>571</v>
      </c>
      <c r="O584" t="s">
        <v>1233</v>
      </c>
      <c r="P584" t="s">
        <v>540</v>
      </c>
      <c r="Q584" t="s">
        <v>638</v>
      </c>
      <c r="R584" t="s">
        <v>708</v>
      </c>
      <c r="S584" t="s">
        <v>1234</v>
      </c>
      <c r="T584" t="s">
        <v>1235</v>
      </c>
      <c r="U584">
        <v>162901</v>
      </c>
      <c r="V584" t="s">
        <v>4019</v>
      </c>
      <c r="W584" t="s">
        <v>1237</v>
      </c>
      <c r="X584" t="s">
        <v>1220</v>
      </c>
      <c r="Y584" t="s">
        <v>1221</v>
      </c>
      <c r="Z584" t="s">
        <v>1217</v>
      </c>
      <c r="AA584" t="s">
        <v>1222</v>
      </c>
      <c r="AB584" t="s">
        <v>1223</v>
      </c>
      <c r="AC584">
        <v>99119</v>
      </c>
      <c r="AD584" t="s">
        <v>780</v>
      </c>
      <c r="AE584">
        <v>-36.995884529999998</v>
      </c>
      <c r="AF584">
        <v>175.03714303000001</v>
      </c>
      <c r="AG584">
        <v>30</v>
      </c>
      <c r="AH584">
        <v>0</v>
      </c>
      <c r="AI584">
        <v>0</v>
      </c>
      <c r="AJ584">
        <v>0</v>
      </c>
      <c r="AK584">
        <v>0</v>
      </c>
      <c r="AL584">
        <v>3</v>
      </c>
      <c r="AM584">
        <v>35</v>
      </c>
      <c r="AN584">
        <v>2</v>
      </c>
      <c r="AO584">
        <v>40</v>
      </c>
      <c r="AP584">
        <v>38</v>
      </c>
      <c r="AQ584">
        <v>6</v>
      </c>
      <c r="AR584">
        <v>1</v>
      </c>
      <c r="AS584">
        <v>3</v>
      </c>
      <c r="AT584">
        <v>1</v>
      </c>
    </row>
    <row r="585" spans="1:46">
      <c r="A585">
        <v>10024</v>
      </c>
      <c r="B585" t="s">
        <v>4020</v>
      </c>
      <c r="C585" t="s">
        <v>4021</v>
      </c>
      <c r="D585" t="s">
        <v>4022</v>
      </c>
      <c r="E585" t="s">
        <v>4023</v>
      </c>
      <c r="F585" t="s">
        <v>1035</v>
      </c>
      <c r="G585" t="s">
        <v>652</v>
      </c>
      <c r="H585" t="s">
        <v>3942</v>
      </c>
      <c r="J585" t="s">
        <v>3962</v>
      </c>
      <c r="K585" t="s">
        <v>519</v>
      </c>
      <c r="M585" t="s">
        <v>520</v>
      </c>
      <c r="N585" t="s">
        <v>539</v>
      </c>
      <c r="O585" t="s">
        <v>728</v>
      </c>
      <c r="P585" t="s">
        <v>654</v>
      </c>
      <c r="Q585" t="s">
        <v>638</v>
      </c>
      <c r="R585" t="s">
        <v>729</v>
      </c>
      <c r="S585" t="s">
        <v>1036</v>
      </c>
      <c r="T585" t="s">
        <v>709</v>
      </c>
      <c r="U585">
        <v>156500</v>
      </c>
      <c r="V585" t="s">
        <v>4024</v>
      </c>
      <c r="W585" t="s">
        <v>732</v>
      </c>
      <c r="X585" t="s">
        <v>4025</v>
      </c>
      <c r="Y585" t="s">
        <v>4026</v>
      </c>
      <c r="Z585" t="s">
        <v>3915</v>
      </c>
      <c r="AA585" t="s">
        <v>4027</v>
      </c>
      <c r="AB585" t="s">
        <v>4028</v>
      </c>
      <c r="AE585">
        <v>-36.984687899999997</v>
      </c>
      <c r="AF585">
        <v>174.86413193000001</v>
      </c>
      <c r="AG585">
        <v>45</v>
      </c>
      <c r="AH585">
        <v>15</v>
      </c>
      <c r="AI585">
        <v>3</v>
      </c>
      <c r="AJ585">
        <v>7</v>
      </c>
      <c r="AK585">
        <v>9</v>
      </c>
      <c r="AL585">
        <v>11</v>
      </c>
      <c r="AM585">
        <v>7</v>
      </c>
      <c r="AN585">
        <v>3</v>
      </c>
      <c r="AO585">
        <v>40</v>
      </c>
      <c r="AP585">
        <v>23</v>
      </c>
      <c r="AQ585">
        <v>11</v>
      </c>
      <c r="AR585">
        <v>20</v>
      </c>
      <c r="AS585">
        <v>7</v>
      </c>
      <c r="AT585">
        <v>1</v>
      </c>
    </row>
    <row r="586" spans="1:46">
      <c r="A586">
        <v>10028</v>
      </c>
      <c r="B586" t="s">
        <v>4029</v>
      </c>
      <c r="E586" t="s">
        <v>4030</v>
      </c>
      <c r="F586" t="s">
        <v>4031</v>
      </c>
      <c r="G586" t="s">
        <v>652</v>
      </c>
      <c r="H586" t="s">
        <v>4032</v>
      </c>
      <c r="I586" t="s">
        <v>4033</v>
      </c>
      <c r="J586" t="s">
        <v>518</v>
      </c>
      <c r="K586" t="s">
        <v>519</v>
      </c>
      <c r="M586" t="s">
        <v>520</v>
      </c>
      <c r="N586" t="s">
        <v>727</v>
      </c>
      <c r="O586" t="s">
        <v>957</v>
      </c>
      <c r="P586" t="s">
        <v>654</v>
      </c>
      <c r="Q586" t="s">
        <v>638</v>
      </c>
      <c r="R586" t="s">
        <v>708</v>
      </c>
      <c r="S586" t="s">
        <v>958</v>
      </c>
      <c r="T586" t="s">
        <v>709</v>
      </c>
      <c r="U586">
        <v>136100</v>
      </c>
      <c r="V586" t="s">
        <v>4031</v>
      </c>
      <c r="W586" t="s">
        <v>824</v>
      </c>
      <c r="X586" t="s">
        <v>4034</v>
      </c>
      <c r="Y586" t="s">
        <v>4035</v>
      </c>
      <c r="Z586" t="s">
        <v>4036</v>
      </c>
      <c r="AA586" t="s">
        <v>4037</v>
      </c>
      <c r="AB586" t="s">
        <v>4038</v>
      </c>
      <c r="AE586">
        <v>-36.860695329999999</v>
      </c>
      <c r="AF586">
        <v>174.76942505</v>
      </c>
      <c r="AG586">
        <v>40</v>
      </c>
      <c r="AH586">
        <v>40</v>
      </c>
    </row>
    <row r="587" spans="1:46">
      <c r="A587">
        <v>10030</v>
      </c>
      <c r="B587" t="s">
        <v>4039</v>
      </c>
      <c r="E587" t="s">
        <v>4030</v>
      </c>
      <c r="F587" t="s">
        <v>4031</v>
      </c>
      <c r="G587" t="s">
        <v>652</v>
      </c>
      <c r="H587" t="s">
        <v>4032</v>
      </c>
      <c r="I587" t="s">
        <v>4033</v>
      </c>
      <c r="J587" t="s">
        <v>518</v>
      </c>
      <c r="K587" t="s">
        <v>519</v>
      </c>
      <c r="M587" t="s">
        <v>520</v>
      </c>
      <c r="N587" t="s">
        <v>727</v>
      </c>
      <c r="O587" t="s">
        <v>957</v>
      </c>
      <c r="P587" t="s">
        <v>654</v>
      </c>
      <c r="Q587" t="s">
        <v>638</v>
      </c>
      <c r="R587" t="s">
        <v>708</v>
      </c>
      <c r="S587" t="s">
        <v>958</v>
      </c>
      <c r="T587" t="s">
        <v>709</v>
      </c>
      <c r="U587">
        <v>136100</v>
      </c>
      <c r="V587" t="s">
        <v>4031</v>
      </c>
      <c r="W587" t="s">
        <v>824</v>
      </c>
      <c r="X587" t="s">
        <v>4034</v>
      </c>
      <c r="Y587" t="s">
        <v>4035</v>
      </c>
      <c r="Z587" t="s">
        <v>4036</v>
      </c>
      <c r="AA587" t="s">
        <v>4037</v>
      </c>
      <c r="AB587" t="s">
        <v>4038</v>
      </c>
      <c r="AE587">
        <v>-36.86069449</v>
      </c>
      <c r="AF587">
        <v>174.76947580999999</v>
      </c>
      <c r="AG587">
        <v>25</v>
      </c>
      <c r="AH587">
        <v>25</v>
      </c>
    </row>
    <row r="588" spans="1:46">
      <c r="A588">
        <v>10032</v>
      </c>
      <c r="B588" t="s">
        <v>4040</v>
      </c>
      <c r="C588" t="s">
        <v>4041</v>
      </c>
      <c r="D588" t="s">
        <v>4042</v>
      </c>
      <c r="E588" t="s">
        <v>4043</v>
      </c>
      <c r="G588" t="s">
        <v>1234</v>
      </c>
      <c r="H588" t="s">
        <v>3942</v>
      </c>
      <c r="J588" t="s">
        <v>518</v>
      </c>
      <c r="K588" t="s">
        <v>519</v>
      </c>
      <c r="M588" t="s">
        <v>520</v>
      </c>
      <c r="N588" t="s">
        <v>539</v>
      </c>
      <c r="O588" t="s">
        <v>1268</v>
      </c>
      <c r="P588" t="s">
        <v>654</v>
      </c>
      <c r="Q588" t="s">
        <v>638</v>
      </c>
      <c r="R588" t="s">
        <v>729</v>
      </c>
      <c r="S588" t="s">
        <v>1234</v>
      </c>
      <c r="T588" t="s">
        <v>1235</v>
      </c>
      <c r="U588">
        <v>163200</v>
      </c>
      <c r="V588" t="s">
        <v>4044</v>
      </c>
      <c r="W588" t="s">
        <v>1219</v>
      </c>
      <c r="X588" t="s">
        <v>3943</v>
      </c>
      <c r="Y588" t="s">
        <v>3944</v>
      </c>
      <c r="Z588" t="s">
        <v>3945</v>
      </c>
      <c r="AA588" t="s">
        <v>3946</v>
      </c>
      <c r="AB588" t="s">
        <v>3947</v>
      </c>
      <c r="AE588">
        <v>-37.06652828</v>
      </c>
      <c r="AF588">
        <v>174.95007375</v>
      </c>
      <c r="AG588">
        <v>30</v>
      </c>
      <c r="AH588">
        <v>0</v>
      </c>
      <c r="AI588">
        <v>0</v>
      </c>
      <c r="AJ588">
        <v>0</v>
      </c>
      <c r="AK588">
        <v>5</v>
      </c>
      <c r="AL588">
        <v>9</v>
      </c>
      <c r="AM588">
        <v>16</v>
      </c>
      <c r="AN588">
        <v>2</v>
      </c>
      <c r="AO588">
        <v>32</v>
      </c>
      <c r="AP588">
        <v>11</v>
      </c>
      <c r="AQ588">
        <v>9</v>
      </c>
      <c r="AR588">
        <v>12</v>
      </c>
      <c r="AS588">
        <v>9</v>
      </c>
      <c r="AT588">
        <v>1</v>
      </c>
    </row>
    <row r="589" spans="1:46">
      <c r="A589">
        <v>10034</v>
      </c>
      <c r="B589" t="s">
        <v>4045</v>
      </c>
      <c r="C589" t="s">
        <v>4046</v>
      </c>
      <c r="D589" t="s">
        <v>4047</v>
      </c>
      <c r="E589" t="s">
        <v>4048</v>
      </c>
      <c r="F589" t="s">
        <v>1217</v>
      </c>
      <c r="G589" t="s">
        <v>652</v>
      </c>
      <c r="H589" t="s">
        <v>3942</v>
      </c>
      <c r="J589" t="s">
        <v>518</v>
      </c>
      <c r="K589" t="s">
        <v>519</v>
      </c>
      <c r="M589" t="s">
        <v>520</v>
      </c>
      <c r="N589" t="s">
        <v>557</v>
      </c>
      <c r="O589" t="s">
        <v>1268</v>
      </c>
      <c r="P589" t="s">
        <v>654</v>
      </c>
      <c r="Q589" t="s">
        <v>638</v>
      </c>
      <c r="R589" t="s">
        <v>729</v>
      </c>
      <c r="S589" t="s">
        <v>1217</v>
      </c>
      <c r="T589" t="s">
        <v>709</v>
      </c>
      <c r="U589">
        <v>162000</v>
      </c>
      <c r="V589" t="s">
        <v>4049</v>
      </c>
      <c r="W589" t="s">
        <v>1219</v>
      </c>
      <c r="X589" t="s">
        <v>3943</v>
      </c>
      <c r="Y589" t="s">
        <v>3944</v>
      </c>
      <c r="Z589" t="s">
        <v>3945</v>
      </c>
      <c r="AA589" t="s">
        <v>3946</v>
      </c>
      <c r="AB589" t="s">
        <v>3947</v>
      </c>
      <c r="AE589">
        <v>-37.039257880000001</v>
      </c>
      <c r="AF589">
        <v>174.91760446000001</v>
      </c>
      <c r="AG589">
        <v>135</v>
      </c>
      <c r="AH589">
        <v>24</v>
      </c>
      <c r="AI589">
        <v>4</v>
      </c>
      <c r="AJ589">
        <v>18</v>
      </c>
      <c r="AK589">
        <v>20</v>
      </c>
      <c r="AL589">
        <v>48</v>
      </c>
      <c r="AM589">
        <v>44</v>
      </c>
      <c r="AN589">
        <v>1</v>
      </c>
      <c r="AO589">
        <v>135</v>
      </c>
      <c r="AP589">
        <v>13</v>
      </c>
      <c r="AQ589">
        <v>17</v>
      </c>
      <c r="AR589">
        <v>16</v>
      </c>
      <c r="AS589">
        <v>106</v>
      </c>
      <c r="AT589">
        <v>6</v>
      </c>
    </row>
    <row r="590" spans="1:46">
      <c r="A590">
        <v>10039</v>
      </c>
      <c r="B590" t="s">
        <v>4050</v>
      </c>
      <c r="C590" t="s">
        <v>4051</v>
      </c>
      <c r="D590" t="s">
        <v>4052</v>
      </c>
      <c r="E590" t="s">
        <v>4053</v>
      </c>
      <c r="F590" t="s">
        <v>4054</v>
      </c>
      <c r="G590" t="s">
        <v>652</v>
      </c>
      <c r="H590" t="s">
        <v>3942</v>
      </c>
      <c r="J590" t="s">
        <v>3962</v>
      </c>
      <c r="K590" t="s">
        <v>519</v>
      </c>
      <c r="M590" t="s">
        <v>520</v>
      </c>
      <c r="N590" t="s">
        <v>571</v>
      </c>
      <c r="O590" t="s">
        <v>748</v>
      </c>
      <c r="P590" t="s">
        <v>654</v>
      </c>
      <c r="Q590" t="s">
        <v>638</v>
      </c>
      <c r="R590" t="s">
        <v>639</v>
      </c>
      <c r="S590" t="s">
        <v>682</v>
      </c>
      <c r="T590" t="s">
        <v>527</v>
      </c>
      <c r="U590">
        <v>122600</v>
      </c>
      <c r="V590" t="s">
        <v>4055</v>
      </c>
      <c r="W590" t="s">
        <v>741</v>
      </c>
      <c r="X590" t="s">
        <v>4056</v>
      </c>
      <c r="Y590" t="s">
        <v>4057</v>
      </c>
      <c r="Z590" t="s">
        <v>4058</v>
      </c>
      <c r="AA590" t="s">
        <v>4059</v>
      </c>
      <c r="AE590">
        <v>-36.759491820000001</v>
      </c>
      <c r="AF590">
        <v>174.74796692000001</v>
      </c>
      <c r="AG590">
        <v>33</v>
      </c>
      <c r="AH590">
        <v>12</v>
      </c>
      <c r="AI590">
        <v>2</v>
      </c>
      <c r="AJ590">
        <v>6</v>
      </c>
      <c r="AK590">
        <v>5</v>
      </c>
      <c r="AL590">
        <v>6</v>
      </c>
      <c r="AM590">
        <v>12</v>
      </c>
      <c r="AN590">
        <v>1</v>
      </c>
      <c r="AO590">
        <v>32</v>
      </c>
      <c r="AP590">
        <v>20</v>
      </c>
      <c r="AQ590">
        <v>1</v>
      </c>
      <c r="AR590">
        <v>1</v>
      </c>
      <c r="AS590">
        <v>17</v>
      </c>
      <c r="AT590">
        <v>1</v>
      </c>
    </row>
    <row r="591" spans="1:46">
      <c r="A591">
        <v>10042</v>
      </c>
      <c r="B591" t="s">
        <v>4060</v>
      </c>
      <c r="C591" t="s">
        <v>4061</v>
      </c>
      <c r="D591" t="s">
        <v>4062</v>
      </c>
      <c r="E591" t="s">
        <v>4063</v>
      </c>
      <c r="G591" t="s">
        <v>4064</v>
      </c>
      <c r="H591" t="s">
        <v>3942</v>
      </c>
      <c r="I591" t="s">
        <v>4065</v>
      </c>
      <c r="J591" t="s">
        <v>3962</v>
      </c>
      <c r="K591" t="s">
        <v>519</v>
      </c>
      <c r="M591" t="s">
        <v>520</v>
      </c>
      <c r="N591" t="s">
        <v>571</v>
      </c>
      <c r="O591" t="s">
        <v>1268</v>
      </c>
      <c r="P591" t="s">
        <v>654</v>
      </c>
      <c r="Q591" t="s">
        <v>638</v>
      </c>
      <c r="R591" t="s">
        <v>729</v>
      </c>
      <c r="S591" t="s">
        <v>1234</v>
      </c>
      <c r="T591" t="s">
        <v>1235</v>
      </c>
      <c r="U591">
        <v>164302</v>
      </c>
      <c r="V591" t="s">
        <v>4066</v>
      </c>
      <c r="W591" t="s">
        <v>1219</v>
      </c>
      <c r="X591" t="s">
        <v>4067</v>
      </c>
      <c r="Y591" t="s">
        <v>4068</v>
      </c>
      <c r="Z591" t="s">
        <v>821</v>
      </c>
      <c r="AA591" t="s">
        <v>4069</v>
      </c>
      <c r="AB591" t="s">
        <v>4070</v>
      </c>
      <c r="AE591">
        <v>-37.06264668</v>
      </c>
      <c r="AF591">
        <v>174.94207359999999</v>
      </c>
      <c r="AG591">
        <v>100</v>
      </c>
      <c r="AH591">
        <v>16</v>
      </c>
      <c r="AI591">
        <v>6</v>
      </c>
      <c r="AJ591">
        <v>6</v>
      </c>
      <c r="AK591">
        <v>15</v>
      </c>
      <c r="AL591">
        <v>16</v>
      </c>
      <c r="AM591">
        <v>17</v>
      </c>
      <c r="AN591">
        <v>1</v>
      </c>
      <c r="AO591">
        <v>61</v>
      </c>
      <c r="AP591">
        <v>21</v>
      </c>
      <c r="AQ591">
        <v>5</v>
      </c>
      <c r="AR591">
        <v>9</v>
      </c>
      <c r="AS591">
        <v>36</v>
      </c>
      <c r="AT591">
        <v>2</v>
      </c>
    </row>
    <row r="592" spans="1:46">
      <c r="A592">
        <v>10044</v>
      </c>
      <c r="B592" t="s">
        <v>4071</v>
      </c>
      <c r="C592" t="s">
        <v>4072</v>
      </c>
      <c r="D592" t="s">
        <v>4073</v>
      </c>
      <c r="E592" t="s">
        <v>4074</v>
      </c>
      <c r="F592" t="s">
        <v>1096</v>
      </c>
      <c r="G592" t="s">
        <v>652</v>
      </c>
      <c r="H592" t="s">
        <v>3942</v>
      </c>
      <c r="J592" t="s">
        <v>518</v>
      </c>
      <c r="K592" t="s">
        <v>519</v>
      </c>
      <c r="M592" t="s">
        <v>520</v>
      </c>
      <c r="N592" t="s">
        <v>571</v>
      </c>
      <c r="O592" t="s">
        <v>957</v>
      </c>
      <c r="P592" t="s">
        <v>654</v>
      </c>
      <c r="Q592" t="s">
        <v>638</v>
      </c>
      <c r="R592" t="s">
        <v>708</v>
      </c>
      <c r="S592" t="s">
        <v>822</v>
      </c>
      <c r="T592" t="s">
        <v>709</v>
      </c>
      <c r="U592">
        <v>137400</v>
      </c>
      <c r="V592" t="s">
        <v>1097</v>
      </c>
      <c r="W592" t="s">
        <v>824</v>
      </c>
      <c r="X592" t="s">
        <v>4075</v>
      </c>
      <c r="Y592" t="s">
        <v>4076</v>
      </c>
      <c r="Z592" t="s">
        <v>1096</v>
      </c>
      <c r="AA592" t="s">
        <v>4077</v>
      </c>
      <c r="AE592">
        <v>-36.849476180000003</v>
      </c>
      <c r="AF592">
        <v>174.78480877000001</v>
      </c>
      <c r="AG592">
        <v>46</v>
      </c>
      <c r="AH592">
        <v>16</v>
      </c>
      <c r="AI592">
        <v>0</v>
      </c>
      <c r="AJ592">
        <v>12</v>
      </c>
      <c r="AK592">
        <v>11</v>
      </c>
      <c r="AL592">
        <v>13</v>
      </c>
      <c r="AM592">
        <v>7</v>
      </c>
      <c r="AN592">
        <v>1</v>
      </c>
      <c r="AO592">
        <v>44</v>
      </c>
      <c r="AP592">
        <v>40</v>
      </c>
      <c r="AQ592">
        <v>5</v>
      </c>
      <c r="AR592">
        <v>5</v>
      </c>
      <c r="AS592">
        <v>9</v>
      </c>
      <c r="AT592">
        <v>0</v>
      </c>
    </row>
    <row r="593" spans="1:46">
      <c r="A593">
        <v>10045</v>
      </c>
      <c r="B593" t="s">
        <v>4078</v>
      </c>
      <c r="C593" t="s">
        <v>4079</v>
      </c>
      <c r="D593" t="s">
        <v>4080</v>
      </c>
      <c r="E593" t="s">
        <v>4081</v>
      </c>
      <c r="G593" t="s">
        <v>675</v>
      </c>
      <c r="H593" t="s">
        <v>3942</v>
      </c>
      <c r="J593" t="s">
        <v>3962</v>
      </c>
      <c r="K593" t="s">
        <v>519</v>
      </c>
      <c r="M593" t="s">
        <v>520</v>
      </c>
      <c r="N593" t="s">
        <v>571</v>
      </c>
      <c r="O593" t="s">
        <v>637</v>
      </c>
      <c r="P593" t="s">
        <v>523</v>
      </c>
      <c r="Q593" t="s">
        <v>638</v>
      </c>
      <c r="R593" t="s">
        <v>639</v>
      </c>
      <c r="S593" t="s">
        <v>640</v>
      </c>
      <c r="T593" t="s">
        <v>527</v>
      </c>
      <c r="U593">
        <v>111100</v>
      </c>
      <c r="V593" t="s">
        <v>676</v>
      </c>
      <c r="W593" t="s">
        <v>641</v>
      </c>
      <c r="X593" t="s">
        <v>4082</v>
      </c>
      <c r="Y593" t="s">
        <v>4083</v>
      </c>
      <c r="Z593" t="s">
        <v>681</v>
      </c>
      <c r="AA593" t="s">
        <v>4084</v>
      </c>
      <c r="AC593">
        <v>99122</v>
      </c>
      <c r="AD593" t="s">
        <v>4085</v>
      </c>
      <c r="AE593">
        <v>-36.407820389999998</v>
      </c>
      <c r="AF593">
        <v>174.65644718999999</v>
      </c>
      <c r="AG593">
        <v>25</v>
      </c>
      <c r="AH593">
        <v>0</v>
      </c>
      <c r="AI593">
        <v>0</v>
      </c>
      <c r="AJ593">
        <v>0</v>
      </c>
      <c r="AK593">
        <v>6</v>
      </c>
      <c r="AL593">
        <v>10</v>
      </c>
      <c r="AM593">
        <v>14</v>
      </c>
      <c r="AN593">
        <v>0</v>
      </c>
      <c r="AO593">
        <v>30</v>
      </c>
      <c r="AP593">
        <v>29</v>
      </c>
      <c r="AQ593">
        <v>5</v>
      </c>
      <c r="AR593">
        <v>1</v>
      </c>
      <c r="AS593">
        <v>3</v>
      </c>
      <c r="AT593">
        <v>0</v>
      </c>
    </row>
    <row r="594" spans="1:46">
      <c r="A594">
        <v>10046</v>
      </c>
      <c r="B594" t="s">
        <v>4086</v>
      </c>
      <c r="C594" t="s">
        <v>4087</v>
      </c>
      <c r="D594" t="s">
        <v>4088</v>
      </c>
      <c r="E594" t="s">
        <v>4089</v>
      </c>
      <c r="F594" t="s">
        <v>1035</v>
      </c>
      <c r="G594" t="s">
        <v>652</v>
      </c>
      <c r="H594" t="s">
        <v>3942</v>
      </c>
      <c r="J594" t="s">
        <v>518</v>
      </c>
      <c r="K594" t="s">
        <v>519</v>
      </c>
      <c r="M594" t="s">
        <v>520</v>
      </c>
      <c r="N594" t="s">
        <v>539</v>
      </c>
      <c r="O594" t="s">
        <v>728</v>
      </c>
      <c r="P594" t="s">
        <v>654</v>
      </c>
      <c r="Q594" t="s">
        <v>638</v>
      </c>
      <c r="R594" t="s">
        <v>729</v>
      </c>
      <c r="S594" t="s">
        <v>730</v>
      </c>
      <c r="T594" t="s">
        <v>709</v>
      </c>
      <c r="U594">
        <v>156201</v>
      </c>
      <c r="V594" t="s">
        <v>4090</v>
      </c>
      <c r="W594" t="s">
        <v>732</v>
      </c>
      <c r="X594" t="s">
        <v>3943</v>
      </c>
      <c r="Y594" t="s">
        <v>3944</v>
      </c>
      <c r="Z594" t="s">
        <v>3945</v>
      </c>
      <c r="AA594" t="s">
        <v>3946</v>
      </c>
      <c r="AB594" t="s">
        <v>3947</v>
      </c>
      <c r="AE594">
        <v>-36.97697591</v>
      </c>
      <c r="AF594">
        <v>174.86978796</v>
      </c>
      <c r="AG594">
        <v>45</v>
      </c>
      <c r="AH594">
        <v>15</v>
      </c>
      <c r="AI594">
        <v>2</v>
      </c>
      <c r="AJ594">
        <v>8</v>
      </c>
      <c r="AK594">
        <v>9</v>
      </c>
      <c r="AL594">
        <v>14</v>
      </c>
      <c r="AM594">
        <v>11</v>
      </c>
      <c r="AN594">
        <v>2</v>
      </c>
      <c r="AO594">
        <v>46</v>
      </c>
      <c r="AP594">
        <v>7</v>
      </c>
      <c r="AQ594">
        <v>5</v>
      </c>
      <c r="AR594">
        <v>13</v>
      </c>
      <c r="AS594">
        <v>27</v>
      </c>
      <c r="AT594">
        <v>5</v>
      </c>
    </row>
    <row r="595" spans="1:46">
      <c r="A595">
        <v>10048</v>
      </c>
      <c r="B595" t="s">
        <v>4091</v>
      </c>
      <c r="C595" t="s">
        <v>4092</v>
      </c>
      <c r="D595" t="s">
        <v>4093</v>
      </c>
      <c r="E595" t="s">
        <v>4094</v>
      </c>
      <c r="F595" t="s">
        <v>4095</v>
      </c>
      <c r="G595" t="s">
        <v>652</v>
      </c>
      <c r="H595" t="s">
        <v>3942</v>
      </c>
      <c r="J595" t="s">
        <v>3962</v>
      </c>
      <c r="K595" t="s">
        <v>519</v>
      </c>
      <c r="M595" t="s">
        <v>520</v>
      </c>
      <c r="N595" t="s">
        <v>571</v>
      </c>
      <c r="O595" t="s">
        <v>707</v>
      </c>
      <c r="P595" t="s">
        <v>654</v>
      </c>
      <c r="Q595" t="s">
        <v>638</v>
      </c>
      <c r="R595" t="s">
        <v>708</v>
      </c>
      <c r="S595" t="s">
        <v>778</v>
      </c>
      <c r="T595" t="s">
        <v>709</v>
      </c>
      <c r="U595">
        <v>153100</v>
      </c>
      <c r="V595" t="s">
        <v>3941</v>
      </c>
      <c r="W595" t="s">
        <v>711</v>
      </c>
      <c r="X595" t="s">
        <v>4096</v>
      </c>
      <c r="Y595" t="s">
        <v>4097</v>
      </c>
      <c r="Z595" t="s">
        <v>4098</v>
      </c>
      <c r="AA595" t="s">
        <v>4099</v>
      </c>
      <c r="AB595" t="s">
        <v>4100</v>
      </c>
      <c r="AE595">
        <v>-36.926101039999999</v>
      </c>
      <c r="AF595">
        <v>174.91210849000001</v>
      </c>
      <c r="AG595">
        <v>112</v>
      </c>
      <c r="AH595">
        <v>30</v>
      </c>
      <c r="AI595">
        <v>4</v>
      </c>
      <c r="AJ595">
        <v>22</v>
      </c>
      <c r="AK595">
        <v>27</v>
      </c>
      <c r="AL595">
        <v>27</v>
      </c>
      <c r="AM595">
        <v>15</v>
      </c>
      <c r="AN595">
        <v>1</v>
      </c>
      <c r="AO595">
        <v>96</v>
      </c>
      <c r="AP595">
        <v>46</v>
      </c>
      <c r="AQ595">
        <v>5</v>
      </c>
      <c r="AR595">
        <v>4</v>
      </c>
      <c r="AS595">
        <v>46</v>
      </c>
      <c r="AT595">
        <v>11</v>
      </c>
    </row>
    <row r="596" spans="1:46">
      <c r="A596">
        <v>10051</v>
      </c>
      <c r="B596" t="s">
        <v>4101</v>
      </c>
      <c r="C596" t="s">
        <v>4102</v>
      </c>
      <c r="D596" t="s">
        <v>4103</v>
      </c>
      <c r="E596" t="s">
        <v>4104</v>
      </c>
      <c r="F596" t="s">
        <v>1072</v>
      </c>
      <c r="G596" t="s">
        <v>652</v>
      </c>
      <c r="H596" t="s">
        <v>3942</v>
      </c>
      <c r="J596" t="s">
        <v>3962</v>
      </c>
      <c r="K596" t="s">
        <v>519</v>
      </c>
      <c r="M596" t="s">
        <v>520</v>
      </c>
      <c r="N596" t="s">
        <v>521</v>
      </c>
      <c r="O596" t="s">
        <v>848</v>
      </c>
      <c r="P596" t="s">
        <v>654</v>
      </c>
      <c r="Q596" t="s">
        <v>638</v>
      </c>
      <c r="R596" t="s">
        <v>729</v>
      </c>
      <c r="S596" t="s">
        <v>730</v>
      </c>
      <c r="T596" t="s">
        <v>709</v>
      </c>
      <c r="U596">
        <v>150101</v>
      </c>
      <c r="V596" t="s">
        <v>4105</v>
      </c>
      <c r="W596" t="s">
        <v>732</v>
      </c>
      <c r="X596" t="s">
        <v>4106</v>
      </c>
      <c r="Y596" t="s">
        <v>4107</v>
      </c>
      <c r="AA596" t="s">
        <v>3982</v>
      </c>
      <c r="AB596" t="s">
        <v>4108</v>
      </c>
      <c r="AE596">
        <v>-36.944447889999999</v>
      </c>
      <c r="AF596">
        <v>174.83998994999999</v>
      </c>
      <c r="AG596">
        <v>100</v>
      </c>
      <c r="AH596">
        <v>16</v>
      </c>
      <c r="AI596">
        <v>4</v>
      </c>
      <c r="AJ596">
        <v>6</v>
      </c>
      <c r="AK596">
        <v>16</v>
      </c>
      <c r="AL596">
        <v>26</v>
      </c>
      <c r="AM596">
        <v>27</v>
      </c>
      <c r="AN596">
        <v>6</v>
      </c>
      <c r="AO596">
        <v>85</v>
      </c>
      <c r="AP596">
        <v>15</v>
      </c>
      <c r="AQ596">
        <v>8</v>
      </c>
      <c r="AR596">
        <v>45</v>
      </c>
      <c r="AS596">
        <v>31</v>
      </c>
      <c r="AT596">
        <v>6</v>
      </c>
    </row>
    <row r="597" spans="1:46">
      <c r="A597">
        <v>10052</v>
      </c>
      <c r="B597" t="s">
        <v>4109</v>
      </c>
      <c r="C597" t="s">
        <v>4110</v>
      </c>
      <c r="D597" t="s">
        <v>4111</v>
      </c>
      <c r="E597" t="s">
        <v>4112</v>
      </c>
      <c r="F597" t="s">
        <v>719</v>
      </c>
      <c r="G597" t="s">
        <v>652</v>
      </c>
      <c r="H597" t="s">
        <v>3942</v>
      </c>
      <c r="I597" t="s">
        <v>4113</v>
      </c>
      <c r="J597" t="s">
        <v>518</v>
      </c>
      <c r="K597" t="s">
        <v>519</v>
      </c>
      <c r="M597" t="s">
        <v>520</v>
      </c>
      <c r="N597" t="s">
        <v>539</v>
      </c>
      <c r="O597" t="s">
        <v>718</v>
      </c>
      <c r="P597" t="s">
        <v>654</v>
      </c>
      <c r="Q597" t="s">
        <v>638</v>
      </c>
      <c r="R597" t="s">
        <v>639</v>
      </c>
      <c r="S597" t="s">
        <v>719</v>
      </c>
      <c r="T597" t="s">
        <v>709</v>
      </c>
      <c r="U597">
        <v>131000</v>
      </c>
      <c r="V597" t="s">
        <v>4114</v>
      </c>
      <c r="W597" t="s">
        <v>721</v>
      </c>
      <c r="X597" t="s">
        <v>4115</v>
      </c>
      <c r="Y597" t="s">
        <v>4116</v>
      </c>
      <c r="Z597" t="s">
        <v>3169</v>
      </c>
      <c r="AA597" t="s">
        <v>4117</v>
      </c>
      <c r="AE597">
        <v>-36.904212200000003</v>
      </c>
      <c r="AF597">
        <v>174.66488459999999</v>
      </c>
      <c r="AG597">
        <v>30</v>
      </c>
      <c r="AH597">
        <v>0</v>
      </c>
      <c r="AI597">
        <v>0</v>
      </c>
      <c r="AJ597">
        <v>0</v>
      </c>
      <c r="AK597">
        <v>3</v>
      </c>
      <c r="AL597">
        <v>8</v>
      </c>
      <c r="AM597">
        <v>6</v>
      </c>
      <c r="AN597">
        <v>3</v>
      </c>
      <c r="AO597">
        <v>20</v>
      </c>
      <c r="AP597">
        <v>12</v>
      </c>
      <c r="AQ597">
        <v>8</v>
      </c>
      <c r="AR597">
        <v>6</v>
      </c>
      <c r="AS597">
        <v>1</v>
      </c>
      <c r="AT597">
        <v>0</v>
      </c>
    </row>
    <row r="598" spans="1:46">
      <c r="A598">
        <v>10055</v>
      </c>
      <c r="B598" t="s">
        <v>4118</v>
      </c>
      <c r="C598" t="s">
        <v>4119</v>
      </c>
      <c r="D598" t="s">
        <v>4120</v>
      </c>
      <c r="E598" t="s">
        <v>4121</v>
      </c>
      <c r="F598" t="s">
        <v>4122</v>
      </c>
      <c r="G598" t="s">
        <v>652</v>
      </c>
      <c r="H598" t="s">
        <v>3942</v>
      </c>
      <c r="J598" t="s">
        <v>3962</v>
      </c>
      <c r="K598" t="s">
        <v>519</v>
      </c>
      <c r="M598" t="s">
        <v>520</v>
      </c>
      <c r="N598" t="s">
        <v>571</v>
      </c>
      <c r="O598" t="s">
        <v>707</v>
      </c>
      <c r="P598" t="s">
        <v>654</v>
      </c>
      <c r="Q598" t="s">
        <v>638</v>
      </c>
      <c r="R598" t="s">
        <v>708</v>
      </c>
      <c r="S598" t="s">
        <v>778</v>
      </c>
      <c r="T598" t="s">
        <v>709</v>
      </c>
      <c r="U598">
        <v>151301</v>
      </c>
      <c r="V598" t="s">
        <v>4123</v>
      </c>
      <c r="W598" t="s">
        <v>711</v>
      </c>
      <c r="X598" t="s">
        <v>4124</v>
      </c>
      <c r="Y598" t="s">
        <v>4121</v>
      </c>
      <c r="Z598" t="s">
        <v>4125</v>
      </c>
      <c r="AA598" t="s">
        <v>4126</v>
      </c>
      <c r="AB598" t="s">
        <v>4127</v>
      </c>
      <c r="AE598">
        <v>-36.908899259999998</v>
      </c>
      <c r="AF598">
        <v>174.90652564999999</v>
      </c>
      <c r="AG598">
        <v>50</v>
      </c>
      <c r="AH598">
        <v>15</v>
      </c>
      <c r="AI598">
        <v>3</v>
      </c>
      <c r="AJ598">
        <v>11</v>
      </c>
      <c r="AK598">
        <v>12</v>
      </c>
      <c r="AL598">
        <v>14</v>
      </c>
      <c r="AM598">
        <v>8</v>
      </c>
      <c r="AN598">
        <v>0</v>
      </c>
      <c r="AO598">
        <v>48</v>
      </c>
      <c r="AP598">
        <v>30</v>
      </c>
      <c r="AQ598">
        <v>6</v>
      </c>
      <c r="AR598">
        <v>3</v>
      </c>
      <c r="AS598">
        <v>19</v>
      </c>
      <c r="AT598">
        <v>1</v>
      </c>
    </row>
    <row r="599" spans="1:46">
      <c r="A599">
        <v>10056</v>
      </c>
      <c r="B599" t="s">
        <v>4128</v>
      </c>
      <c r="C599" t="s">
        <v>4129</v>
      </c>
      <c r="D599" t="s">
        <v>4130</v>
      </c>
      <c r="E599" t="s">
        <v>4131</v>
      </c>
      <c r="G599" t="s">
        <v>4132</v>
      </c>
      <c r="H599" t="s">
        <v>3942</v>
      </c>
      <c r="J599" t="s">
        <v>3962</v>
      </c>
      <c r="K599" t="s">
        <v>519</v>
      </c>
      <c r="M599" t="s">
        <v>520</v>
      </c>
      <c r="N599" t="s">
        <v>571</v>
      </c>
      <c r="O599" t="s">
        <v>653</v>
      </c>
      <c r="P599" t="s">
        <v>584</v>
      </c>
      <c r="Q599" t="s">
        <v>638</v>
      </c>
      <c r="R599" t="s">
        <v>639</v>
      </c>
      <c r="S599" t="s">
        <v>668</v>
      </c>
      <c r="T599" t="s">
        <v>527</v>
      </c>
      <c r="U599">
        <v>114000</v>
      </c>
      <c r="V599" t="s">
        <v>4133</v>
      </c>
      <c r="W599" t="s">
        <v>657</v>
      </c>
      <c r="X599" t="s">
        <v>4134</v>
      </c>
      <c r="Y599" t="s">
        <v>4131</v>
      </c>
      <c r="Z599" t="s">
        <v>4132</v>
      </c>
      <c r="AA599" t="s">
        <v>4135</v>
      </c>
      <c r="AB599" t="s">
        <v>4129</v>
      </c>
      <c r="AE599">
        <v>-36.604557720000003</v>
      </c>
      <c r="AF599">
        <v>174.70646088999999</v>
      </c>
      <c r="AG599">
        <v>20</v>
      </c>
      <c r="AH599">
        <v>0</v>
      </c>
      <c r="AI599">
        <v>0</v>
      </c>
      <c r="AJ599">
        <v>0</v>
      </c>
      <c r="AK599">
        <v>6</v>
      </c>
      <c r="AL599">
        <v>5</v>
      </c>
      <c r="AM599">
        <v>10</v>
      </c>
      <c r="AN599">
        <v>0</v>
      </c>
      <c r="AO599">
        <v>21</v>
      </c>
      <c r="AP599">
        <v>17</v>
      </c>
      <c r="AQ599">
        <v>4</v>
      </c>
      <c r="AR599">
        <v>2</v>
      </c>
      <c r="AS599">
        <v>5</v>
      </c>
      <c r="AT599">
        <v>0</v>
      </c>
    </row>
    <row r="600" spans="1:46">
      <c r="A600">
        <v>10057</v>
      </c>
      <c r="B600" t="s">
        <v>4136</v>
      </c>
      <c r="C600" t="s">
        <v>4137</v>
      </c>
      <c r="D600" t="s">
        <v>4138</v>
      </c>
      <c r="E600" t="s">
        <v>4139</v>
      </c>
      <c r="G600" t="s">
        <v>4140</v>
      </c>
      <c r="H600" t="s">
        <v>3942</v>
      </c>
      <c r="J600" t="s">
        <v>3962</v>
      </c>
      <c r="K600" t="s">
        <v>519</v>
      </c>
      <c r="M600" t="s">
        <v>520</v>
      </c>
      <c r="N600" t="s">
        <v>521</v>
      </c>
      <c r="O600" t="s">
        <v>522</v>
      </c>
      <c r="P600" t="s">
        <v>540</v>
      </c>
      <c r="Q600" t="s">
        <v>524</v>
      </c>
      <c r="R600" t="s">
        <v>525</v>
      </c>
      <c r="S600" t="s">
        <v>526</v>
      </c>
      <c r="T600" t="s">
        <v>527</v>
      </c>
      <c r="U600">
        <v>100200</v>
      </c>
      <c r="V600" t="s">
        <v>4141</v>
      </c>
      <c r="W600" t="s">
        <v>529</v>
      </c>
      <c r="X600" t="s">
        <v>4142</v>
      </c>
      <c r="Y600" t="s">
        <v>4143</v>
      </c>
      <c r="AA600" t="s">
        <v>4144</v>
      </c>
      <c r="AB600" t="s">
        <v>4145</v>
      </c>
      <c r="AE600">
        <v>-35.038866069999997</v>
      </c>
      <c r="AF600">
        <v>173.25472983</v>
      </c>
      <c r="AG600">
        <v>40</v>
      </c>
      <c r="AH600">
        <v>8</v>
      </c>
      <c r="AI600">
        <v>2</v>
      </c>
      <c r="AJ600">
        <v>7</v>
      </c>
      <c r="AK600">
        <v>12</v>
      </c>
      <c r="AL600">
        <v>8</v>
      </c>
      <c r="AM600">
        <v>5</v>
      </c>
      <c r="AN600">
        <v>0</v>
      </c>
      <c r="AO600">
        <v>34</v>
      </c>
      <c r="AP600">
        <v>22</v>
      </c>
      <c r="AQ600">
        <v>26</v>
      </c>
      <c r="AR600">
        <v>3</v>
      </c>
      <c r="AS600">
        <v>0</v>
      </c>
      <c r="AT600">
        <v>0</v>
      </c>
    </row>
    <row r="601" spans="1:46">
      <c r="A601">
        <v>10058</v>
      </c>
      <c r="B601" t="s">
        <v>4146</v>
      </c>
      <c r="C601" t="s">
        <v>4147</v>
      </c>
      <c r="D601" t="s">
        <v>4148</v>
      </c>
      <c r="E601" t="s">
        <v>4149</v>
      </c>
      <c r="F601" t="s">
        <v>763</v>
      </c>
      <c r="G601" t="s">
        <v>652</v>
      </c>
      <c r="H601" t="s">
        <v>3942</v>
      </c>
      <c r="J601" t="s">
        <v>3962</v>
      </c>
      <c r="K601" t="s">
        <v>519</v>
      </c>
      <c r="M601" t="s">
        <v>520</v>
      </c>
      <c r="N601" t="s">
        <v>571</v>
      </c>
      <c r="O601" t="s">
        <v>738</v>
      </c>
      <c r="P601" t="s">
        <v>654</v>
      </c>
      <c r="Q601" t="s">
        <v>638</v>
      </c>
      <c r="R601" t="s">
        <v>639</v>
      </c>
      <c r="S601" t="s">
        <v>756</v>
      </c>
      <c r="T601" t="s">
        <v>527</v>
      </c>
      <c r="U601">
        <v>125201</v>
      </c>
      <c r="V601" t="s">
        <v>4150</v>
      </c>
      <c r="W601" t="s">
        <v>741</v>
      </c>
      <c r="X601" t="s">
        <v>4151</v>
      </c>
      <c r="Y601" t="s">
        <v>4152</v>
      </c>
      <c r="Z601" t="s">
        <v>4153</v>
      </c>
      <c r="AA601" t="s">
        <v>4154</v>
      </c>
      <c r="AE601">
        <v>-36.806134489999998</v>
      </c>
      <c r="AF601">
        <v>174.71139210000001</v>
      </c>
      <c r="AG601">
        <v>20</v>
      </c>
      <c r="AH601">
        <v>20</v>
      </c>
      <c r="AI601">
        <v>2</v>
      </c>
      <c r="AJ601">
        <v>16</v>
      </c>
      <c r="AK601">
        <v>0</v>
      </c>
      <c r="AL601">
        <v>0</v>
      </c>
      <c r="AM601">
        <v>0</v>
      </c>
      <c r="AN601">
        <v>0</v>
      </c>
      <c r="AO601">
        <v>18</v>
      </c>
      <c r="AP601">
        <v>10</v>
      </c>
      <c r="AQ601">
        <v>2</v>
      </c>
      <c r="AR601">
        <v>0</v>
      </c>
      <c r="AS601">
        <v>1</v>
      </c>
      <c r="AT601">
        <v>10</v>
      </c>
    </row>
    <row r="602" spans="1:46">
      <c r="A602">
        <v>10060</v>
      </c>
      <c r="B602" t="s">
        <v>4155</v>
      </c>
      <c r="C602" t="s">
        <v>4156</v>
      </c>
      <c r="D602" t="s">
        <v>4157</v>
      </c>
      <c r="E602" t="s">
        <v>4158</v>
      </c>
      <c r="F602" t="s">
        <v>1183</v>
      </c>
      <c r="G602" t="s">
        <v>652</v>
      </c>
      <c r="H602" t="s">
        <v>3942</v>
      </c>
      <c r="J602" t="s">
        <v>518</v>
      </c>
      <c r="K602" t="s">
        <v>519</v>
      </c>
      <c r="M602" t="s">
        <v>520</v>
      </c>
      <c r="N602" t="s">
        <v>571</v>
      </c>
      <c r="O602" t="s">
        <v>813</v>
      </c>
      <c r="P602" t="s">
        <v>654</v>
      </c>
      <c r="Q602" t="s">
        <v>638</v>
      </c>
      <c r="R602" t="s">
        <v>639</v>
      </c>
      <c r="S602" t="s">
        <v>899</v>
      </c>
      <c r="T602" t="s">
        <v>527</v>
      </c>
      <c r="U602">
        <v>125300</v>
      </c>
      <c r="V602" t="s">
        <v>4159</v>
      </c>
      <c r="W602" t="s">
        <v>815</v>
      </c>
      <c r="X602" t="s">
        <v>3943</v>
      </c>
      <c r="Y602" t="s">
        <v>3944</v>
      </c>
      <c r="Z602" t="s">
        <v>3945</v>
      </c>
      <c r="AA602" t="s">
        <v>3946</v>
      </c>
      <c r="AB602" t="s">
        <v>3947</v>
      </c>
      <c r="AE602">
        <v>-36.847412640000002</v>
      </c>
      <c r="AF602">
        <v>174.65186334000001</v>
      </c>
      <c r="AG602">
        <v>100</v>
      </c>
      <c r="AH602">
        <v>25</v>
      </c>
      <c r="AI602">
        <v>3</v>
      </c>
      <c r="AJ602">
        <v>14</v>
      </c>
      <c r="AK602">
        <v>20</v>
      </c>
      <c r="AL602">
        <v>19</v>
      </c>
      <c r="AM602">
        <v>32</v>
      </c>
      <c r="AN602">
        <v>0</v>
      </c>
      <c r="AO602">
        <v>88</v>
      </c>
      <c r="AP602">
        <v>47</v>
      </c>
      <c r="AQ602">
        <v>19</v>
      </c>
      <c r="AR602">
        <v>15</v>
      </c>
      <c r="AS602">
        <v>34</v>
      </c>
      <c r="AT602">
        <v>8</v>
      </c>
    </row>
    <row r="603" spans="1:46">
      <c r="A603">
        <v>10062</v>
      </c>
      <c r="B603" t="s">
        <v>4160</v>
      </c>
      <c r="C603" t="s">
        <v>4161</v>
      </c>
      <c r="D603" t="s">
        <v>4162</v>
      </c>
      <c r="E603" t="s">
        <v>4163</v>
      </c>
      <c r="F603" t="s">
        <v>898</v>
      </c>
      <c r="G603" t="s">
        <v>652</v>
      </c>
      <c r="H603" t="s">
        <v>4164</v>
      </c>
      <c r="I603" t="s">
        <v>4165</v>
      </c>
      <c r="J603" t="s">
        <v>518</v>
      </c>
      <c r="K603" t="s">
        <v>519</v>
      </c>
      <c r="M603" t="s">
        <v>520</v>
      </c>
      <c r="N603" t="s">
        <v>557</v>
      </c>
      <c r="O603" t="s">
        <v>813</v>
      </c>
      <c r="P603" t="s">
        <v>654</v>
      </c>
      <c r="Q603" t="s">
        <v>638</v>
      </c>
      <c r="R603" t="s">
        <v>639</v>
      </c>
      <c r="S603" t="s">
        <v>899</v>
      </c>
      <c r="T603" t="s">
        <v>527</v>
      </c>
      <c r="U603">
        <v>127801</v>
      </c>
      <c r="V603" t="s">
        <v>4166</v>
      </c>
      <c r="W603" t="s">
        <v>815</v>
      </c>
      <c r="X603" t="s">
        <v>4167</v>
      </c>
      <c r="Y603" t="s">
        <v>4168</v>
      </c>
      <c r="Z603" t="s">
        <v>898</v>
      </c>
      <c r="AA603" t="s">
        <v>4169</v>
      </c>
      <c r="AB603" t="s">
        <v>4161</v>
      </c>
      <c r="AE603">
        <v>-36.88877497</v>
      </c>
      <c r="AF603">
        <v>174.62258937999999</v>
      </c>
      <c r="AG603">
        <v>50</v>
      </c>
      <c r="AH603">
        <v>10</v>
      </c>
      <c r="AI603">
        <v>1</v>
      </c>
      <c r="AJ603">
        <v>3</v>
      </c>
      <c r="AK603">
        <v>4</v>
      </c>
      <c r="AL603">
        <v>7</v>
      </c>
      <c r="AM603">
        <v>9</v>
      </c>
      <c r="AN603">
        <v>0</v>
      </c>
      <c r="AO603">
        <v>24</v>
      </c>
      <c r="AP603">
        <v>2</v>
      </c>
      <c r="AQ603">
        <v>6</v>
      </c>
      <c r="AR603">
        <v>22</v>
      </c>
      <c r="AS603">
        <v>1</v>
      </c>
      <c r="AT603">
        <v>1</v>
      </c>
    </row>
    <row r="604" spans="1:46">
      <c r="A604">
        <v>10063</v>
      </c>
      <c r="B604" t="s">
        <v>4170</v>
      </c>
      <c r="C604" t="s">
        <v>4171</v>
      </c>
      <c r="D604" t="s">
        <v>4172</v>
      </c>
      <c r="E604" t="s">
        <v>4173</v>
      </c>
      <c r="G604" t="s">
        <v>1261</v>
      </c>
      <c r="H604" t="s">
        <v>3942</v>
      </c>
      <c r="J604" t="s">
        <v>518</v>
      </c>
      <c r="K604" t="s">
        <v>519</v>
      </c>
      <c r="M604" t="s">
        <v>520</v>
      </c>
      <c r="N604" t="s">
        <v>571</v>
      </c>
      <c r="O604" t="s">
        <v>1233</v>
      </c>
      <c r="P604" t="s">
        <v>1262</v>
      </c>
      <c r="Q604" t="s">
        <v>638</v>
      </c>
      <c r="R604" t="s">
        <v>729</v>
      </c>
      <c r="S604" t="s">
        <v>1246</v>
      </c>
      <c r="T604" t="s">
        <v>1235</v>
      </c>
      <c r="U604">
        <v>165901</v>
      </c>
      <c r="V604" t="s">
        <v>4174</v>
      </c>
      <c r="W604" t="s">
        <v>1237</v>
      </c>
      <c r="X604" t="s">
        <v>3943</v>
      </c>
      <c r="Y604" t="s">
        <v>3944</v>
      </c>
      <c r="Z604" t="s">
        <v>3945</v>
      </c>
      <c r="AA604" t="s">
        <v>3946</v>
      </c>
      <c r="AB604" t="s">
        <v>3947</v>
      </c>
      <c r="AC604">
        <v>99075</v>
      </c>
      <c r="AD604" t="s">
        <v>1264</v>
      </c>
      <c r="AE604">
        <v>-37.211240490000002</v>
      </c>
      <c r="AF604">
        <v>174.88889811000001</v>
      </c>
      <c r="AG604">
        <v>70</v>
      </c>
      <c r="AH604">
        <v>14</v>
      </c>
      <c r="AI604">
        <v>0</v>
      </c>
      <c r="AJ604">
        <v>5</v>
      </c>
      <c r="AK604">
        <v>21</v>
      </c>
      <c r="AL604">
        <v>11</v>
      </c>
      <c r="AM604">
        <v>17</v>
      </c>
      <c r="AN604">
        <v>1</v>
      </c>
      <c r="AO604">
        <v>55</v>
      </c>
      <c r="AP604">
        <v>31</v>
      </c>
      <c r="AQ604">
        <v>20</v>
      </c>
      <c r="AR604">
        <v>10</v>
      </c>
      <c r="AS604">
        <v>8</v>
      </c>
      <c r="AT604">
        <v>9</v>
      </c>
    </row>
    <row r="605" spans="1:46">
      <c r="A605">
        <v>10065</v>
      </c>
      <c r="B605" t="s">
        <v>4175</v>
      </c>
      <c r="C605" t="s">
        <v>4176</v>
      </c>
      <c r="D605" t="s">
        <v>4177</v>
      </c>
      <c r="E605" t="s">
        <v>4178</v>
      </c>
      <c r="F605" t="s">
        <v>660</v>
      </c>
      <c r="G605" t="s">
        <v>652</v>
      </c>
      <c r="H605" t="s">
        <v>3942</v>
      </c>
      <c r="I605" t="s">
        <v>4065</v>
      </c>
      <c r="J605" t="s">
        <v>3962</v>
      </c>
      <c r="K605" t="s">
        <v>519</v>
      </c>
      <c r="M605" t="s">
        <v>520</v>
      </c>
      <c r="N605" t="s">
        <v>571</v>
      </c>
      <c r="O605" t="s">
        <v>1168</v>
      </c>
      <c r="P605" t="s">
        <v>654</v>
      </c>
      <c r="Q605" t="s">
        <v>638</v>
      </c>
      <c r="R605" t="s">
        <v>639</v>
      </c>
      <c r="S605" t="s">
        <v>655</v>
      </c>
      <c r="T605" t="s">
        <v>527</v>
      </c>
      <c r="U605">
        <v>117600</v>
      </c>
      <c r="V605" t="s">
        <v>3997</v>
      </c>
      <c r="W605" t="s">
        <v>657</v>
      </c>
      <c r="X605" t="s">
        <v>4179</v>
      </c>
      <c r="Y605" t="s">
        <v>4180</v>
      </c>
      <c r="Z605" t="s">
        <v>4181</v>
      </c>
      <c r="AA605" t="s">
        <v>4182</v>
      </c>
      <c r="AB605" t="s">
        <v>4183</v>
      </c>
      <c r="AE605">
        <v>-36.719860969999999</v>
      </c>
      <c r="AF605">
        <v>174.72368612</v>
      </c>
      <c r="AG605">
        <v>40</v>
      </c>
      <c r="AH605">
        <v>10</v>
      </c>
      <c r="AI605">
        <v>0</v>
      </c>
      <c r="AJ605">
        <v>0</v>
      </c>
      <c r="AK605">
        <v>3</v>
      </c>
      <c r="AL605">
        <v>7</v>
      </c>
      <c r="AM605">
        <v>14</v>
      </c>
      <c r="AN605">
        <v>1</v>
      </c>
      <c r="AO605">
        <v>25</v>
      </c>
      <c r="AP605">
        <v>4</v>
      </c>
      <c r="AQ605">
        <v>1</v>
      </c>
      <c r="AR605">
        <v>0</v>
      </c>
      <c r="AS605">
        <v>21</v>
      </c>
      <c r="AT605">
        <v>2</v>
      </c>
    </row>
    <row r="606" spans="1:46">
      <c r="A606">
        <v>10066</v>
      </c>
      <c r="B606" t="s">
        <v>4184</v>
      </c>
      <c r="C606" t="s">
        <v>4185</v>
      </c>
      <c r="D606" t="s">
        <v>4186</v>
      </c>
      <c r="E606" t="s">
        <v>4187</v>
      </c>
      <c r="G606" t="s">
        <v>4188</v>
      </c>
      <c r="H606" t="s">
        <v>3942</v>
      </c>
      <c r="I606" t="s">
        <v>4065</v>
      </c>
      <c r="J606" t="s">
        <v>3962</v>
      </c>
      <c r="K606" t="s">
        <v>519</v>
      </c>
      <c r="M606" t="s">
        <v>520</v>
      </c>
      <c r="N606" t="s">
        <v>571</v>
      </c>
      <c r="O606" t="s">
        <v>637</v>
      </c>
      <c r="P606" t="s">
        <v>523</v>
      </c>
      <c r="Q606" t="s">
        <v>638</v>
      </c>
      <c r="R606" t="s">
        <v>639</v>
      </c>
      <c r="S606" t="s">
        <v>640</v>
      </c>
      <c r="T606" t="s">
        <v>527</v>
      </c>
      <c r="U606">
        <v>112401</v>
      </c>
      <c r="V606" t="s">
        <v>4188</v>
      </c>
      <c r="W606" t="s">
        <v>641</v>
      </c>
      <c r="X606" t="s">
        <v>4189</v>
      </c>
      <c r="Y606" t="s">
        <v>4187</v>
      </c>
      <c r="Z606" t="s">
        <v>4188</v>
      </c>
      <c r="AA606" t="s">
        <v>4190</v>
      </c>
      <c r="AB606" t="s">
        <v>4191</v>
      </c>
      <c r="AE606">
        <v>-36.677381179999998</v>
      </c>
      <c r="AF606">
        <v>174.45389989</v>
      </c>
      <c r="AG606">
        <v>76</v>
      </c>
      <c r="AH606">
        <v>0</v>
      </c>
      <c r="AI606">
        <v>0</v>
      </c>
      <c r="AJ606">
        <v>0</v>
      </c>
      <c r="AK606">
        <v>10</v>
      </c>
      <c r="AL606">
        <v>23</v>
      </c>
      <c r="AM606">
        <v>23</v>
      </c>
      <c r="AN606">
        <v>1</v>
      </c>
      <c r="AO606">
        <v>57</v>
      </c>
      <c r="AP606">
        <v>51</v>
      </c>
      <c r="AQ606">
        <v>9</v>
      </c>
      <c r="AR606">
        <v>2</v>
      </c>
      <c r="AS606">
        <v>2</v>
      </c>
      <c r="AT606">
        <v>0</v>
      </c>
    </row>
    <row r="607" spans="1:46">
      <c r="A607">
        <v>10067</v>
      </c>
      <c r="B607" t="s">
        <v>4192</v>
      </c>
      <c r="C607" t="s">
        <v>4193</v>
      </c>
      <c r="D607" t="s">
        <v>4194</v>
      </c>
      <c r="E607" t="s">
        <v>4195</v>
      </c>
      <c r="G607" t="s">
        <v>4196</v>
      </c>
      <c r="H607" t="s">
        <v>3942</v>
      </c>
      <c r="J607" t="s">
        <v>3962</v>
      </c>
      <c r="K607" t="s">
        <v>519</v>
      </c>
      <c r="M607" t="s">
        <v>520</v>
      </c>
      <c r="N607" t="s">
        <v>571</v>
      </c>
      <c r="O607" t="s">
        <v>637</v>
      </c>
      <c r="P607" t="s">
        <v>540</v>
      </c>
      <c r="Q607" t="s">
        <v>638</v>
      </c>
      <c r="R607" t="s">
        <v>639</v>
      </c>
      <c r="S607" t="s">
        <v>640</v>
      </c>
      <c r="T607" t="s">
        <v>527</v>
      </c>
      <c r="U607">
        <v>111601</v>
      </c>
      <c r="V607" t="s">
        <v>4196</v>
      </c>
      <c r="W607" t="s">
        <v>641</v>
      </c>
      <c r="X607" t="s">
        <v>4197</v>
      </c>
      <c r="Y607" t="s">
        <v>4198</v>
      </c>
      <c r="AA607" t="s">
        <v>4199</v>
      </c>
      <c r="AE607">
        <v>-36.617541959999997</v>
      </c>
      <c r="AF607">
        <v>174.49454351</v>
      </c>
      <c r="AG607">
        <v>33</v>
      </c>
      <c r="AH607">
        <v>6</v>
      </c>
      <c r="AI607">
        <v>1</v>
      </c>
      <c r="AJ607">
        <v>6</v>
      </c>
      <c r="AK607">
        <v>7</v>
      </c>
      <c r="AL607">
        <v>12</v>
      </c>
      <c r="AM607">
        <v>18</v>
      </c>
      <c r="AN607">
        <v>1</v>
      </c>
      <c r="AO607">
        <v>45</v>
      </c>
      <c r="AP607">
        <v>39</v>
      </c>
      <c r="AQ607">
        <v>11</v>
      </c>
      <c r="AR607">
        <v>0</v>
      </c>
      <c r="AS607">
        <v>1</v>
      </c>
      <c r="AT607">
        <v>2</v>
      </c>
    </row>
    <row r="608" spans="1:46">
      <c r="A608">
        <v>10071</v>
      </c>
      <c r="B608" t="s">
        <v>4200</v>
      </c>
      <c r="C608" t="s">
        <v>4201</v>
      </c>
      <c r="E608" t="s">
        <v>4202</v>
      </c>
      <c r="F608" t="s">
        <v>4203</v>
      </c>
      <c r="G608" t="s">
        <v>4204</v>
      </c>
      <c r="H608" t="s">
        <v>343</v>
      </c>
      <c r="J608" t="s">
        <v>518</v>
      </c>
      <c r="K608" t="s">
        <v>519</v>
      </c>
      <c r="L608" t="s">
        <v>4205</v>
      </c>
      <c r="M608" t="s">
        <v>520</v>
      </c>
      <c r="N608" t="s">
        <v>727</v>
      </c>
      <c r="O608" t="s">
        <v>1216</v>
      </c>
      <c r="P608" t="s">
        <v>654</v>
      </c>
      <c r="Q608" t="s">
        <v>638</v>
      </c>
      <c r="R608" t="s">
        <v>729</v>
      </c>
      <c r="S608" t="s">
        <v>1036</v>
      </c>
      <c r="T608" t="s">
        <v>709</v>
      </c>
      <c r="U608">
        <v>160501</v>
      </c>
      <c r="V608" t="s">
        <v>4206</v>
      </c>
      <c r="W608" t="s">
        <v>1219</v>
      </c>
      <c r="X608" t="s">
        <v>4207</v>
      </c>
      <c r="Y608" t="s">
        <v>4208</v>
      </c>
      <c r="Z608" t="s">
        <v>4209</v>
      </c>
      <c r="AA608" t="s">
        <v>4210</v>
      </c>
      <c r="AE608">
        <v>-37.034763009999999</v>
      </c>
      <c r="AF608">
        <v>174.87847325999999</v>
      </c>
      <c r="AG608">
        <v>66</v>
      </c>
      <c r="AH608">
        <v>16</v>
      </c>
      <c r="AI608">
        <v>2</v>
      </c>
      <c r="AJ608">
        <v>14</v>
      </c>
      <c r="AK608">
        <v>17</v>
      </c>
      <c r="AL608">
        <v>11</v>
      </c>
      <c r="AM608">
        <v>12</v>
      </c>
      <c r="AN608">
        <v>0</v>
      </c>
      <c r="AO608">
        <v>56</v>
      </c>
      <c r="AP608">
        <v>0</v>
      </c>
      <c r="AQ608">
        <v>53</v>
      </c>
      <c r="AR608">
        <v>2</v>
      </c>
      <c r="AS608">
        <v>0</v>
      </c>
      <c r="AT608">
        <v>1</v>
      </c>
    </row>
    <row r="609" spans="1:46">
      <c r="A609">
        <v>10076</v>
      </c>
      <c r="B609" t="s">
        <v>4211</v>
      </c>
      <c r="C609" t="s">
        <v>4212</v>
      </c>
      <c r="E609" t="s">
        <v>4213</v>
      </c>
      <c r="F609" t="s">
        <v>532</v>
      </c>
      <c r="G609" t="s">
        <v>582</v>
      </c>
      <c r="H609" t="s">
        <v>3942</v>
      </c>
      <c r="J609" t="s">
        <v>3962</v>
      </c>
      <c r="K609" t="s">
        <v>519</v>
      </c>
      <c r="M609" t="s">
        <v>520</v>
      </c>
      <c r="N609" t="s">
        <v>571</v>
      </c>
      <c r="O609" t="s">
        <v>583</v>
      </c>
      <c r="P609" t="s">
        <v>584</v>
      </c>
      <c r="Q609" t="s">
        <v>524</v>
      </c>
      <c r="R609" t="s">
        <v>525</v>
      </c>
      <c r="S609" t="s">
        <v>585</v>
      </c>
      <c r="T609" t="s">
        <v>527</v>
      </c>
      <c r="U609">
        <v>105901</v>
      </c>
      <c r="V609" t="s">
        <v>4214</v>
      </c>
      <c r="W609" t="s">
        <v>587</v>
      </c>
      <c r="X609" t="s">
        <v>4215</v>
      </c>
      <c r="Y609" t="s">
        <v>4216</v>
      </c>
      <c r="Z609" t="s">
        <v>532</v>
      </c>
      <c r="AA609" t="s">
        <v>533</v>
      </c>
      <c r="AB609" t="s">
        <v>4217</v>
      </c>
      <c r="AE609">
        <v>-35.683743399999997</v>
      </c>
      <c r="AF609">
        <v>174.29944728999999</v>
      </c>
      <c r="AG609">
        <v>28</v>
      </c>
      <c r="AH609">
        <v>25</v>
      </c>
      <c r="AI609">
        <v>3</v>
      </c>
      <c r="AJ609">
        <v>15</v>
      </c>
      <c r="AK609">
        <v>13</v>
      </c>
      <c r="AL609">
        <v>0</v>
      </c>
      <c r="AM609">
        <v>0</v>
      </c>
      <c r="AN609">
        <v>0</v>
      </c>
      <c r="AO609">
        <v>31</v>
      </c>
      <c r="AP609">
        <v>27</v>
      </c>
      <c r="AQ609">
        <v>14</v>
      </c>
      <c r="AR609">
        <v>3</v>
      </c>
      <c r="AS609">
        <v>1</v>
      </c>
      <c r="AT609">
        <v>0</v>
      </c>
    </row>
    <row r="610" spans="1:46">
      <c r="A610">
        <v>10080</v>
      </c>
      <c r="B610" t="s">
        <v>4218</v>
      </c>
      <c r="C610" t="s">
        <v>4219</v>
      </c>
      <c r="E610" t="s">
        <v>4220</v>
      </c>
      <c r="F610" t="s">
        <v>847</v>
      </c>
      <c r="G610" t="s">
        <v>652</v>
      </c>
      <c r="H610" t="s">
        <v>4221</v>
      </c>
      <c r="I610" t="s">
        <v>4222</v>
      </c>
      <c r="J610" t="s">
        <v>518</v>
      </c>
      <c r="K610" t="s">
        <v>519</v>
      </c>
      <c r="M610" t="s">
        <v>520</v>
      </c>
      <c r="N610" t="s">
        <v>521</v>
      </c>
      <c r="O610" t="s">
        <v>848</v>
      </c>
      <c r="P610" t="s">
        <v>654</v>
      </c>
      <c r="Q610" t="s">
        <v>638</v>
      </c>
      <c r="R610" t="s">
        <v>729</v>
      </c>
      <c r="S610" t="s">
        <v>849</v>
      </c>
      <c r="T610" t="s">
        <v>709</v>
      </c>
      <c r="U610">
        <v>151000</v>
      </c>
      <c r="V610" t="s">
        <v>4223</v>
      </c>
      <c r="W610" t="s">
        <v>732</v>
      </c>
      <c r="X610" t="s">
        <v>4224</v>
      </c>
      <c r="Y610" t="s">
        <v>4225</v>
      </c>
      <c r="Z610" t="s">
        <v>726</v>
      </c>
      <c r="AA610" t="s">
        <v>4226</v>
      </c>
      <c r="AE610">
        <v>-36.976392820000001</v>
      </c>
      <c r="AF610">
        <v>174.79497588000001</v>
      </c>
      <c r="AG610">
        <v>40</v>
      </c>
      <c r="AH610">
        <v>0</v>
      </c>
      <c r="AI610">
        <v>0</v>
      </c>
      <c r="AJ610">
        <v>0</v>
      </c>
      <c r="AK610">
        <v>3</v>
      </c>
      <c r="AL610">
        <v>6</v>
      </c>
      <c r="AM610">
        <v>6</v>
      </c>
      <c r="AN610">
        <v>0</v>
      </c>
      <c r="AO610">
        <v>15</v>
      </c>
      <c r="AP610">
        <v>0</v>
      </c>
      <c r="AQ610">
        <v>1</v>
      </c>
      <c r="AR610">
        <v>15</v>
      </c>
      <c r="AS610">
        <v>0</v>
      </c>
      <c r="AT610">
        <v>0</v>
      </c>
    </row>
    <row r="611" spans="1:46">
      <c r="A611">
        <v>10081</v>
      </c>
      <c r="B611" t="s">
        <v>4227</v>
      </c>
      <c r="C611" t="s">
        <v>4228</v>
      </c>
      <c r="D611" t="s">
        <v>4229</v>
      </c>
      <c r="E611" t="s">
        <v>4230</v>
      </c>
      <c r="F611" t="s">
        <v>803</v>
      </c>
      <c r="G611" t="s">
        <v>652</v>
      </c>
      <c r="H611" t="s">
        <v>3942</v>
      </c>
      <c r="I611" t="s">
        <v>4231</v>
      </c>
      <c r="J611" t="s">
        <v>518</v>
      </c>
      <c r="K611" t="s">
        <v>519</v>
      </c>
      <c r="M611" t="s">
        <v>520</v>
      </c>
      <c r="N611" t="s">
        <v>571</v>
      </c>
      <c r="O611" t="s">
        <v>804</v>
      </c>
      <c r="P611" t="s">
        <v>654</v>
      </c>
      <c r="Q611" t="s">
        <v>638</v>
      </c>
      <c r="R611" t="s">
        <v>708</v>
      </c>
      <c r="S611" t="s">
        <v>805</v>
      </c>
      <c r="T611" t="s">
        <v>709</v>
      </c>
      <c r="U611">
        <v>143301</v>
      </c>
      <c r="V611" t="s">
        <v>4232</v>
      </c>
      <c r="W611" t="s">
        <v>807</v>
      </c>
      <c r="X611" t="s">
        <v>4233</v>
      </c>
      <c r="Y611" t="s">
        <v>4234</v>
      </c>
      <c r="Z611" t="s">
        <v>803</v>
      </c>
      <c r="AA611" t="s">
        <v>4235</v>
      </c>
      <c r="AB611" t="s">
        <v>4236</v>
      </c>
      <c r="AC611">
        <v>99110</v>
      </c>
      <c r="AD611" t="s">
        <v>4237</v>
      </c>
      <c r="AE611">
        <v>-36.893465149999997</v>
      </c>
      <c r="AF611">
        <v>174.81542981999999</v>
      </c>
      <c r="AG611">
        <v>80</v>
      </c>
      <c r="AH611">
        <v>0</v>
      </c>
      <c r="AI611">
        <v>0</v>
      </c>
      <c r="AJ611">
        <v>0</v>
      </c>
      <c r="AK611">
        <v>0</v>
      </c>
      <c r="AL611">
        <v>3</v>
      </c>
      <c r="AM611">
        <v>18</v>
      </c>
      <c r="AN611">
        <v>30</v>
      </c>
      <c r="AO611">
        <v>51</v>
      </c>
      <c r="AP611">
        <v>37</v>
      </c>
      <c r="AQ611">
        <v>5</v>
      </c>
      <c r="AR611">
        <v>0</v>
      </c>
      <c r="AS611">
        <v>16</v>
      </c>
      <c r="AT611">
        <v>10</v>
      </c>
    </row>
    <row r="612" spans="1:46">
      <c r="A612">
        <v>10083</v>
      </c>
      <c r="B612" t="s">
        <v>4238</v>
      </c>
      <c r="C612" t="s">
        <v>4239</v>
      </c>
      <c r="D612" t="s">
        <v>514</v>
      </c>
      <c r="E612" t="s">
        <v>4240</v>
      </c>
      <c r="F612" t="s">
        <v>532</v>
      </c>
      <c r="G612" t="s">
        <v>582</v>
      </c>
      <c r="H612" t="s">
        <v>517</v>
      </c>
      <c r="J612" t="s">
        <v>518</v>
      </c>
      <c r="K612" t="s">
        <v>519</v>
      </c>
      <c r="M612" t="s">
        <v>520</v>
      </c>
      <c r="N612" t="s">
        <v>571</v>
      </c>
      <c r="O612" t="s">
        <v>583</v>
      </c>
      <c r="P612" t="s">
        <v>584</v>
      </c>
      <c r="Q612" t="s">
        <v>524</v>
      </c>
      <c r="R612" t="s">
        <v>525</v>
      </c>
      <c r="S612" t="s">
        <v>585</v>
      </c>
      <c r="T612" t="s">
        <v>527</v>
      </c>
      <c r="U612">
        <v>105500</v>
      </c>
      <c r="V612" t="s">
        <v>4241</v>
      </c>
      <c r="W612" t="s">
        <v>587</v>
      </c>
      <c r="X612" t="s">
        <v>530</v>
      </c>
      <c r="Y612" t="s">
        <v>531</v>
      </c>
      <c r="Z612" t="s">
        <v>532</v>
      </c>
      <c r="AA612" t="s">
        <v>533</v>
      </c>
      <c r="AB612" t="s">
        <v>534</v>
      </c>
      <c r="AC612">
        <v>99182</v>
      </c>
      <c r="AD612" t="s">
        <v>588</v>
      </c>
      <c r="AE612">
        <v>-35.688338450000003</v>
      </c>
      <c r="AF612">
        <v>174.28864160000001</v>
      </c>
      <c r="AG612">
        <v>40</v>
      </c>
      <c r="AH612">
        <v>0</v>
      </c>
      <c r="AI612">
        <v>0</v>
      </c>
      <c r="AJ612">
        <v>0</v>
      </c>
      <c r="AK612">
        <v>0</v>
      </c>
      <c r="AL612">
        <v>22</v>
      </c>
      <c r="AM612">
        <v>31</v>
      </c>
      <c r="AN612">
        <v>0</v>
      </c>
      <c r="AO612">
        <v>53</v>
      </c>
      <c r="AP612">
        <v>40</v>
      </c>
      <c r="AQ612">
        <v>11</v>
      </c>
      <c r="AR612">
        <v>2</v>
      </c>
      <c r="AS612">
        <v>10</v>
      </c>
      <c r="AT612">
        <v>3</v>
      </c>
    </row>
    <row r="613" spans="1:46">
      <c r="A613">
        <v>10085</v>
      </c>
      <c r="B613" t="s">
        <v>4242</v>
      </c>
      <c r="C613" t="s">
        <v>4243</v>
      </c>
      <c r="D613" t="s">
        <v>4244</v>
      </c>
      <c r="E613" t="s">
        <v>4245</v>
      </c>
      <c r="F613" t="s">
        <v>1102</v>
      </c>
      <c r="G613" t="s">
        <v>652</v>
      </c>
      <c r="H613" t="s">
        <v>3942</v>
      </c>
      <c r="J613" t="s">
        <v>518</v>
      </c>
      <c r="K613" t="s">
        <v>519</v>
      </c>
      <c r="M613" t="s">
        <v>520</v>
      </c>
      <c r="N613" t="s">
        <v>571</v>
      </c>
      <c r="O613" t="s">
        <v>957</v>
      </c>
      <c r="P613" t="s">
        <v>654</v>
      </c>
      <c r="Q613" t="s">
        <v>638</v>
      </c>
      <c r="R613" t="s">
        <v>708</v>
      </c>
      <c r="S613" t="s">
        <v>958</v>
      </c>
      <c r="T613" t="s">
        <v>709</v>
      </c>
      <c r="U613">
        <v>131200</v>
      </c>
      <c r="V613" t="s">
        <v>1103</v>
      </c>
      <c r="W613" t="s">
        <v>959</v>
      </c>
      <c r="X613" t="s">
        <v>4246</v>
      </c>
      <c r="Y613" t="s">
        <v>4245</v>
      </c>
      <c r="Z613" t="s">
        <v>1102</v>
      </c>
      <c r="AA613" t="s">
        <v>4247</v>
      </c>
      <c r="AB613" t="s">
        <v>4248</v>
      </c>
      <c r="AE613">
        <v>-36.850190660000003</v>
      </c>
      <c r="AF613">
        <v>174.74224552999999</v>
      </c>
      <c r="AG613">
        <v>30</v>
      </c>
      <c r="AH613">
        <v>0</v>
      </c>
      <c r="AI613">
        <v>0</v>
      </c>
      <c r="AJ613">
        <v>0</v>
      </c>
      <c r="AK613">
        <v>6</v>
      </c>
      <c r="AL613">
        <v>10</v>
      </c>
      <c r="AM613">
        <v>13</v>
      </c>
      <c r="AN613">
        <v>1</v>
      </c>
      <c r="AO613">
        <v>30</v>
      </c>
      <c r="AP613">
        <v>27</v>
      </c>
      <c r="AQ613">
        <v>0</v>
      </c>
      <c r="AR613">
        <v>0</v>
      </c>
      <c r="AS613">
        <v>3</v>
      </c>
      <c r="AT613">
        <v>4</v>
      </c>
    </row>
    <row r="614" spans="1:46">
      <c r="A614">
        <v>10088</v>
      </c>
      <c r="B614" t="s">
        <v>4249</v>
      </c>
      <c r="C614" t="s">
        <v>4250</v>
      </c>
      <c r="D614" t="s">
        <v>4251</v>
      </c>
      <c r="E614" t="s">
        <v>4252</v>
      </c>
      <c r="F614" t="s">
        <v>847</v>
      </c>
      <c r="G614" t="s">
        <v>652</v>
      </c>
      <c r="H614" t="s">
        <v>3942</v>
      </c>
      <c r="I614" t="s">
        <v>4253</v>
      </c>
      <c r="J614" t="s">
        <v>518</v>
      </c>
      <c r="K614" t="s">
        <v>519</v>
      </c>
      <c r="M614" t="s">
        <v>520</v>
      </c>
      <c r="N614" t="s">
        <v>521</v>
      </c>
      <c r="O614" t="s">
        <v>848</v>
      </c>
      <c r="P614" t="s">
        <v>654</v>
      </c>
      <c r="Q614" t="s">
        <v>638</v>
      </c>
      <c r="R614" t="s">
        <v>729</v>
      </c>
      <c r="S614" t="s">
        <v>849</v>
      </c>
      <c r="T614" t="s">
        <v>709</v>
      </c>
      <c r="U614">
        <v>148200</v>
      </c>
      <c r="V614" t="s">
        <v>850</v>
      </c>
      <c r="W614" t="s">
        <v>732</v>
      </c>
      <c r="X614" t="s">
        <v>4254</v>
      </c>
      <c r="Y614" t="s">
        <v>4252</v>
      </c>
      <c r="Z614" t="s">
        <v>847</v>
      </c>
      <c r="AA614" t="s">
        <v>4255</v>
      </c>
      <c r="AE614">
        <v>-36.952433679999999</v>
      </c>
      <c r="AF614">
        <v>174.80674127</v>
      </c>
      <c r="AG614">
        <v>30</v>
      </c>
      <c r="AH614">
        <v>5</v>
      </c>
      <c r="AI614">
        <v>1</v>
      </c>
      <c r="AJ614">
        <v>2</v>
      </c>
      <c r="AK614">
        <v>8</v>
      </c>
      <c r="AL614">
        <v>5</v>
      </c>
      <c r="AM614">
        <v>10</v>
      </c>
      <c r="AN614">
        <v>0</v>
      </c>
      <c r="AO614">
        <v>26</v>
      </c>
      <c r="AP614">
        <v>0</v>
      </c>
      <c r="AQ614">
        <v>0</v>
      </c>
      <c r="AR614">
        <v>26</v>
      </c>
      <c r="AS614">
        <v>1</v>
      </c>
      <c r="AT614">
        <v>1</v>
      </c>
    </row>
    <row r="615" spans="1:46">
      <c r="A615">
        <v>10090</v>
      </c>
      <c r="B615" t="s">
        <v>4256</v>
      </c>
      <c r="C615" t="s">
        <v>4257</v>
      </c>
      <c r="D615" t="s">
        <v>4258</v>
      </c>
      <c r="E615" t="s">
        <v>4259</v>
      </c>
      <c r="F615" t="s">
        <v>3952</v>
      </c>
      <c r="G615" t="s">
        <v>652</v>
      </c>
      <c r="H615" t="s">
        <v>3942</v>
      </c>
      <c r="J615" t="s">
        <v>518</v>
      </c>
      <c r="K615" t="s">
        <v>519</v>
      </c>
      <c r="M615" t="s">
        <v>520</v>
      </c>
      <c r="N615" t="s">
        <v>571</v>
      </c>
      <c r="O615" t="s">
        <v>1168</v>
      </c>
      <c r="P615" t="s">
        <v>654</v>
      </c>
      <c r="Q615" t="s">
        <v>638</v>
      </c>
      <c r="R615" t="s">
        <v>639</v>
      </c>
      <c r="S615" t="s">
        <v>739</v>
      </c>
      <c r="T615" t="s">
        <v>527</v>
      </c>
      <c r="U615">
        <v>120400</v>
      </c>
      <c r="V615" t="s">
        <v>4260</v>
      </c>
      <c r="W615" t="s">
        <v>657</v>
      </c>
      <c r="X615" t="s">
        <v>4261</v>
      </c>
      <c r="Y615" t="s">
        <v>4259</v>
      </c>
      <c r="Z615" t="s">
        <v>3952</v>
      </c>
      <c r="AA615" t="s">
        <v>3956</v>
      </c>
      <c r="AB615" t="s">
        <v>4262</v>
      </c>
      <c r="AE615">
        <v>-36.752791909999999</v>
      </c>
      <c r="AF615">
        <v>174.72245924000001</v>
      </c>
      <c r="AG615">
        <v>25</v>
      </c>
      <c r="AH615">
        <v>8</v>
      </c>
      <c r="AI615">
        <v>1</v>
      </c>
      <c r="AJ615">
        <v>1</v>
      </c>
      <c r="AK615">
        <v>10</v>
      </c>
      <c r="AL615">
        <v>9</v>
      </c>
      <c r="AM615">
        <v>9</v>
      </c>
      <c r="AN615">
        <v>0</v>
      </c>
      <c r="AO615">
        <v>30</v>
      </c>
      <c r="AP615">
        <v>23</v>
      </c>
      <c r="AQ615">
        <v>2</v>
      </c>
      <c r="AR615">
        <v>4</v>
      </c>
      <c r="AS615">
        <v>8</v>
      </c>
      <c r="AT615">
        <v>1</v>
      </c>
    </row>
    <row r="616" spans="1:46">
      <c r="A616">
        <v>10094</v>
      </c>
      <c r="B616" t="s">
        <v>4263</v>
      </c>
      <c r="C616" t="s">
        <v>4264</v>
      </c>
      <c r="E616" t="s">
        <v>4265</v>
      </c>
      <c r="F616" t="s">
        <v>726</v>
      </c>
      <c r="G616" t="s">
        <v>652</v>
      </c>
      <c r="H616" t="s">
        <v>343</v>
      </c>
      <c r="J616" t="s">
        <v>518</v>
      </c>
      <c r="K616" t="s">
        <v>519</v>
      </c>
      <c r="L616" t="s">
        <v>4205</v>
      </c>
      <c r="M616" t="s">
        <v>520</v>
      </c>
      <c r="N616" t="s">
        <v>521</v>
      </c>
      <c r="O616" t="s">
        <v>728</v>
      </c>
      <c r="P616" t="s">
        <v>654</v>
      </c>
      <c r="Q616" t="s">
        <v>638</v>
      </c>
      <c r="R616" t="s">
        <v>729</v>
      </c>
      <c r="S616" t="s">
        <v>730</v>
      </c>
      <c r="T616" t="s">
        <v>709</v>
      </c>
      <c r="U616">
        <v>153500</v>
      </c>
      <c r="V616" t="s">
        <v>731</v>
      </c>
      <c r="W616" t="s">
        <v>732</v>
      </c>
      <c r="X616" t="s">
        <v>4207</v>
      </c>
      <c r="Y616" t="s">
        <v>4208</v>
      </c>
      <c r="Z616" t="s">
        <v>4209</v>
      </c>
      <c r="AA616" t="s">
        <v>4210</v>
      </c>
      <c r="AE616">
        <v>-36.95562254</v>
      </c>
      <c r="AF616">
        <v>174.87128609999999</v>
      </c>
      <c r="AG616">
        <v>40</v>
      </c>
      <c r="AH616">
        <v>10</v>
      </c>
      <c r="AI616">
        <v>1</v>
      </c>
      <c r="AJ616">
        <v>4</v>
      </c>
      <c r="AK616">
        <v>8</v>
      </c>
      <c r="AL616">
        <v>4</v>
      </c>
      <c r="AM616">
        <v>5</v>
      </c>
      <c r="AN616">
        <v>0</v>
      </c>
      <c r="AO616">
        <v>22</v>
      </c>
      <c r="AP616">
        <v>0</v>
      </c>
      <c r="AQ616">
        <v>19</v>
      </c>
      <c r="AR616">
        <v>3</v>
      </c>
      <c r="AS616">
        <v>0</v>
      </c>
      <c r="AT616">
        <v>0</v>
      </c>
    </row>
    <row r="617" spans="1:46">
      <c r="A617">
        <v>10096</v>
      </c>
      <c r="B617" t="s">
        <v>4266</v>
      </c>
      <c r="C617" t="s">
        <v>4267</v>
      </c>
      <c r="D617" t="s">
        <v>4268</v>
      </c>
      <c r="E617" t="s">
        <v>4269</v>
      </c>
      <c r="F617" t="s">
        <v>1029</v>
      </c>
      <c r="G617" t="s">
        <v>652</v>
      </c>
      <c r="H617" t="s">
        <v>3942</v>
      </c>
      <c r="J617" t="s">
        <v>3962</v>
      </c>
      <c r="K617" t="s">
        <v>519</v>
      </c>
      <c r="M617" t="s">
        <v>520</v>
      </c>
      <c r="N617" t="s">
        <v>557</v>
      </c>
      <c r="O617" t="s">
        <v>829</v>
      </c>
      <c r="P617" t="s">
        <v>654</v>
      </c>
      <c r="Q617" t="s">
        <v>638</v>
      </c>
      <c r="R617" t="s">
        <v>708</v>
      </c>
      <c r="S617" t="s">
        <v>805</v>
      </c>
      <c r="T617" t="s">
        <v>709</v>
      </c>
      <c r="U617">
        <v>146600</v>
      </c>
      <c r="V617" t="s">
        <v>4270</v>
      </c>
      <c r="W617" t="s">
        <v>807</v>
      </c>
      <c r="X617" t="s">
        <v>4271</v>
      </c>
      <c r="Y617" t="s">
        <v>4272</v>
      </c>
      <c r="Z617" t="s">
        <v>3990</v>
      </c>
      <c r="AA617" t="s">
        <v>4273</v>
      </c>
      <c r="AB617" t="s">
        <v>4274</v>
      </c>
      <c r="AE617">
        <v>-36.915003069999997</v>
      </c>
      <c r="AF617">
        <v>174.83053638000001</v>
      </c>
      <c r="AG617">
        <v>40</v>
      </c>
      <c r="AH617">
        <v>8</v>
      </c>
      <c r="AI617">
        <v>3</v>
      </c>
      <c r="AJ617">
        <v>5</v>
      </c>
      <c r="AK617">
        <v>4</v>
      </c>
      <c r="AL617">
        <v>8</v>
      </c>
      <c r="AM617">
        <v>11</v>
      </c>
      <c r="AN617">
        <v>1</v>
      </c>
      <c r="AO617">
        <v>32</v>
      </c>
      <c r="AP617">
        <v>4</v>
      </c>
      <c r="AQ617">
        <v>3</v>
      </c>
      <c r="AR617">
        <v>9</v>
      </c>
      <c r="AS617">
        <v>17</v>
      </c>
      <c r="AT617">
        <v>3</v>
      </c>
    </row>
    <row r="618" spans="1:46">
      <c r="A618">
        <v>10100</v>
      </c>
      <c r="B618" t="s">
        <v>4275</v>
      </c>
      <c r="C618" t="s">
        <v>4276</v>
      </c>
      <c r="D618" t="s">
        <v>4277</v>
      </c>
      <c r="E618" t="s">
        <v>4278</v>
      </c>
      <c r="F618" t="s">
        <v>836</v>
      </c>
      <c r="G618" t="s">
        <v>652</v>
      </c>
      <c r="H618" t="s">
        <v>3942</v>
      </c>
      <c r="J618" t="s">
        <v>518</v>
      </c>
      <c r="K618" t="s">
        <v>519</v>
      </c>
      <c r="M618" t="s">
        <v>520</v>
      </c>
      <c r="N618" t="s">
        <v>571</v>
      </c>
      <c r="O618" t="s">
        <v>748</v>
      </c>
      <c r="P618" t="s">
        <v>654</v>
      </c>
      <c r="Q618" t="s">
        <v>638</v>
      </c>
      <c r="R618" t="s">
        <v>639</v>
      </c>
      <c r="S618" t="s">
        <v>682</v>
      </c>
      <c r="T618" t="s">
        <v>527</v>
      </c>
      <c r="U618">
        <v>131400</v>
      </c>
      <c r="V618" t="s">
        <v>4279</v>
      </c>
      <c r="W618" t="s">
        <v>741</v>
      </c>
      <c r="X618" t="s">
        <v>4280</v>
      </c>
      <c r="Y618" t="s">
        <v>4281</v>
      </c>
      <c r="Z618" t="s">
        <v>836</v>
      </c>
      <c r="AA618" t="s">
        <v>4282</v>
      </c>
      <c r="AB618" t="s">
        <v>4283</v>
      </c>
      <c r="AE618">
        <v>-36.829123129999999</v>
      </c>
      <c r="AF618">
        <v>174.79007602999999</v>
      </c>
      <c r="AG618">
        <v>25</v>
      </c>
      <c r="AH618">
        <v>25</v>
      </c>
      <c r="AI618">
        <v>3</v>
      </c>
      <c r="AJ618">
        <v>13</v>
      </c>
      <c r="AK618">
        <v>0</v>
      </c>
      <c r="AL618">
        <v>0</v>
      </c>
      <c r="AM618">
        <v>0</v>
      </c>
      <c r="AN618">
        <v>0</v>
      </c>
      <c r="AO618">
        <v>16</v>
      </c>
      <c r="AP618">
        <v>11</v>
      </c>
      <c r="AQ618">
        <v>5</v>
      </c>
      <c r="AR618">
        <v>2</v>
      </c>
      <c r="AS618">
        <v>0</v>
      </c>
      <c r="AT618">
        <v>0</v>
      </c>
    </row>
    <row r="619" spans="1:46">
      <c r="A619">
        <v>10104</v>
      </c>
      <c r="B619" t="s">
        <v>4284</v>
      </c>
      <c r="C619" t="s">
        <v>4285</v>
      </c>
      <c r="E619" t="s">
        <v>4286</v>
      </c>
      <c r="F619" t="s">
        <v>3952</v>
      </c>
      <c r="G619" t="s">
        <v>652</v>
      </c>
      <c r="H619" t="s">
        <v>3942</v>
      </c>
      <c r="J619" t="s">
        <v>3962</v>
      </c>
      <c r="K619" t="s">
        <v>519</v>
      </c>
      <c r="M619" t="s">
        <v>520</v>
      </c>
      <c r="N619" t="s">
        <v>571</v>
      </c>
      <c r="O619" t="s">
        <v>1168</v>
      </c>
      <c r="P619" t="s">
        <v>654</v>
      </c>
      <c r="Q619" t="s">
        <v>638</v>
      </c>
      <c r="R619" t="s">
        <v>639</v>
      </c>
      <c r="S619" t="s">
        <v>739</v>
      </c>
      <c r="T619" t="s">
        <v>527</v>
      </c>
      <c r="U619">
        <v>120400</v>
      </c>
      <c r="V619" t="s">
        <v>4260</v>
      </c>
      <c r="W619" t="s">
        <v>657</v>
      </c>
      <c r="X619" t="s">
        <v>4287</v>
      </c>
      <c r="Y619" t="s">
        <v>4288</v>
      </c>
      <c r="Z619" t="s">
        <v>749</v>
      </c>
      <c r="AA619" t="s">
        <v>4289</v>
      </c>
      <c r="AB619" t="s">
        <v>4285</v>
      </c>
      <c r="AE619">
        <v>-36.760437979999999</v>
      </c>
      <c r="AF619">
        <v>174.7231117</v>
      </c>
      <c r="AG619">
        <v>43</v>
      </c>
      <c r="AH619">
        <v>13</v>
      </c>
      <c r="AI619">
        <v>1</v>
      </c>
      <c r="AJ619">
        <v>10</v>
      </c>
      <c r="AK619">
        <v>8</v>
      </c>
      <c r="AL619">
        <v>6</v>
      </c>
      <c r="AM619">
        <v>11</v>
      </c>
      <c r="AN619">
        <v>0</v>
      </c>
      <c r="AO619">
        <v>36</v>
      </c>
      <c r="AP619">
        <v>9</v>
      </c>
      <c r="AQ619">
        <v>2</v>
      </c>
      <c r="AR619">
        <v>3</v>
      </c>
      <c r="AS619">
        <v>26</v>
      </c>
      <c r="AT619">
        <v>3</v>
      </c>
    </row>
    <row r="620" spans="1:46">
      <c r="A620">
        <v>10105</v>
      </c>
      <c r="B620" t="s">
        <v>4290</v>
      </c>
      <c r="C620" t="s">
        <v>4291</v>
      </c>
      <c r="D620" t="s">
        <v>4292</v>
      </c>
      <c r="E620" t="s">
        <v>4293</v>
      </c>
      <c r="F620" t="s">
        <v>1217</v>
      </c>
      <c r="G620" t="s">
        <v>652</v>
      </c>
      <c r="H620" t="s">
        <v>3942</v>
      </c>
      <c r="J620" t="s">
        <v>518</v>
      </c>
      <c r="K620" t="s">
        <v>519</v>
      </c>
      <c r="M620" t="s">
        <v>520</v>
      </c>
      <c r="N620" t="s">
        <v>557</v>
      </c>
      <c r="O620" t="s">
        <v>1268</v>
      </c>
      <c r="P620" t="s">
        <v>654</v>
      </c>
      <c r="Q620" t="s">
        <v>638</v>
      </c>
      <c r="R620" t="s">
        <v>729</v>
      </c>
      <c r="S620" t="s">
        <v>1234</v>
      </c>
      <c r="T620" t="s">
        <v>1235</v>
      </c>
      <c r="U620">
        <v>162800</v>
      </c>
      <c r="V620" t="s">
        <v>4294</v>
      </c>
      <c r="W620" t="s">
        <v>1219</v>
      </c>
      <c r="X620" t="s">
        <v>3943</v>
      </c>
      <c r="Y620" t="s">
        <v>3944</v>
      </c>
      <c r="Z620" t="s">
        <v>3945</v>
      </c>
      <c r="AA620" t="s">
        <v>3946</v>
      </c>
      <c r="AB620" t="s">
        <v>3947</v>
      </c>
      <c r="AE620">
        <v>-37.052139439999998</v>
      </c>
      <c r="AF620">
        <v>174.93301496999999</v>
      </c>
      <c r="AG620">
        <v>50</v>
      </c>
      <c r="AH620">
        <v>12</v>
      </c>
      <c r="AI620">
        <v>1</v>
      </c>
      <c r="AJ620">
        <v>10</v>
      </c>
      <c r="AK620">
        <v>10</v>
      </c>
      <c r="AL620">
        <v>22</v>
      </c>
      <c r="AM620">
        <v>18</v>
      </c>
      <c r="AN620">
        <v>2</v>
      </c>
      <c r="AO620">
        <v>63</v>
      </c>
      <c r="AP620">
        <v>21</v>
      </c>
      <c r="AQ620">
        <v>22</v>
      </c>
      <c r="AR620">
        <v>18</v>
      </c>
      <c r="AS620">
        <v>24</v>
      </c>
      <c r="AT620">
        <v>2</v>
      </c>
    </row>
    <row r="621" spans="1:46">
      <c r="A621">
        <v>10108</v>
      </c>
      <c r="B621" t="s">
        <v>4295</v>
      </c>
      <c r="C621" t="s">
        <v>4296</v>
      </c>
      <c r="D621" t="s">
        <v>4297</v>
      </c>
      <c r="E621" t="s">
        <v>4298</v>
      </c>
      <c r="F621" t="s">
        <v>1035</v>
      </c>
      <c r="G621" t="s">
        <v>652</v>
      </c>
      <c r="H621" t="s">
        <v>3942</v>
      </c>
      <c r="J621" t="s">
        <v>3962</v>
      </c>
      <c r="K621" t="s">
        <v>519</v>
      </c>
      <c r="M621" t="s">
        <v>520</v>
      </c>
      <c r="N621" t="s">
        <v>539</v>
      </c>
      <c r="O621" t="s">
        <v>728</v>
      </c>
      <c r="P621" t="s">
        <v>654</v>
      </c>
      <c r="Q621" t="s">
        <v>638</v>
      </c>
      <c r="R621" t="s">
        <v>729</v>
      </c>
      <c r="S621" t="s">
        <v>1036</v>
      </c>
      <c r="T621" t="s">
        <v>709</v>
      </c>
      <c r="U621">
        <v>157000</v>
      </c>
      <c r="V621" t="s">
        <v>4299</v>
      </c>
      <c r="W621" t="s">
        <v>732</v>
      </c>
      <c r="X621" t="s">
        <v>4096</v>
      </c>
      <c r="Y621" t="s">
        <v>4097</v>
      </c>
      <c r="Z621" t="s">
        <v>4098</v>
      </c>
      <c r="AA621" t="s">
        <v>4099</v>
      </c>
      <c r="AB621" t="s">
        <v>4100</v>
      </c>
      <c r="AE621">
        <v>-36.980789309999999</v>
      </c>
      <c r="AF621">
        <v>174.87625144</v>
      </c>
      <c r="AG621">
        <v>50</v>
      </c>
      <c r="AH621">
        <v>18</v>
      </c>
      <c r="AI621">
        <v>2</v>
      </c>
      <c r="AJ621">
        <v>9</v>
      </c>
      <c r="AK621">
        <v>12</v>
      </c>
      <c r="AL621">
        <v>14</v>
      </c>
      <c r="AM621">
        <v>9</v>
      </c>
      <c r="AN621">
        <v>0</v>
      </c>
      <c r="AO621">
        <v>46</v>
      </c>
      <c r="AP621">
        <v>13</v>
      </c>
      <c r="AQ621">
        <v>7</v>
      </c>
      <c r="AR621">
        <v>20</v>
      </c>
      <c r="AS621">
        <v>21</v>
      </c>
      <c r="AT621">
        <v>1</v>
      </c>
    </row>
    <row r="622" spans="1:46">
      <c r="A622">
        <v>10110</v>
      </c>
      <c r="B622" t="s">
        <v>4300</v>
      </c>
      <c r="C622" t="s">
        <v>4301</v>
      </c>
      <c r="D622" t="s">
        <v>4302</v>
      </c>
      <c r="E622" t="s">
        <v>4303</v>
      </c>
      <c r="F622" t="s">
        <v>898</v>
      </c>
      <c r="G622" t="s">
        <v>652</v>
      </c>
      <c r="H622" t="s">
        <v>3942</v>
      </c>
      <c r="I622" t="s">
        <v>4304</v>
      </c>
      <c r="J622" t="s">
        <v>518</v>
      </c>
      <c r="K622" t="s">
        <v>519</v>
      </c>
      <c r="M622" t="s">
        <v>520</v>
      </c>
      <c r="N622" t="s">
        <v>557</v>
      </c>
      <c r="O622" t="s">
        <v>813</v>
      </c>
      <c r="P622" t="s">
        <v>654</v>
      </c>
      <c r="Q622" t="s">
        <v>638</v>
      </c>
      <c r="R622" t="s">
        <v>639</v>
      </c>
      <c r="S622" t="s">
        <v>899</v>
      </c>
      <c r="T622" t="s">
        <v>527</v>
      </c>
      <c r="U622">
        <v>125100</v>
      </c>
      <c r="V622" t="s">
        <v>4305</v>
      </c>
      <c r="W622" t="s">
        <v>815</v>
      </c>
      <c r="X622" t="s">
        <v>4306</v>
      </c>
      <c r="Y622" t="s">
        <v>4303</v>
      </c>
      <c r="Z622" t="s">
        <v>898</v>
      </c>
      <c r="AA622" t="s">
        <v>4307</v>
      </c>
      <c r="AB622" t="s">
        <v>4301</v>
      </c>
      <c r="AE622">
        <v>-36.859506170000003</v>
      </c>
      <c r="AF622">
        <v>174.63516820000001</v>
      </c>
      <c r="AG622">
        <v>30</v>
      </c>
      <c r="AH622">
        <v>0</v>
      </c>
      <c r="AI622">
        <v>0</v>
      </c>
      <c r="AJ622">
        <v>0</v>
      </c>
      <c r="AK622">
        <v>9</v>
      </c>
      <c r="AL622">
        <v>9</v>
      </c>
      <c r="AM622">
        <v>9</v>
      </c>
      <c r="AN622">
        <v>2</v>
      </c>
      <c r="AO622">
        <v>29</v>
      </c>
      <c r="AP622">
        <v>0</v>
      </c>
      <c r="AQ622">
        <v>0</v>
      </c>
      <c r="AR622">
        <v>1</v>
      </c>
      <c r="AS622">
        <v>26</v>
      </c>
      <c r="AT622">
        <v>2</v>
      </c>
    </row>
    <row r="623" spans="1:46">
      <c r="A623">
        <v>10114</v>
      </c>
      <c r="B623" t="s">
        <v>4308</v>
      </c>
      <c r="C623" t="s">
        <v>4309</v>
      </c>
      <c r="D623" t="s">
        <v>4310</v>
      </c>
      <c r="E623" t="s">
        <v>4311</v>
      </c>
      <c r="F623" t="s">
        <v>1183</v>
      </c>
      <c r="G623" t="s">
        <v>652</v>
      </c>
      <c r="H623" t="s">
        <v>517</v>
      </c>
      <c r="J623" t="s">
        <v>518</v>
      </c>
      <c r="K623" t="s">
        <v>519</v>
      </c>
      <c r="M623" t="s">
        <v>520</v>
      </c>
      <c r="N623" t="s">
        <v>571</v>
      </c>
      <c r="O623" t="s">
        <v>813</v>
      </c>
      <c r="P623" t="s">
        <v>654</v>
      </c>
      <c r="Q623" t="s">
        <v>638</v>
      </c>
      <c r="R623" t="s">
        <v>639</v>
      </c>
      <c r="S623" t="s">
        <v>899</v>
      </c>
      <c r="T623" t="s">
        <v>527</v>
      </c>
      <c r="U623">
        <v>124500</v>
      </c>
      <c r="V623" t="s">
        <v>1184</v>
      </c>
      <c r="W623" t="s">
        <v>815</v>
      </c>
      <c r="X623" t="s">
        <v>642</v>
      </c>
      <c r="Y623" t="s">
        <v>643</v>
      </c>
      <c r="Z623" t="s">
        <v>644</v>
      </c>
      <c r="AA623" t="s">
        <v>645</v>
      </c>
      <c r="AB623" t="s">
        <v>646</v>
      </c>
      <c r="AE623">
        <v>-36.839898380000001</v>
      </c>
      <c r="AF623">
        <v>174.65063585999999</v>
      </c>
      <c r="AG623">
        <v>40</v>
      </c>
      <c r="AH623">
        <v>0</v>
      </c>
      <c r="AI623">
        <v>0</v>
      </c>
      <c r="AJ623">
        <v>0</v>
      </c>
      <c r="AK623">
        <v>12</v>
      </c>
      <c r="AL623">
        <v>20</v>
      </c>
      <c r="AM623">
        <v>16</v>
      </c>
      <c r="AN623">
        <v>0</v>
      </c>
      <c r="AO623">
        <v>48</v>
      </c>
      <c r="AP623">
        <v>31</v>
      </c>
      <c r="AQ623">
        <v>13</v>
      </c>
      <c r="AR623">
        <v>13</v>
      </c>
      <c r="AS623">
        <v>8</v>
      </c>
      <c r="AT623">
        <v>3</v>
      </c>
    </row>
    <row r="624" spans="1:46">
      <c r="A624">
        <v>10116</v>
      </c>
      <c r="B624" t="s">
        <v>4312</v>
      </c>
      <c r="C624" t="s">
        <v>4313</v>
      </c>
      <c r="D624" t="s">
        <v>4314</v>
      </c>
      <c r="E624" t="s">
        <v>4315</v>
      </c>
      <c r="G624" t="s">
        <v>4316</v>
      </c>
      <c r="H624" t="s">
        <v>3942</v>
      </c>
      <c r="J624" t="s">
        <v>3962</v>
      </c>
      <c r="K624" t="s">
        <v>519</v>
      </c>
      <c r="M624" t="s">
        <v>520</v>
      </c>
      <c r="N624" t="s">
        <v>571</v>
      </c>
      <c r="O624" t="s">
        <v>637</v>
      </c>
      <c r="P624" t="s">
        <v>572</v>
      </c>
      <c r="Q624" t="s">
        <v>638</v>
      </c>
      <c r="R624" t="s">
        <v>639</v>
      </c>
      <c r="S624" t="s">
        <v>640</v>
      </c>
      <c r="T624" t="s">
        <v>527</v>
      </c>
      <c r="U624">
        <v>113201</v>
      </c>
      <c r="V624" t="s">
        <v>4317</v>
      </c>
      <c r="W624" t="s">
        <v>641</v>
      </c>
      <c r="X624" t="s">
        <v>4318</v>
      </c>
      <c r="Y624" t="s">
        <v>4319</v>
      </c>
      <c r="AA624" t="s">
        <v>4320</v>
      </c>
      <c r="AB624" t="s">
        <v>4321</v>
      </c>
      <c r="AE624">
        <v>-36.780164390000003</v>
      </c>
      <c r="AF624">
        <v>174.4785646</v>
      </c>
      <c r="AG624">
        <v>54</v>
      </c>
      <c r="AH624">
        <v>18</v>
      </c>
      <c r="AI624">
        <v>4</v>
      </c>
      <c r="AJ624">
        <v>11</v>
      </c>
      <c r="AK624">
        <v>16</v>
      </c>
      <c r="AL624">
        <v>11</v>
      </c>
      <c r="AM624">
        <v>8</v>
      </c>
      <c r="AN624">
        <v>0</v>
      </c>
      <c r="AO624">
        <v>50</v>
      </c>
      <c r="AP624">
        <v>42</v>
      </c>
      <c r="AQ624">
        <v>17</v>
      </c>
      <c r="AR624">
        <v>2</v>
      </c>
      <c r="AS624">
        <v>1</v>
      </c>
      <c r="AT624">
        <v>5</v>
      </c>
    </row>
    <row r="625" spans="1:46">
      <c r="A625">
        <v>10117</v>
      </c>
      <c r="B625" t="s">
        <v>4322</v>
      </c>
      <c r="C625" t="s">
        <v>4323</v>
      </c>
      <c r="D625" t="s">
        <v>4324</v>
      </c>
      <c r="E625" t="s">
        <v>4325</v>
      </c>
      <c r="F625" t="s">
        <v>3706</v>
      </c>
      <c r="G625" t="s">
        <v>4326</v>
      </c>
      <c r="H625" t="s">
        <v>3942</v>
      </c>
      <c r="J625" t="s">
        <v>518</v>
      </c>
      <c r="K625" t="s">
        <v>519</v>
      </c>
      <c r="M625" t="s">
        <v>520</v>
      </c>
      <c r="N625" t="s">
        <v>571</v>
      </c>
      <c r="O625" t="s">
        <v>1168</v>
      </c>
      <c r="P625" t="s">
        <v>654</v>
      </c>
      <c r="Q625" t="s">
        <v>638</v>
      </c>
      <c r="R625" t="s">
        <v>639</v>
      </c>
      <c r="S625" t="s">
        <v>655</v>
      </c>
      <c r="T625" t="s">
        <v>527</v>
      </c>
      <c r="U625">
        <v>117400</v>
      </c>
      <c r="V625" t="s">
        <v>3707</v>
      </c>
      <c r="W625" t="s">
        <v>657</v>
      </c>
      <c r="X625" t="s">
        <v>3943</v>
      </c>
      <c r="Y625" t="s">
        <v>3944</v>
      </c>
      <c r="Z625" t="s">
        <v>3945</v>
      </c>
      <c r="AA625" t="s">
        <v>3946</v>
      </c>
      <c r="AB625" t="s">
        <v>3947</v>
      </c>
      <c r="AE625">
        <v>-36.748008589999998</v>
      </c>
      <c r="AF625">
        <v>174.69295464999999</v>
      </c>
      <c r="AG625">
        <v>35</v>
      </c>
      <c r="AH625">
        <v>16</v>
      </c>
      <c r="AI625">
        <v>1</v>
      </c>
      <c r="AJ625">
        <v>8</v>
      </c>
      <c r="AK625">
        <v>18</v>
      </c>
      <c r="AL625">
        <v>3</v>
      </c>
      <c r="AM625">
        <v>0</v>
      </c>
      <c r="AN625">
        <v>0</v>
      </c>
      <c r="AO625">
        <v>30</v>
      </c>
      <c r="AP625">
        <v>9</v>
      </c>
      <c r="AQ625">
        <v>0</v>
      </c>
      <c r="AR625">
        <v>0</v>
      </c>
      <c r="AS625">
        <v>23</v>
      </c>
      <c r="AT625">
        <v>0</v>
      </c>
    </row>
    <row r="626" spans="1:46">
      <c r="A626">
        <v>10120</v>
      </c>
      <c r="B626" t="s">
        <v>4327</v>
      </c>
      <c r="C626" t="s">
        <v>4328</v>
      </c>
      <c r="E626" t="s">
        <v>4329</v>
      </c>
      <c r="F626" t="s">
        <v>770</v>
      </c>
      <c r="G626" t="s">
        <v>652</v>
      </c>
      <c r="H626" t="s">
        <v>3942</v>
      </c>
      <c r="J626" t="s">
        <v>3962</v>
      </c>
      <c r="K626" t="s">
        <v>519</v>
      </c>
      <c r="M626" t="s">
        <v>520</v>
      </c>
      <c r="N626" t="s">
        <v>557</v>
      </c>
      <c r="O626" t="s">
        <v>718</v>
      </c>
      <c r="P626" t="s">
        <v>654</v>
      </c>
      <c r="Q626" t="s">
        <v>638</v>
      </c>
      <c r="R626" t="s">
        <v>639</v>
      </c>
      <c r="S626" t="s">
        <v>770</v>
      </c>
      <c r="T626" t="s">
        <v>709</v>
      </c>
      <c r="U626">
        <v>133900</v>
      </c>
      <c r="V626" t="s">
        <v>4330</v>
      </c>
      <c r="W626" t="s">
        <v>721</v>
      </c>
      <c r="X626" t="s">
        <v>4331</v>
      </c>
      <c r="Y626" t="s">
        <v>4332</v>
      </c>
      <c r="Z626" t="s">
        <v>770</v>
      </c>
      <c r="AA626" t="s">
        <v>4333</v>
      </c>
      <c r="AE626">
        <v>-36.906581600000003</v>
      </c>
      <c r="AF626">
        <v>174.6850024</v>
      </c>
      <c r="AG626">
        <v>73</v>
      </c>
      <c r="AH626">
        <v>20</v>
      </c>
      <c r="AI626">
        <v>2</v>
      </c>
      <c r="AJ626">
        <v>10</v>
      </c>
      <c r="AK626">
        <v>18</v>
      </c>
      <c r="AL626">
        <v>24</v>
      </c>
      <c r="AM626">
        <v>18</v>
      </c>
      <c r="AN626">
        <v>3</v>
      </c>
      <c r="AO626">
        <v>75</v>
      </c>
      <c r="AP626">
        <v>13</v>
      </c>
      <c r="AQ626">
        <v>2</v>
      </c>
      <c r="AR626">
        <v>15</v>
      </c>
      <c r="AS626">
        <v>47</v>
      </c>
      <c r="AT626">
        <v>10</v>
      </c>
    </row>
    <row r="627" spans="1:46">
      <c r="A627">
        <v>10123</v>
      </c>
      <c r="B627" t="s">
        <v>4334</v>
      </c>
      <c r="C627" t="s">
        <v>4335</v>
      </c>
      <c r="D627" t="s">
        <v>4336</v>
      </c>
      <c r="E627" t="s">
        <v>4337</v>
      </c>
      <c r="F627" t="s">
        <v>1035</v>
      </c>
      <c r="G627" t="s">
        <v>652</v>
      </c>
      <c r="H627" t="s">
        <v>3942</v>
      </c>
      <c r="J627" t="s">
        <v>518</v>
      </c>
      <c r="K627" t="s">
        <v>519</v>
      </c>
      <c r="M627" t="s">
        <v>520</v>
      </c>
      <c r="N627" t="s">
        <v>539</v>
      </c>
      <c r="O627" t="s">
        <v>728</v>
      </c>
      <c r="P627" t="s">
        <v>654</v>
      </c>
      <c r="Q627" t="s">
        <v>638</v>
      </c>
      <c r="R627" t="s">
        <v>729</v>
      </c>
      <c r="S627" t="s">
        <v>1036</v>
      </c>
      <c r="T627" t="s">
        <v>709</v>
      </c>
      <c r="U627">
        <v>155500</v>
      </c>
      <c r="V627" t="s">
        <v>4338</v>
      </c>
      <c r="W627" t="s">
        <v>732</v>
      </c>
      <c r="X627" t="s">
        <v>3943</v>
      </c>
      <c r="Y627" t="s">
        <v>3944</v>
      </c>
      <c r="Z627" t="s">
        <v>3945</v>
      </c>
      <c r="AA627" t="s">
        <v>3946</v>
      </c>
      <c r="AB627" t="s">
        <v>3947</v>
      </c>
      <c r="AE627">
        <v>-36.985907150000003</v>
      </c>
      <c r="AF627">
        <v>174.87093332000001</v>
      </c>
      <c r="AG627">
        <v>50</v>
      </c>
      <c r="AH627">
        <v>25</v>
      </c>
      <c r="AI627">
        <v>3</v>
      </c>
      <c r="AJ627">
        <v>14</v>
      </c>
      <c r="AK627">
        <v>18</v>
      </c>
      <c r="AL627">
        <v>9</v>
      </c>
      <c r="AM627">
        <v>0</v>
      </c>
      <c r="AN627">
        <v>0</v>
      </c>
      <c r="AO627">
        <v>44</v>
      </c>
      <c r="AP627">
        <v>3</v>
      </c>
      <c r="AQ627">
        <v>4</v>
      </c>
      <c r="AR627">
        <v>13</v>
      </c>
      <c r="AS627">
        <v>30</v>
      </c>
      <c r="AT627">
        <v>2</v>
      </c>
    </row>
    <row r="628" spans="1:46">
      <c r="A628">
        <v>10125</v>
      </c>
      <c r="B628" t="s">
        <v>4339</v>
      </c>
      <c r="C628" t="s">
        <v>4340</v>
      </c>
      <c r="D628" t="s">
        <v>4341</v>
      </c>
      <c r="E628" t="s">
        <v>4342</v>
      </c>
      <c r="F628" t="s">
        <v>898</v>
      </c>
      <c r="G628" t="s">
        <v>652</v>
      </c>
      <c r="H628" t="s">
        <v>3942</v>
      </c>
      <c r="J628" t="s">
        <v>3962</v>
      </c>
      <c r="K628" t="s">
        <v>519</v>
      </c>
      <c r="M628" t="s">
        <v>520</v>
      </c>
      <c r="N628" t="s">
        <v>571</v>
      </c>
      <c r="O628" t="s">
        <v>813</v>
      </c>
      <c r="P628" t="s">
        <v>654</v>
      </c>
      <c r="Q628" t="s">
        <v>638</v>
      </c>
      <c r="R628" t="s">
        <v>639</v>
      </c>
      <c r="S628" t="s">
        <v>899</v>
      </c>
      <c r="T628" t="s">
        <v>527</v>
      </c>
      <c r="U628">
        <v>125100</v>
      </c>
      <c r="V628" t="s">
        <v>4305</v>
      </c>
      <c r="W628" t="s">
        <v>815</v>
      </c>
      <c r="X628" t="s">
        <v>4096</v>
      </c>
      <c r="Y628" t="s">
        <v>4097</v>
      </c>
      <c r="Z628" t="s">
        <v>4098</v>
      </c>
      <c r="AA628" t="s">
        <v>4099</v>
      </c>
      <c r="AB628" t="s">
        <v>4100</v>
      </c>
      <c r="AE628">
        <v>-36.856549950000002</v>
      </c>
      <c r="AF628">
        <v>174.63731487999999</v>
      </c>
      <c r="AG628">
        <v>100</v>
      </c>
      <c r="AH628">
        <v>40</v>
      </c>
      <c r="AI628">
        <v>6</v>
      </c>
      <c r="AJ628">
        <v>13</v>
      </c>
      <c r="AK628">
        <v>30</v>
      </c>
      <c r="AL628">
        <v>21</v>
      </c>
      <c r="AM628">
        <v>25</v>
      </c>
      <c r="AN628">
        <v>1</v>
      </c>
      <c r="AO628">
        <v>96</v>
      </c>
      <c r="AP628">
        <v>55</v>
      </c>
      <c r="AQ628">
        <v>9</v>
      </c>
      <c r="AR628">
        <v>9</v>
      </c>
      <c r="AS628">
        <v>41</v>
      </c>
      <c r="AT628">
        <v>7</v>
      </c>
    </row>
    <row r="629" spans="1:46">
      <c r="A629">
        <v>10128</v>
      </c>
      <c r="B629" t="s">
        <v>4343</v>
      </c>
      <c r="C629" t="s">
        <v>4344</v>
      </c>
      <c r="D629" t="s">
        <v>4345</v>
      </c>
      <c r="E629" t="s">
        <v>4346</v>
      </c>
      <c r="F629" t="s">
        <v>1035</v>
      </c>
      <c r="G629" t="s">
        <v>652</v>
      </c>
      <c r="H629" t="s">
        <v>3942</v>
      </c>
      <c r="I629" t="s">
        <v>4165</v>
      </c>
      <c r="J629" t="s">
        <v>518</v>
      </c>
      <c r="K629" t="s">
        <v>519</v>
      </c>
      <c r="M629" t="s">
        <v>520</v>
      </c>
      <c r="N629" t="s">
        <v>557</v>
      </c>
      <c r="O629" t="s">
        <v>728</v>
      </c>
      <c r="P629" t="s">
        <v>654</v>
      </c>
      <c r="Q629" t="s">
        <v>638</v>
      </c>
      <c r="R629" t="s">
        <v>729</v>
      </c>
      <c r="S629" t="s">
        <v>1036</v>
      </c>
      <c r="T629" t="s">
        <v>709</v>
      </c>
      <c r="U629">
        <v>154802</v>
      </c>
      <c r="V629" t="s">
        <v>4347</v>
      </c>
      <c r="W629" t="s">
        <v>732</v>
      </c>
      <c r="X629" t="s">
        <v>4348</v>
      </c>
      <c r="Y629" t="s">
        <v>4349</v>
      </c>
      <c r="Z629" t="s">
        <v>1035</v>
      </c>
      <c r="AA629" t="s">
        <v>4350</v>
      </c>
      <c r="AB629" t="s">
        <v>4344</v>
      </c>
      <c r="AE629">
        <v>-36.9860367</v>
      </c>
      <c r="AF629">
        <v>174.84837575</v>
      </c>
      <c r="AG629">
        <v>40</v>
      </c>
      <c r="AH629">
        <v>10</v>
      </c>
      <c r="AI629">
        <v>2</v>
      </c>
      <c r="AJ629">
        <v>6</v>
      </c>
      <c r="AK629">
        <v>10</v>
      </c>
      <c r="AL629">
        <v>6</v>
      </c>
      <c r="AM629">
        <v>8</v>
      </c>
      <c r="AN629">
        <v>0</v>
      </c>
      <c r="AO629">
        <v>32</v>
      </c>
      <c r="AP629">
        <v>3</v>
      </c>
      <c r="AQ629">
        <v>2</v>
      </c>
      <c r="AR629">
        <v>32</v>
      </c>
      <c r="AS629">
        <v>0</v>
      </c>
      <c r="AT629">
        <v>0</v>
      </c>
    </row>
    <row r="630" spans="1:46">
      <c r="A630">
        <v>10130</v>
      </c>
      <c r="B630" t="s">
        <v>4351</v>
      </c>
      <c r="C630" t="s">
        <v>4352</v>
      </c>
      <c r="E630" t="s">
        <v>4353</v>
      </c>
      <c r="F630" t="s">
        <v>1108</v>
      </c>
      <c r="G630" t="s">
        <v>652</v>
      </c>
      <c r="H630" t="s">
        <v>3942</v>
      </c>
      <c r="I630" t="s">
        <v>4253</v>
      </c>
      <c r="J630" t="s">
        <v>518</v>
      </c>
      <c r="K630" t="s">
        <v>519</v>
      </c>
      <c r="M630" t="s">
        <v>520</v>
      </c>
      <c r="N630" t="s">
        <v>727</v>
      </c>
      <c r="O630" t="s">
        <v>829</v>
      </c>
      <c r="P630" t="s">
        <v>654</v>
      </c>
      <c r="Q630" t="s">
        <v>638</v>
      </c>
      <c r="R630" t="s">
        <v>708</v>
      </c>
      <c r="S630" t="s">
        <v>730</v>
      </c>
      <c r="T630" t="s">
        <v>709</v>
      </c>
      <c r="U630">
        <v>146301</v>
      </c>
      <c r="V630" t="s">
        <v>1109</v>
      </c>
      <c r="W630" t="s">
        <v>807</v>
      </c>
      <c r="X630" t="s">
        <v>4354</v>
      </c>
      <c r="Y630" t="s">
        <v>4355</v>
      </c>
      <c r="Z630" t="s">
        <v>879</v>
      </c>
      <c r="AA630" t="s">
        <v>4356</v>
      </c>
      <c r="AB630" t="s">
        <v>4357</v>
      </c>
      <c r="AE630">
        <v>-36.881477480000001</v>
      </c>
      <c r="AF630">
        <v>174.86245305</v>
      </c>
      <c r="AG630">
        <v>30</v>
      </c>
      <c r="AH630">
        <v>5</v>
      </c>
      <c r="AI630">
        <v>1</v>
      </c>
      <c r="AJ630">
        <v>3</v>
      </c>
      <c r="AK630">
        <v>9</v>
      </c>
      <c r="AL630">
        <v>6</v>
      </c>
      <c r="AM630">
        <v>7</v>
      </c>
      <c r="AN630">
        <v>0</v>
      </c>
      <c r="AO630">
        <v>26</v>
      </c>
      <c r="AP630">
        <v>3</v>
      </c>
      <c r="AQ630">
        <v>0</v>
      </c>
      <c r="AR630">
        <v>26</v>
      </c>
      <c r="AS630">
        <v>0</v>
      </c>
      <c r="AT630">
        <v>0</v>
      </c>
    </row>
    <row r="631" spans="1:46">
      <c r="A631">
        <v>10136</v>
      </c>
      <c r="B631" t="s">
        <v>4358</v>
      </c>
      <c r="C631" t="s">
        <v>4359</v>
      </c>
      <c r="D631" t="s">
        <v>4360</v>
      </c>
      <c r="E631" t="s">
        <v>4361</v>
      </c>
      <c r="F631" t="s">
        <v>1035</v>
      </c>
      <c r="G631" t="s">
        <v>652</v>
      </c>
      <c r="H631" t="s">
        <v>3942</v>
      </c>
      <c r="J631" t="s">
        <v>3962</v>
      </c>
      <c r="K631" t="s">
        <v>519</v>
      </c>
      <c r="M631" t="s">
        <v>520</v>
      </c>
      <c r="N631" t="s">
        <v>557</v>
      </c>
      <c r="O631" t="s">
        <v>728</v>
      </c>
      <c r="P631" t="s">
        <v>654</v>
      </c>
      <c r="Q631" t="s">
        <v>638</v>
      </c>
      <c r="R631" t="s">
        <v>729</v>
      </c>
      <c r="S631" t="s">
        <v>730</v>
      </c>
      <c r="T631" t="s">
        <v>709</v>
      </c>
      <c r="U631">
        <v>154101</v>
      </c>
      <c r="V631" t="s">
        <v>4362</v>
      </c>
      <c r="W631" t="s">
        <v>732</v>
      </c>
      <c r="X631" t="s">
        <v>4363</v>
      </c>
      <c r="Y631" t="s">
        <v>4364</v>
      </c>
      <c r="Z631" t="s">
        <v>755</v>
      </c>
      <c r="AA631" t="s">
        <v>4365</v>
      </c>
      <c r="AE631">
        <v>-36.963465210000003</v>
      </c>
      <c r="AF631">
        <v>174.86269035999999</v>
      </c>
      <c r="AG631">
        <v>50</v>
      </c>
      <c r="AH631">
        <v>10</v>
      </c>
      <c r="AI631">
        <v>1</v>
      </c>
      <c r="AJ631">
        <v>7</v>
      </c>
      <c r="AK631">
        <v>7</v>
      </c>
      <c r="AL631">
        <v>18</v>
      </c>
      <c r="AM631">
        <v>11</v>
      </c>
      <c r="AN631">
        <v>1</v>
      </c>
      <c r="AO631">
        <v>45</v>
      </c>
      <c r="AP631">
        <v>7</v>
      </c>
      <c r="AQ631">
        <v>14</v>
      </c>
      <c r="AR631">
        <v>26</v>
      </c>
      <c r="AS631">
        <v>9</v>
      </c>
      <c r="AT631">
        <v>0</v>
      </c>
    </row>
    <row r="632" spans="1:46">
      <c r="A632">
        <v>10137</v>
      </c>
      <c r="B632" t="s">
        <v>4366</v>
      </c>
      <c r="C632" t="s">
        <v>4367</v>
      </c>
      <c r="D632" t="s">
        <v>4368</v>
      </c>
      <c r="E632" t="s">
        <v>4369</v>
      </c>
      <c r="F632" t="s">
        <v>4370</v>
      </c>
      <c r="G632" t="s">
        <v>652</v>
      </c>
      <c r="H632" t="s">
        <v>3942</v>
      </c>
      <c r="I632" t="s">
        <v>4253</v>
      </c>
      <c r="J632" t="s">
        <v>518</v>
      </c>
      <c r="K632" t="s">
        <v>519</v>
      </c>
      <c r="M632" t="s">
        <v>520</v>
      </c>
      <c r="N632" t="s">
        <v>557</v>
      </c>
      <c r="O632" t="s">
        <v>738</v>
      </c>
      <c r="P632" t="s">
        <v>654</v>
      </c>
      <c r="Q632" t="s">
        <v>638</v>
      </c>
      <c r="R632" t="s">
        <v>639</v>
      </c>
      <c r="S632" t="s">
        <v>756</v>
      </c>
      <c r="T632" t="s">
        <v>527</v>
      </c>
      <c r="U632">
        <v>128200</v>
      </c>
      <c r="V632" t="s">
        <v>4371</v>
      </c>
      <c r="W632" t="s">
        <v>741</v>
      </c>
      <c r="X632" t="s">
        <v>4372</v>
      </c>
      <c r="Y632" t="s">
        <v>4373</v>
      </c>
      <c r="Z632" t="s">
        <v>756</v>
      </c>
      <c r="AA632" t="s">
        <v>4374</v>
      </c>
      <c r="AB632" t="s">
        <v>4367</v>
      </c>
      <c r="AE632">
        <v>-36.816220970000003</v>
      </c>
      <c r="AF632">
        <v>174.74572810000001</v>
      </c>
      <c r="AG632">
        <v>35</v>
      </c>
      <c r="AH632">
        <v>0</v>
      </c>
      <c r="AI632">
        <v>0</v>
      </c>
      <c r="AJ632">
        <v>0</v>
      </c>
      <c r="AK632">
        <v>7</v>
      </c>
      <c r="AL632">
        <v>6</v>
      </c>
      <c r="AM632">
        <v>6</v>
      </c>
      <c r="AN632">
        <v>0</v>
      </c>
      <c r="AO632">
        <v>19</v>
      </c>
      <c r="AP632">
        <v>2</v>
      </c>
      <c r="AQ632">
        <v>3</v>
      </c>
      <c r="AR632">
        <v>19</v>
      </c>
      <c r="AS632">
        <v>0</v>
      </c>
      <c r="AT632">
        <v>1</v>
      </c>
    </row>
    <row r="633" spans="1:46">
      <c r="A633">
        <v>10138</v>
      </c>
      <c r="B633" t="s">
        <v>4375</v>
      </c>
      <c r="C633" t="s">
        <v>4376</v>
      </c>
      <c r="D633" t="s">
        <v>4377</v>
      </c>
      <c r="E633" t="s">
        <v>4378</v>
      </c>
      <c r="F633" t="s">
        <v>803</v>
      </c>
      <c r="G633" t="s">
        <v>652</v>
      </c>
      <c r="H633" t="s">
        <v>3942</v>
      </c>
      <c r="J633" t="s">
        <v>3962</v>
      </c>
      <c r="K633" t="s">
        <v>519</v>
      </c>
      <c r="M633" t="s">
        <v>520</v>
      </c>
      <c r="N633" t="s">
        <v>571</v>
      </c>
      <c r="O633" t="s">
        <v>804</v>
      </c>
      <c r="P633" t="s">
        <v>654</v>
      </c>
      <c r="Q633" t="s">
        <v>638</v>
      </c>
      <c r="R633" t="s">
        <v>708</v>
      </c>
      <c r="S633" t="s">
        <v>805</v>
      </c>
      <c r="T633" t="s">
        <v>709</v>
      </c>
      <c r="U633">
        <v>144800</v>
      </c>
      <c r="V633" t="s">
        <v>4379</v>
      </c>
      <c r="W633" t="s">
        <v>807</v>
      </c>
      <c r="X633" t="s">
        <v>4380</v>
      </c>
      <c r="Y633" t="s">
        <v>4381</v>
      </c>
      <c r="Z633" t="s">
        <v>4031</v>
      </c>
      <c r="AA633" t="s">
        <v>4382</v>
      </c>
      <c r="AE633">
        <v>-36.899206399999997</v>
      </c>
      <c r="AF633">
        <v>174.8123257</v>
      </c>
      <c r="AG633">
        <v>65</v>
      </c>
      <c r="AH633">
        <v>25</v>
      </c>
      <c r="AI633">
        <v>1</v>
      </c>
      <c r="AJ633">
        <v>13</v>
      </c>
      <c r="AK633">
        <v>17</v>
      </c>
      <c r="AL633">
        <v>18</v>
      </c>
      <c r="AM633">
        <v>16</v>
      </c>
      <c r="AN633">
        <v>0</v>
      </c>
      <c r="AO633">
        <v>65</v>
      </c>
      <c r="AP633">
        <v>51</v>
      </c>
      <c r="AQ633">
        <v>7</v>
      </c>
      <c r="AR633">
        <v>0</v>
      </c>
      <c r="AS633">
        <v>19</v>
      </c>
      <c r="AT633">
        <v>2</v>
      </c>
    </row>
    <row r="634" spans="1:46">
      <c r="A634">
        <v>10139</v>
      </c>
      <c r="B634" t="s">
        <v>4383</v>
      </c>
      <c r="C634" t="s">
        <v>4384</v>
      </c>
      <c r="D634" t="s">
        <v>4385</v>
      </c>
      <c r="E634" t="s">
        <v>4386</v>
      </c>
      <c r="G634" t="s">
        <v>4387</v>
      </c>
      <c r="H634" t="s">
        <v>3942</v>
      </c>
      <c r="J634" t="s">
        <v>3962</v>
      </c>
      <c r="K634" t="s">
        <v>519</v>
      </c>
      <c r="M634" t="s">
        <v>520</v>
      </c>
      <c r="N634" t="s">
        <v>571</v>
      </c>
      <c r="O634" t="s">
        <v>637</v>
      </c>
      <c r="P634" t="s">
        <v>572</v>
      </c>
      <c r="Q634" t="s">
        <v>638</v>
      </c>
      <c r="R634" t="s">
        <v>639</v>
      </c>
      <c r="S634" t="s">
        <v>640</v>
      </c>
      <c r="T634" t="s">
        <v>527</v>
      </c>
      <c r="U634">
        <v>116101</v>
      </c>
      <c r="V634" t="s">
        <v>4388</v>
      </c>
      <c r="W634" t="s">
        <v>641</v>
      </c>
      <c r="X634" t="s">
        <v>4389</v>
      </c>
      <c r="Y634" t="s">
        <v>4390</v>
      </c>
      <c r="Z634" t="s">
        <v>1167</v>
      </c>
      <c r="AA634" t="s">
        <v>4391</v>
      </c>
      <c r="AB634" t="s">
        <v>4392</v>
      </c>
      <c r="AE634">
        <v>-36.780820419999998</v>
      </c>
      <c r="AF634">
        <v>174.57032889999999</v>
      </c>
      <c r="AG634">
        <v>50</v>
      </c>
      <c r="AH634">
        <v>16</v>
      </c>
      <c r="AI634">
        <v>3</v>
      </c>
      <c r="AJ634">
        <v>9</v>
      </c>
      <c r="AK634">
        <v>16</v>
      </c>
      <c r="AL634">
        <v>14</v>
      </c>
      <c r="AM634">
        <v>12</v>
      </c>
      <c r="AN634">
        <v>3</v>
      </c>
      <c r="AO634">
        <v>57</v>
      </c>
      <c r="AP634">
        <v>47</v>
      </c>
      <c r="AQ634">
        <v>9</v>
      </c>
      <c r="AR634">
        <v>3</v>
      </c>
      <c r="AS634">
        <v>4</v>
      </c>
      <c r="AT634">
        <v>7</v>
      </c>
    </row>
    <row r="635" spans="1:46">
      <c r="A635">
        <v>10141</v>
      </c>
      <c r="B635" t="s">
        <v>4393</v>
      </c>
      <c r="C635" t="s">
        <v>4394</v>
      </c>
      <c r="D635" t="s">
        <v>4395</v>
      </c>
      <c r="E635" t="s">
        <v>4396</v>
      </c>
      <c r="F635" t="s">
        <v>821</v>
      </c>
      <c r="G635" t="s">
        <v>652</v>
      </c>
      <c r="H635" t="s">
        <v>3942</v>
      </c>
      <c r="J635" t="s">
        <v>518</v>
      </c>
      <c r="K635" t="s">
        <v>519</v>
      </c>
      <c r="M635" t="s">
        <v>520</v>
      </c>
      <c r="N635" t="s">
        <v>571</v>
      </c>
      <c r="O635" t="s">
        <v>804</v>
      </c>
      <c r="P635" t="s">
        <v>654</v>
      </c>
      <c r="Q635" t="s">
        <v>638</v>
      </c>
      <c r="R635" t="s">
        <v>708</v>
      </c>
      <c r="S635" t="s">
        <v>822</v>
      </c>
      <c r="T635" t="s">
        <v>709</v>
      </c>
      <c r="U635">
        <v>139400</v>
      </c>
      <c r="V635" t="s">
        <v>4397</v>
      </c>
      <c r="W635" t="s">
        <v>824</v>
      </c>
      <c r="X635" t="s">
        <v>3943</v>
      </c>
      <c r="Y635" t="s">
        <v>3944</v>
      </c>
      <c r="Z635" t="s">
        <v>3945</v>
      </c>
      <c r="AA635" t="s">
        <v>3946</v>
      </c>
      <c r="AB635" t="s">
        <v>3947</v>
      </c>
      <c r="AE635">
        <v>-36.876151620000002</v>
      </c>
      <c r="AF635">
        <v>174.7834508</v>
      </c>
      <c r="AG635">
        <v>82</v>
      </c>
      <c r="AH635">
        <v>17</v>
      </c>
      <c r="AI635">
        <v>3</v>
      </c>
      <c r="AJ635">
        <v>14</v>
      </c>
      <c r="AK635">
        <v>16</v>
      </c>
      <c r="AL635">
        <v>22</v>
      </c>
      <c r="AM635">
        <v>18</v>
      </c>
      <c r="AN635">
        <v>2</v>
      </c>
      <c r="AO635">
        <v>75</v>
      </c>
      <c r="AP635">
        <v>40</v>
      </c>
      <c r="AQ635">
        <v>3</v>
      </c>
      <c r="AR635">
        <v>1</v>
      </c>
      <c r="AS635">
        <v>36</v>
      </c>
      <c r="AT635">
        <v>9</v>
      </c>
    </row>
    <row r="636" spans="1:46">
      <c r="A636">
        <v>10142</v>
      </c>
      <c r="B636" t="s">
        <v>4398</v>
      </c>
      <c r="C636" t="s">
        <v>4399</v>
      </c>
      <c r="D636" t="s">
        <v>4400</v>
      </c>
      <c r="E636" t="s">
        <v>4401</v>
      </c>
      <c r="G636" t="s">
        <v>582</v>
      </c>
      <c r="H636" t="s">
        <v>3942</v>
      </c>
      <c r="J636" t="s">
        <v>3962</v>
      </c>
      <c r="K636" t="s">
        <v>519</v>
      </c>
      <c r="M636" t="s">
        <v>520</v>
      </c>
      <c r="N636" t="s">
        <v>571</v>
      </c>
      <c r="O636" t="s">
        <v>583</v>
      </c>
      <c r="P636" t="s">
        <v>584</v>
      </c>
      <c r="Q636" t="s">
        <v>524</v>
      </c>
      <c r="R636" t="s">
        <v>525</v>
      </c>
      <c r="S636" t="s">
        <v>585</v>
      </c>
      <c r="T636" t="s">
        <v>527</v>
      </c>
      <c r="U636">
        <v>107100</v>
      </c>
      <c r="V636" t="s">
        <v>4402</v>
      </c>
      <c r="W636" t="s">
        <v>587</v>
      </c>
      <c r="X636" t="s">
        <v>4403</v>
      </c>
      <c r="Y636" t="s">
        <v>4404</v>
      </c>
      <c r="Z636" t="s">
        <v>4405</v>
      </c>
      <c r="AA636" t="s">
        <v>4406</v>
      </c>
      <c r="AB636" t="s">
        <v>4407</v>
      </c>
      <c r="AE636">
        <v>-35.722041560000001</v>
      </c>
      <c r="AF636">
        <v>174.31899605999999</v>
      </c>
      <c r="AG636">
        <v>124</v>
      </c>
      <c r="AH636">
        <v>25</v>
      </c>
      <c r="AI636">
        <v>6</v>
      </c>
      <c r="AJ636">
        <v>12</v>
      </c>
      <c r="AK636">
        <v>18</v>
      </c>
      <c r="AL636">
        <v>18</v>
      </c>
      <c r="AM636">
        <v>17</v>
      </c>
      <c r="AN636">
        <v>1</v>
      </c>
      <c r="AO636">
        <v>72</v>
      </c>
      <c r="AP636">
        <v>35</v>
      </c>
      <c r="AQ636">
        <v>29</v>
      </c>
      <c r="AR636">
        <v>5</v>
      </c>
      <c r="AS636">
        <v>29</v>
      </c>
      <c r="AT636">
        <v>2</v>
      </c>
    </row>
    <row r="637" spans="1:46">
      <c r="A637">
        <v>10143</v>
      </c>
      <c r="B637" t="s">
        <v>4408</v>
      </c>
      <c r="C637" t="s">
        <v>4409</v>
      </c>
      <c r="D637" t="s">
        <v>4410</v>
      </c>
      <c r="E637" t="s">
        <v>4411</v>
      </c>
      <c r="F637" t="s">
        <v>1146</v>
      </c>
      <c r="G637" t="s">
        <v>652</v>
      </c>
      <c r="H637" t="s">
        <v>3942</v>
      </c>
      <c r="I637" t="s">
        <v>4165</v>
      </c>
      <c r="J637" t="s">
        <v>518</v>
      </c>
      <c r="K637" t="s">
        <v>519</v>
      </c>
      <c r="M637" t="s">
        <v>520</v>
      </c>
      <c r="N637" t="s">
        <v>571</v>
      </c>
      <c r="O637" t="s">
        <v>957</v>
      </c>
      <c r="P637" t="s">
        <v>654</v>
      </c>
      <c r="Q637" t="s">
        <v>638</v>
      </c>
      <c r="R637" t="s">
        <v>708</v>
      </c>
      <c r="S637" t="s">
        <v>858</v>
      </c>
      <c r="T637" t="s">
        <v>709</v>
      </c>
      <c r="U637">
        <v>132800</v>
      </c>
      <c r="V637" t="s">
        <v>4412</v>
      </c>
      <c r="W637" t="s">
        <v>959</v>
      </c>
      <c r="X637" t="s">
        <v>4413</v>
      </c>
      <c r="Y637" t="s">
        <v>4411</v>
      </c>
      <c r="Z637" t="s">
        <v>1146</v>
      </c>
      <c r="AA637" t="s">
        <v>4414</v>
      </c>
      <c r="AB637" t="s">
        <v>4415</v>
      </c>
      <c r="AE637">
        <v>-36.8593647</v>
      </c>
      <c r="AF637">
        <v>174.74448992999999</v>
      </c>
      <c r="AG637">
        <v>22</v>
      </c>
      <c r="AH637">
        <v>6</v>
      </c>
      <c r="AI637">
        <v>0</v>
      </c>
      <c r="AJ637">
        <v>2</v>
      </c>
      <c r="AK637">
        <v>7</v>
      </c>
      <c r="AL637">
        <v>4</v>
      </c>
      <c r="AM637">
        <v>6</v>
      </c>
      <c r="AN637">
        <v>0</v>
      </c>
      <c r="AO637">
        <v>19</v>
      </c>
      <c r="AP637">
        <v>3</v>
      </c>
      <c r="AQ637">
        <v>3</v>
      </c>
      <c r="AR637">
        <v>19</v>
      </c>
      <c r="AS637">
        <v>0</v>
      </c>
      <c r="AT637">
        <v>0</v>
      </c>
    </row>
    <row r="638" spans="1:46">
      <c r="A638">
        <v>10144</v>
      </c>
      <c r="B638" t="s">
        <v>4416</v>
      </c>
      <c r="C638" t="s">
        <v>4417</v>
      </c>
      <c r="D638" t="s">
        <v>4418</v>
      </c>
      <c r="E638" t="s">
        <v>2667</v>
      </c>
      <c r="G638" t="s">
        <v>582</v>
      </c>
      <c r="H638" t="s">
        <v>4032</v>
      </c>
      <c r="I638" t="s">
        <v>4033</v>
      </c>
      <c r="J638" t="s">
        <v>518</v>
      </c>
      <c r="K638" t="s">
        <v>519</v>
      </c>
      <c r="M638" t="s">
        <v>520</v>
      </c>
      <c r="N638" t="s">
        <v>727</v>
      </c>
      <c r="O638" t="s">
        <v>583</v>
      </c>
      <c r="P638" t="s">
        <v>584</v>
      </c>
      <c r="Q638" t="s">
        <v>524</v>
      </c>
      <c r="R638" t="s">
        <v>525</v>
      </c>
      <c r="S638" t="s">
        <v>585</v>
      </c>
      <c r="T638" t="s">
        <v>527</v>
      </c>
      <c r="U638">
        <v>106902</v>
      </c>
      <c r="V638" t="s">
        <v>4419</v>
      </c>
      <c r="W638" t="s">
        <v>587</v>
      </c>
      <c r="X638" t="s">
        <v>4420</v>
      </c>
      <c r="Y638" t="s">
        <v>4421</v>
      </c>
      <c r="AA638" t="s">
        <v>4422</v>
      </c>
      <c r="AB638" t="s">
        <v>4423</v>
      </c>
      <c r="AE638">
        <v>-35.735676849999997</v>
      </c>
      <c r="AF638">
        <v>174.30269075000001</v>
      </c>
      <c r="AG638">
        <v>15</v>
      </c>
      <c r="AH638">
        <v>6</v>
      </c>
    </row>
    <row r="639" spans="1:46">
      <c r="A639">
        <v>10145</v>
      </c>
      <c r="B639" t="s">
        <v>4424</v>
      </c>
      <c r="C639" t="s">
        <v>4425</v>
      </c>
      <c r="D639" t="s">
        <v>4426</v>
      </c>
      <c r="E639" t="s">
        <v>4427</v>
      </c>
      <c r="F639" t="s">
        <v>4428</v>
      </c>
      <c r="G639" t="s">
        <v>652</v>
      </c>
      <c r="H639" t="s">
        <v>3942</v>
      </c>
      <c r="I639" t="s">
        <v>4429</v>
      </c>
      <c r="J639" t="s">
        <v>3962</v>
      </c>
      <c r="K639" t="s">
        <v>519</v>
      </c>
      <c r="M639" t="s">
        <v>520</v>
      </c>
      <c r="N639" t="s">
        <v>571</v>
      </c>
      <c r="O639" t="s">
        <v>804</v>
      </c>
      <c r="P639" t="s">
        <v>654</v>
      </c>
      <c r="Q639" t="s">
        <v>638</v>
      </c>
      <c r="R639" t="s">
        <v>708</v>
      </c>
      <c r="S639" t="s">
        <v>880</v>
      </c>
      <c r="T639" t="s">
        <v>709</v>
      </c>
      <c r="U639">
        <v>145101</v>
      </c>
      <c r="V639" t="s">
        <v>1141</v>
      </c>
      <c r="W639" t="s">
        <v>824</v>
      </c>
      <c r="X639" t="s">
        <v>4430</v>
      </c>
      <c r="Y639" t="s">
        <v>4427</v>
      </c>
      <c r="Z639" t="s">
        <v>4428</v>
      </c>
      <c r="AA639" t="s">
        <v>4431</v>
      </c>
      <c r="AB639" t="s">
        <v>4425</v>
      </c>
      <c r="AE639">
        <v>-36.863524660000003</v>
      </c>
      <c r="AF639">
        <v>174.86447240999999</v>
      </c>
      <c r="AG639">
        <v>8</v>
      </c>
      <c r="AH639">
        <v>0</v>
      </c>
      <c r="AI639">
        <v>0</v>
      </c>
      <c r="AJ639">
        <v>0</v>
      </c>
      <c r="AK639">
        <v>2</v>
      </c>
      <c r="AL639">
        <v>7</v>
      </c>
      <c r="AM639">
        <v>10</v>
      </c>
      <c r="AN639">
        <v>1</v>
      </c>
      <c r="AO639">
        <v>20</v>
      </c>
      <c r="AP639">
        <v>11</v>
      </c>
      <c r="AQ639">
        <v>0</v>
      </c>
      <c r="AR639">
        <v>2</v>
      </c>
      <c r="AS639">
        <v>19</v>
      </c>
      <c r="AT639">
        <v>0</v>
      </c>
    </row>
    <row r="640" spans="1:46">
      <c r="A640">
        <v>10148</v>
      </c>
      <c r="B640" t="s">
        <v>4432</v>
      </c>
      <c r="C640" t="s">
        <v>4433</v>
      </c>
      <c r="D640" t="s">
        <v>4434</v>
      </c>
      <c r="E640" t="s">
        <v>4435</v>
      </c>
      <c r="F640" t="s">
        <v>532</v>
      </c>
      <c r="G640" t="s">
        <v>582</v>
      </c>
      <c r="H640" t="s">
        <v>3942</v>
      </c>
      <c r="J640" t="s">
        <v>518</v>
      </c>
      <c r="K640" t="s">
        <v>519</v>
      </c>
      <c r="M640" t="s">
        <v>520</v>
      </c>
      <c r="N640" t="s">
        <v>571</v>
      </c>
      <c r="O640" t="s">
        <v>583</v>
      </c>
      <c r="P640" t="s">
        <v>584</v>
      </c>
      <c r="Q640" t="s">
        <v>524</v>
      </c>
      <c r="R640" t="s">
        <v>525</v>
      </c>
      <c r="S640" t="s">
        <v>585</v>
      </c>
      <c r="T640" t="s">
        <v>527</v>
      </c>
      <c r="U640">
        <v>105500</v>
      </c>
      <c r="V640" t="s">
        <v>4241</v>
      </c>
      <c r="W640" t="s">
        <v>587</v>
      </c>
      <c r="X640" t="s">
        <v>4436</v>
      </c>
      <c r="Y640" t="s">
        <v>3944</v>
      </c>
      <c r="Z640" t="s">
        <v>3945</v>
      </c>
      <c r="AA640" t="s">
        <v>3946</v>
      </c>
      <c r="AC640">
        <v>99182</v>
      </c>
      <c r="AD640" t="s">
        <v>588</v>
      </c>
      <c r="AE640">
        <v>-35.67484176</v>
      </c>
      <c r="AF640">
        <v>174.29756479</v>
      </c>
      <c r="AG640">
        <v>40</v>
      </c>
      <c r="AH640">
        <v>0</v>
      </c>
      <c r="AI640">
        <v>0</v>
      </c>
      <c r="AJ640">
        <v>0</v>
      </c>
      <c r="AK640">
        <v>3</v>
      </c>
      <c r="AL640">
        <v>24</v>
      </c>
      <c r="AM640">
        <v>23</v>
      </c>
      <c r="AN640">
        <v>0</v>
      </c>
      <c r="AO640">
        <v>50</v>
      </c>
      <c r="AP640">
        <v>25</v>
      </c>
      <c r="AQ640">
        <v>15</v>
      </c>
      <c r="AR640">
        <v>2</v>
      </c>
      <c r="AS640">
        <v>5</v>
      </c>
      <c r="AT640">
        <v>16</v>
      </c>
    </row>
    <row r="641" spans="1:46">
      <c r="A641">
        <v>10149</v>
      </c>
      <c r="B641" t="s">
        <v>4437</v>
      </c>
      <c r="C641" t="s">
        <v>4438</v>
      </c>
      <c r="D641" t="s">
        <v>4439</v>
      </c>
      <c r="E641" t="s">
        <v>4440</v>
      </c>
      <c r="F641" t="s">
        <v>4441</v>
      </c>
      <c r="G641" t="s">
        <v>652</v>
      </c>
      <c r="H641" t="s">
        <v>3942</v>
      </c>
      <c r="J641" t="s">
        <v>518</v>
      </c>
      <c r="K641" t="s">
        <v>519</v>
      </c>
      <c r="M641" t="s">
        <v>520</v>
      </c>
      <c r="N641" t="s">
        <v>557</v>
      </c>
      <c r="O641" t="s">
        <v>829</v>
      </c>
      <c r="P641" t="s">
        <v>654</v>
      </c>
      <c r="Q641" t="s">
        <v>638</v>
      </c>
      <c r="R641" t="s">
        <v>708</v>
      </c>
      <c r="S641" t="s">
        <v>730</v>
      </c>
      <c r="T641" t="s">
        <v>709</v>
      </c>
      <c r="U641">
        <v>147100</v>
      </c>
      <c r="V641" t="s">
        <v>4442</v>
      </c>
      <c r="W641" t="s">
        <v>807</v>
      </c>
      <c r="X641" t="s">
        <v>4443</v>
      </c>
      <c r="Y641" t="s">
        <v>4444</v>
      </c>
      <c r="Z641" t="s">
        <v>4441</v>
      </c>
      <c r="AA641" t="s">
        <v>4445</v>
      </c>
      <c r="AB641" t="s">
        <v>4446</v>
      </c>
      <c r="AC641">
        <v>99189</v>
      </c>
      <c r="AD641" t="s">
        <v>4447</v>
      </c>
      <c r="AE641">
        <v>-36.903255360000003</v>
      </c>
      <c r="AF641">
        <v>174.85717701999999</v>
      </c>
      <c r="AG641">
        <v>34</v>
      </c>
      <c r="AH641">
        <v>0</v>
      </c>
      <c r="AI641">
        <v>0</v>
      </c>
      <c r="AJ641">
        <v>0</v>
      </c>
      <c r="AK641">
        <v>5</v>
      </c>
      <c r="AL641">
        <v>5</v>
      </c>
      <c r="AM641">
        <v>11</v>
      </c>
      <c r="AN641">
        <v>1</v>
      </c>
      <c r="AO641">
        <v>22</v>
      </c>
      <c r="AP641">
        <v>7</v>
      </c>
      <c r="AQ641">
        <v>5</v>
      </c>
      <c r="AR641">
        <v>5</v>
      </c>
      <c r="AS641">
        <v>8</v>
      </c>
      <c r="AT641">
        <v>0</v>
      </c>
    </row>
    <row r="642" spans="1:46">
      <c r="A642">
        <v>10150</v>
      </c>
      <c r="B642" t="s">
        <v>4448</v>
      </c>
      <c r="C642" t="s">
        <v>4449</v>
      </c>
      <c r="E642" t="s">
        <v>4450</v>
      </c>
      <c r="G642" t="s">
        <v>4451</v>
      </c>
      <c r="H642" t="s">
        <v>343</v>
      </c>
      <c r="J642" t="s">
        <v>518</v>
      </c>
      <c r="K642" t="s">
        <v>519</v>
      </c>
      <c r="L642" t="s">
        <v>4205</v>
      </c>
      <c r="M642" t="s">
        <v>520</v>
      </c>
      <c r="N642" t="s">
        <v>727</v>
      </c>
      <c r="O642" t="s">
        <v>522</v>
      </c>
      <c r="P642" t="s">
        <v>540</v>
      </c>
      <c r="Q642" t="s">
        <v>524</v>
      </c>
      <c r="R642" t="s">
        <v>525</v>
      </c>
      <c r="S642" t="s">
        <v>526</v>
      </c>
      <c r="T642" t="s">
        <v>527</v>
      </c>
      <c r="U642">
        <v>102100</v>
      </c>
      <c r="V642" t="s">
        <v>4452</v>
      </c>
      <c r="W642" t="s">
        <v>551</v>
      </c>
      <c r="X642" t="s">
        <v>4453</v>
      </c>
      <c r="Y642" t="s">
        <v>4208</v>
      </c>
      <c r="Z642" t="s">
        <v>4209</v>
      </c>
      <c r="AA642" t="s">
        <v>4210</v>
      </c>
      <c r="AB642" t="s">
        <v>4454</v>
      </c>
      <c r="AE642">
        <v>-35.399426130000002</v>
      </c>
      <c r="AF642">
        <v>173.50506196000001</v>
      </c>
      <c r="AG642">
        <v>18</v>
      </c>
      <c r="AH642">
        <v>5</v>
      </c>
      <c r="AI642">
        <v>1</v>
      </c>
      <c r="AJ642">
        <v>0</v>
      </c>
      <c r="AK642">
        <v>2</v>
      </c>
      <c r="AL642">
        <v>2</v>
      </c>
      <c r="AM642">
        <v>2</v>
      </c>
      <c r="AN642">
        <v>0</v>
      </c>
      <c r="AO642">
        <v>7</v>
      </c>
      <c r="AP642">
        <v>0</v>
      </c>
      <c r="AQ642">
        <v>7</v>
      </c>
      <c r="AR642">
        <v>0</v>
      </c>
      <c r="AS642">
        <v>0</v>
      </c>
      <c r="AT642">
        <v>0</v>
      </c>
    </row>
    <row r="643" spans="1:46">
      <c r="A643">
        <v>10152</v>
      </c>
      <c r="B643" t="s">
        <v>4455</v>
      </c>
      <c r="C643" t="s">
        <v>4456</v>
      </c>
      <c r="D643" t="s">
        <v>4457</v>
      </c>
      <c r="E643" t="s">
        <v>4458</v>
      </c>
      <c r="G643" t="s">
        <v>4459</v>
      </c>
      <c r="H643" t="s">
        <v>3942</v>
      </c>
      <c r="J643" t="s">
        <v>3962</v>
      </c>
      <c r="K643" t="s">
        <v>519</v>
      </c>
      <c r="M643" t="s">
        <v>520</v>
      </c>
      <c r="N643" t="s">
        <v>571</v>
      </c>
      <c r="O643" t="s">
        <v>653</v>
      </c>
      <c r="P643" t="s">
        <v>584</v>
      </c>
      <c r="Q643" t="s">
        <v>638</v>
      </c>
      <c r="R643" t="s">
        <v>639</v>
      </c>
      <c r="S643" t="s">
        <v>668</v>
      </c>
      <c r="T643" t="s">
        <v>527</v>
      </c>
      <c r="U643">
        <v>115800</v>
      </c>
      <c r="V643" t="s">
        <v>3624</v>
      </c>
      <c r="W643" t="s">
        <v>657</v>
      </c>
      <c r="X643" t="s">
        <v>4460</v>
      </c>
      <c r="Y643" t="s">
        <v>4458</v>
      </c>
      <c r="AA643" t="s">
        <v>4461</v>
      </c>
      <c r="AB643" t="s">
        <v>4462</v>
      </c>
      <c r="AC643">
        <v>99095</v>
      </c>
      <c r="AD643" t="s">
        <v>701</v>
      </c>
      <c r="AE643">
        <v>-36.639064329999997</v>
      </c>
      <c r="AF643">
        <v>174.75912921</v>
      </c>
      <c r="AG643">
        <v>25</v>
      </c>
      <c r="AH643">
        <v>0</v>
      </c>
      <c r="AI643">
        <v>0</v>
      </c>
      <c r="AJ643">
        <v>0</v>
      </c>
      <c r="AK643">
        <v>7</v>
      </c>
      <c r="AL643">
        <v>3</v>
      </c>
      <c r="AM643">
        <v>8</v>
      </c>
      <c r="AN643">
        <v>1</v>
      </c>
      <c r="AO643">
        <v>19</v>
      </c>
      <c r="AP643">
        <v>15</v>
      </c>
      <c r="AQ643">
        <v>2</v>
      </c>
      <c r="AR643">
        <v>1</v>
      </c>
      <c r="AS643">
        <v>3</v>
      </c>
      <c r="AT643">
        <v>1</v>
      </c>
    </row>
    <row r="644" spans="1:46">
      <c r="A644">
        <v>10154</v>
      </c>
      <c r="B644" t="s">
        <v>4463</v>
      </c>
      <c r="C644" t="s">
        <v>4464</v>
      </c>
      <c r="E644" t="s">
        <v>4465</v>
      </c>
      <c r="F644" t="s">
        <v>4466</v>
      </c>
      <c r="G644" t="s">
        <v>652</v>
      </c>
      <c r="H644" t="s">
        <v>3942</v>
      </c>
      <c r="J644" t="s">
        <v>3962</v>
      </c>
      <c r="K644" t="s">
        <v>519</v>
      </c>
      <c r="M644" t="s">
        <v>520</v>
      </c>
      <c r="N644" t="s">
        <v>557</v>
      </c>
      <c r="O644" t="s">
        <v>813</v>
      </c>
      <c r="P644" t="s">
        <v>654</v>
      </c>
      <c r="Q644" t="s">
        <v>638</v>
      </c>
      <c r="R644" t="s">
        <v>639</v>
      </c>
      <c r="S644" t="s">
        <v>719</v>
      </c>
      <c r="T644" t="s">
        <v>709</v>
      </c>
      <c r="U644">
        <v>128401</v>
      </c>
      <c r="V644" t="s">
        <v>1172</v>
      </c>
      <c r="W644" t="s">
        <v>815</v>
      </c>
      <c r="X644" t="s">
        <v>4467</v>
      </c>
      <c r="Y644" t="s">
        <v>4468</v>
      </c>
      <c r="Z644" t="s">
        <v>4466</v>
      </c>
      <c r="AA644" t="s">
        <v>3964</v>
      </c>
      <c r="AB644" t="s">
        <v>4469</v>
      </c>
      <c r="AC644">
        <v>99029</v>
      </c>
      <c r="AD644" t="s">
        <v>901</v>
      </c>
      <c r="AE644">
        <v>-36.893348840000002</v>
      </c>
      <c r="AF644">
        <v>174.64472789999999</v>
      </c>
      <c r="AG644">
        <v>54</v>
      </c>
      <c r="AH644">
        <v>10</v>
      </c>
      <c r="AI644">
        <v>4</v>
      </c>
      <c r="AJ644">
        <v>4</v>
      </c>
      <c r="AK644">
        <v>10</v>
      </c>
      <c r="AL644">
        <v>16</v>
      </c>
      <c r="AM644">
        <v>16</v>
      </c>
      <c r="AN644">
        <v>1</v>
      </c>
      <c r="AO644">
        <v>51</v>
      </c>
      <c r="AP644">
        <v>18</v>
      </c>
      <c r="AQ644">
        <v>15</v>
      </c>
      <c r="AR644">
        <v>14</v>
      </c>
      <c r="AS644">
        <v>22</v>
      </c>
      <c r="AT644">
        <v>3</v>
      </c>
    </row>
    <row r="645" spans="1:46">
      <c r="A645">
        <v>10157</v>
      </c>
      <c r="B645" t="s">
        <v>4470</v>
      </c>
      <c r="C645" t="s">
        <v>4471</v>
      </c>
      <c r="D645" t="s">
        <v>4472</v>
      </c>
      <c r="E645" t="s">
        <v>4473</v>
      </c>
      <c r="F645" t="s">
        <v>898</v>
      </c>
      <c r="G645" t="s">
        <v>652</v>
      </c>
      <c r="H645" t="s">
        <v>3942</v>
      </c>
      <c r="J645" t="s">
        <v>3962</v>
      </c>
      <c r="K645" t="s">
        <v>519</v>
      </c>
      <c r="M645" t="s">
        <v>520</v>
      </c>
      <c r="N645" t="s">
        <v>557</v>
      </c>
      <c r="O645" t="s">
        <v>813</v>
      </c>
      <c r="P645" t="s">
        <v>654</v>
      </c>
      <c r="Q645" t="s">
        <v>638</v>
      </c>
      <c r="R645" t="s">
        <v>639</v>
      </c>
      <c r="S645" t="s">
        <v>899</v>
      </c>
      <c r="T645" t="s">
        <v>527</v>
      </c>
      <c r="U645">
        <v>124900</v>
      </c>
      <c r="V645" t="s">
        <v>1120</v>
      </c>
      <c r="W645" t="s">
        <v>815</v>
      </c>
      <c r="X645" t="s">
        <v>4474</v>
      </c>
      <c r="Y645" t="s">
        <v>4475</v>
      </c>
      <c r="Z645" t="s">
        <v>4476</v>
      </c>
      <c r="AA645" t="s">
        <v>4477</v>
      </c>
      <c r="AB645" t="s">
        <v>4478</v>
      </c>
      <c r="AE645">
        <v>-36.861172699999997</v>
      </c>
      <c r="AF645">
        <v>174.62922990000001</v>
      </c>
      <c r="AG645">
        <v>87</v>
      </c>
      <c r="AH645">
        <v>24</v>
      </c>
      <c r="AI645">
        <v>2</v>
      </c>
      <c r="AJ645">
        <v>19</v>
      </c>
      <c r="AK645">
        <v>22</v>
      </c>
      <c r="AL645">
        <v>16</v>
      </c>
      <c r="AM645">
        <v>27</v>
      </c>
      <c r="AN645">
        <v>1</v>
      </c>
      <c r="AO645">
        <v>87</v>
      </c>
      <c r="AP645">
        <v>28</v>
      </c>
      <c r="AQ645">
        <v>12</v>
      </c>
      <c r="AR645">
        <v>18</v>
      </c>
      <c r="AS645">
        <v>41</v>
      </c>
      <c r="AT645">
        <v>7</v>
      </c>
    </row>
    <row r="646" spans="1:46">
      <c r="A646">
        <v>10159</v>
      </c>
      <c r="B646" t="s">
        <v>4479</v>
      </c>
      <c r="C646" t="s">
        <v>4480</v>
      </c>
      <c r="D646" t="s">
        <v>4481</v>
      </c>
      <c r="E646" t="s">
        <v>4482</v>
      </c>
      <c r="F646" t="s">
        <v>706</v>
      </c>
      <c r="G646" t="s">
        <v>652</v>
      </c>
      <c r="H646" t="s">
        <v>3942</v>
      </c>
      <c r="J646" t="s">
        <v>3962</v>
      </c>
      <c r="K646" t="s">
        <v>519</v>
      </c>
      <c r="M646" t="s">
        <v>520</v>
      </c>
      <c r="N646" t="s">
        <v>571</v>
      </c>
      <c r="O646" t="s">
        <v>707</v>
      </c>
      <c r="P646" t="s">
        <v>654</v>
      </c>
      <c r="Q646" t="s">
        <v>638</v>
      </c>
      <c r="R646" t="s">
        <v>708</v>
      </c>
      <c r="S646" t="s">
        <v>706</v>
      </c>
      <c r="T646" t="s">
        <v>709</v>
      </c>
      <c r="U646">
        <v>150700</v>
      </c>
      <c r="V646" t="s">
        <v>797</v>
      </c>
      <c r="W646" t="s">
        <v>711</v>
      </c>
      <c r="X646" t="s">
        <v>4483</v>
      </c>
      <c r="Y646" t="s">
        <v>4482</v>
      </c>
      <c r="Z646" t="s">
        <v>706</v>
      </c>
      <c r="AA646" t="s">
        <v>4484</v>
      </c>
      <c r="AC646">
        <v>99149</v>
      </c>
      <c r="AD646" t="s">
        <v>798</v>
      </c>
      <c r="AE646">
        <v>-36.907521510000002</v>
      </c>
      <c r="AF646">
        <v>174.89697616000001</v>
      </c>
      <c r="AG646">
        <v>35</v>
      </c>
      <c r="AH646">
        <v>10</v>
      </c>
      <c r="AI646">
        <v>1</v>
      </c>
      <c r="AJ646">
        <v>8</v>
      </c>
      <c r="AK646">
        <v>13</v>
      </c>
      <c r="AL646">
        <v>9</v>
      </c>
      <c r="AM646">
        <v>7</v>
      </c>
      <c r="AN646">
        <v>0</v>
      </c>
      <c r="AO646">
        <v>38</v>
      </c>
      <c r="AP646">
        <v>34</v>
      </c>
      <c r="AQ646">
        <v>7</v>
      </c>
      <c r="AR646">
        <v>0</v>
      </c>
      <c r="AS646">
        <v>4</v>
      </c>
      <c r="AT646">
        <v>2</v>
      </c>
    </row>
    <row r="647" spans="1:46">
      <c r="A647">
        <v>10164</v>
      </c>
      <c r="B647" t="s">
        <v>4485</v>
      </c>
      <c r="C647" t="s">
        <v>4486</v>
      </c>
      <c r="D647" t="s">
        <v>4487</v>
      </c>
      <c r="E647" t="s">
        <v>4488</v>
      </c>
      <c r="F647" t="s">
        <v>964</v>
      </c>
      <c r="G647" t="s">
        <v>652</v>
      </c>
      <c r="H647" t="s">
        <v>3942</v>
      </c>
      <c r="J647" t="s">
        <v>3962</v>
      </c>
      <c r="K647" t="s">
        <v>519</v>
      </c>
      <c r="M647" t="s">
        <v>520</v>
      </c>
      <c r="N647" t="s">
        <v>571</v>
      </c>
      <c r="O647" t="s">
        <v>912</v>
      </c>
      <c r="P647" t="s">
        <v>654</v>
      </c>
      <c r="Q647" t="s">
        <v>638</v>
      </c>
      <c r="R647" t="s">
        <v>708</v>
      </c>
      <c r="S647" t="s">
        <v>913</v>
      </c>
      <c r="T647" t="s">
        <v>709</v>
      </c>
      <c r="U647">
        <v>139601</v>
      </c>
      <c r="V647" t="s">
        <v>4489</v>
      </c>
      <c r="W647" t="s">
        <v>860</v>
      </c>
      <c r="X647" t="s">
        <v>4490</v>
      </c>
      <c r="Y647" t="s">
        <v>4491</v>
      </c>
      <c r="Z647" t="s">
        <v>821</v>
      </c>
      <c r="AA647" t="s">
        <v>4069</v>
      </c>
      <c r="AB647" t="s">
        <v>4486</v>
      </c>
      <c r="AE647">
        <v>-36.922180449999999</v>
      </c>
      <c r="AF647">
        <v>174.71358873</v>
      </c>
      <c r="AG647">
        <v>54</v>
      </c>
      <c r="AH647">
        <v>12</v>
      </c>
      <c r="AI647">
        <v>2</v>
      </c>
      <c r="AJ647">
        <v>8</v>
      </c>
      <c r="AK647">
        <v>7</v>
      </c>
      <c r="AL647">
        <v>13</v>
      </c>
      <c r="AM647">
        <v>17</v>
      </c>
      <c r="AN647">
        <v>0</v>
      </c>
      <c r="AO647">
        <v>47</v>
      </c>
      <c r="AP647">
        <v>2</v>
      </c>
      <c r="AQ647">
        <v>0</v>
      </c>
      <c r="AR647">
        <v>1</v>
      </c>
      <c r="AS647">
        <v>43</v>
      </c>
      <c r="AT647">
        <v>1</v>
      </c>
    </row>
    <row r="648" spans="1:46">
      <c r="A648">
        <v>10165</v>
      </c>
      <c r="B648" t="s">
        <v>4492</v>
      </c>
      <c r="C648" t="s">
        <v>4493</v>
      </c>
      <c r="E648" t="s">
        <v>4494</v>
      </c>
      <c r="F648" t="s">
        <v>726</v>
      </c>
      <c r="G648" t="s">
        <v>652</v>
      </c>
      <c r="H648" t="s">
        <v>3942</v>
      </c>
      <c r="I648" t="s">
        <v>4222</v>
      </c>
      <c r="J648" t="s">
        <v>518</v>
      </c>
      <c r="K648" t="s">
        <v>519</v>
      </c>
      <c r="M648" t="s">
        <v>520</v>
      </c>
      <c r="N648" t="s">
        <v>727</v>
      </c>
      <c r="O648" t="s">
        <v>728</v>
      </c>
      <c r="P648" t="s">
        <v>654</v>
      </c>
      <c r="Q648" t="s">
        <v>638</v>
      </c>
      <c r="R648" t="s">
        <v>729</v>
      </c>
      <c r="S648" t="s">
        <v>778</v>
      </c>
      <c r="T648" t="s">
        <v>709</v>
      </c>
      <c r="U648">
        <v>157701</v>
      </c>
      <c r="V648" t="s">
        <v>4495</v>
      </c>
      <c r="W648" t="s">
        <v>732</v>
      </c>
      <c r="X648" t="s">
        <v>4496</v>
      </c>
      <c r="Y648" t="s">
        <v>4497</v>
      </c>
      <c r="Z648" t="s">
        <v>726</v>
      </c>
      <c r="AA648" t="s">
        <v>4498</v>
      </c>
      <c r="AE648">
        <v>-36.978924280000001</v>
      </c>
      <c r="AF648">
        <v>174.88640766</v>
      </c>
      <c r="AG648">
        <v>30</v>
      </c>
      <c r="AH648">
        <v>5</v>
      </c>
      <c r="AI648">
        <v>0</v>
      </c>
      <c r="AJ648">
        <v>5</v>
      </c>
      <c r="AK648">
        <v>4</v>
      </c>
      <c r="AL648">
        <v>5</v>
      </c>
      <c r="AM648">
        <v>9</v>
      </c>
      <c r="AN648">
        <v>0</v>
      </c>
      <c r="AO648">
        <v>23</v>
      </c>
      <c r="AP648">
        <v>1</v>
      </c>
      <c r="AQ648">
        <v>5</v>
      </c>
      <c r="AR648">
        <v>23</v>
      </c>
      <c r="AS648">
        <v>0</v>
      </c>
      <c r="AT648">
        <v>1</v>
      </c>
    </row>
    <row r="649" spans="1:46">
      <c r="A649">
        <v>10168</v>
      </c>
      <c r="B649" t="s">
        <v>4499</v>
      </c>
      <c r="C649" t="s">
        <v>4500</v>
      </c>
      <c r="E649" t="s">
        <v>4501</v>
      </c>
      <c r="F649" t="s">
        <v>822</v>
      </c>
      <c r="G649" t="s">
        <v>652</v>
      </c>
      <c r="H649" t="s">
        <v>3942</v>
      </c>
      <c r="J649" t="s">
        <v>3962</v>
      </c>
      <c r="K649" t="s">
        <v>519</v>
      </c>
      <c r="M649" t="s">
        <v>520</v>
      </c>
      <c r="N649" t="s">
        <v>571</v>
      </c>
      <c r="O649" t="s">
        <v>857</v>
      </c>
      <c r="P649" t="s">
        <v>654</v>
      </c>
      <c r="Q649" t="s">
        <v>638</v>
      </c>
      <c r="R649" t="s">
        <v>708</v>
      </c>
      <c r="S649" t="s">
        <v>822</v>
      </c>
      <c r="T649" t="s">
        <v>709</v>
      </c>
      <c r="U649">
        <v>140300</v>
      </c>
      <c r="V649" t="s">
        <v>4502</v>
      </c>
      <c r="W649" t="s">
        <v>860</v>
      </c>
      <c r="X649" t="s">
        <v>4503</v>
      </c>
      <c r="Y649" t="s">
        <v>4501</v>
      </c>
      <c r="Z649" t="s">
        <v>822</v>
      </c>
      <c r="AA649" t="s">
        <v>4382</v>
      </c>
      <c r="AB649" t="s">
        <v>4504</v>
      </c>
      <c r="AE649">
        <v>-36.88556191</v>
      </c>
      <c r="AF649">
        <v>174.77763143999999</v>
      </c>
      <c r="AG649">
        <v>26</v>
      </c>
      <c r="AH649">
        <v>10</v>
      </c>
      <c r="AI649">
        <v>0</v>
      </c>
      <c r="AJ649">
        <v>3</v>
      </c>
      <c r="AK649">
        <v>12</v>
      </c>
      <c r="AL649">
        <v>6</v>
      </c>
      <c r="AM649">
        <v>11</v>
      </c>
      <c r="AN649">
        <v>0</v>
      </c>
      <c r="AO649">
        <v>32</v>
      </c>
      <c r="AP649">
        <v>19</v>
      </c>
      <c r="AQ649">
        <v>0</v>
      </c>
      <c r="AR649">
        <v>2</v>
      </c>
      <c r="AS649">
        <v>15</v>
      </c>
      <c r="AT649">
        <v>3</v>
      </c>
    </row>
    <row r="650" spans="1:46">
      <c r="A650">
        <v>10169</v>
      </c>
      <c r="B650" t="s">
        <v>4505</v>
      </c>
      <c r="C650" t="s">
        <v>4506</v>
      </c>
      <c r="D650" t="s">
        <v>4507</v>
      </c>
      <c r="E650" t="s">
        <v>4508</v>
      </c>
      <c r="G650" t="s">
        <v>4509</v>
      </c>
      <c r="H650" t="s">
        <v>3942</v>
      </c>
      <c r="J650" t="s">
        <v>3962</v>
      </c>
      <c r="K650" t="s">
        <v>519</v>
      </c>
      <c r="M650" t="s">
        <v>520</v>
      </c>
      <c r="N650" t="s">
        <v>571</v>
      </c>
      <c r="O650" t="s">
        <v>637</v>
      </c>
      <c r="P650" t="s">
        <v>584</v>
      </c>
      <c r="Q650" t="s">
        <v>638</v>
      </c>
      <c r="R650" t="s">
        <v>639</v>
      </c>
      <c r="S650" t="s">
        <v>640</v>
      </c>
      <c r="T650" t="s">
        <v>527</v>
      </c>
      <c r="U650">
        <v>113401</v>
      </c>
      <c r="V650" t="s">
        <v>4510</v>
      </c>
      <c r="W650" t="s">
        <v>641</v>
      </c>
      <c r="X650" t="s">
        <v>4511</v>
      </c>
      <c r="Y650" t="s">
        <v>4512</v>
      </c>
      <c r="AA650" t="s">
        <v>4513</v>
      </c>
      <c r="AB650" t="s">
        <v>4514</v>
      </c>
      <c r="AC650">
        <v>99069</v>
      </c>
      <c r="AD650" t="s">
        <v>670</v>
      </c>
      <c r="AE650">
        <v>-36.599720060000003</v>
      </c>
      <c r="AF650">
        <v>174.6522788</v>
      </c>
      <c r="AG650">
        <v>50</v>
      </c>
      <c r="AH650">
        <v>12</v>
      </c>
      <c r="AI650">
        <v>2</v>
      </c>
      <c r="AJ650">
        <v>8</v>
      </c>
      <c r="AK650">
        <v>21</v>
      </c>
      <c r="AL650">
        <v>15</v>
      </c>
      <c r="AM650">
        <v>12</v>
      </c>
      <c r="AN650">
        <v>0</v>
      </c>
      <c r="AO650">
        <v>58</v>
      </c>
      <c r="AP650">
        <v>55</v>
      </c>
      <c r="AQ650">
        <v>6</v>
      </c>
      <c r="AR650">
        <v>1</v>
      </c>
      <c r="AS650">
        <v>2</v>
      </c>
      <c r="AT650">
        <v>2</v>
      </c>
    </row>
    <row r="651" spans="1:46">
      <c r="A651">
        <v>10170</v>
      </c>
      <c r="B651" t="s">
        <v>4515</v>
      </c>
      <c r="C651" t="s">
        <v>4516</v>
      </c>
      <c r="D651" t="s">
        <v>4517</v>
      </c>
      <c r="E651" t="s">
        <v>4518</v>
      </c>
      <c r="F651" t="s">
        <v>3990</v>
      </c>
      <c r="G651" t="s">
        <v>652</v>
      </c>
      <c r="H651" t="s">
        <v>3942</v>
      </c>
      <c r="I651" t="s">
        <v>4165</v>
      </c>
      <c r="J651" t="s">
        <v>518</v>
      </c>
      <c r="K651" t="s">
        <v>519</v>
      </c>
      <c r="M651" t="s">
        <v>520</v>
      </c>
      <c r="N651" t="s">
        <v>4519</v>
      </c>
      <c r="O651" t="s">
        <v>707</v>
      </c>
      <c r="P651" t="s">
        <v>654</v>
      </c>
      <c r="Q651" t="s">
        <v>638</v>
      </c>
      <c r="R651" t="s">
        <v>729</v>
      </c>
      <c r="S651" t="s">
        <v>778</v>
      </c>
      <c r="T651" t="s">
        <v>709</v>
      </c>
      <c r="U651">
        <v>152300</v>
      </c>
      <c r="V651" t="s">
        <v>3990</v>
      </c>
      <c r="W651" t="s">
        <v>711</v>
      </c>
      <c r="X651" t="s">
        <v>4520</v>
      </c>
      <c r="Y651" t="s">
        <v>4521</v>
      </c>
      <c r="Z651" t="s">
        <v>4522</v>
      </c>
      <c r="AA651" t="s">
        <v>4523</v>
      </c>
      <c r="AB651" t="s">
        <v>4524</v>
      </c>
      <c r="AE651">
        <v>-36.947258419999997</v>
      </c>
      <c r="AF651">
        <v>174.8869703</v>
      </c>
      <c r="AG651">
        <v>25</v>
      </c>
      <c r="AH651">
        <v>10</v>
      </c>
      <c r="AI651">
        <v>1</v>
      </c>
      <c r="AJ651">
        <v>2</v>
      </c>
      <c r="AK651">
        <v>4</v>
      </c>
      <c r="AL651">
        <v>3</v>
      </c>
      <c r="AM651">
        <v>5</v>
      </c>
      <c r="AN651">
        <v>1</v>
      </c>
      <c r="AO651">
        <v>16</v>
      </c>
      <c r="AP651">
        <v>0</v>
      </c>
      <c r="AQ651">
        <v>0</v>
      </c>
      <c r="AR651">
        <v>16</v>
      </c>
      <c r="AS651">
        <v>0</v>
      </c>
      <c r="AT651">
        <v>0</v>
      </c>
    </row>
    <row r="652" spans="1:46">
      <c r="A652">
        <v>10171</v>
      </c>
      <c r="B652" t="s">
        <v>4525</v>
      </c>
      <c r="C652" t="s">
        <v>4526</v>
      </c>
      <c r="D652" t="s">
        <v>4527</v>
      </c>
      <c r="E652" t="s">
        <v>4528</v>
      </c>
      <c r="G652" t="s">
        <v>3740</v>
      </c>
      <c r="H652" t="s">
        <v>3942</v>
      </c>
      <c r="J652" t="s">
        <v>3962</v>
      </c>
      <c r="K652" t="s">
        <v>519</v>
      </c>
      <c r="M652" t="s">
        <v>520</v>
      </c>
      <c r="N652" t="s">
        <v>557</v>
      </c>
      <c r="O652" t="s">
        <v>583</v>
      </c>
      <c r="P652" t="s">
        <v>523</v>
      </c>
      <c r="Q652" t="s">
        <v>524</v>
      </c>
      <c r="R652" t="s">
        <v>525</v>
      </c>
      <c r="S652" t="s">
        <v>585</v>
      </c>
      <c r="T652" t="s">
        <v>527</v>
      </c>
      <c r="U652">
        <v>108800</v>
      </c>
      <c r="V652" t="s">
        <v>3741</v>
      </c>
      <c r="W652" t="s">
        <v>618</v>
      </c>
      <c r="X652" t="s">
        <v>4403</v>
      </c>
      <c r="Y652" t="s">
        <v>4404</v>
      </c>
      <c r="Z652" t="s">
        <v>4405</v>
      </c>
      <c r="AA652" t="s">
        <v>4529</v>
      </c>
      <c r="AB652" t="s">
        <v>4407</v>
      </c>
      <c r="AC652">
        <v>99184</v>
      </c>
      <c r="AD652" t="s">
        <v>3742</v>
      </c>
      <c r="AE652">
        <v>-35.874959259999997</v>
      </c>
      <c r="AF652">
        <v>174.45651581000001</v>
      </c>
      <c r="AG652">
        <v>83</v>
      </c>
      <c r="AH652">
        <v>25</v>
      </c>
      <c r="AI652">
        <v>2</v>
      </c>
      <c r="AJ652">
        <v>6</v>
      </c>
      <c r="AK652">
        <v>8</v>
      </c>
      <c r="AL652">
        <v>14</v>
      </c>
      <c r="AM652">
        <v>10</v>
      </c>
      <c r="AN652">
        <v>4</v>
      </c>
      <c r="AO652">
        <v>44</v>
      </c>
      <c r="AP652">
        <v>35</v>
      </c>
      <c r="AQ652">
        <v>20</v>
      </c>
      <c r="AR652">
        <v>1</v>
      </c>
      <c r="AS652">
        <v>3</v>
      </c>
      <c r="AT652">
        <v>1</v>
      </c>
    </row>
    <row r="653" spans="1:46">
      <c r="A653">
        <v>10172</v>
      </c>
      <c r="B653" t="s">
        <v>4530</v>
      </c>
      <c r="C653" t="s">
        <v>4531</v>
      </c>
      <c r="D653" t="s">
        <v>4532</v>
      </c>
      <c r="E653" t="s">
        <v>4533</v>
      </c>
      <c r="F653" t="s">
        <v>898</v>
      </c>
      <c r="G653" t="s">
        <v>652</v>
      </c>
      <c r="H653" t="s">
        <v>3942</v>
      </c>
      <c r="J653" t="s">
        <v>3962</v>
      </c>
      <c r="K653" t="s">
        <v>519</v>
      </c>
      <c r="M653" t="s">
        <v>520</v>
      </c>
      <c r="N653" t="s">
        <v>571</v>
      </c>
      <c r="O653" t="s">
        <v>873</v>
      </c>
      <c r="P653" t="s">
        <v>572</v>
      </c>
      <c r="Q653" t="s">
        <v>638</v>
      </c>
      <c r="R653" t="s">
        <v>639</v>
      </c>
      <c r="S653" t="s">
        <v>770</v>
      </c>
      <c r="T653" t="s">
        <v>709</v>
      </c>
      <c r="U653">
        <v>124700</v>
      </c>
      <c r="V653" t="s">
        <v>4534</v>
      </c>
      <c r="W653" t="s">
        <v>815</v>
      </c>
      <c r="X653" t="s">
        <v>4535</v>
      </c>
      <c r="Y653" t="s">
        <v>4536</v>
      </c>
      <c r="Z653" t="s">
        <v>822</v>
      </c>
      <c r="AA653" t="s">
        <v>4537</v>
      </c>
      <c r="AB653" t="s">
        <v>4531</v>
      </c>
      <c r="AE653">
        <v>-36.896919769999997</v>
      </c>
      <c r="AF653">
        <v>174.60145279</v>
      </c>
      <c r="AG653">
        <v>50</v>
      </c>
      <c r="AH653">
        <v>0</v>
      </c>
      <c r="AI653">
        <v>0</v>
      </c>
      <c r="AJ653">
        <v>0</v>
      </c>
      <c r="AK653">
        <v>9</v>
      </c>
      <c r="AL653">
        <v>21</v>
      </c>
      <c r="AM653">
        <v>22</v>
      </c>
      <c r="AN653">
        <v>0</v>
      </c>
      <c r="AO653">
        <v>52</v>
      </c>
      <c r="AP653">
        <v>39</v>
      </c>
      <c r="AQ653">
        <v>13</v>
      </c>
      <c r="AR653">
        <v>10</v>
      </c>
      <c r="AS653">
        <v>12</v>
      </c>
      <c r="AT653">
        <v>3</v>
      </c>
    </row>
    <row r="654" spans="1:46">
      <c r="A654">
        <v>10174</v>
      </c>
      <c r="B654" t="s">
        <v>4538</v>
      </c>
      <c r="C654" t="s">
        <v>4539</v>
      </c>
      <c r="D654" t="s">
        <v>4540</v>
      </c>
      <c r="E654" t="s">
        <v>4541</v>
      </c>
      <c r="G654" t="s">
        <v>3811</v>
      </c>
      <c r="H654" t="s">
        <v>3942</v>
      </c>
      <c r="J654" t="s">
        <v>3962</v>
      </c>
      <c r="K654" t="s">
        <v>519</v>
      </c>
      <c r="M654" t="s">
        <v>520</v>
      </c>
      <c r="N654" t="s">
        <v>539</v>
      </c>
      <c r="O654" t="s">
        <v>1351</v>
      </c>
      <c r="P654" t="s">
        <v>523</v>
      </c>
      <c r="Q654" t="s">
        <v>1299</v>
      </c>
      <c r="R654" t="s">
        <v>729</v>
      </c>
      <c r="S654" t="s">
        <v>1246</v>
      </c>
      <c r="T654" t="s">
        <v>1235</v>
      </c>
      <c r="U654">
        <v>170001</v>
      </c>
      <c r="V654" t="s">
        <v>4542</v>
      </c>
      <c r="W654" t="s">
        <v>3813</v>
      </c>
      <c r="X654" t="s">
        <v>4543</v>
      </c>
      <c r="Y654" t="s">
        <v>4541</v>
      </c>
      <c r="AA654" t="s">
        <v>4544</v>
      </c>
      <c r="AB654" t="s">
        <v>4539</v>
      </c>
      <c r="AE654">
        <v>-37.259407160000002</v>
      </c>
      <c r="AF654">
        <v>174.94693948</v>
      </c>
      <c r="AG654">
        <v>48</v>
      </c>
      <c r="AH654">
        <v>10</v>
      </c>
      <c r="AI654">
        <v>2</v>
      </c>
      <c r="AJ654">
        <v>10</v>
      </c>
      <c r="AK654">
        <v>9</v>
      </c>
      <c r="AL654">
        <v>12</v>
      </c>
      <c r="AM654">
        <v>11</v>
      </c>
      <c r="AN654">
        <v>2</v>
      </c>
      <c r="AO654">
        <v>46</v>
      </c>
      <c r="AP654">
        <v>38</v>
      </c>
      <c r="AQ654">
        <v>15</v>
      </c>
      <c r="AR654">
        <v>5</v>
      </c>
      <c r="AS654">
        <v>3</v>
      </c>
      <c r="AT654">
        <v>2</v>
      </c>
    </row>
    <row r="655" spans="1:46">
      <c r="A655">
        <v>10175</v>
      </c>
      <c r="B655" t="s">
        <v>4545</v>
      </c>
      <c r="C655" t="s">
        <v>4546</v>
      </c>
      <c r="E655" t="s">
        <v>4547</v>
      </c>
      <c r="F655" t="s">
        <v>726</v>
      </c>
      <c r="G655" t="s">
        <v>652</v>
      </c>
      <c r="H655" t="s">
        <v>343</v>
      </c>
      <c r="J655" t="s">
        <v>518</v>
      </c>
      <c r="K655" t="s">
        <v>519</v>
      </c>
      <c r="L655" t="s">
        <v>4205</v>
      </c>
      <c r="M655" t="s">
        <v>520</v>
      </c>
      <c r="N655" t="s">
        <v>727</v>
      </c>
      <c r="O655" t="s">
        <v>728</v>
      </c>
      <c r="P655" t="s">
        <v>654</v>
      </c>
      <c r="Q655" t="s">
        <v>638</v>
      </c>
      <c r="R655" t="s">
        <v>729</v>
      </c>
      <c r="S655" t="s">
        <v>730</v>
      </c>
      <c r="T655" t="s">
        <v>709</v>
      </c>
      <c r="U655">
        <v>155100</v>
      </c>
      <c r="V655" t="s">
        <v>990</v>
      </c>
      <c r="W655" t="s">
        <v>732</v>
      </c>
      <c r="X655" t="s">
        <v>4207</v>
      </c>
      <c r="Y655" t="s">
        <v>4208</v>
      </c>
      <c r="Z655" t="s">
        <v>4209</v>
      </c>
      <c r="AA655" t="s">
        <v>4210</v>
      </c>
      <c r="AE655">
        <v>-36.952956409999999</v>
      </c>
      <c r="AF655">
        <v>174.88687604</v>
      </c>
      <c r="AG655">
        <v>25</v>
      </c>
      <c r="AH655">
        <v>9</v>
      </c>
      <c r="AI655">
        <v>0</v>
      </c>
      <c r="AJ655">
        <v>2</v>
      </c>
      <c r="AK655">
        <v>8</v>
      </c>
      <c r="AL655">
        <v>3</v>
      </c>
      <c r="AM655">
        <v>1</v>
      </c>
      <c r="AN655">
        <v>0</v>
      </c>
      <c r="AO655">
        <v>14</v>
      </c>
      <c r="AP655">
        <v>0</v>
      </c>
      <c r="AQ655">
        <v>14</v>
      </c>
      <c r="AR655">
        <v>0</v>
      </c>
      <c r="AS655">
        <v>0</v>
      </c>
      <c r="AT655">
        <v>0</v>
      </c>
    </row>
    <row r="656" spans="1:46">
      <c r="A656">
        <v>10176</v>
      </c>
      <c r="B656" t="s">
        <v>4548</v>
      </c>
      <c r="C656" t="s">
        <v>4549</v>
      </c>
      <c r="D656" t="s">
        <v>4550</v>
      </c>
      <c r="E656" t="s">
        <v>4551</v>
      </c>
      <c r="F656" t="s">
        <v>898</v>
      </c>
      <c r="G656" t="s">
        <v>1067</v>
      </c>
      <c r="H656" t="s">
        <v>3942</v>
      </c>
      <c r="J656" t="s">
        <v>518</v>
      </c>
      <c r="K656" t="s">
        <v>519</v>
      </c>
      <c r="M656" t="s">
        <v>520</v>
      </c>
      <c r="N656" t="s">
        <v>557</v>
      </c>
      <c r="O656" t="s">
        <v>813</v>
      </c>
      <c r="P656" t="s">
        <v>654</v>
      </c>
      <c r="Q656" t="s">
        <v>638</v>
      </c>
      <c r="R656" t="s">
        <v>639</v>
      </c>
      <c r="S656" t="s">
        <v>719</v>
      </c>
      <c r="T656" t="s">
        <v>527</v>
      </c>
      <c r="U656">
        <v>127500</v>
      </c>
      <c r="V656" t="s">
        <v>4552</v>
      </c>
      <c r="W656" t="s">
        <v>815</v>
      </c>
      <c r="X656" t="s">
        <v>4553</v>
      </c>
      <c r="Y656" t="s">
        <v>4554</v>
      </c>
      <c r="Z656" t="s">
        <v>4555</v>
      </c>
      <c r="AA656" t="s">
        <v>4556</v>
      </c>
      <c r="AC656">
        <v>99029</v>
      </c>
      <c r="AD656" t="s">
        <v>901</v>
      </c>
      <c r="AE656">
        <v>-36.886360699999997</v>
      </c>
      <c r="AF656">
        <v>174.63259160000001</v>
      </c>
      <c r="AG656">
        <v>29</v>
      </c>
      <c r="AH656">
        <v>8</v>
      </c>
      <c r="AI656">
        <v>1</v>
      </c>
      <c r="AJ656">
        <v>6</v>
      </c>
      <c r="AK656">
        <v>7</v>
      </c>
      <c r="AL656">
        <v>4</v>
      </c>
      <c r="AM656">
        <v>6</v>
      </c>
      <c r="AN656">
        <v>0</v>
      </c>
      <c r="AO656">
        <v>24</v>
      </c>
      <c r="AP656">
        <v>4</v>
      </c>
      <c r="AQ656">
        <v>1</v>
      </c>
      <c r="AR656">
        <v>17</v>
      </c>
      <c r="AS656">
        <v>6</v>
      </c>
      <c r="AT656">
        <v>2</v>
      </c>
    </row>
    <row r="657" spans="1:46">
      <c r="A657">
        <v>10177</v>
      </c>
      <c r="B657" t="s">
        <v>4557</v>
      </c>
      <c r="C657" t="s">
        <v>4558</v>
      </c>
      <c r="D657" t="s">
        <v>4559</v>
      </c>
      <c r="E657" t="s">
        <v>4560</v>
      </c>
      <c r="F657" t="s">
        <v>706</v>
      </c>
      <c r="G657" t="s">
        <v>652</v>
      </c>
      <c r="H657" t="s">
        <v>3942</v>
      </c>
      <c r="J657" t="s">
        <v>518</v>
      </c>
      <c r="K657" t="s">
        <v>519</v>
      </c>
      <c r="M657" t="s">
        <v>520</v>
      </c>
      <c r="N657" t="s">
        <v>571</v>
      </c>
      <c r="O657" t="s">
        <v>707</v>
      </c>
      <c r="P657" t="s">
        <v>654</v>
      </c>
      <c r="Q657" t="s">
        <v>638</v>
      </c>
      <c r="R657" t="s">
        <v>708</v>
      </c>
      <c r="S657" t="s">
        <v>706</v>
      </c>
      <c r="T657" t="s">
        <v>709</v>
      </c>
      <c r="U657">
        <v>149300</v>
      </c>
      <c r="V657" t="s">
        <v>4561</v>
      </c>
      <c r="W657" t="s">
        <v>711</v>
      </c>
      <c r="X657" t="s">
        <v>4562</v>
      </c>
      <c r="Y657" t="s">
        <v>4563</v>
      </c>
      <c r="Z657" t="s">
        <v>4125</v>
      </c>
      <c r="AA657" t="s">
        <v>4564</v>
      </c>
      <c r="AB657" t="s">
        <v>4558</v>
      </c>
      <c r="AC657">
        <v>99189</v>
      </c>
      <c r="AD657" t="s">
        <v>4447</v>
      </c>
      <c r="AE657">
        <v>-36.899326639999998</v>
      </c>
      <c r="AF657">
        <v>174.90020873</v>
      </c>
      <c r="AG657">
        <v>45</v>
      </c>
      <c r="AH657">
        <v>0</v>
      </c>
      <c r="AI657">
        <v>0</v>
      </c>
      <c r="AJ657">
        <v>0</v>
      </c>
      <c r="AK657">
        <v>12</v>
      </c>
      <c r="AL657">
        <v>20</v>
      </c>
      <c r="AM657">
        <v>15</v>
      </c>
      <c r="AN657">
        <v>2</v>
      </c>
      <c r="AO657">
        <v>49</v>
      </c>
      <c r="AP657">
        <v>28</v>
      </c>
      <c r="AQ657">
        <v>3</v>
      </c>
      <c r="AR657">
        <v>2</v>
      </c>
      <c r="AS657">
        <v>18</v>
      </c>
      <c r="AT657">
        <v>4</v>
      </c>
    </row>
    <row r="658" spans="1:46">
      <c r="A658">
        <v>10178</v>
      </c>
      <c r="B658" t="s">
        <v>4565</v>
      </c>
      <c r="C658" t="s">
        <v>4566</v>
      </c>
      <c r="D658" t="s">
        <v>4567</v>
      </c>
      <c r="E658" t="s">
        <v>4568</v>
      </c>
      <c r="F658" t="s">
        <v>581</v>
      </c>
      <c r="G658" t="s">
        <v>582</v>
      </c>
      <c r="H658" t="s">
        <v>3942</v>
      </c>
      <c r="J658" t="s">
        <v>3962</v>
      </c>
      <c r="K658" t="s">
        <v>519</v>
      </c>
      <c r="M658" t="s">
        <v>520</v>
      </c>
      <c r="N658" t="s">
        <v>557</v>
      </c>
      <c r="O658" t="s">
        <v>583</v>
      </c>
      <c r="P658" t="s">
        <v>584</v>
      </c>
      <c r="Q658" t="s">
        <v>524</v>
      </c>
      <c r="R658" t="s">
        <v>525</v>
      </c>
      <c r="S658" t="s">
        <v>585</v>
      </c>
      <c r="T658" t="s">
        <v>527</v>
      </c>
      <c r="U658">
        <v>106501</v>
      </c>
      <c r="V658" t="s">
        <v>4569</v>
      </c>
      <c r="W658" t="s">
        <v>587</v>
      </c>
      <c r="X658" t="s">
        <v>4403</v>
      </c>
      <c r="Y658" t="s">
        <v>4570</v>
      </c>
      <c r="AA658" t="s">
        <v>4529</v>
      </c>
      <c r="AB658" t="s">
        <v>4407</v>
      </c>
      <c r="AC658">
        <v>99182</v>
      </c>
      <c r="AD658" t="s">
        <v>588</v>
      </c>
      <c r="AE658">
        <v>-35.691090039999999</v>
      </c>
      <c r="AF658">
        <v>174.32676207</v>
      </c>
      <c r="AG658">
        <v>50</v>
      </c>
      <c r="AH658">
        <v>16</v>
      </c>
      <c r="AI658">
        <v>1</v>
      </c>
      <c r="AJ658">
        <v>8</v>
      </c>
      <c r="AK658">
        <v>8</v>
      </c>
      <c r="AL658">
        <v>10</v>
      </c>
      <c r="AM658">
        <v>8</v>
      </c>
      <c r="AN658">
        <v>1</v>
      </c>
      <c r="AO658">
        <v>36</v>
      </c>
      <c r="AP658">
        <v>11</v>
      </c>
      <c r="AQ658">
        <v>20</v>
      </c>
      <c r="AR658">
        <v>3</v>
      </c>
      <c r="AS658">
        <v>9</v>
      </c>
      <c r="AT658">
        <v>2</v>
      </c>
    </row>
    <row r="659" spans="1:46">
      <c r="A659">
        <v>10180</v>
      </c>
      <c r="B659" t="s">
        <v>4571</v>
      </c>
      <c r="C659" t="s">
        <v>4572</v>
      </c>
      <c r="D659" t="s">
        <v>4573</v>
      </c>
      <c r="E659" t="s">
        <v>4574</v>
      </c>
      <c r="F659" t="s">
        <v>847</v>
      </c>
      <c r="G659" t="s">
        <v>652</v>
      </c>
      <c r="H659" t="s">
        <v>3942</v>
      </c>
      <c r="I659" t="s">
        <v>4575</v>
      </c>
      <c r="J659" t="s">
        <v>3962</v>
      </c>
      <c r="K659" t="s">
        <v>519</v>
      </c>
      <c r="M659" t="s">
        <v>520</v>
      </c>
      <c r="N659" t="s">
        <v>727</v>
      </c>
      <c r="O659" t="s">
        <v>848</v>
      </c>
      <c r="P659" t="s">
        <v>654</v>
      </c>
      <c r="Q659" t="s">
        <v>638</v>
      </c>
      <c r="R659" t="s">
        <v>729</v>
      </c>
      <c r="S659" t="s">
        <v>849</v>
      </c>
      <c r="T659" t="s">
        <v>709</v>
      </c>
      <c r="U659">
        <v>151200</v>
      </c>
      <c r="V659" t="s">
        <v>4576</v>
      </c>
      <c r="W659" t="s">
        <v>732</v>
      </c>
      <c r="X659" t="s">
        <v>4577</v>
      </c>
      <c r="Y659" t="s">
        <v>4578</v>
      </c>
      <c r="Z659" t="s">
        <v>847</v>
      </c>
      <c r="AA659" t="s">
        <v>4226</v>
      </c>
      <c r="AB659" t="s">
        <v>4572</v>
      </c>
      <c r="AC659">
        <v>99124</v>
      </c>
      <c r="AD659" t="s">
        <v>4579</v>
      </c>
      <c r="AE659">
        <v>-36.961600760000003</v>
      </c>
      <c r="AF659">
        <v>174.81677486999999</v>
      </c>
      <c r="AG659">
        <v>40</v>
      </c>
      <c r="AH659">
        <v>8</v>
      </c>
      <c r="AI659">
        <v>1</v>
      </c>
      <c r="AJ659">
        <v>7</v>
      </c>
      <c r="AK659">
        <v>3</v>
      </c>
      <c r="AL659">
        <v>5</v>
      </c>
      <c r="AM659">
        <v>6</v>
      </c>
      <c r="AN659">
        <v>2</v>
      </c>
      <c r="AO659">
        <v>24</v>
      </c>
      <c r="AP659">
        <v>0</v>
      </c>
      <c r="AQ659">
        <v>4</v>
      </c>
      <c r="AR659">
        <v>24</v>
      </c>
      <c r="AS659">
        <v>0</v>
      </c>
      <c r="AT659">
        <v>0</v>
      </c>
    </row>
    <row r="660" spans="1:46">
      <c r="A660">
        <v>10181</v>
      </c>
      <c r="B660" t="s">
        <v>4580</v>
      </c>
      <c r="C660" t="s">
        <v>4581</v>
      </c>
      <c r="D660" t="s">
        <v>4582</v>
      </c>
      <c r="E660" t="s">
        <v>4574</v>
      </c>
      <c r="F660" t="s">
        <v>847</v>
      </c>
      <c r="G660" t="s">
        <v>652</v>
      </c>
      <c r="H660" t="s">
        <v>3942</v>
      </c>
      <c r="I660" t="s">
        <v>4165</v>
      </c>
      <c r="J660" t="s">
        <v>3962</v>
      </c>
      <c r="K660" t="s">
        <v>519</v>
      </c>
      <c r="M660" t="s">
        <v>520</v>
      </c>
      <c r="N660" t="s">
        <v>727</v>
      </c>
      <c r="O660" t="s">
        <v>848</v>
      </c>
      <c r="P660" t="s">
        <v>654</v>
      </c>
      <c r="Q660" t="s">
        <v>638</v>
      </c>
      <c r="R660" t="s">
        <v>729</v>
      </c>
      <c r="S660" t="s">
        <v>849</v>
      </c>
      <c r="T660" t="s">
        <v>709</v>
      </c>
      <c r="U660">
        <v>151200</v>
      </c>
      <c r="V660" t="s">
        <v>4576</v>
      </c>
      <c r="W660" t="s">
        <v>732</v>
      </c>
      <c r="X660" t="s">
        <v>4583</v>
      </c>
      <c r="Y660" t="s">
        <v>4584</v>
      </c>
      <c r="Z660" t="s">
        <v>3945</v>
      </c>
      <c r="AA660" t="s">
        <v>4585</v>
      </c>
      <c r="AC660">
        <v>99124</v>
      </c>
      <c r="AD660" t="s">
        <v>4579</v>
      </c>
      <c r="AE660">
        <v>-36.961708940000001</v>
      </c>
      <c r="AF660">
        <v>174.81679568000001</v>
      </c>
      <c r="AG660">
        <v>40</v>
      </c>
      <c r="AH660">
        <v>5</v>
      </c>
      <c r="AI660">
        <v>0</v>
      </c>
      <c r="AJ660">
        <v>0</v>
      </c>
      <c r="AK660">
        <v>0</v>
      </c>
      <c r="AL660">
        <v>3</v>
      </c>
      <c r="AM660">
        <v>14</v>
      </c>
      <c r="AN660">
        <v>0</v>
      </c>
      <c r="AO660">
        <v>17</v>
      </c>
      <c r="AP660">
        <v>3</v>
      </c>
      <c r="AQ660">
        <v>2</v>
      </c>
      <c r="AR660">
        <v>17</v>
      </c>
      <c r="AS660">
        <v>0</v>
      </c>
      <c r="AT660">
        <v>0</v>
      </c>
    </row>
    <row r="661" spans="1:46">
      <c r="A661">
        <v>10182</v>
      </c>
      <c r="B661" t="s">
        <v>4586</v>
      </c>
      <c r="C661" t="s">
        <v>4587</v>
      </c>
      <c r="D661" t="s">
        <v>4588</v>
      </c>
      <c r="E661" t="s">
        <v>4589</v>
      </c>
      <c r="F661" t="s">
        <v>847</v>
      </c>
      <c r="G661" t="s">
        <v>652</v>
      </c>
      <c r="H661" t="s">
        <v>3942</v>
      </c>
      <c r="I661" t="s">
        <v>4165</v>
      </c>
      <c r="J661" t="s">
        <v>3962</v>
      </c>
      <c r="K661" t="s">
        <v>519</v>
      </c>
      <c r="M661" t="s">
        <v>520</v>
      </c>
      <c r="N661" t="s">
        <v>521</v>
      </c>
      <c r="O661" t="s">
        <v>848</v>
      </c>
      <c r="P661" t="s">
        <v>654</v>
      </c>
      <c r="Q661" t="s">
        <v>638</v>
      </c>
      <c r="R661" t="s">
        <v>729</v>
      </c>
      <c r="S661" t="s">
        <v>849</v>
      </c>
      <c r="T661" t="s">
        <v>709</v>
      </c>
      <c r="U661">
        <v>151200</v>
      </c>
      <c r="V661" t="s">
        <v>4576</v>
      </c>
      <c r="W661" t="s">
        <v>732</v>
      </c>
      <c r="X661" t="s">
        <v>4590</v>
      </c>
      <c r="Y661" t="s">
        <v>4591</v>
      </c>
      <c r="Z661" t="s">
        <v>1283</v>
      </c>
      <c r="AA661" t="s">
        <v>4537</v>
      </c>
      <c r="AB661" t="s">
        <v>4592</v>
      </c>
      <c r="AC661">
        <v>99124</v>
      </c>
      <c r="AD661" t="s">
        <v>4579</v>
      </c>
      <c r="AE661">
        <v>-36.961629670000001</v>
      </c>
      <c r="AF661">
        <v>174.81688808000001</v>
      </c>
      <c r="AG661">
        <v>40</v>
      </c>
      <c r="AH661">
        <v>8</v>
      </c>
      <c r="AI661">
        <v>0</v>
      </c>
      <c r="AJ661">
        <v>4</v>
      </c>
      <c r="AK661">
        <v>9</v>
      </c>
      <c r="AL661">
        <v>12</v>
      </c>
      <c r="AM661">
        <v>14</v>
      </c>
      <c r="AN661">
        <v>1</v>
      </c>
      <c r="AO661">
        <v>40</v>
      </c>
      <c r="AP661">
        <v>2</v>
      </c>
      <c r="AQ661">
        <v>0</v>
      </c>
      <c r="AR661">
        <v>39</v>
      </c>
      <c r="AS661">
        <v>0</v>
      </c>
      <c r="AT661">
        <v>0</v>
      </c>
    </row>
    <row r="662" spans="1:46">
      <c r="A662">
        <v>10183</v>
      </c>
      <c r="B662" t="s">
        <v>4593</v>
      </c>
      <c r="C662" t="s">
        <v>4594</v>
      </c>
      <c r="D662" t="s">
        <v>4595</v>
      </c>
      <c r="E662" t="s">
        <v>4596</v>
      </c>
      <c r="G662" t="s">
        <v>3673</v>
      </c>
      <c r="H662" t="s">
        <v>3942</v>
      </c>
      <c r="J662" t="s">
        <v>3962</v>
      </c>
      <c r="K662" t="s">
        <v>519</v>
      </c>
      <c r="M662" t="s">
        <v>520</v>
      </c>
      <c r="N662" t="s">
        <v>571</v>
      </c>
      <c r="O662" t="s">
        <v>522</v>
      </c>
      <c r="P662" t="s">
        <v>523</v>
      </c>
      <c r="Q662" t="s">
        <v>524</v>
      </c>
      <c r="R662" t="s">
        <v>525</v>
      </c>
      <c r="S662" t="s">
        <v>526</v>
      </c>
      <c r="T662" t="s">
        <v>527</v>
      </c>
      <c r="U662">
        <v>103000</v>
      </c>
      <c r="V662" t="s">
        <v>3674</v>
      </c>
      <c r="W662" t="s">
        <v>558</v>
      </c>
      <c r="X662" t="s">
        <v>4597</v>
      </c>
      <c r="Y662" t="s">
        <v>4598</v>
      </c>
      <c r="Z662" t="s">
        <v>532</v>
      </c>
      <c r="AA662" t="s">
        <v>4529</v>
      </c>
      <c r="AB662" t="s">
        <v>4599</v>
      </c>
      <c r="AE662">
        <v>-35.229298360000001</v>
      </c>
      <c r="AF662">
        <v>173.94931213000001</v>
      </c>
      <c r="AG662">
        <v>29</v>
      </c>
      <c r="AH662">
        <v>12</v>
      </c>
      <c r="AI662">
        <v>0</v>
      </c>
      <c r="AJ662">
        <v>3</v>
      </c>
      <c r="AK662">
        <v>5</v>
      </c>
      <c r="AL662">
        <v>6</v>
      </c>
      <c r="AM662">
        <v>9</v>
      </c>
      <c r="AN662">
        <v>1</v>
      </c>
      <c r="AO662">
        <v>24</v>
      </c>
      <c r="AP662">
        <v>10</v>
      </c>
      <c r="AQ662">
        <v>10</v>
      </c>
      <c r="AR662">
        <v>1</v>
      </c>
      <c r="AS662">
        <v>6</v>
      </c>
      <c r="AT662">
        <v>3</v>
      </c>
    </row>
    <row r="663" spans="1:46">
      <c r="A663">
        <v>10184</v>
      </c>
      <c r="B663" t="s">
        <v>4600</v>
      </c>
      <c r="C663" t="s">
        <v>4601</v>
      </c>
      <c r="E663" t="s">
        <v>4602</v>
      </c>
      <c r="F663" t="s">
        <v>803</v>
      </c>
      <c r="G663" t="s">
        <v>652</v>
      </c>
      <c r="H663" t="s">
        <v>3942</v>
      </c>
      <c r="J663" t="s">
        <v>518</v>
      </c>
      <c r="K663" t="s">
        <v>519</v>
      </c>
      <c r="M663" t="s">
        <v>520</v>
      </c>
      <c r="N663" t="s">
        <v>571</v>
      </c>
      <c r="O663" t="s">
        <v>804</v>
      </c>
      <c r="P663" t="s">
        <v>654</v>
      </c>
      <c r="Q663" t="s">
        <v>638</v>
      </c>
      <c r="R663" t="s">
        <v>708</v>
      </c>
      <c r="S663" t="s">
        <v>805</v>
      </c>
      <c r="T663" t="s">
        <v>709</v>
      </c>
      <c r="U663">
        <v>144400</v>
      </c>
      <c r="V663" t="s">
        <v>806</v>
      </c>
      <c r="W663" t="s">
        <v>807</v>
      </c>
      <c r="X663" t="s">
        <v>4603</v>
      </c>
      <c r="Y663" t="s">
        <v>4604</v>
      </c>
      <c r="AA663" t="s">
        <v>4037</v>
      </c>
      <c r="AB663" t="s">
        <v>4605</v>
      </c>
      <c r="AE663">
        <v>-36.894657289999998</v>
      </c>
      <c r="AF663">
        <v>174.81929851000001</v>
      </c>
      <c r="AG663">
        <v>30</v>
      </c>
      <c r="AH663">
        <v>10</v>
      </c>
      <c r="AI663">
        <v>0</v>
      </c>
      <c r="AJ663">
        <v>1</v>
      </c>
      <c r="AK663">
        <v>7</v>
      </c>
      <c r="AL663">
        <v>6</v>
      </c>
      <c r="AM663">
        <v>6</v>
      </c>
      <c r="AN663">
        <v>0</v>
      </c>
      <c r="AO663">
        <v>20</v>
      </c>
      <c r="AP663">
        <v>12</v>
      </c>
      <c r="AQ663">
        <v>2</v>
      </c>
      <c r="AR663">
        <v>0</v>
      </c>
      <c r="AS663">
        <v>11</v>
      </c>
      <c r="AT663">
        <v>1</v>
      </c>
    </row>
    <row r="664" spans="1:46">
      <c r="A664">
        <v>10186</v>
      </c>
      <c r="B664" t="s">
        <v>4606</v>
      </c>
      <c r="C664" t="s">
        <v>4607</v>
      </c>
      <c r="D664" t="s">
        <v>4608</v>
      </c>
      <c r="E664" t="s">
        <v>4609</v>
      </c>
      <c r="F664" t="s">
        <v>945</v>
      </c>
      <c r="G664" t="s">
        <v>652</v>
      </c>
      <c r="H664" t="s">
        <v>3942</v>
      </c>
      <c r="I664" t="s">
        <v>4575</v>
      </c>
      <c r="J664" t="s">
        <v>518</v>
      </c>
      <c r="K664" t="s">
        <v>519</v>
      </c>
      <c r="M664" t="s">
        <v>520</v>
      </c>
      <c r="N664" t="s">
        <v>521</v>
      </c>
      <c r="O664" t="s">
        <v>848</v>
      </c>
      <c r="P664" t="s">
        <v>654</v>
      </c>
      <c r="Q664" t="s">
        <v>638</v>
      </c>
      <c r="R664" t="s">
        <v>729</v>
      </c>
      <c r="S664" t="s">
        <v>849</v>
      </c>
      <c r="T664" t="s">
        <v>709</v>
      </c>
      <c r="U664">
        <v>151200</v>
      </c>
      <c r="V664" t="s">
        <v>4576</v>
      </c>
      <c r="W664" t="s">
        <v>732</v>
      </c>
      <c r="X664" t="s">
        <v>4610</v>
      </c>
      <c r="Y664" t="s">
        <v>4611</v>
      </c>
      <c r="Z664" t="s">
        <v>945</v>
      </c>
      <c r="AA664" t="s">
        <v>4612</v>
      </c>
      <c r="AB664" t="s">
        <v>4613</v>
      </c>
      <c r="AE664">
        <v>-36.961744609999997</v>
      </c>
      <c r="AF664">
        <v>174.81687350000001</v>
      </c>
      <c r="AG664">
        <v>40</v>
      </c>
      <c r="AH664">
        <v>8</v>
      </c>
      <c r="AI664">
        <v>0</v>
      </c>
      <c r="AJ664">
        <v>3</v>
      </c>
      <c r="AK664">
        <v>4</v>
      </c>
      <c r="AL664">
        <v>1</v>
      </c>
      <c r="AM664">
        <v>3</v>
      </c>
      <c r="AN664">
        <v>0</v>
      </c>
      <c r="AO664">
        <v>11</v>
      </c>
      <c r="AP664">
        <v>1</v>
      </c>
      <c r="AQ664">
        <v>3</v>
      </c>
      <c r="AR664">
        <v>10</v>
      </c>
      <c r="AS664">
        <v>1</v>
      </c>
      <c r="AT664">
        <v>0</v>
      </c>
    </row>
    <row r="665" spans="1:46">
      <c r="A665">
        <v>10187</v>
      </c>
      <c r="B665" t="s">
        <v>4614</v>
      </c>
      <c r="C665" t="s">
        <v>4615</v>
      </c>
      <c r="D665" t="s">
        <v>4616</v>
      </c>
      <c r="E665" t="s">
        <v>4617</v>
      </c>
      <c r="F665" t="s">
        <v>945</v>
      </c>
      <c r="G665" t="s">
        <v>652</v>
      </c>
      <c r="H665" t="s">
        <v>3942</v>
      </c>
      <c r="I665" t="s">
        <v>4222</v>
      </c>
      <c r="J665" t="s">
        <v>3962</v>
      </c>
      <c r="K665" t="s">
        <v>519</v>
      </c>
      <c r="M665" t="s">
        <v>520</v>
      </c>
      <c r="N665" t="s">
        <v>727</v>
      </c>
      <c r="O665" t="s">
        <v>848</v>
      </c>
      <c r="P665" t="s">
        <v>654</v>
      </c>
      <c r="Q665" t="s">
        <v>638</v>
      </c>
      <c r="R665" t="s">
        <v>729</v>
      </c>
      <c r="S665" t="s">
        <v>849</v>
      </c>
      <c r="T665" t="s">
        <v>709</v>
      </c>
      <c r="U665">
        <v>151200</v>
      </c>
      <c r="V665" t="s">
        <v>4576</v>
      </c>
      <c r="W665" t="s">
        <v>732</v>
      </c>
      <c r="X665" t="s">
        <v>4618</v>
      </c>
      <c r="Y665" t="s">
        <v>4619</v>
      </c>
      <c r="Z665" t="s">
        <v>1283</v>
      </c>
      <c r="AA665" t="s">
        <v>4620</v>
      </c>
      <c r="AB665" t="s">
        <v>4615</v>
      </c>
      <c r="AE665">
        <v>-36.961797859999997</v>
      </c>
      <c r="AF665">
        <v>174.81681465</v>
      </c>
      <c r="AG665">
        <v>40</v>
      </c>
      <c r="AH665">
        <v>8</v>
      </c>
      <c r="AI665">
        <v>0</v>
      </c>
      <c r="AJ665">
        <v>2</v>
      </c>
      <c r="AK665">
        <v>6</v>
      </c>
      <c r="AL665">
        <v>8</v>
      </c>
      <c r="AM665">
        <v>4</v>
      </c>
      <c r="AN665">
        <v>0</v>
      </c>
      <c r="AO665">
        <v>20</v>
      </c>
      <c r="AP665">
        <v>1</v>
      </c>
      <c r="AQ665">
        <v>1</v>
      </c>
      <c r="AR665">
        <v>20</v>
      </c>
      <c r="AS665">
        <v>1</v>
      </c>
      <c r="AT665">
        <v>0</v>
      </c>
    </row>
    <row r="666" spans="1:46">
      <c r="A666">
        <v>10188</v>
      </c>
      <c r="B666" t="s">
        <v>4621</v>
      </c>
      <c r="C666" t="s">
        <v>4622</v>
      </c>
      <c r="D666" t="s">
        <v>4623</v>
      </c>
      <c r="E666" t="s">
        <v>4624</v>
      </c>
      <c r="F666" t="s">
        <v>770</v>
      </c>
      <c r="G666" t="s">
        <v>652</v>
      </c>
      <c r="H666" t="s">
        <v>3942</v>
      </c>
      <c r="I666" t="s">
        <v>4065</v>
      </c>
      <c r="J666" t="s">
        <v>3962</v>
      </c>
      <c r="K666" t="s">
        <v>519</v>
      </c>
      <c r="M666" t="s">
        <v>520</v>
      </c>
      <c r="N666" t="s">
        <v>571</v>
      </c>
      <c r="O666" t="s">
        <v>718</v>
      </c>
      <c r="P666" t="s">
        <v>654</v>
      </c>
      <c r="Q666" t="s">
        <v>638</v>
      </c>
      <c r="R666" t="s">
        <v>639</v>
      </c>
      <c r="S666" t="s">
        <v>770</v>
      </c>
      <c r="T666" t="s">
        <v>709</v>
      </c>
      <c r="U666">
        <v>136501</v>
      </c>
      <c r="V666" t="s">
        <v>4625</v>
      </c>
      <c r="W666" t="s">
        <v>721</v>
      </c>
      <c r="X666" t="s">
        <v>4626</v>
      </c>
      <c r="Y666" t="s">
        <v>4624</v>
      </c>
      <c r="Z666" t="s">
        <v>770</v>
      </c>
      <c r="AA666" t="s">
        <v>4333</v>
      </c>
      <c r="AB666" t="s">
        <v>4627</v>
      </c>
      <c r="AC666">
        <v>99062</v>
      </c>
      <c r="AD666" t="s">
        <v>893</v>
      </c>
      <c r="AE666">
        <v>-36.920928179999997</v>
      </c>
      <c r="AF666">
        <v>174.67395431</v>
      </c>
      <c r="AG666">
        <v>30</v>
      </c>
      <c r="AH666">
        <v>0</v>
      </c>
      <c r="AI666">
        <v>0</v>
      </c>
      <c r="AJ666">
        <v>0</v>
      </c>
      <c r="AK666">
        <v>12</v>
      </c>
      <c r="AL666">
        <v>10</v>
      </c>
      <c r="AM666">
        <v>14</v>
      </c>
      <c r="AN666">
        <v>0</v>
      </c>
      <c r="AO666">
        <v>36</v>
      </c>
      <c r="AP666">
        <v>21</v>
      </c>
      <c r="AQ666">
        <v>3</v>
      </c>
      <c r="AR666">
        <v>3</v>
      </c>
      <c r="AS666">
        <v>15</v>
      </c>
      <c r="AT666">
        <v>2</v>
      </c>
    </row>
    <row r="667" spans="1:46">
      <c r="A667">
        <v>10189</v>
      </c>
      <c r="B667" t="s">
        <v>4628</v>
      </c>
      <c r="C667" t="s">
        <v>4629</v>
      </c>
      <c r="D667" t="s">
        <v>4630</v>
      </c>
      <c r="E667" t="s">
        <v>4631</v>
      </c>
      <c r="F667" t="s">
        <v>717</v>
      </c>
      <c r="G667" t="s">
        <v>652</v>
      </c>
      <c r="H667" t="s">
        <v>3942</v>
      </c>
      <c r="J667" t="s">
        <v>3962</v>
      </c>
      <c r="K667" t="s">
        <v>519</v>
      </c>
      <c r="M667" t="s">
        <v>520</v>
      </c>
      <c r="N667" t="s">
        <v>539</v>
      </c>
      <c r="O667" t="s">
        <v>718</v>
      </c>
      <c r="P667" t="s">
        <v>654</v>
      </c>
      <c r="Q667" t="s">
        <v>638</v>
      </c>
      <c r="R667" t="s">
        <v>708</v>
      </c>
      <c r="S667" t="s">
        <v>770</v>
      </c>
      <c r="T667" t="s">
        <v>709</v>
      </c>
      <c r="U667">
        <v>131700</v>
      </c>
      <c r="V667" t="s">
        <v>4632</v>
      </c>
      <c r="W667" t="s">
        <v>721</v>
      </c>
      <c r="X667" t="s">
        <v>4633</v>
      </c>
      <c r="Y667" t="s">
        <v>4634</v>
      </c>
      <c r="AA667" t="s">
        <v>4635</v>
      </c>
      <c r="AB667" t="s">
        <v>4636</v>
      </c>
      <c r="AE667">
        <v>-36.897141019999999</v>
      </c>
      <c r="AF667">
        <v>174.68595357999999</v>
      </c>
      <c r="AG667">
        <v>70</v>
      </c>
      <c r="AH667">
        <v>15</v>
      </c>
      <c r="AI667">
        <v>2</v>
      </c>
      <c r="AJ667">
        <v>12</v>
      </c>
      <c r="AK667">
        <v>11</v>
      </c>
      <c r="AL667">
        <v>13</v>
      </c>
      <c r="AM667">
        <v>15</v>
      </c>
      <c r="AN667">
        <v>1</v>
      </c>
      <c r="AO667">
        <v>54</v>
      </c>
      <c r="AP667">
        <v>9</v>
      </c>
      <c r="AQ667">
        <v>6</v>
      </c>
      <c r="AR667">
        <v>26</v>
      </c>
      <c r="AS667">
        <v>19</v>
      </c>
      <c r="AT667">
        <v>5</v>
      </c>
    </row>
    <row r="668" spans="1:46">
      <c r="A668">
        <v>10190</v>
      </c>
      <c r="B668" t="s">
        <v>4637</v>
      </c>
      <c r="C668" t="s">
        <v>4638</v>
      </c>
      <c r="D668" t="s">
        <v>4639</v>
      </c>
      <c r="E668" t="s">
        <v>4640</v>
      </c>
      <c r="F668" t="s">
        <v>1157</v>
      </c>
      <c r="G668" t="s">
        <v>652</v>
      </c>
      <c r="H668" t="s">
        <v>3942</v>
      </c>
      <c r="I668" t="s">
        <v>4113</v>
      </c>
      <c r="J668" t="s">
        <v>518</v>
      </c>
      <c r="K668" t="s">
        <v>519</v>
      </c>
      <c r="M668" t="s">
        <v>520</v>
      </c>
      <c r="N668" t="s">
        <v>571</v>
      </c>
      <c r="O668" t="s">
        <v>857</v>
      </c>
      <c r="P668" t="s">
        <v>654</v>
      </c>
      <c r="Q668" t="s">
        <v>638</v>
      </c>
      <c r="R668" t="s">
        <v>708</v>
      </c>
      <c r="S668" t="s">
        <v>858</v>
      </c>
      <c r="T668" t="s">
        <v>709</v>
      </c>
      <c r="U668">
        <v>137000</v>
      </c>
      <c r="V668" t="s">
        <v>4641</v>
      </c>
      <c r="W668" t="s">
        <v>860</v>
      </c>
      <c r="X668" t="s">
        <v>4642</v>
      </c>
      <c r="Y668" t="s">
        <v>4643</v>
      </c>
      <c r="Z668" t="s">
        <v>1157</v>
      </c>
      <c r="AA668" t="s">
        <v>4644</v>
      </c>
      <c r="AB668" t="s">
        <v>4638</v>
      </c>
      <c r="AC668">
        <v>99150</v>
      </c>
      <c r="AD668" t="s">
        <v>861</v>
      </c>
      <c r="AE668">
        <v>-36.889834059999998</v>
      </c>
      <c r="AF668">
        <v>174.73494943</v>
      </c>
      <c r="AG668">
        <v>25</v>
      </c>
      <c r="AH668">
        <v>0</v>
      </c>
      <c r="AI668">
        <v>0</v>
      </c>
      <c r="AJ668">
        <v>0</v>
      </c>
      <c r="AK668">
        <v>1</v>
      </c>
      <c r="AL668">
        <v>9</v>
      </c>
      <c r="AM668">
        <v>8</v>
      </c>
      <c r="AN668">
        <v>4</v>
      </c>
      <c r="AO668">
        <v>22</v>
      </c>
      <c r="AP668">
        <v>14</v>
      </c>
      <c r="AQ668">
        <v>4</v>
      </c>
      <c r="AR668">
        <v>4</v>
      </c>
      <c r="AS668">
        <v>9</v>
      </c>
      <c r="AT668">
        <v>0</v>
      </c>
    </row>
    <row r="669" spans="1:46">
      <c r="A669">
        <v>10191</v>
      </c>
      <c r="B669" t="s">
        <v>4645</v>
      </c>
      <c r="C669" t="s">
        <v>4646</v>
      </c>
      <c r="D669" t="s">
        <v>4647</v>
      </c>
      <c r="E669" t="s">
        <v>4648</v>
      </c>
      <c r="F669" t="s">
        <v>726</v>
      </c>
      <c r="G669" t="s">
        <v>652</v>
      </c>
      <c r="H669" t="s">
        <v>3942</v>
      </c>
      <c r="I669" t="s">
        <v>3644</v>
      </c>
      <c r="J669" t="s">
        <v>518</v>
      </c>
      <c r="K669" t="s">
        <v>519</v>
      </c>
      <c r="M669" t="s">
        <v>520</v>
      </c>
      <c r="N669" t="s">
        <v>727</v>
      </c>
      <c r="O669" t="s">
        <v>728</v>
      </c>
      <c r="P669" t="s">
        <v>654</v>
      </c>
      <c r="Q669" t="s">
        <v>638</v>
      </c>
      <c r="R669" t="s">
        <v>729</v>
      </c>
      <c r="S669" t="s">
        <v>778</v>
      </c>
      <c r="T669" t="s">
        <v>709</v>
      </c>
      <c r="U669">
        <v>156800</v>
      </c>
      <c r="V669" t="s">
        <v>4649</v>
      </c>
      <c r="W669" t="s">
        <v>732</v>
      </c>
      <c r="X669" t="s">
        <v>4650</v>
      </c>
      <c r="Y669" t="s">
        <v>4651</v>
      </c>
      <c r="Z669" t="s">
        <v>726</v>
      </c>
      <c r="AA669" t="s">
        <v>4620</v>
      </c>
      <c r="AB669" t="s">
        <v>4646</v>
      </c>
      <c r="AC669">
        <v>99200</v>
      </c>
      <c r="AD669" t="s">
        <v>867</v>
      </c>
      <c r="AE669">
        <v>-36.968362310000003</v>
      </c>
      <c r="AF669">
        <v>174.88921457000001</v>
      </c>
      <c r="AG669">
        <v>40</v>
      </c>
      <c r="AH669">
        <v>0</v>
      </c>
      <c r="AI669">
        <v>0</v>
      </c>
      <c r="AJ669">
        <v>0</v>
      </c>
      <c r="AK669">
        <v>4</v>
      </c>
      <c r="AL669">
        <v>5</v>
      </c>
      <c r="AM669">
        <v>12</v>
      </c>
      <c r="AN669">
        <v>2</v>
      </c>
      <c r="AO669">
        <v>23</v>
      </c>
      <c r="AP669">
        <v>2</v>
      </c>
      <c r="AQ669">
        <v>2</v>
      </c>
      <c r="AR669">
        <v>20</v>
      </c>
      <c r="AS669">
        <v>4</v>
      </c>
      <c r="AT669">
        <v>1</v>
      </c>
    </row>
    <row r="670" spans="1:46">
      <c r="A670">
        <v>10194</v>
      </c>
      <c r="B670" t="s">
        <v>4652</v>
      </c>
      <c r="C670" t="s">
        <v>4653</v>
      </c>
      <c r="E670" t="s">
        <v>4654</v>
      </c>
      <c r="F670" t="s">
        <v>4655</v>
      </c>
      <c r="G670" t="s">
        <v>652</v>
      </c>
      <c r="H670" t="s">
        <v>3942</v>
      </c>
      <c r="J670" t="s">
        <v>3962</v>
      </c>
      <c r="K670" t="s">
        <v>519</v>
      </c>
      <c r="M670" t="s">
        <v>520</v>
      </c>
      <c r="N670" t="s">
        <v>571</v>
      </c>
      <c r="O670" t="s">
        <v>957</v>
      </c>
      <c r="P670" t="s">
        <v>654</v>
      </c>
      <c r="Q670" t="s">
        <v>638</v>
      </c>
      <c r="R670" t="s">
        <v>708</v>
      </c>
      <c r="S670" t="s">
        <v>958</v>
      </c>
      <c r="T670" t="s">
        <v>709</v>
      </c>
      <c r="U670">
        <v>130400</v>
      </c>
      <c r="V670" t="s">
        <v>4656</v>
      </c>
      <c r="W670" t="s">
        <v>959</v>
      </c>
      <c r="X670" t="s">
        <v>4657</v>
      </c>
      <c r="Y670" t="s">
        <v>4658</v>
      </c>
      <c r="Z670" t="s">
        <v>958</v>
      </c>
      <c r="AA670" t="s">
        <v>4659</v>
      </c>
      <c r="AB670" t="s">
        <v>4653</v>
      </c>
      <c r="AE670">
        <v>-36.848245830000003</v>
      </c>
      <c r="AF670">
        <v>174.73142863999999</v>
      </c>
      <c r="AG670">
        <v>100</v>
      </c>
      <c r="AH670">
        <v>25</v>
      </c>
      <c r="AI670">
        <v>4</v>
      </c>
      <c r="AJ670">
        <v>17</v>
      </c>
      <c r="AK670">
        <v>22</v>
      </c>
      <c r="AL670">
        <v>16</v>
      </c>
      <c r="AM670">
        <v>26</v>
      </c>
      <c r="AN670">
        <v>0</v>
      </c>
      <c r="AO670">
        <v>85</v>
      </c>
      <c r="AP670">
        <v>77</v>
      </c>
      <c r="AQ670">
        <v>11</v>
      </c>
      <c r="AR670">
        <v>7</v>
      </c>
      <c r="AS670">
        <v>15</v>
      </c>
      <c r="AT670">
        <v>5</v>
      </c>
    </row>
    <row r="671" spans="1:46">
      <c r="A671">
        <v>10196</v>
      </c>
      <c r="B671" t="s">
        <v>4660</v>
      </c>
      <c r="C671" t="s">
        <v>4661</v>
      </c>
      <c r="D671" t="s">
        <v>4662</v>
      </c>
      <c r="E671" t="s">
        <v>4663</v>
      </c>
      <c r="G671" t="s">
        <v>4664</v>
      </c>
      <c r="H671" t="s">
        <v>3942</v>
      </c>
      <c r="I671" t="s">
        <v>3971</v>
      </c>
      <c r="J671" t="s">
        <v>3962</v>
      </c>
      <c r="K671" t="s">
        <v>519</v>
      </c>
      <c r="M671" t="s">
        <v>520</v>
      </c>
      <c r="N671" t="s">
        <v>571</v>
      </c>
      <c r="O671" t="s">
        <v>583</v>
      </c>
      <c r="P671" t="s">
        <v>572</v>
      </c>
      <c r="Q671" t="s">
        <v>524</v>
      </c>
      <c r="R671" t="s">
        <v>525</v>
      </c>
      <c r="S671" t="s">
        <v>585</v>
      </c>
      <c r="T671" t="s">
        <v>527</v>
      </c>
      <c r="U671">
        <v>105700</v>
      </c>
      <c r="V671" t="s">
        <v>4664</v>
      </c>
      <c r="W671" t="s">
        <v>4665</v>
      </c>
      <c r="X671" t="s">
        <v>4666</v>
      </c>
      <c r="Y671" t="s">
        <v>4667</v>
      </c>
      <c r="AA671" t="s">
        <v>4668</v>
      </c>
      <c r="AC671">
        <v>99182</v>
      </c>
      <c r="AD671" t="s">
        <v>588</v>
      </c>
      <c r="AE671">
        <v>-35.65709288</v>
      </c>
      <c r="AF671">
        <v>174.38448786999999</v>
      </c>
      <c r="AG671">
        <v>30</v>
      </c>
      <c r="AH671">
        <v>8</v>
      </c>
      <c r="AI671">
        <v>1</v>
      </c>
      <c r="AJ671">
        <v>6</v>
      </c>
      <c r="AK671">
        <v>15</v>
      </c>
      <c r="AL671">
        <v>6</v>
      </c>
      <c r="AM671">
        <v>5</v>
      </c>
      <c r="AN671">
        <v>2</v>
      </c>
      <c r="AO671">
        <v>35</v>
      </c>
      <c r="AP671">
        <v>34</v>
      </c>
      <c r="AQ671">
        <v>8</v>
      </c>
      <c r="AR671">
        <v>3</v>
      </c>
      <c r="AS671">
        <v>2</v>
      </c>
      <c r="AT671">
        <v>0</v>
      </c>
    </row>
    <row r="672" spans="1:46">
      <c r="A672">
        <v>10198</v>
      </c>
      <c r="B672" t="s">
        <v>4669</v>
      </c>
      <c r="E672" t="s">
        <v>4670</v>
      </c>
      <c r="F672" t="s">
        <v>4031</v>
      </c>
      <c r="G672" t="s">
        <v>652</v>
      </c>
      <c r="H672" t="s">
        <v>4032</v>
      </c>
      <c r="I672" t="s">
        <v>4033</v>
      </c>
      <c r="J672" t="s">
        <v>518</v>
      </c>
      <c r="K672" t="s">
        <v>519</v>
      </c>
      <c r="M672" t="s">
        <v>520</v>
      </c>
      <c r="N672" t="s">
        <v>727</v>
      </c>
      <c r="O672" t="s">
        <v>957</v>
      </c>
      <c r="P672" t="s">
        <v>654</v>
      </c>
      <c r="Q672" t="s">
        <v>638</v>
      </c>
      <c r="R672" t="s">
        <v>708</v>
      </c>
      <c r="S672" t="s">
        <v>958</v>
      </c>
      <c r="T672" t="s">
        <v>709</v>
      </c>
      <c r="U672">
        <v>136100</v>
      </c>
      <c r="V672" t="s">
        <v>4031</v>
      </c>
      <c r="W672" t="s">
        <v>824</v>
      </c>
      <c r="X672" t="s">
        <v>4034</v>
      </c>
      <c r="Y672" t="s">
        <v>4035</v>
      </c>
      <c r="Z672" t="s">
        <v>4036</v>
      </c>
      <c r="AA672" t="s">
        <v>4037</v>
      </c>
      <c r="AB672" t="s">
        <v>4038</v>
      </c>
      <c r="AC672">
        <v>99125</v>
      </c>
      <c r="AD672" t="s">
        <v>816</v>
      </c>
      <c r="AE672">
        <v>-36.860693640000001</v>
      </c>
      <c r="AF672">
        <v>174.76952657000001</v>
      </c>
      <c r="AG672">
        <v>25</v>
      </c>
      <c r="AH672">
        <v>25</v>
      </c>
    </row>
    <row r="673" spans="1:46">
      <c r="A673">
        <v>10199</v>
      </c>
      <c r="B673" t="s">
        <v>4671</v>
      </c>
      <c r="D673" t="s">
        <v>4672</v>
      </c>
      <c r="E673" t="s">
        <v>4673</v>
      </c>
      <c r="F673" t="s">
        <v>4031</v>
      </c>
      <c r="G673" t="s">
        <v>652</v>
      </c>
      <c r="H673" t="s">
        <v>4032</v>
      </c>
      <c r="I673" t="s">
        <v>4033</v>
      </c>
      <c r="J673" t="s">
        <v>518</v>
      </c>
      <c r="K673" t="s">
        <v>519</v>
      </c>
      <c r="M673" t="s">
        <v>520</v>
      </c>
      <c r="N673" t="s">
        <v>727</v>
      </c>
      <c r="O673" t="s">
        <v>957</v>
      </c>
      <c r="P673" t="s">
        <v>654</v>
      </c>
      <c r="Q673" t="s">
        <v>638</v>
      </c>
      <c r="R673" t="s">
        <v>708</v>
      </c>
      <c r="S673" t="s">
        <v>958</v>
      </c>
      <c r="T673" t="s">
        <v>709</v>
      </c>
      <c r="U673">
        <v>136100</v>
      </c>
      <c r="V673" t="s">
        <v>4031</v>
      </c>
      <c r="W673" t="s">
        <v>824</v>
      </c>
      <c r="X673" t="s">
        <v>4034</v>
      </c>
      <c r="Y673" t="s">
        <v>4035</v>
      </c>
      <c r="Z673" t="s">
        <v>4036</v>
      </c>
      <c r="AA673" t="s">
        <v>4037</v>
      </c>
      <c r="AB673" t="s">
        <v>4038</v>
      </c>
      <c r="AE673">
        <v>-36.860692960000002</v>
      </c>
      <c r="AF673">
        <v>174.76956641999999</v>
      </c>
      <c r="AG673">
        <v>50</v>
      </c>
      <c r="AH673">
        <v>50</v>
      </c>
    </row>
    <row r="674" spans="1:46">
      <c r="A674">
        <v>10200</v>
      </c>
      <c r="B674" t="s">
        <v>4674</v>
      </c>
      <c r="C674" t="s">
        <v>4675</v>
      </c>
      <c r="D674" t="s">
        <v>4676</v>
      </c>
      <c r="E674" t="s">
        <v>4677</v>
      </c>
      <c r="G674" t="s">
        <v>4678</v>
      </c>
      <c r="H674" t="s">
        <v>3942</v>
      </c>
      <c r="J674" t="s">
        <v>3962</v>
      </c>
      <c r="K674" t="s">
        <v>519</v>
      </c>
      <c r="M674" t="s">
        <v>520</v>
      </c>
      <c r="N674" t="s">
        <v>521</v>
      </c>
      <c r="O674" t="s">
        <v>522</v>
      </c>
      <c r="P674" t="s">
        <v>540</v>
      </c>
      <c r="Q674" t="s">
        <v>524</v>
      </c>
      <c r="R674" t="s">
        <v>525</v>
      </c>
      <c r="S674" t="s">
        <v>526</v>
      </c>
      <c r="T674" t="s">
        <v>527</v>
      </c>
      <c r="U674">
        <v>101900</v>
      </c>
      <c r="V674" t="s">
        <v>4679</v>
      </c>
      <c r="W674" t="s">
        <v>558</v>
      </c>
      <c r="X674" t="s">
        <v>4680</v>
      </c>
      <c r="Y674" t="s">
        <v>4681</v>
      </c>
      <c r="AA674" t="s">
        <v>4682</v>
      </c>
      <c r="AE674">
        <v>-35.102838370000001</v>
      </c>
      <c r="AF674">
        <v>173.77036532</v>
      </c>
      <c r="AG674">
        <v>25</v>
      </c>
      <c r="AH674">
        <v>8</v>
      </c>
      <c r="AI674">
        <v>3</v>
      </c>
      <c r="AJ674">
        <v>1</v>
      </c>
      <c r="AK674">
        <v>3</v>
      </c>
      <c r="AL674">
        <v>5</v>
      </c>
      <c r="AM674">
        <v>8</v>
      </c>
      <c r="AN674">
        <v>0</v>
      </c>
      <c r="AO674">
        <v>20</v>
      </c>
      <c r="AP674">
        <v>14</v>
      </c>
      <c r="AQ674">
        <v>17</v>
      </c>
      <c r="AR674">
        <v>0</v>
      </c>
      <c r="AS674">
        <v>1</v>
      </c>
      <c r="AT674">
        <v>0</v>
      </c>
    </row>
    <row r="675" spans="1:46">
      <c r="A675">
        <v>10202</v>
      </c>
      <c r="B675" t="s">
        <v>4683</v>
      </c>
      <c r="C675" t="s">
        <v>4684</v>
      </c>
      <c r="D675" t="s">
        <v>4685</v>
      </c>
      <c r="E675" t="s">
        <v>4686</v>
      </c>
      <c r="F675" t="s">
        <v>1017</v>
      </c>
      <c r="G675" t="s">
        <v>652</v>
      </c>
      <c r="H675" t="s">
        <v>3942</v>
      </c>
      <c r="I675" t="s">
        <v>856</v>
      </c>
      <c r="J675" t="s">
        <v>3962</v>
      </c>
      <c r="K675" t="s">
        <v>519</v>
      </c>
      <c r="M675" t="s">
        <v>520</v>
      </c>
      <c r="N675" t="s">
        <v>4519</v>
      </c>
      <c r="O675" t="s">
        <v>857</v>
      </c>
      <c r="P675" t="s">
        <v>654</v>
      </c>
      <c r="Q675" t="s">
        <v>638</v>
      </c>
      <c r="R675" t="s">
        <v>708</v>
      </c>
      <c r="S675" t="s">
        <v>822</v>
      </c>
      <c r="T675" t="s">
        <v>709</v>
      </c>
      <c r="U675">
        <v>137800</v>
      </c>
      <c r="V675" t="s">
        <v>4687</v>
      </c>
      <c r="W675" t="s">
        <v>860</v>
      </c>
      <c r="X675" t="s">
        <v>4688</v>
      </c>
      <c r="Y675" t="s">
        <v>4689</v>
      </c>
      <c r="Z675" t="s">
        <v>4690</v>
      </c>
      <c r="AA675" t="s">
        <v>4691</v>
      </c>
      <c r="AB675" t="s">
        <v>4692</v>
      </c>
      <c r="AE675">
        <v>-36.868825080000001</v>
      </c>
      <c r="AF675">
        <v>174.75804016000001</v>
      </c>
      <c r="AG675">
        <v>75</v>
      </c>
      <c r="AH675">
        <v>25</v>
      </c>
      <c r="AI675">
        <v>1</v>
      </c>
      <c r="AJ675">
        <v>19</v>
      </c>
      <c r="AK675">
        <v>28</v>
      </c>
      <c r="AL675">
        <v>13</v>
      </c>
      <c r="AM675">
        <v>11</v>
      </c>
      <c r="AN675">
        <v>1</v>
      </c>
      <c r="AO675">
        <v>73</v>
      </c>
      <c r="AP675">
        <v>60</v>
      </c>
      <c r="AQ675">
        <v>7</v>
      </c>
      <c r="AR675">
        <v>1</v>
      </c>
      <c r="AS675">
        <v>16</v>
      </c>
      <c r="AT675">
        <v>4</v>
      </c>
    </row>
    <row r="676" spans="1:46">
      <c r="A676">
        <v>10203</v>
      </c>
      <c r="B676" t="s">
        <v>4693</v>
      </c>
      <c r="C676" t="s">
        <v>4694</v>
      </c>
      <c r="E676" t="s">
        <v>4695</v>
      </c>
      <c r="G676" t="s">
        <v>550</v>
      </c>
      <c r="H676" t="s">
        <v>3942</v>
      </c>
      <c r="J676" t="s">
        <v>3962</v>
      </c>
      <c r="K676" t="s">
        <v>519</v>
      </c>
      <c r="M676" t="s">
        <v>520</v>
      </c>
      <c r="N676" t="s">
        <v>4519</v>
      </c>
      <c r="O676" t="s">
        <v>522</v>
      </c>
      <c r="P676" t="s">
        <v>523</v>
      </c>
      <c r="Q676" t="s">
        <v>524</v>
      </c>
      <c r="R676" t="s">
        <v>525</v>
      </c>
      <c r="S676" t="s">
        <v>526</v>
      </c>
      <c r="T676" t="s">
        <v>527</v>
      </c>
      <c r="U676">
        <v>103501</v>
      </c>
      <c r="V676" t="s">
        <v>550</v>
      </c>
      <c r="W676" t="s">
        <v>551</v>
      </c>
      <c r="X676" t="s">
        <v>4696</v>
      </c>
      <c r="Y676" t="s">
        <v>4697</v>
      </c>
      <c r="AA676" t="s">
        <v>4698</v>
      </c>
      <c r="AB676" t="s">
        <v>4699</v>
      </c>
      <c r="AC676">
        <v>99060</v>
      </c>
      <c r="AD676" t="s">
        <v>552</v>
      </c>
      <c r="AE676">
        <v>-35.408357369999997</v>
      </c>
      <c r="AF676">
        <v>173.80613321999999</v>
      </c>
      <c r="AG676">
        <v>33</v>
      </c>
      <c r="AH676">
        <v>10</v>
      </c>
      <c r="AI676">
        <v>0</v>
      </c>
      <c r="AJ676">
        <v>1</v>
      </c>
      <c r="AK676">
        <v>3</v>
      </c>
      <c r="AL676">
        <v>6</v>
      </c>
      <c r="AM676">
        <v>10</v>
      </c>
      <c r="AN676">
        <v>0</v>
      </c>
      <c r="AO676">
        <v>20</v>
      </c>
      <c r="AP676">
        <v>8</v>
      </c>
      <c r="AQ676">
        <v>19</v>
      </c>
      <c r="AR676">
        <v>2</v>
      </c>
      <c r="AS676">
        <v>0</v>
      </c>
      <c r="AT676">
        <v>0</v>
      </c>
    </row>
    <row r="677" spans="1:46">
      <c r="A677">
        <v>10205</v>
      </c>
      <c r="B677" t="s">
        <v>4700</v>
      </c>
      <c r="C677" t="s">
        <v>4701</v>
      </c>
      <c r="D677" t="s">
        <v>4702</v>
      </c>
      <c r="E677" t="s">
        <v>4703</v>
      </c>
      <c r="F677" t="s">
        <v>812</v>
      </c>
      <c r="G677" t="s">
        <v>652</v>
      </c>
      <c r="H677" t="s">
        <v>3942</v>
      </c>
      <c r="J677" t="s">
        <v>3962</v>
      </c>
      <c r="K677" t="s">
        <v>519</v>
      </c>
      <c r="M677" t="s">
        <v>520</v>
      </c>
      <c r="N677" t="s">
        <v>557</v>
      </c>
      <c r="O677" t="s">
        <v>813</v>
      </c>
      <c r="P677" t="s">
        <v>654</v>
      </c>
      <c r="Q677" t="s">
        <v>638</v>
      </c>
      <c r="R677" t="s">
        <v>639</v>
      </c>
      <c r="S677" t="s">
        <v>739</v>
      </c>
      <c r="T677" t="s">
        <v>527</v>
      </c>
      <c r="U677">
        <v>122501</v>
      </c>
      <c r="V677" t="s">
        <v>4704</v>
      </c>
      <c r="W677" t="s">
        <v>815</v>
      </c>
      <c r="X677" t="s">
        <v>4705</v>
      </c>
      <c r="Y677" t="s">
        <v>4706</v>
      </c>
      <c r="AA677" t="s">
        <v>4707</v>
      </c>
      <c r="AB677" t="s">
        <v>4708</v>
      </c>
      <c r="AE677">
        <v>-36.841246169999998</v>
      </c>
      <c r="AF677">
        <v>174.61496360000001</v>
      </c>
      <c r="AG677">
        <v>49</v>
      </c>
      <c r="AH677">
        <v>20</v>
      </c>
      <c r="AI677">
        <v>1</v>
      </c>
      <c r="AJ677">
        <v>11</v>
      </c>
      <c r="AK677">
        <v>19</v>
      </c>
      <c r="AL677">
        <v>12</v>
      </c>
      <c r="AM677">
        <v>6</v>
      </c>
      <c r="AN677">
        <v>0</v>
      </c>
      <c r="AO677">
        <v>49</v>
      </c>
      <c r="AP677">
        <v>32</v>
      </c>
      <c r="AQ677">
        <v>10</v>
      </c>
      <c r="AR677">
        <v>8</v>
      </c>
      <c r="AS677">
        <v>11</v>
      </c>
      <c r="AT677">
        <v>6</v>
      </c>
    </row>
    <row r="678" spans="1:46">
      <c r="A678">
        <v>10206</v>
      </c>
      <c r="B678" t="s">
        <v>4709</v>
      </c>
      <c r="C678" t="s">
        <v>4710</v>
      </c>
      <c r="E678" t="s">
        <v>4711</v>
      </c>
      <c r="G678" t="s">
        <v>3673</v>
      </c>
      <c r="H678" t="s">
        <v>3942</v>
      </c>
      <c r="J678" t="s">
        <v>3962</v>
      </c>
      <c r="K678" t="s">
        <v>519</v>
      </c>
      <c r="M678" t="s">
        <v>520</v>
      </c>
      <c r="N678" t="s">
        <v>521</v>
      </c>
      <c r="O678" t="s">
        <v>522</v>
      </c>
      <c r="P678" t="s">
        <v>523</v>
      </c>
      <c r="Q678" t="s">
        <v>524</v>
      </c>
      <c r="R678" t="s">
        <v>525</v>
      </c>
      <c r="S678" t="s">
        <v>526</v>
      </c>
      <c r="T678" t="s">
        <v>527</v>
      </c>
      <c r="U678">
        <v>103000</v>
      </c>
      <c r="V678" t="s">
        <v>3674</v>
      </c>
      <c r="W678" t="s">
        <v>558</v>
      </c>
      <c r="X678" t="s">
        <v>3980</v>
      </c>
      <c r="Y678" t="s">
        <v>3981</v>
      </c>
      <c r="AA678" t="s">
        <v>3982</v>
      </c>
      <c r="AE678">
        <v>-35.229535609999999</v>
      </c>
      <c r="AF678">
        <v>173.9553646</v>
      </c>
      <c r="AG678">
        <v>42</v>
      </c>
      <c r="AH678">
        <v>25</v>
      </c>
      <c r="AI678">
        <v>2</v>
      </c>
      <c r="AJ678">
        <v>24</v>
      </c>
      <c r="AK678">
        <v>12</v>
      </c>
      <c r="AL678">
        <v>2</v>
      </c>
      <c r="AM678">
        <v>0</v>
      </c>
      <c r="AN678">
        <v>0</v>
      </c>
      <c r="AO678">
        <v>40</v>
      </c>
      <c r="AP678">
        <v>31</v>
      </c>
      <c r="AQ678">
        <v>14</v>
      </c>
      <c r="AR678">
        <v>5</v>
      </c>
      <c r="AS678">
        <v>3</v>
      </c>
      <c r="AT678">
        <v>3</v>
      </c>
    </row>
    <row r="679" spans="1:46">
      <c r="A679">
        <v>10209</v>
      </c>
      <c r="B679" t="s">
        <v>4712</v>
      </c>
      <c r="C679" t="s">
        <v>4713</v>
      </c>
      <c r="D679" t="s">
        <v>4714</v>
      </c>
      <c r="E679" t="s">
        <v>4715</v>
      </c>
      <c r="F679" t="s">
        <v>3770</v>
      </c>
      <c r="G679" t="s">
        <v>1598</v>
      </c>
      <c r="H679" t="s">
        <v>4716</v>
      </c>
      <c r="J679" t="s">
        <v>3962</v>
      </c>
      <c r="K679" t="s">
        <v>519</v>
      </c>
      <c r="M679" t="s">
        <v>520</v>
      </c>
      <c r="N679" t="s">
        <v>571</v>
      </c>
      <c r="O679" t="s">
        <v>1698</v>
      </c>
      <c r="P679" t="s">
        <v>654</v>
      </c>
      <c r="Q679" t="s">
        <v>1471</v>
      </c>
      <c r="R679" t="s">
        <v>639</v>
      </c>
      <c r="S679" t="s">
        <v>1699</v>
      </c>
      <c r="T679" t="s">
        <v>1474</v>
      </c>
      <c r="U679">
        <v>197000</v>
      </c>
      <c r="V679" t="s">
        <v>4717</v>
      </c>
      <c r="W679" t="s">
        <v>1701</v>
      </c>
      <c r="X679" t="s">
        <v>4718</v>
      </c>
      <c r="Y679" t="s">
        <v>4715</v>
      </c>
      <c r="Z679" t="s">
        <v>3770</v>
      </c>
      <c r="AA679" t="s">
        <v>4719</v>
      </c>
      <c r="AE679">
        <v>-37.69715394</v>
      </c>
      <c r="AF679">
        <v>176.26225027999999</v>
      </c>
      <c r="AG679">
        <v>60</v>
      </c>
      <c r="AH679">
        <v>60</v>
      </c>
      <c r="AI679">
        <v>2</v>
      </c>
      <c r="AJ679">
        <v>13</v>
      </c>
      <c r="AK679">
        <v>11</v>
      </c>
      <c r="AL679">
        <v>14</v>
      </c>
      <c r="AM679">
        <v>4</v>
      </c>
      <c r="AN679">
        <v>1</v>
      </c>
      <c r="AO679">
        <v>45</v>
      </c>
      <c r="AP679">
        <v>21</v>
      </c>
      <c r="AQ679">
        <v>5</v>
      </c>
      <c r="AR679">
        <v>3</v>
      </c>
      <c r="AS679">
        <v>20</v>
      </c>
      <c r="AT679">
        <v>1</v>
      </c>
    </row>
    <row r="680" spans="1:46">
      <c r="A680">
        <v>10210</v>
      </c>
      <c r="B680" t="s">
        <v>4720</v>
      </c>
      <c r="C680" t="s">
        <v>4721</v>
      </c>
      <c r="D680" t="s">
        <v>4722</v>
      </c>
      <c r="E680" t="s">
        <v>4723</v>
      </c>
      <c r="F680" t="s">
        <v>4428</v>
      </c>
      <c r="G680" t="s">
        <v>652</v>
      </c>
      <c r="H680" t="s">
        <v>517</v>
      </c>
      <c r="J680" t="s">
        <v>518</v>
      </c>
      <c r="K680" t="s">
        <v>519</v>
      </c>
      <c r="M680" t="s">
        <v>520</v>
      </c>
      <c r="N680" t="s">
        <v>571</v>
      </c>
      <c r="O680" t="s">
        <v>804</v>
      </c>
      <c r="P680" t="s">
        <v>654</v>
      </c>
      <c r="Q680" t="s">
        <v>638</v>
      </c>
      <c r="R680" t="s">
        <v>708</v>
      </c>
      <c r="S680" t="s">
        <v>880</v>
      </c>
      <c r="T680" t="s">
        <v>709</v>
      </c>
      <c r="U680">
        <v>145102</v>
      </c>
      <c r="V680" t="s">
        <v>4724</v>
      </c>
      <c r="W680" t="s">
        <v>824</v>
      </c>
      <c r="X680" t="s">
        <v>642</v>
      </c>
      <c r="Y680" t="s">
        <v>643</v>
      </c>
      <c r="Z680" t="s">
        <v>644</v>
      </c>
      <c r="AA680" t="s">
        <v>645</v>
      </c>
      <c r="AB680" t="s">
        <v>646</v>
      </c>
      <c r="AE680">
        <v>-36.863010180000003</v>
      </c>
      <c r="AF680">
        <v>174.87699660000001</v>
      </c>
      <c r="AG680">
        <v>40</v>
      </c>
      <c r="AH680">
        <v>0</v>
      </c>
      <c r="AI680">
        <v>0</v>
      </c>
      <c r="AJ680">
        <v>0</v>
      </c>
      <c r="AK680">
        <v>0</v>
      </c>
      <c r="AL680">
        <v>13</v>
      </c>
      <c r="AM680">
        <v>30</v>
      </c>
      <c r="AN680">
        <v>0</v>
      </c>
      <c r="AO680">
        <v>43</v>
      </c>
      <c r="AP680">
        <v>36</v>
      </c>
      <c r="AQ680">
        <v>5</v>
      </c>
      <c r="AR680">
        <v>2</v>
      </c>
      <c r="AS680">
        <v>7</v>
      </c>
      <c r="AT680">
        <v>2</v>
      </c>
    </row>
    <row r="681" spans="1:46">
      <c r="A681">
        <v>10211</v>
      </c>
      <c r="B681" t="s">
        <v>4725</v>
      </c>
      <c r="C681" t="s">
        <v>4726</v>
      </c>
      <c r="D681" t="s">
        <v>4727</v>
      </c>
      <c r="E681" t="s">
        <v>4728</v>
      </c>
      <c r="G681" t="s">
        <v>667</v>
      </c>
      <c r="H681" t="s">
        <v>3942</v>
      </c>
      <c r="J681" t="s">
        <v>3962</v>
      </c>
      <c r="K681" t="s">
        <v>519</v>
      </c>
      <c r="M681" t="s">
        <v>520</v>
      </c>
      <c r="N681" t="s">
        <v>571</v>
      </c>
      <c r="O681" t="s">
        <v>653</v>
      </c>
      <c r="P681" t="s">
        <v>584</v>
      </c>
      <c r="Q681" t="s">
        <v>638</v>
      </c>
      <c r="R681" t="s">
        <v>639</v>
      </c>
      <c r="S681" t="s">
        <v>668</v>
      </c>
      <c r="T681" t="s">
        <v>527</v>
      </c>
      <c r="U681">
        <v>113900</v>
      </c>
      <c r="V681" t="s">
        <v>4729</v>
      </c>
      <c r="W681" t="s">
        <v>657</v>
      </c>
      <c r="X681" t="s">
        <v>4096</v>
      </c>
      <c r="Y681" t="s">
        <v>4097</v>
      </c>
      <c r="Z681" t="s">
        <v>4098</v>
      </c>
      <c r="AA681" t="s">
        <v>4099</v>
      </c>
      <c r="AB681" t="s">
        <v>4100</v>
      </c>
      <c r="AE681">
        <v>-36.608401790000002</v>
      </c>
      <c r="AF681">
        <v>174.68809809999999</v>
      </c>
      <c r="AG681">
        <v>105</v>
      </c>
      <c r="AH681">
        <v>25</v>
      </c>
      <c r="AI681">
        <v>2</v>
      </c>
      <c r="AJ681">
        <v>10</v>
      </c>
      <c r="AK681">
        <v>15</v>
      </c>
      <c r="AL681">
        <v>24</v>
      </c>
      <c r="AM681">
        <v>30</v>
      </c>
      <c r="AN681">
        <v>2</v>
      </c>
      <c r="AO681">
        <v>83</v>
      </c>
      <c r="AP681">
        <v>59</v>
      </c>
      <c r="AQ681">
        <v>5</v>
      </c>
      <c r="AR681">
        <v>2</v>
      </c>
      <c r="AS681">
        <v>26</v>
      </c>
      <c r="AT681">
        <v>1</v>
      </c>
    </row>
    <row r="682" spans="1:46">
      <c r="A682">
        <v>10217</v>
      </c>
      <c r="B682" t="s">
        <v>4730</v>
      </c>
      <c r="C682" t="s">
        <v>4731</v>
      </c>
      <c r="D682" t="s">
        <v>4732</v>
      </c>
      <c r="E682" t="s">
        <v>4733</v>
      </c>
      <c r="F682" t="s">
        <v>682</v>
      </c>
      <c r="G682" t="s">
        <v>652</v>
      </c>
      <c r="H682" t="s">
        <v>3942</v>
      </c>
      <c r="J682" t="s">
        <v>3962</v>
      </c>
      <c r="K682" t="s">
        <v>519</v>
      </c>
      <c r="M682" t="s">
        <v>520</v>
      </c>
      <c r="N682" t="s">
        <v>571</v>
      </c>
      <c r="O682" t="s">
        <v>1168</v>
      </c>
      <c r="P682" t="s">
        <v>654</v>
      </c>
      <c r="Q682" t="s">
        <v>638</v>
      </c>
      <c r="R682" t="s">
        <v>639</v>
      </c>
      <c r="S682" t="s">
        <v>655</v>
      </c>
      <c r="T682" t="s">
        <v>527</v>
      </c>
      <c r="U682">
        <v>116900</v>
      </c>
      <c r="V682" t="s">
        <v>4734</v>
      </c>
      <c r="W682" t="s">
        <v>657</v>
      </c>
      <c r="X682" t="s">
        <v>4096</v>
      </c>
      <c r="Y682" t="s">
        <v>4097</v>
      </c>
      <c r="Z682" t="s">
        <v>4098</v>
      </c>
      <c r="AA682" t="s">
        <v>4099</v>
      </c>
      <c r="AB682" t="s">
        <v>4100</v>
      </c>
      <c r="AC682">
        <v>99121</v>
      </c>
      <c r="AD682" t="s">
        <v>662</v>
      </c>
      <c r="AE682">
        <v>-36.717059159999998</v>
      </c>
      <c r="AF682">
        <v>174.71474860000001</v>
      </c>
      <c r="AG682">
        <v>50</v>
      </c>
      <c r="AH682">
        <v>17</v>
      </c>
      <c r="AI682">
        <v>1</v>
      </c>
      <c r="AJ682">
        <v>3</v>
      </c>
      <c r="AK682">
        <v>10</v>
      </c>
      <c r="AL682">
        <v>14</v>
      </c>
      <c r="AM682">
        <v>16</v>
      </c>
      <c r="AN682">
        <v>0</v>
      </c>
      <c r="AO682">
        <v>44</v>
      </c>
      <c r="AP682">
        <v>21</v>
      </c>
      <c r="AQ682">
        <v>3</v>
      </c>
      <c r="AR682">
        <v>3</v>
      </c>
      <c r="AS682">
        <v>21</v>
      </c>
      <c r="AT682">
        <v>4</v>
      </c>
    </row>
    <row r="683" spans="1:46">
      <c r="A683">
        <v>10218</v>
      </c>
      <c r="B683" t="s">
        <v>4735</v>
      </c>
      <c r="C683" t="s">
        <v>4736</v>
      </c>
      <c r="D683" t="s">
        <v>4737</v>
      </c>
      <c r="E683" t="s">
        <v>4738</v>
      </c>
      <c r="F683" t="s">
        <v>847</v>
      </c>
      <c r="G683" t="s">
        <v>652</v>
      </c>
      <c r="H683" t="s">
        <v>3942</v>
      </c>
      <c r="J683" t="s">
        <v>3962</v>
      </c>
      <c r="K683" t="s">
        <v>519</v>
      </c>
      <c r="M683" t="s">
        <v>520</v>
      </c>
      <c r="N683" t="s">
        <v>3144</v>
      </c>
      <c r="O683" t="s">
        <v>848</v>
      </c>
      <c r="P683" t="s">
        <v>654</v>
      </c>
      <c r="Q683" t="s">
        <v>638</v>
      </c>
      <c r="R683" t="s">
        <v>729</v>
      </c>
      <c r="S683" t="s">
        <v>849</v>
      </c>
      <c r="T683" t="s">
        <v>709</v>
      </c>
      <c r="U683">
        <v>147900</v>
      </c>
      <c r="V683" t="s">
        <v>4739</v>
      </c>
      <c r="W683" t="s">
        <v>732</v>
      </c>
      <c r="X683" t="s">
        <v>4740</v>
      </c>
      <c r="Y683" t="s">
        <v>4741</v>
      </c>
      <c r="Z683" t="s">
        <v>2395</v>
      </c>
      <c r="AA683" t="s">
        <v>4742</v>
      </c>
      <c r="AE683">
        <v>-36.978953689999997</v>
      </c>
      <c r="AF683">
        <v>174.77903119999999</v>
      </c>
      <c r="AG683">
        <v>65</v>
      </c>
      <c r="AH683">
        <v>20</v>
      </c>
      <c r="AI683">
        <v>1</v>
      </c>
      <c r="AJ683">
        <v>5</v>
      </c>
      <c r="AK683">
        <v>8</v>
      </c>
      <c r="AL683">
        <v>9</v>
      </c>
      <c r="AM683">
        <v>9</v>
      </c>
      <c r="AN683">
        <v>0</v>
      </c>
      <c r="AO683">
        <v>32</v>
      </c>
      <c r="AP683">
        <v>10</v>
      </c>
      <c r="AQ683">
        <v>3</v>
      </c>
      <c r="AR683">
        <v>24</v>
      </c>
      <c r="AS683">
        <v>2</v>
      </c>
      <c r="AT683">
        <v>0</v>
      </c>
    </row>
    <row r="684" spans="1:46">
      <c r="A684">
        <v>10220</v>
      </c>
      <c r="B684" t="s">
        <v>4743</v>
      </c>
      <c r="C684" t="s">
        <v>4744</v>
      </c>
      <c r="D684" t="s">
        <v>4745</v>
      </c>
      <c r="E684" t="s">
        <v>4746</v>
      </c>
      <c r="F684" t="s">
        <v>4747</v>
      </c>
      <c r="G684" t="s">
        <v>652</v>
      </c>
      <c r="H684" t="s">
        <v>3942</v>
      </c>
      <c r="I684" t="s">
        <v>4065</v>
      </c>
      <c r="J684" t="s">
        <v>3962</v>
      </c>
      <c r="K684" t="s">
        <v>519</v>
      </c>
      <c r="M684" t="s">
        <v>520</v>
      </c>
      <c r="N684" t="s">
        <v>571</v>
      </c>
      <c r="O684" t="s">
        <v>873</v>
      </c>
      <c r="P684" t="s">
        <v>654</v>
      </c>
      <c r="Q684" t="s">
        <v>638</v>
      </c>
      <c r="R684" t="s">
        <v>639</v>
      </c>
      <c r="S684" t="s">
        <v>719</v>
      </c>
      <c r="T684" t="s">
        <v>709</v>
      </c>
      <c r="U684">
        <v>134700</v>
      </c>
      <c r="V684" t="s">
        <v>4748</v>
      </c>
      <c r="W684" t="s">
        <v>815</v>
      </c>
      <c r="X684" t="s">
        <v>4749</v>
      </c>
      <c r="Y684" t="s">
        <v>4746</v>
      </c>
      <c r="Z684" t="s">
        <v>4747</v>
      </c>
      <c r="AA684" t="s">
        <v>4320</v>
      </c>
      <c r="AB684" t="s">
        <v>4744</v>
      </c>
      <c r="AC684">
        <v>99062</v>
      </c>
      <c r="AD684" t="s">
        <v>893</v>
      </c>
      <c r="AE684">
        <v>-36.925464859999998</v>
      </c>
      <c r="AF684">
        <v>174.65227963999999</v>
      </c>
      <c r="AG684">
        <v>20</v>
      </c>
      <c r="AH684">
        <v>0</v>
      </c>
      <c r="AI684">
        <v>0</v>
      </c>
      <c r="AJ684">
        <v>0</v>
      </c>
      <c r="AK684">
        <v>1</v>
      </c>
      <c r="AL684">
        <v>6</v>
      </c>
      <c r="AM684">
        <v>11</v>
      </c>
      <c r="AN684">
        <v>1</v>
      </c>
      <c r="AO684">
        <v>19</v>
      </c>
      <c r="AP684">
        <v>11</v>
      </c>
      <c r="AQ684">
        <v>0</v>
      </c>
      <c r="AR684">
        <v>0</v>
      </c>
      <c r="AS684">
        <v>11</v>
      </c>
      <c r="AT684">
        <v>1</v>
      </c>
    </row>
    <row r="685" spans="1:46">
      <c r="A685">
        <v>10225</v>
      </c>
      <c r="B685" t="s">
        <v>4750</v>
      </c>
      <c r="C685" t="s">
        <v>4751</v>
      </c>
      <c r="D685" t="s">
        <v>4752</v>
      </c>
      <c r="E685" t="s">
        <v>4753</v>
      </c>
      <c r="F685" t="s">
        <v>4690</v>
      </c>
      <c r="G685" t="s">
        <v>652</v>
      </c>
      <c r="H685" t="s">
        <v>3942</v>
      </c>
      <c r="J685" t="s">
        <v>518</v>
      </c>
      <c r="K685" t="s">
        <v>519</v>
      </c>
      <c r="M685" t="s">
        <v>520</v>
      </c>
      <c r="N685" t="s">
        <v>571</v>
      </c>
      <c r="O685" t="s">
        <v>857</v>
      </c>
      <c r="P685" t="s">
        <v>654</v>
      </c>
      <c r="Q685" t="s">
        <v>638</v>
      </c>
      <c r="R685" t="s">
        <v>708</v>
      </c>
      <c r="S685" t="s">
        <v>822</v>
      </c>
      <c r="T685" t="s">
        <v>709</v>
      </c>
      <c r="U685">
        <v>140300</v>
      </c>
      <c r="V685" t="s">
        <v>4502</v>
      </c>
      <c r="W685" t="s">
        <v>860</v>
      </c>
      <c r="X685" t="s">
        <v>3943</v>
      </c>
      <c r="Y685" t="s">
        <v>3944</v>
      </c>
      <c r="Z685" t="s">
        <v>3945</v>
      </c>
      <c r="AA685" t="s">
        <v>3946</v>
      </c>
      <c r="AB685" t="s">
        <v>3947</v>
      </c>
      <c r="AE685">
        <v>-36.88070647</v>
      </c>
      <c r="AF685">
        <v>174.78373504000001</v>
      </c>
      <c r="AG685">
        <v>50</v>
      </c>
      <c r="AH685">
        <v>16</v>
      </c>
      <c r="AI685">
        <v>3</v>
      </c>
      <c r="AJ685">
        <v>10</v>
      </c>
      <c r="AK685">
        <v>15</v>
      </c>
      <c r="AL685">
        <v>14</v>
      </c>
      <c r="AM685">
        <v>13</v>
      </c>
      <c r="AN685">
        <v>0</v>
      </c>
      <c r="AO685">
        <v>55</v>
      </c>
      <c r="AP685">
        <v>9</v>
      </c>
      <c r="AQ685">
        <v>1</v>
      </c>
      <c r="AR685">
        <v>6</v>
      </c>
      <c r="AS685">
        <v>42</v>
      </c>
      <c r="AT685">
        <v>6</v>
      </c>
    </row>
    <row r="686" spans="1:46">
      <c r="A686">
        <v>10229</v>
      </c>
      <c r="B686" t="s">
        <v>4754</v>
      </c>
      <c r="C686" t="s">
        <v>4755</v>
      </c>
      <c r="E686" t="s">
        <v>4756</v>
      </c>
      <c r="F686" t="s">
        <v>1072</v>
      </c>
      <c r="G686" t="s">
        <v>652</v>
      </c>
      <c r="H686" t="s">
        <v>4032</v>
      </c>
      <c r="I686" t="s">
        <v>4033</v>
      </c>
      <c r="J686" t="s">
        <v>518</v>
      </c>
      <c r="K686" t="s">
        <v>519</v>
      </c>
      <c r="M686" t="s">
        <v>520</v>
      </c>
      <c r="N686" t="s">
        <v>727</v>
      </c>
      <c r="O686" t="s">
        <v>728</v>
      </c>
      <c r="P686" t="s">
        <v>654</v>
      </c>
      <c r="Q686" t="s">
        <v>638</v>
      </c>
      <c r="R686" t="s">
        <v>729</v>
      </c>
      <c r="S686" t="s">
        <v>730</v>
      </c>
      <c r="T686" t="s">
        <v>709</v>
      </c>
      <c r="U686">
        <v>152700</v>
      </c>
      <c r="V686" t="s">
        <v>4757</v>
      </c>
      <c r="W686" t="s">
        <v>732</v>
      </c>
      <c r="X686" t="s">
        <v>4758</v>
      </c>
      <c r="Y686" t="s">
        <v>4759</v>
      </c>
      <c r="AA686" t="s">
        <v>4760</v>
      </c>
      <c r="AE686">
        <v>-36.963300539999999</v>
      </c>
      <c r="AF686">
        <v>174.84000327999999</v>
      </c>
      <c r="AG686">
        <v>20</v>
      </c>
      <c r="AH686">
        <v>8</v>
      </c>
    </row>
    <row r="687" spans="1:46">
      <c r="A687">
        <v>10233</v>
      </c>
      <c r="B687" t="s">
        <v>4761</v>
      </c>
      <c r="C687" t="s">
        <v>4762</v>
      </c>
      <c r="D687" t="s">
        <v>4763</v>
      </c>
      <c r="E687" t="s">
        <v>4764</v>
      </c>
      <c r="F687" t="s">
        <v>4765</v>
      </c>
      <c r="G687" t="s">
        <v>652</v>
      </c>
      <c r="H687" t="s">
        <v>3942</v>
      </c>
      <c r="J687" t="s">
        <v>3962</v>
      </c>
      <c r="K687" t="s">
        <v>519</v>
      </c>
      <c r="M687" t="s">
        <v>520</v>
      </c>
      <c r="N687" t="s">
        <v>571</v>
      </c>
      <c r="O687" t="s">
        <v>857</v>
      </c>
      <c r="P687" t="s">
        <v>654</v>
      </c>
      <c r="Q687" t="s">
        <v>638</v>
      </c>
      <c r="R687" t="s">
        <v>708</v>
      </c>
      <c r="S687" t="s">
        <v>822</v>
      </c>
      <c r="T687" t="s">
        <v>709</v>
      </c>
      <c r="U687">
        <v>142201</v>
      </c>
      <c r="V687" t="s">
        <v>4766</v>
      </c>
      <c r="W687" t="s">
        <v>860</v>
      </c>
      <c r="X687" t="s">
        <v>4767</v>
      </c>
      <c r="Y687" t="s">
        <v>4764</v>
      </c>
      <c r="Z687" t="s">
        <v>4765</v>
      </c>
      <c r="AA687" t="s">
        <v>4768</v>
      </c>
      <c r="AE687">
        <v>-36.88813785</v>
      </c>
      <c r="AF687">
        <v>174.79356766999999</v>
      </c>
      <c r="AG687">
        <v>73</v>
      </c>
      <c r="AH687">
        <v>20</v>
      </c>
      <c r="AI687">
        <v>2</v>
      </c>
      <c r="AJ687">
        <v>7</v>
      </c>
      <c r="AK687">
        <v>10</v>
      </c>
      <c r="AL687">
        <v>6</v>
      </c>
      <c r="AM687">
        <v>10</v>
      </c>
      <c r="AN687">
        <v>2</v>
      </c>
      <c r="AO687">
        <v>37</v>
      </c>
      <c r="AP687">
        <v>17</v>
      </c>
      <c r="AQ687">
        <v>3</v>
      </c>
      <c r="AR687">
        <v>9</v>
      </c>
      <c r="AS687">
        <v>14</v>
      </c>
      <c r="AT687">
        <v>5</v>
      </c>
    </row>
    <row r="688" spans="1:46">
      <c r="A688">
        <v>10234</v>
      </c>
      <c r="B688" t="s">
        <v>4769</v>
      </c>
      <c r="C688" t="s">
        <v>4770</v>
      </c>
      <c r="E688" t="s">
        <v>4771</v>
      </c>
      <c r="F688" t="s">
        <v>1108</v>
      </c>
      <c r="G688" t="s">
        <v>652</v>
      </c>
      <c r="H688" t="s">
        <v>3942</v>
      </c>
      <c r="I688" t="s">
        <v>4165</v>
      </c>
      <c r="J688" t="s">
        <v>3962</v>
      </c>
      <c r="K688" t="s">
        <v>519</v>
      </c>
      <c r="M688" t="s">
        <v>520</v>
      </c>
      <c r="N688" t="s">
        <v>727</v>
      </c>
      <c r="O688" t="s">
        <v>829</v>
      </c>
      <c r="P688" t="s">
        <v>654</v>
      </c>
      <c r="Q688" t="s">
        <v>638</v>
      </c>
      <c r="R688" t="s">
        <v>708</v>
      </c>
      <c r="S688" t="s">
        <v>730</v>
      </c>
      <c r="T688" t="s">
        <v>709</v>
      </c>
      <c r="U688">
        <v>146301</v>
      </c>
      <c r="V688" t="s">
        <v>1109</v>
      </c>
      <c r="W688" t="s">
        <v>807</v>
      </c>
      <c r="X688" t="s">
        <v>4772</v>
      </c>
      <c r="Y688" t="s">
        <v>4773</v>
      </c>
      <c r="Z688" t="s">
        <v>879</v>
      </c>
      <c r="AA688" t="s">
        <v>4774</v>
      </c>
      <c r="AB688" t="s">
        <v>4775</v>
      </c>
      <c r="AE688">
        <v>-36.881990569999999</v>
      </c>
      <c r="AF688">
        <v>174.85941166999999</v>
      </c>
      <c r="AG688">
        <v>34</v>
      </c>
      <c r="AH688">
        <v>10</v>
      </c>
      <c r="AI688">
        <v>0</v>
      </c>
      <c r="AJ688">
        <v>4</v>
      </c>
      <c r="AK688">
        <v>7</v>
      </c>
      <c r="AL688">
        <v>6</v>
      </c>
      <c r="AM688">
        <v>5</v>
      </c>
      <c r="AN688">
        <v>2</v>
      </c>
      <c r="AO688">
        <v>24</v>
      </c>
      <c r="AP688">
        <v>3</v>
      </c>
      <c r="AQ688">
        <v>6</v>
      </c>
      <c r="AR688">
        <v>17</v>
      </c>
      <c r="AS688">
        <v>1</v>
      </c>
      <c r="AT688">
        <v>2</v>
      </c>
    </row>
    <row r="689" spans="1:46">
      <c r="A689">
        <v>10236</v>
      </c>
      <c r="B689" t="s">
        <v>4776</v>
      </c>
      <c r="C689" t="s">
        <v>4777</v>
      </c>
      <c r="D689" t="s">
        <v>4778</v>
      </c>
      <c r="E689" t="s">
        <v>4779</v>
      </c>
      <c r="F689" t="s">
        <v>3952</v>
      </c>
      <c r="G689" t="s">
        <v>652</v>
      </c>
      <c r="H689" t="s">
        <v>3942</v>
      </c>
      <c r="J689" t="s">
        <v>3962</v>
      </c>
      <c r="K689" t="s">
        <v>519</v>
      </c>
      <c r="M689" t="s">
        <v>520</v>
      </c>
      <c r="N689" t="s">
        <v>571</v>
      </c>
      <c r="O689" t="s">
        <v>1168</v>
      </c>
      <c r="P689" t="s">
        <v>654</v>
      </c>
      <c r="Q689" t="s">
        <v>638</v>
      </c>
      <c r="R689" t="s">
        <v>639</v>
      </c>
      <c r="S689" t="s">
        <v>655</v>
      </c>
      <c r="T689" t="s">
        <v>527</v>
      </c>
      <c r="U689">
        <v>118600</v>
      </c>
      <c r="V689" t="s">
        <v>4012</v>
      </c>
      <c r="W689" t="s">
        <v>657</v>
      </c>
      <c r="X689" t="s">
        <v>4780</v>
      </c>
      <c r="Y689" t="s">
        <v>3981</v>
      </c>
      <c r="AA689" t="s">
        <v>3982</v>
      </c>
      <c r="AB689" t="s">
        <v>4777</v>
      </c>
      <c r="AE689">
        <v>-36.752303769999997</v>
      </c>
      <c r="AF689">
        <v>174.71275180000001</v>
      </c>
      <c r="AG689">
        <v>148</v>
      </c>
      <c r="AH689">
        <v>50</v>
      </c>
      <c r="AI689">
        <v>3</v>
      </c>
      <c r="AJ689">
        <v>17</v>
      </c>
      <c r="AK689">
        <v>18</v>
      </c>
      <c r="AL689">
        <v>18</v>
      </c>
      <c r="AM689">
        <v>22</v>
      </c>
      <c r="AN689">
        <v>0</v>
      </c>
      <c r="AO689">
        <v>78</v>
      </c>
      <c r="AP689">
        <v>40</v>
      </c>
      <c r="AQ689">
        <v>14</v>
      </c>
      <c r="AR689">
        <v>6</v>
      </c>
      <c r="AS689">
        <v>36</v>
      </c>
      <c r="AT689">
        <v>8</v>
      </c>
    </row>
    <row r="690" spans="1:46">
      <c r="A690">
        <v>10238</v>
      </c>
      <c r="B690" t="s">
        <v>4781</v>
      </c>
      <c r="C690" t="s">
        <v>4782</v>
      </c>
      <c r="D690" t="s">
        <v>4783</v>
      </c>
      <c r="E690" t="s">
        <v>4784</v>
      </c>
      <c r="F690" t="s">
        <v>4785</v>
      </c>
      <c r="G690" t="s">
        <v>652</v>
      </c>
      <c r="H690" t="s">
        <v>3942</v>
      </c>
      <c r="J690" t="s">
        <v>3962</v>
      </c>
      <c r="K690" t="s">
        <v>519</v>
      </c>
      <c r="M690" t="s">
        <v>520</v>
      </c>
      <c r="N690" t="s">
        <v>557</v>
      </c>
      <c r="O690" t="s">
        <v>1216</v>
      </c>
      <c r="P690" t="s">
        <v>654</v>
      </c>
      <c r="Q690" t="s">
        <v>638</v>
      </c>
      <c r="R690" t="s">
        <v>729</v>
      </c>
      <c r="S690" t="s">
        <v>1217</v>
      </c>
      <c r="T690" t="s">
        <v>709</v>
      </c>
      <c r="U690">
        <v>161000</v>
      </c>
      <c r="V690" t="s">
        <v>4786</v>
      </c>
      <c r="W690" t="s">
        <v>1219</v>
      </c>
      <c r="X690" t="s">
        <v>4096</v>
      </c>
      <c r="Y690" t="s">
        <v>4097</v>
      </c>
      <c r="Z690" t="s">
        <v>4098</v>
      </c>
      <c r="AA690" t="s">
        <v>4099</v>
      </c>
      <c r="AB690" t="s">
        <v>4100</v>
      </c>
      <c r="AE690">
        <v>-37.022645310000001</v>
      </c>
      <c r="AF690">
        <v>174.91761417000001</v>
      </c>
      <c r="AG690">
        <v>70</v>
      </c>
      <c r="AH690">
        <v>25</v>
      </c>
      <c r="AI690">
        <v>6</v>
      </c>
      <c r="AJ690">
        <v>12</v>
      </c>
      <c r="AK690">
        <v>14</v>
      </c>
      <c r="AL690">
        <v>17</v>
      </c>
      <c r="AM690">
        <v>18</v>
      </c>
      <c r="AN690">
        <v>0</v>
      </c>
      <c r="AO690">
        <v>67</v>
      </c>
      <c r="AP690">
        <v>21</v>
      </c>
      <c r="AQ690">
        <v>25</v>
      </c>
      <c r="AR690">
        <v>28</v>
      </c>
      <c r="AS690">
        <v>27</v>
      </c>
      <c r="AT690">
        <v>3</v>
      </c>
    </row>
    <row r="691" spans="1:46">
      <c r="A691">
        <v>10240</v>
      </c>
      <c r="B691" t="s">
        <v>4787</v>
      </c>
      <c r="C691" t="s">
        <v>4788</v>
      </c>
      <c r="D691" t="s">
        <v>4789</v>
      </c>
      <c r="E691" t="s">
        <v>4790</v>
      </c>
      <c r="F691" t="s">
        <v>778</v>
      </c>
      <c r="G691" t="s">
        <v>652</v>
      </c>
      <c r="H691" t="s">
        <v>3942</v>
      </c>
      <c r="J691" t="s">
        <v>3962</v>
      </c>
      <c r="K691" t="s">
        <v>519</v>
      </c>
      <c r="M691" t="s">
        <v>520</v>
      </c>
      <c r="N691" t="s">
        <v>571</v>
      </c>
      <c r="O691" t="s">
        <v>707</v>
      </c>
      <c r="P691" t="s">
        <v>654</v>
      </c>
      <c r="Q691" t="s">
        <v>638</v>
      </c>
      <c r="R691" t="s">
        <v>708</v>
      </c>
      <c r="S691" t="s">
        <v>778</v>
      </c>
      <c r="T691" t="s">
        <v>709</v>
      </c>
      <c r="U691">
        <v>154600</v>
      </c>
      <c r="V691" t="s">
        <v>4791</v>
      </c>
      <c r="W691" t="s">
        <v>711</v>
      </c>
      <c r="X691" t="s">
        <v>4792</v>
      </c>
      <c r="Y691" t="s">
        <v>4793</v>
      </c>
      <c r="Z691" t="s">
        <v>4794</v>
      </c>
      <c r="AA691" t="s">
        <v>4795</v>
      </c>
      <c r="AB691" t="s">
        <v>4796</v>
      </c>
      <c r="AE691">
        <v>-36.933310030000001</v>
      </c>
      <c r="AF691">
        <v>174.91481243000001</v>
      </c>
      <c r="AG691">
        <v>80</v>
      </c>
      <c r="AH691">
        <v>25</v>
      </c>
      <c r="AI691">
        <v>1</v>
      </c>
      <c r="AJ691">
        <v>16</v>
      </c>
      <c r="AK691">
        <v>17</v>
      </c>
      <c r="AL691">
        <v>20</v>
      </c>
      <c r="AM691">
        <v>16</v>
      </c>
      <c r="AN691">
        <v>0</v>
      </c>
      <c r="AO691">
        <v>70</v>
      </c>
      <c r="AP691">
        <v>19</v>
      </c>
      <c r="AQ691">
        <v>5</v>
      </c>
      <c r="AR691">
        <v>4</v>
      </c>
      <c r="AS691">
        <v>47</v>
      </c>
      <c r="AT691">
        <v>4</v>
      </c>
    </row>
    <row r="692" spans="1:46">
      <c r="A692">
        <v>10242</v>
      </c>
      <c r="B692" t="s">
        <v>4797</v>
      </c>
      <c r="C692" t="s">
        <v>4357</v>
      </c>
      <c r="D692" t="s">
        <v>4798</v>
      </c>
      <c r="E692" t="s">
        <v>4799</v>
      </c>
      <c r="F692" t="s">
        <v>847</v>
      </c>
      <c r="G692" t="s">
        <v>652</v>
      </c>
      <c r="H692" t="s">
        <v>3942</v>
      </c>
      <c r="I692" t="s">
        <v>4253</v>
      </c>
      <c r="J692" t="s">
        <v>518</v>
      </c>
      <c r="K692" t="s">
        <v>519</v>
      </c>
      <c r="M692" t="s">
        <v>520</v>
      </c>
      <c r="N692" t="s">
        <v>727</v>
      </c>
      <c r="O692" t="s">
        <v>848</v>
      </c>
      <c r="P692" t="s">
        <v>654</v>
      </c>
      <c r="Q692" t="s">
        <v>638</v>
      </c>
      <c r="R692" t="s">
        <v>729</v>
      </c>
      <c r="S692" t="s">
        <v>849</v>
      </c>
      <c r="T692" t="s">
        <v>709</v>
      </c>
      <c r="U692">
        <v>150200</v>
      </c>
      <c r="V692" t="s">
        <v>940</v>
      </c>
      <c r="W692" t="s">
        <v>732</v>
      </c>
      <c r="X692" t="s">
        <v>4354</v>
      </c>
      <c r="Y692" t="s">
        <v>4799</v>
      </c>
      <c r="Z692" t="s">
        <v>945</v>
      </c>
      <c r="AA692" t="s">
        <v>4537</v>
      </c>
      <c r="AB692" t="s">
        <v>4357</v>
      </c>
      <c r="AC692">
        <v>99124</v>
      </c>
      <c r="AD692" t="s">
        <v>4579</v>
      </c>
      <c r="AE692">
        <v>-36.968898209999999</v>
      </c>
      <c r="AF692">
        <v>174.79559631000001</v>
      </c>
      <c r="AG692">
        <v>50</v>
      </c>
      <c r="AH692">
        <v>0</v>
      </c>
      <c r="AI692">
        <v>0</v>
      </c>
      <c r="AJ692">
        <v>0</v>
      </c>
      <c r="AK692">
        <v>8</v>
      </c>
      <c r="AL692">
        <v>14</v>
      </c>
      <c r="AM692">
        <v>21</v>
      </c>
      <c r="AN692">
        <v>1</v>
      </c>
      <c r="AO692">
        <v>44</v>
      </c>
      <c r="AP692">
        <v>2</v>
      </c>
      <c r="AQ692">
        <v>3</v>
      </c>
      <c r="AR692">
        <v>44</v>
      </c>
      <c r="AS692">
        <v>0</v>
      </c>
      <c r="AT692">
        <v>0</v>
      </c>
    </row>
    <row r="693" spans="1:46">
      <c r="A693">
        <v>10243</v>
      </c>
      <c r="B693" t="s">
        <v>4800</v>
      </c>
      <c r="C693" t="s">
        <v>4801</v>
      </c>
      <c r="D693" t="s">
        <v>4802</v>
      </c>
      <c r="E693" t="s">
        <v>4803</v>
      </c>
      <c r="F693" t="s">
        <v>4804</v>
      </c>
      <c r="G693" t="s">
        <v>652</v>
      </c>
      <c r="H693" t="s">
        <v>3942</v>
      </c>
      <c r="J693" t="s">
        <v>3962</v>
      </c>
      <c r="K693" t="s">
        <v>519</v>
      </c>
      <c r="M693" t="s">
        <v>520</v>
      </c>
      <c r="N693" t="s">
        <v>571</v>
      </c>
      <c r="O693" t="s">
        <v>707</v>
      </c>
      <c r="P693" t="s">
        <v>654</v>
      </c>
      <c r="Q693" t="s">
        <v>638</v>
      </c>
      <c r="R693" t="s">
        <v>708</v>
      </c>
      <c r="S693" t="s">
        <v>778</v>
      </c>
      <c r="T693" t="s">
        <v>709</v>
      </c>
      <c r="U693">
        <v>156101</v>
      </c>
      <c r="V693" t="s">
        <v>4805</v>
      </c>
      <c r="W693" t="s">
        <v>711</v>
      </c>
      <c r="X693" t="s">
        <v>4806</v>
      </c>
      <c r="Y693" t="s">
        <v>3989</v>
      </c>
      <c r="Z693" t="s">
        <v>3990</v>
      </c>
      <c r="AA693" t="s">
        <v>3991</v>
      </c>
      <c r="AE693">
        <v>-36.947574359999997</v>
      </c>
      <c r="AF693">
        <v>174.91474385000001</v>
      </c>
      <c r="AG693">
        <v>50</v>
      </c>
      <c r="AH693">
        <v>12</v>
      </c>
      <c r="AI693">
        <v>0</v>
      </c>
      <c r="AJ693">
        <v>6</v>
      </c>
      <c r="AK693">
        <v>7</v>
      </c>
      <c r="AL693">
        <v>14</v>
      </c>
      <c r="AM693">
        <v>9</v>
      </c>
      <c r="AN693">
        <v>0</v>
      </c>
      <c r="AO693">
        <v>36</v>
      </c>
      <c r="AP693">
        <v>6</v>
      </c>
      <c r="AQ693">
        <v>6</v>
      </c>
      <c r="AR693">
        <v>9</v>
      </c>
      <c r="AS693">
        <v>17</v>
      </c>
      <c r="AT693">
        <v>7</v>
      </c>
    </row>
    <row r="694" spans="1:46">
      <c r="A694">
        <v>10248</v>
      </c>
      <c r="B694" t="s">
        <v>4807</v>
      </c>
      <c r="C694" t="s">
        <v>4808</v>
      </c>
      <c r="D694" t="s">
        <v>4809</v>
      </c>
      <c r="E694" t="s">
        <v>4810</v>
      </c>
      <c r="F694" t="s">
        <v>737</v>
      </c>
      <c r="G694" t="s">
        <v>652</v>
      </c>
      <c r="H694" t="s">
        <v>3942</v>
      </c>
      <c r="J694" t="s">
        <v>518</v>
      </c>
      <c r="K694" t="s">
        <v>519</v>
      </c>
      <c r="M694" t="s">
        <v>520</v>
      </c>
      <c r="N694" t="s">
        <v>571</v>
      </c>
      <c r="O694" t="s">
        <v>738</v>
      </c>
      <c r="P694" t="s">
        <v>654</v>
      </c>
      <c r="Q694" t="s">
        <v>638</v>
      </c>
      <c r="R694" t="s">
        <v>639</v>
      </c>
      <c r="S694" t="s">
        <v>739</v>
      </c>
      <c r="T694" t="s">
        <v>527</v>
      </c>
      <c r="U694">
        <v>121401</v>
      </c>
      <c r="V694" t="s">
        <v>740</v>
      </c>
      <c r="W694" t="s">
        <v>741</v>
      </c>
      <c r="X694" t="s">
        <v>4811</v>
      </c>
      <c r="Y694" t="s">
        <v>4812</v>
      </c>
      <c r="Z694" t="s">
        <v>737</v>
      </c>
      <c r="AA694" t="s">
        <v>4813</v>
      </c>
      <c r="AB694" t="s">
        <v>4808</v>
      </c>
      <c r="AE694">
        <v>-36.771625589999999</v>
      </c>
      <c r="AF694">
        <v>174.70572404999999</v>
      </c>
      <c r="AG694">
        <v>36</v>
      </c>
      <c r="AH694">
        <v>8</v>
      </c>
      <c r="AI694">
        <v>1</v>
      </c>
      <c r="AJ694">
        <v>5</v>
      </c>
      <c r="AK694">
        <v>6</v>
      </c>
      <c r="AL694">
        <v>10</v>
      </c>
      <c r="AM694">
        <v>15</v>
      </c>
      <c r="AN694">
        <v>0</v>
      </c>
      <c r="AO694">
        <v>37</v>
      </c>
      <c r="AP694">
        <v>28</v>
      </c>
      <c r="AQ694">
        <v>2</v>
      </c>
      <c r="AR694">
        <v>3</v>
      </c>
      <c r="AS694">
        <v>5</v>
      </c>
      <c r="AT694">
        <v>4</v>
      </c>
    </row>
    <row r="695" spans="1:46">
      <c r="A695">
        <v>10254</v>
      </c>
      <c r="B695" t="s">
        <v>4814</v>
      </c>
      <c r="C695" t="s">
        <v>4815</v>
      </c>
      <c r="D695" t="s">
        <v>4816</v>
      </c>
      <c r="E695" t="s">
        <v>4817</v>
      </c>
      <c r="F695" t="s">
        <v>778</v>
      </c>
      <c r="G695" t="s">
        <v>652</v>
      </c>
      <c r="H695" t="s">
        <v>3942</v>
      </c>
      <c r="J695" t="s">
        <v>3962</v>
      </c>
      <c r="K695" t="s">
        <v>519</v>
      </c>
      <c r="M695" t="s">
        <v>520</v>
      </c>
      <c r="N695" t="s">
        <v>571</v>
      </c>
      <c r="O695" t="s">
        <v>707</v>
      </c>
      <c r="P695" t="s">
        <v>654</v>
      </c>
      <c r="Q695" t="s">
        <v>638</v>
      </c>
      <c r="R695" t="s">
        <v>708</v>
      </c>
      <c r="S695" t="s">
        <v>778</v>
      </c>
      <c r="T695" t="s">
        <v>709</v>
      </c>
      <c r="U695">
        <v>155200</v>
      </c>
      <c r="V695" t="s">
        <v>4818</v>
      </c>
      <c r="W695" t="s">
        <v>711</v>
      </c>
      <c r="X695" t="s">
        <v>4819</v>
      </c>
      <c r="Y695" t="s">
        <v>4817</v>
      </c>
      <c r="Z695" t="s">
        <v>3990</v>
      </c>
      <c r="AA695" t="s">
        <v>4820</v>
      </c>
      <c r="AB695" t="s">
        <v>4821</v>
      </c>
      <c r="AE695">
        <v>-36.943814799999998</v>
      </c>
      <c r="AF695">
        <v>174.90640956999999</v>
      </c>
      <c r="AG695">
        <v>30</v>
      </c>
      <c r="AH695">
        <v>12</v>
      </c>
      <c r="AI695">
        <v>0</v>
      </c>
      <c r="AJ695">
        <v>6</v>
      </c>
      <c r="AK695">
        <v>6</v>
      </c>
      <c r="AL695">
        <v>6</v>
      </c>
      <c r="AM695">
        <v>14</v>
      </c>
      <c r="AN695">
        <v>0</v>
      </c>
      <c r="AO695">
        <v>32</v>
      </c>
      <c r="AP695">
        <v>3</v>
      </c>
      <c r="AQ695">
        <v>3</v>
      </c>
      <c r="AR695">
        <v>4</v>
      </c>
      <c r="AS695">
        <v>23</v>
      </c>
      <c r="AT695">
        <v>1</v>
      </c>
    </row>
    <row r="696" spans="1:46">
      <c r="A696">
        <v>10256</v>
      </c>
      <c r="B696" t="s">
        <v>4822</v>
      </c>
      <c r="C696" t="s">
        <v>4823</v>
      </c>
      <c r="D696" t="s">
        <v>4824</v>
      </c>
      <c r="E696" t="s">
        <v>4825</v>
      </c>
      <c r="F696" t="s">
        <v>879</v>
      </c>
      <c r="G696" t="s">
        <v>652</v>
      </c>
      <c r="H696" t="s">
        <v>3942</v>
      </c>
      <c r="I696" t="s">
        <v>4253</v>
      </c>
      <c r="J696" t="s">
        <v>518</v>
      </c>
      <c r="K696" t="s">
        <v>519</v>
      </c>
      <c r="M696" t="s">
        <v>520</v>
      </c>
      <c r="N696" t="s">
        <v>521</v>
      </c>
      <c r="O696" t="s">
        <v>829</v>
      </c>
      <c r="P696" t="s">
        <v>654</v>
      </c>
      <c r="Q696" t="s">
        <v>638</v>
      </c>
      <c r="R696" t="s">
        <v>708</v>
      </c>
      <c r="S696" t="s">
        <v>880</v>
      </c>
      <c r="T696" t="s">
        <v>709</v>
      </c>
      <c r="U696">
        <v>144700</v>
      </c>
      <c r="V696" t="s">
        <v>4826</v>
      </c>
      <c r="W696" t="s">
        <v>807</v>
      </c>
      <c r="X696" t="s">
        <v>4827</v>
      </c>
      <c r="Y696" t="s">
        <v>4828</v>
      </c>
      <c r="Z696" t="s">
        <v>879</v>
      </c>
      <c r="AA696" t="s">
        <v>4356</v>
      </c>
      <c r="AB696" t="s">
        <v>4829</v>
      </c>
      <c r="AE696">
        <v>-36.877906109999998</v>
      </c>
      <c r="AF696">
        <v>174.85840496</v>
      </c>
      <c r="AG696">
        <v>20</v>
      </c>
      <c r="AH696">
        <v>5</v>
      </c>
      <c r="AI696">
        <v>1</v>
      </c>
      <c r="AJ696">
        <v>2</v>
      </c>
      <c r="AK696">
        <v>5</v>
      </c>
      <c r="AL696">
        <v>3</v>
      </c>
      <c r="AM696">
        <v>6</v>
      </c>
      <c r="AN696">
        <v>1</v>
      </c>
      <c r="AO696">
        <v>18</v>
      </c>
      <c r="AP696">
        <v>0</v>
      </c>
      <c r="AQ696">
        <v>2</v>
      </c>
      <c r="AR696">
        <v>17</v>
      </c>
      <c r="AS696">
        <v>1</v>
      </c>
      <c r="AT696">
        <v>0</v>
      </c>
    </row>
    <row r="697" spans="1:46">
      <c r="A697">
        <v>10258</v>
      </c>
      <c r="B697" t="s">
        <v>4830</v>
      </c>
      <c r="C697" t="s">
        <v>4831</v>
      </c>
      <c r="D697" t="s">
        <v>4832</v>
      </c>
      <c r="E697" t="s">
        <v>4833</v>
      </c>
      <c r="F697" t="s">
        <v>812</v>
      </c>
      <c r="G697" t="s">
        <v>652</v>
      </c>
      <c r="H697" t="s">
        <v>3942</v>
      </c>
      <c r="J697" t="s">
        <v>518</v>
      </c>
      <c r="K697" t="s">
        <v>519</v>
      </c>
      <c r="M697" t="s">
        <v>520</v>
      </c>
      <c r="N697" t="s">
        <v>571</v>
      </c>
      <c r="O697" t="s">
        <v>813</v>
      </c>
      <c r="P697" t="s">
        <v>654</v>
      </c>
      <c r="Q697" t="s">
        <v>638</v>
      </c>
      <c r="R697" t="s">
        <v>639</v>
      </c>
      <c r="S697" t="s">
        <v>640</v>
      </c>
      <c r="T697" t="s">
        <v>527</v>
      </c>
      <c r="U697">
        <v>119600</v>
      </c>
      <c r="V697" t="s">
        <v>4834</v>
      </c>
      <c r="W697" t="s">
        <v>815</v>
      </c>
      <c r="X697" t="s">
        <v>4603</v>
      </c>
      <c r="Y697" t="s">
        <v>4604</v>
      </c>
      <c r="AA697" t="s">
        <v>4037</v>
      </c>
      <c r="AB697" t="s">
        <v>4605</v>
      </c>
      <c r="AC697">
        <v>99125</v>
      </c>
      <c r="AD697" t="s">
        <v>816</v>
      </c>
      <c r="AE697">
        <v>-36.824357429999999</v>
      </c>
      <c r="AF697">
        <v>174.60792534000001</v>
      </c>
      <c r="AG697">
        <v>30</v>
      </c>
      <c r="AH697">
        <v>10</v>
      </c>
      <c r="AI697">
        <v>0</v>
      </c>
      <c r="AJ697">
        <v>5</v>
      </c>
      <c r="AK697">
        <v>7</v>
      </c>
      <c r="AL697">
        <v>2</v>
      </c>
      <c r="AM697">
        <v>9</v>
      </c>
      <c r="AN697">
        <v>0</v>
      </c>
      <c r="AO697">
        <v>23</v>
      </c>
      <c r="AP697">
        <v>14</v>
      </c>
      <c r="AQ697">
        <v>14</v>
      </c>
      <c r="AR697">
        <v>4</v>
      </c>
      <c r="AS697">
        <v>1</v>
      </c>
      <c r="AT697">
        <v>0</v>
      </c>
    </row>
    <row r="698" spans="1:46">
      <c r="A698">
        <v>10260</v>
      </c>
      <c r="B698" t="s">
        <v>4835</v>
      </c>
      <c r="C698" t="s">
        <v>4836</v>
      </c>
      <c r="D698" t="s">
        <v>4837</v>
      </c>
      <c r="E698" t="s">
        <v>4838</v>
      </c>
      <c r="F698" t="s">
        <v>3990</v>
      </c>
      <c r="G698" t="s">
        <v>652</v>
      </c>
      <c r="H698" t="s">
        <v>3942</v>
      </c>
      <c r="I698" t="s">
        <v>4575</v>
      </c>
      <c r="J698" t="s">
        <v>3962</v>
      </c>
      <c r="K698" t="s">
        <v>519</v>
      </c>
      <c r="M698" t="s">
        <v>520</v>
      </c>
      <c r="N698" t="s">
        <v>727</v>
      </c>
      <c r="O698" t="s">
        <v>728</v>
      </c>
      <c r="P698" t="s">
        <v>654</v>
      </c>
      <c r="Q698" t="s">
        <v>638</v>
      </c>
      <c r="R698" t="s">
        <v>729</v>
      </c>
      <c r="S698" t="s">
        <v>730</v>
      </c>
      <c r="T698" t="s">
        <v>709</v>
      </c>
      <c r="U698">
        <v>155801</v>
      </c>
      <c r="V698" t="s">
        <v>1212</v>
      </c>
      <c r="W698" t="s">
        <v>732</v>
      </c>
      <c r="X698" t="s">
        <v>4839</v>
      </c>
      <c r="Y698" t="s">
        <v>4840</v>
      </c>
      <c r="Z698" t="s">
        <v>4841</v>
      </c>
      <c r="AA698" t="s">
        <v>4484</v>
      </c>
      <c r="AE698">
        <v>-36.961603240000002</v>
      </c>
      <c r="AF698">
        <v>174.88842013999999</v>
      </c>
      <c r="AG698">
        <v>100</v>
      </c>
      <c r="AH698">
        <v>22</v>
      </c>
      <c r="AI698">
        <v>1</v>
      </c>
      <c r="AJ698">
        <v>8</v>
      </c>
      <c r="AK698">
        <v>18</v>
      </c>
      <c r="AL698">
        <v>14</v>
      </c>
      <c r="AM698">
        <v>26</v>
      </c>
      <c r="AN698">
        <v>2</v>
      </c>
      <c r="AO698">
        <v>69</v>
      </c>
      <c r="AP698">
        <v>7</v>
      </c>
      <c r="AQ698">
        <v>23</v>
      </c>
      <c r="AR698">
        <v>63</v>
      </c>
      <c r="AS698">
        <v>5</v>
      </c>
      <c r="AT698">
        <v>0</v>
      </c>
    </row>
    <row r="699" spans="1:46">
      <c r="A699">
        <v>10261</v>
      </c>
      <c r="B699" t="s">
        <v>4842</v>
      </c>
      <c r="C699" t="s">
        <v>4843</v>
      </c>
      <c r="D699" t="s">
        <v>4844</v>
      </c>
      <c r="E699" t="s">
        <v>4845</v>
      </c>
      <c r="F699" t="s">
        <v>872</v>
      </c>
      <c r="G699" t="s">
        <v>652</v>
      </c>
      <c r="H699" t="s">
        <v>3942</v>
      </c>
      <c r="J699" t="s">
        <v>3962</v>
      </c>
      <c r="K699" t="s">
        <v>519</v>
      </c>
      <c r="M699" t="s">
        <v>520</v>
      </c>
      <c r="N699" t="s">
        <v>571</v>
      </c>
      <c r="O699" t="s">
        <v>873</v>
      </c>
      <c r="P699" t="s">
        <v>654</v>
      </c>
      <c r="Q699" t="s">
        <v>638</v>
      </c>
      <c r="R699" t="s">
        <v>639</v>
      </c>
      <c r="S699" t="s">
        <v>719</v>
      </c>
      <c r="T699" t="s">
        <v>709</v>
      </c>
      <c r="U699">
        <v>132501</v>
      </c>
      <c r="V699" t="s">
        <v>4846</v>
      </c>
      <c r="W699" t="s">
        <v>815</v>
      </c>
      <c r="X699" t="s">
        <v>4847</v>
      </c>
      <c r="Y699" t="s">
        <v>4848</v>
      </c>
      <c r="Z699" t="s">
        <v>872</v>
      </c>
      <c r="AA699" t="s">
        <v>4849</v>
      </c>
      <c r="AB699" t="s">
        <v>4843</v>
      </c>
      <c r="AC699">
        <v>99062</v>
      </c>
      <c r="AD699" t="s">
        <v>893</v>
      </c>
      <c r="AE699">
        <v>-36.924099689999998</v>
      </c>
      <c r="AF699">
        <v>174.65013332999999</v>
      </c>
      <c r="AG699">
        <v>85</v>
      </c>
      <c r="AH699">
        <v>24</v>
      </c>
      <c r="AI699">
        <v>2</v>
      </c>
      <c r="AJ699">
        <v>22</v>
      </c>
      <c r="AK699">
        <v>28</v>
      </c>
      <c r="AL699">
        <v>30</v>
      </c>
      <c r="AM699">
        <v>22</v>
      </c>
      <c r="AN699">
        <v>2</v>
      </c>
      <c r="AO699">
        <v>106</v>
      </c>
      <c r="AP699">
        <v>99</v>
      </c>
      <c r="AQ699">
        <v>10</v>
      </c>
      <c r="AR699">
        <v>8</v>
      </c>
      <c r="AS699">
        <v>7</v>
      </c>
      <c r="AT699">
        <v>6</v>
      </c>
    </row>
    <row r="700" spans="1:46">
      <c r="A700">
        <v>10262</v>
      </c>
      <c r="B700" t="s">
        <v>4850</v>
      </c>
      <c r="C700" t="s">
        <v>4851</v>
      </c>
      <c r="E700" t="s">
        <v>4852</v>
      </c>
      <c r="G700" t="s">
        <v>3673</v>
      </c>
      <c r="H700" t="s">
        <v>3942</v>
      </c>
      <c r="J700" t="s">
        <v>3962</v>
      </c>
      <c r="K700" t="s">
        <v>519</v>
      </c>
      <c r="M700" t="s">
        <v>520</v>
      </c>
      <c r="N700" t="s">
        <v>4519</v>
      </c>
      <c r="O700" t="s">
        <v>522</v>
      </c>
      <c r="P700" t="s">
        <v>523</v>
      </c>
      <c r="Q700" t="s">
        <v>524</v>
      </c>
      <c r="R700" t="s">
        <v>525</v>
      </c>
      <c r="S700" t="s">
        <v>526</v>
      </c>
      <c r="T700" t="s">
        <v>527</v>
      </c>
      <c r="U700">
        <v>102801</v>
      </c>
      <c r="V700" t="s">
        <v>4853</v>
      </c>
      <c r="W700" t="s">
        <v>558</v>
      </c>
      <c r="X700" t="s">
        <v>4854</v>
      </c>
      <c r="Y700" t="s">
        <v>4855</v>
      </c>
      <c r="AA700" t="s">
        <v>4856</v>
      </c>
      <c r="AB700" t="s">
        <v>4851</v>
      </c>
      <c r="AE700">
        <v>-35.20794703</v>
      </c>
      <c r="AF700">
        <v>173.9472619</v>
      </c>
      <c r="AG700">
        <v>33</v>
      </c>
      <c r="AH700">
        <v>0</v>
      </c>
      <c r="AI700">
        <v>0</v>
      </c>
      <c r="AJ700">
        <v>0</v>
      </c>
      <c r="AK700">
        <v>0</v>
      </c>
      <c r="AL700">
        <v>9</v>
      </c>
      <c r="AM700">
        <v>20</v>
      </c>
      <c r="AN700">
        <v>11</v>
      </c>
      <c r="AO700">
        <v>40</v>
      </c>
      <c r="AP700">
        <v>34</v>
      </c>
      <c r="AQ700">
        <v>17</v>
      </c>
      <c r="AR700">
        <v>1</v>
      </c>
      <c r="AS700">
        <v>2</v>
      </c>
      <c r="AT700">
        <v>2</v>
      </c>
    </row>
    <row r="701" spans="1:46">
      <c r="A701">
        <v>10263</v>
      </c>
      <c r="B701" t="s">
        <v>4857</v>
      </c>
      <c r="C701" t="s">
        <v>4858</v>
      </c>
      <c r="E701" t="s">
        <v>4859</v>
      </c>
      <c r="F701" t="s">
        <v>681</v>
      </c>
      <c r="G701" t="s">
        <v>652</v>
      </c>
      <c r="H701" t="s">
        <v>3942</v>
      </c>
      <c r="J701" t="s">
        <v>3962</v>
      </c>
      <c r="K701" t="s">
        <v>519</v>
      </c>
      <c r="M701" t="s">
        <v>520</v>
      </c>
      <c r="N701" t="s">
        <v>571</v>
      </c>
      <c r="O701" t="s">
        <v>1168</v>
      </c>
      <c r="P701" t="s">
        <v>654</v>
      </c>
      <c r="Q701" t="s">
        <v>638</v>
      </c>
      <c r="R701" t="s">
        <v>639</v>
      </c>
      <c r="S701" t="s">
        <v>655</v>
      </c>
      <c r="T701" t="s">
        <v>527</v>
      </c>
      <c r="U701">
        <v>119700</v>
      </c>
      <c r="V701" t="s">
        <v>4860</v>
      </c>
      <c r="W701" t="s">
        <v>657</v>
      </c>
      <c r="X701" t="s">
        <v>4861</v>
      </c>
      <c r="Y701" t="s">
        <v>4862</v>
      </c>
      <c r="Z701" t="s">
        <v>4863</v>
      </c>
      <c r="AA701" t="s">
        <v>4537</v>
      </c>
      <c r="AC701">
        <v>99000</v>
      </c>
      <c r="AD701" t="s">
        <v>684</v>
      </c>
      <c r="AE701">
        <v>-36.736004270000002</v>
      </c>
      <c r="AF701">
        <v>174.73297031000001</v>
      </c>
      <c r="AG701">
        <v>38</v>
      </c>
      <c r="AH701">
        <v>12</v>
      </c>
      <c r="AI701">
        <v>1</v>
      </c>
      <c r="AJ701">
        <v>9</v>
      </c>
      <c r="AK701">
        <v>8</v>
      </c>
      <c r="AL701">
        <v>8</v>
      </c>
      <c r="AM701">
        <v>13</v>
      </c>
      <c r="AN701">
        <v>1</v>
      </c>
      <c r="AO701">
        <v>40</v>
      </c>
      <c r="AP701">
        <v>16</v>
      </c>
      <c r="AQ701">
        <v>3</v>
      </c>
      <c r="AR701">
        <v>2</v>
      </c>
      <c r="AS701">
        <v>23</v>
      </c>
      <c r="AT701">
        <v>3</v>
      </c>
    </row>
    <row r="702" spans="1:46">
      <c r="A702">
        <v>10266</v>
      </c>
      <c r="B702" t="s">
        <v>4864</v>
      </c>
      <c r="C702" t="s">
        <v>4865</v>
      </c>
      <c r="D702" t="s">
        <v>4866</v>
      </c>
      <c r="E702" t="s">
        <v>4867</v>
      </c>
      <c r="F702" t="s">
        <v>945</v>
      </c>
      <c r="G702" t="s">
        <v>652</v>
      </c>
      <c r="H702" t="s">
        <v>4221</v>
      </c>
      <c r="I702" t="s">
        <v>4868</v>
      </c>
      <c r="J702" t="s">
        <v>518</v>
      </c>
      <c r="K702" t="s">
        <v>519</v>
      </c>
      <c r="M702" t="s">
        <v>520</v>
      </c>
      <c r="N702" t="s">
        <v>521</v>
      </c>
      <c r="O702" t="s">
        <v>728</v>
      </c>
      <c r="P702" t="s">
        <v>654</v>
      </c>
      <c r="Q702" t="s">
        <v>638</v>
      </c>
      <c r="R702" t="s">
        <v>729</v>
      </c>
      <c r="S702" t="s">
        <v>849</v>
      </c>
      <c r="T702" t="s">
        <v>709</v>
      </c>
      <c r="U702">
        <v>153600</v>
      </c>
      <c r="V702" t="s">
        <v>4869</v>
      </c>
      <c r="W702" t="s">
        <v>732</v>
      </c>
      <c r="X702" t="s">
        <v>4870</v>
      </c>
      <c r="Y702" t="s">
        <v>4871</v>
      </c>
      <c r="Z702" t="s">
        <v>847</v>
      </c>
      <c r="AA702" t="s">
        <v>4226</v>
      </c>
      <c r="AB702" t="s">
        <v>4865</v>
      </c>
      <c r="AE702">
        <v>-36.974220170000002</v>
      </c>
      <c r="AF702">
        <v>174.82788181000001</v>
      </c>
      <c r="AG702">
        <v>100</v>
      </c>
      <c r="AH702">
        <v>20</v>
      </c>
      <c r="AI702">
        <v>1</v>
      </c>
      <c r="AJ702">
        <v>15</v>
      </c>
      <c r="AK702">
        <v>16</v>
      </c>
      <c r="AL702">
        <v>29</v>
      </c>
      <c r="AM702">
        <v>22</v>
      </c>
      <c r="AN702">
        <v>5</v>
      </c>
      <c r="AO702">
        <v>88</v>
      </c>
      <c r="AP702">
        <v>13</v>
      </c>
      <c r="AQ702">
        <v>15</v>
      </c>
      <c r="AR702">
        <v>85</v>
      </c>
      <c r="AS702">
        <v>3</v>
      </c>
      <c r="AT702">
        <v>0</v>
      </c>
    </row>
    <row r="703" spans="1:46">
      <c r="A703">
        <v>10267</v>
      </c>
      <c r="B703" t="s">
        <v>4872</v>
      </c>
      <c r="C703" t="s">
        <v>4873</v>
      </c>
      <c r="E703" t="s">
        <v>4874</v>
      </c>
      <c r="F703" t="s">
        <v>855</v>
      </c>
      <c r="G703" t="s">
        <v>652</v>
      </c>
      <c r="H703" t="s">
        <v>3942</v>
      </c>
      <c r="J703" t="s">
        <v>3962</v>
      </c>
      <c r="K703" t="s">
        <v>519</v>
      </c>
      <c r="M703" t="s">
        <v>520</v>
      </c>
      <c r="N703" t="s">
        <v>571</v>
      </c>
      <c r="O703" t="s">
        <v>857</v>
      </c>
      <c r="P703" t="s">
        <v>654</v>
      </c>
      <c r="Q703" t="s">
        <v>638</v>
      </c>
      <c r="R703" t="s">
        <v>708</v>
      </c>
      <c r="S703" t="s">
        <v>858</v>
      </c>
      <c r="T703" t="s">
        <v>709</v>
      </c>
      <c r="U703">
        <v>131900</v>
      </c>
      <c r="V703" t="s">
        <v>1135</v>
      </c>
      <c r="W703" t="s">
        <v>860</v>
      </c>
      <c r="X703" t="s">
        <v>4875</v>
      </c>
      <c r="Y703" t="s">
        <v>4874</v>
      </c>
      <c r="Z703" t="s">
        <v>855</v>
      </c>
      <c r="AA703" t="s">
        <v>4876</v>
      </c>
      <c r="AE703">
        <v>-36.885264110000001</v>
      </c>
      <c r="AF703">
        <v>174.71301560000001</v>
      </c>
      <c r="AG703">
        <v>90</v>
      </c>
      <c r="AH703">
        <v>20</v>
      </c>
      <c r="AI703">
        <v>1</v>
      </c>
      <c r="AJ703">
        <v>11</v>
      </c>
      <c r="AK703">
        <v>6</v>
      </c>
      <c r="AL703">
        <v>19</v>
      </c>
      <c r="AM703">
        <v>20</v>
      </c>
      <c r="AN703">
        <v>2</v>
      </c>
      <c r="AO703">
        <v>59</v>
      </c>
      <c r="AP703">
        <v>21</v>
      </c>
      <c r="AQ703">
        <v>3</v>
      </c>
      <c r="AR703">
        <v>6</v>
      </c>
      <c r="AS703">
        <v>28</v>
      </c>
      <c r="AT703">
        <v>13</v>
      </c>
    </row>
    <row r="704" spans="1:46">
      <c r="A704">
        <v>10268</v>
      </c>
      <c r="B704" t="s">
        <v>4877</v>
      </c>
      <c r="D704" t="s">
        <v>4878</v>
      </c>
      <c r="E704" t="s">
        <v>4879</v>
      </c>
      <c r="F704" t="s">
        <v>822</v>
      </c>
      <c r="G704" t="s">
        <v>652</v>
      </c>
      <c r="H704" t="s">
        <v>3942</v>
      </c>
      <c r="J704" t="s">
        <v>3962</v>
      </c>
      <c r="K704" t="s">
        <v>519</v>
      </c>
      <c r="M704" t="s">
        <v>520</v>
      </c>
      <c r="N704" t="s">
        <v>571</v>
      </c>
      <c r="O704" t="s">
        <v>857</v>
      </c>
      <c r="P704" t="s">
        <v>654</v>
      </c>
      <c r="Q704" t="s">
        <v>638</v>
      </c>
      <c r="R704" t="s">
        <v>708</v>
      </c>
      <c r="S704" t="s">
        <v>822</v>
      </c>
      <c r="T704" t="s">
        <v>709</v>
      </c>
      <c r="U704">
        <v>140800</v>
      </c>
      <c r="V704" t="s">
        <v>4880</v>
      </c>
      <c r="W704" t="s">
        <v>860</v>
      </c>
      <c r="X704" t="s">
        <v>4881</v>
      </c>
      <c r="Y704" t="s">
        <v>4882</v>
      </c>
      <c r="Z704" t="s">
        <v>855</v>
      </c>
      <c r="AA704" t="s">
        <v>4876</v>
      </c>
      <c r="AE704">
        <v>-36.894432080000001</v>
      </c>
      <c r="AF704">
        <v>174.76596981</v>
      </c>
      <c r="AG704">
        <v>27</v>
      </c>
      <c r="AH704">
        <v>0</v>
      </c>
      <c r="AI704">
        <v>0</v>
      </c>
      <c r="AJ704">
        <v>0</v>
      </c>
      <c r="AK704">
        <v>1</v>
      </c>
      <c r="AL704">
        <v>1</v>
      </c>
      <c r="AM704">
        <v>12</v>
      </c>
      <c r="AN704">
        <v>1</v>
      </c>
      <c r="AO704">
        <v>15</v>
      </c>
      <c r="AP704">
        <v>13</v>
      </c>
      <c r="AQ704">
        <v>0</v>
      </c>
      <c r="AR704">
        <v>1</v>
      </c>
      <c r="AS704">
        <v>3</v>
      </c>
      <c r="AT704">
        <v>0</v>
      </c>
    </row>
    <row r="705" spans="1:46">
      <c r="A705">
        <v>10269</v>
      </c>
      <c r="B705" t="s">
        <v>4883</v>
      </c>
      <c r="C705" t="s">
        <v>4884</v>
      </c>
      <c r="E705" t="s">
        <v>4885</v>
      </c>
      <c r="F705" t="s">
        <v>1072</v>
      </c>
      <c r="G705" t="s">
        <v>652</v>
      </c>
      <c r="H705" t="s">
        <v>3942</v>
      </c>
      <c r="I705" t="s">
        <v>4253</v>
      </c>
      <c r="J705" t="s">
        <v>518</v>
      </c>
      <c r="K705" t="s">
        <v>519</v>
      </c>
      <c r="M705" t="s">
        <v>520</v>
      </c>
      <c r="N705" t="s">
        <v>539</v>
      </c>
      <c r="O705" t="s">
        <v>848</v>
      </c>
      <c r="P705" t="s">
        <v>654</v>
      </c>
      <c r="Q705" t="s">
        <v>638</v>
      </c>
      <c r="R705" t="s">
        <v>729</v>
      </c>
      <c r="S705" t="s">
        <v>730</v>
      </c>
      <c r="T705" t="s">
        <v>709</v>
      </c>
      <c r="U705">
        <v>151900</v>
      </c>
      <c r="V705" t="s">
        <v>1073</v>
      </c>
      <c r="W705" t="s">
        <v>732</v>
      </c>
      <c r="X705" t="s">
        <v>4354</v>
      </c>
      <c r="Y705" t="s">
        <v>4885</v>
      </c>
      <c r="Z705" t="s">
        <v>1072</v>
      </c>
      <c r="AA705" t="s">
        <v>4886</v>
      </c>
      <c r="AB705" t="s">
        <v>4357</v>
      </c>
      <c r="AE705">
        <v>-36.946465109999998</v>
      </c>
      <c r="AF705">
        <v>174.85308818999999</v>
      </c>
      <c r="AG705">
        <v>38</v>
      </c>
      <c r="AH705">
        <v>10</v>
      </c>
      <c r="AI705">
        <v>2</v>
      </c>
      <c r="AJ705">
        <v>5</v>
      </c>
      <c r="AK705">
        <v>6</v>
      </c>
      <c r="AL705">
        <v>3</v>
      </c>
      <c r="AM705">
        <v>10</v>
      </c>
      <c r="AN705">
        <v>0</v>
      </c>
      <c r="AO705">
        <v>26</v>
      </c>
      <c r="AP705">
        <v>1</v>
      </c>
      <c r="AQ705">
        <v>0</v>
      </c>
      <c r="AR705">
        <v>26</v>
      </c>
      <c r="AS705">
        <v>0</v>
      </c>
      <c r="AT705">
        <v>0</v>
      </c>
    </row>
    <row r="706" spans="1:46">
      <c r="A706">
        <v>10271</v>
      </c>
      <c r="B706" t="s">
        <v>2336</v>
      </c>
      <c r="C706" t="s">
        <v>4887</v>
      </c>
      <c r="D706" t="s">
        <v>514</v>
      </c>
      <c r="E706" t="s">
        <v>4888</v>
      </c>
      <c r="G706" t="s">
        <v>4889</v>
      </c>
      <c r="H706" t="s">
        <v>517</v>
      </c>
      <c r="J706" t="s">
        <v>518</v>
      </c>
      <c r="K706" t="s">
        <v>519</v>
      </c>
      <c r="M706" t="s">
        <v>520</v>
      </c>
      <c r="N706" t="s">
        <v>571</v>
      </c>
      <c r="O706" t="s">
        <v>583</v>
      </c>
      <c r="P706" t="s">
        <v>540</v>
      </c>
      <c r="Q706" t="s">
        <v>524</v>
      </c>
      <c r="R706" t="s">
        <v>525</v>
      </c>
      <c r="S706" t="s">
        <v>585</v>
      </c>
      <c r="T706" t="s">
        <v>527</v>
      </c>
      <c r="U706">
        <v>108500</v>
      </c>
      <c r="V706" t="s">
        <v>4890</v>
      </c>
      <c r="W706" t="s">
        <v>4665</v>
      </c>
      <c r="X706" t="s">
        <v>530</v>
      </c>
      <c r="Y706" t="s">
        <v>531</v>
      </c>
      <c r="Z706" t="s">
        <v>532</v>
      </c>
      <c r="AA706" t="s">
        <v>533</v>
      </c>
      <c r="AB706" t="s">
        <v>534</v>
      </c>
      <c r="AC706">
        <v>99180</v>
      </c>
      <c r="AD706" t="s">
        <v>4891</v>
      </c>
      <c r="AE706">
        <v>-35.77006669</v>
      </c>
      <c r="AF706">
        <v>174.48251934000001</v>
      </c>
      <c r="AG706">
        <v>30</v>
      </c>
      <c r="AH706">
        <v>0</v>
      </c>
      <c r="AI706">
        <v>0</v>
      </c>
      <c r="AJ706">
        <v>0</v>
      </c>
      <c r="AK706">
        <v>0</v>
      </c>
      <c r="AL706">
        <v>8</v>
      </c>
      <c r="AM706">
        <v>31</v>
      </c>
      <c r="AN706">
        <v>1</v>
      </c>
      <c r="AO706">
        <v>40</v>
      </c>
      <c r="AP706">
        <v>36</v>
      </c>
      <c r="AQ706">
        <v>10</v>
      </c>
      <c r="AR706">
        <v>1</v>
      </c>
      <c r="AS706">
        <v>2</v>
      </c>
      <c r="AT706">
        <v>1</v>
      </c>
    </row>
    <row r="707" spans="1:46">
      <c r="A707">
        <v>10272</v>
      </c>
      <c r="B707" t="s">
        <v>4892</v>
      </c>
      <c r="C707" t="s">
        <v>4893</v>
      </c>
      <c r="D707" t="s">
        <v>4894</v>
      </c>
      <c r="E707" t="s">
        <v>4895</v>
      </c>
      <c r="F707" t="s">
        <v>4896</v>
      </c>
      <c r="G707" t="s">
        <v>652</v>
      </c>
      <c r="H707" t="s">
        <v>3942</v>
      </c>
      <c r="J707" t="s">
        <v>3962</v>
      </c>
      <c r="K707" t="s">
        <v>519</v>
      </c>
      <c r="M707" t="s">
        <v>520</v>
      </c>
      <c r="N707" t="s">
        <v>571</v>
      </c>
      <c r="O707" t="s">
        <v>653</v>
      </c>
      <c r="P707" t="s">
        <v>654</v>
      </c>
      <c r="Q707" t="s">
        <v>638</v>
      </c>
      <c r="R707" t="s">
        <v>639</v>
      </c>
      <c r="S707" t="s">
        <v>655</v>
      </c>
      <c r="T707" t="s">
        <v>527</v>
      </c>
      <c r="U707">
        <v>117700</v>
      </c>
      <c r="V707" t="s">
        <v>4896</v>
      </c>
      <c r="W707" t="s">
        <v>657</v>
      </c>
      <c r="X707" t="s">
        <v>4897</v>
      </c>
      <c r="Y707" t="s">
        <v>4898</v>
      </c>
      <c r="Z707" t="s">
        <v>660</v>
      </c>
      <c r="AA707" t="s">
        <v>4099</v>
      </c>
      <c r="AB707" t="s">
        <v>4899</v>
      </c>
      <c r="AC707">
        <v>99121</v>
      </c>
      <c r="AD707" t="s">
        <v>662</v>
      </c>
      <c r="AE707">
        <v>-36.709663499999998</v>
      </c>
      <c r="AF707">
        <v>174.73001561999999</v>
      </c>
      <c r="AG707">
        <v>150</v>
      </c>
      <c r="AH707">
        <v>32</v>
      </c>
      <c r="AI707">
        <v>3</v>
      </c>
      <c r="AJ707">
        <v>19</v>
      </c>
      <c r="AK707">
        <v>36</v>
      </c>
      <c r="AL707">
        <v>25</v>
      </c>
      <c r="AM707">
        <v>28</v>
      </c>
      <c r="AN707">
        <v>1</v>
      </c>
      <c r="AO707">
        <v>112</v>
      </c>
      <c r="AP707">
        <v>88</v>
      </c>
      <c r="AQ707">
        <v>3</v>
      </c>
      <c r="AR707">
        <v>1</v>
      </c>
      <c r="AS707">
        <v>34</v>
      </c>
      <c r="AT707">
        <v>4</v>
      </c>
    </row>
    <row r="708" spans="1:46">
      <c r="A708">
        <v>10275</v>
      </c>
      <c r="B708" t="s">
        <v>4900</v>
      </c>
      <c r="C708" t="s">
        <v>4901</v>
      </c>
      <c r="D708" t="s">
        <v>4902</v>
      </c>
      <c r="E708" t="s">
        <v>4903</v>
      </c>
      <c r="F708" t="s">
        <v>4804</v>
      </c>
      <c r="G708" t="s">
        <v>652</v>
      </c>
      <c r="H708" t="s">
        <v>3942</v>
      </c>
      <c r="J708" t="s">
        <v>3962</v>
      </c>
      <c r="K708" t="s">
        <v>519</v>
      </c>
      <c r="M708" t="s">
        <v>520</v>
      </c>
      <c r="N708" t="s">
        <v>571</v>
      </c>
      <c r="O708" t="s">
        <v>707</v>
      </c>
      <c r="P708" t="s">
        <v>654</v>
      </c>
      <c r="Q708" t="s">
        <v>638</v>
      </c>
      <c r="R708" t="s">
        <v>708</v>
      </c>
      <c r="S708" t="s">
        <v>778</v>
      </c>
      <c r="T708" t="s">
        <v>709</v>
      </c>
      <c r="U708">
        <v>155401</v>
      </c>
      <c r="V708" t="s">
        <v>4904</v>
      </c>
      <c r="W708" t="s">
        <v>711</v>
      </c>
      <c r="X708" t="s">
        <v>4096</v>
      </c>
      <c r="Y708" t="s">
        <v>4097</v>
      </c>
      <c r="Z708" t="s">
        <v>4098</v>
      </c>
      <c r="AA708" t="s">
        <v>4099</v>
      </c>
      <c r="AB708" t="s">
        <v>4100</v>
      </c>
      <c r="AE708">
        <v>-36.941054719999997</v>
      </c>
      <c r="AF708">
        <v>174.90917002</v>
      </c>
      <c r="AG708">
        <v>139</v>
      </c>
      <c r="AH708">
        <v>45</v>
      </c>
      <c r="AI708">
        <v>2</v>
      </c>
      <c r="AJ708">
        <v>13</v>
      </c>
      <c r="AK708">
        <v>34</v>
      </c>
      <c r="AL708">
        <v>32</v>
      </c>
      <c r="AM708">
        <v>44</v>
      </c>
      <c r="AN708">
        <v>3</v>
      </c>
      <c r="AO708">
        <v>128</v>
      </c>
      <c r="AP708">
        <v>28</v>
      </c>
      <c r="AQ708">
        <v>3</v>
      </c>
      <c r="AR708">
        <v>8</v>
      </c>
      <c r="AS708">
        <v>94</v>
      </c>
      <c r="AT708">
        <v>16</v>
      </c>
    </row>
    <row r="709" spans="1:46">
      <c r="A709">
        <v>10276</v>
      </c>
      <c r="B709" t="s">
        <v>4905</v>
      </c>
      <c r="C709" t="s">
        <v>4906</v>
      </c>
      <c r="D709" t="s">
        <v>4907</v>
      </c>
      <c r="E709" t="s">
        <v>4908</v>
      </c>
      <c r="F709" t="s">
        <v>681</v>
      </c>
      <c r="G709" t="s">
        <v>652</v>
      </c>
      <c r="H709" t="s">
        <v>3942</v>
      </c>
      <c r="J709" t="s">
        <v>3962</v>
      </c>
      <c r="K709" t="s">
        <v>519</v>
      </c>
      <c r="M709" t="s">
        <v>520</v>
      </c>
      <c r="N709" t="s">
        <v>571</v>
      </c>
      <c r="O709" t="s">
        <v>1168</v>
      </c>
      <c r="P709" t="s">
        <v>654</v>
      </c>
      <c r="Q709" t="s">
        <v>638</v>
      </c>
      <c r="R709" t="s">
        <v>639</v>
      </c>
      <c r="S709" t="s">
        <v>682</v>
      </c>
      <c r="T709" t="s">
        <v>527</v>
      </c>
      <c r="U709">
        <v>118600</v>
      </c>
      <c r="V709" t="s">
        <v>4012</v>
      </c>
      <c r="W709" t="s">
        <v>657</v>
      </c>
      <c r="X709" t="s">
        <v>4909</v>
      </c>
      <c r="Y709" t="s">
        <v>4910</v>
      </c>
      <c r="Z709" t="s">
        <v>681</v>
      </c>
      <c r="AA709" t="s">
        <v>4911</v>
      </c>
      <c r="AC709">
        <v>99000</v>
      </c>
      <c r="AD709" t="s">
        <v>684</v>
      </c>
      <c r="AE709">
        <v>-36.74763884</v>
      </c>
      <c r="AF709">
        <v>174.73632889999999</v>
      </c>
      <c r="AG709">
        <v>40</v>
      </c>
      <c r="AH709">
        <v>10</v>
      </c>
      <c r="AI709">
        <v>4</v>
      </c>
      <c r="AJ709">
        <v>5</v>
      </c>
      <c r="AK709">
        <v>5</v>
      </c>
      <c r="AL709">
        <v>5</v>
      </c>
      <c r="AM709">
        <v>4</v>
      </c>
      <c r="AN709">
        <v>0</v>
      </c>
      <c r="AO709">
        <v>23</v>
      </c>
      <c r="AP709">
        <v>5</v>
      </c>
      <c r="AQ709">
        <v>0</v>
      </c>
      <c r="AR709">
        <v>0</v>
      </c>
      <c r="AS709">
        <v>18</v>
      </c>
      <c r="AT709">
        <v>1</v>
      </c>
    </row>
    <row r="710" spans="1:46">
      <c r="A710">
        <v>10284</v>
      </c>
      <c r="B710" t="s">
        <v>4912</v>
      </c>
      <c r="C710" t="s">
        <v>4913</v>
      </c>
      <c r="D710" t="s">
        <v>4914</v>
      </c>
      <c r="E710" t="s">
        <v>4915</v>
      </c>
      <c r="F710" t="s">
        <v>1146</v>
      </c>
      <c r="G710" t="s">
        <v>652</v>
      </c>
      <c r="H710" t="s">
        <v>3942</v>
      </c>
      <c r="J710" t="s">
        <v>518</v>
      </c>
      <c r="K710" t="s">
        <v>519</v>
      </c>
      <c r="M710" t="s">
        <v>520</v>
      </c>
      <c r="N710" t="s">
        <v>571</v>
      </c>
      <c r="O710" t="s">
        <v>957</v>
      </c>
      <c r="P710" t="s">
        <v>654</v>
      </c>
      <c r="Q710" t="s">
        <v>638</v>
      </c>
      <c r="R710" t="s">
        <v>708</v>
      </c>
      <c r="S710" t="s">
        <v>858</v>
      </c>
      <c r="T710" t="s">
        <v>709</v>
      </c>
      <c r="U710">
        <v>131600</v>
      </c>
      <c r="V710" t="s">
        <v>4916</v>
      </c>
      <c r="W710" t="s">
        <v>959</v>
      </c>
      <c r="X710" t="s">
        <v>3943</v>
      </c>
      <c r="Y710" t="s">
        <v>3944</v>
      </c>
      <c r="Z710" t="s">
        <v>3945</v>
      </c>
      <c r="AA710" t="s">
        <v>3946</v>
      </c>
      <c r="AB710" t="s">
        <v>3947</v>
      </c>
      <c r="AE710">
        <v>-36.856053750000001</v>
      </c>
      <c r="AF710">
        <v>174.73435484999999</v>
      </c>
      <c r="AG710">
        <v>42</v>
      </c>
      <c r="AH710">
        <v>18</v>
      </c>
      <c r="AI710">
        <v>0</v>
      </c>
      <c r="AJ710">
        <v>14</v>
      </c>
      <c r="AK710">
        <v>4</v>
      </c>
      <c r="AL710">
        <v>12</v>
      </c>
      <c r="AM710">
        <v>4</v>
      </c>
      <c r="AN710">
        <v>0</v>
      </c>
      <c r="AO710">
        <v>34</v>
      </c>
      <c r="AP710">
        <v>30</v>
      </c>
      <c r="AQ710">
        <v>1</v>
      </c>
      <c r="AR710">
        <v>0</v>
      </c>
      <c r="AS710">
        <v>4</v>
      </c>
      <c r="AT710">
        <v>4</v>
      </c>
    </row>
    <row r="711" spans="1:46">
      <c r="A711">
        <v>10287</v>
      </c>
      <c r="B711" t="s">
        <v>4917</v>
      </c>
      <c r="C711" t="s">
        <v>4918</v>
      </c>
      <c r="D711" t="s">
        <v>4919</v>
      </c>
      <c r="E711" t="s">
        <v>4920</v>
      </c>
      <c r="F711" t="s">
        <v>4921</v>
      </c>
      <c r="G711" t="s">
        <v>652</v>
      </c>
      <c r="H711" t="s">
        <v>3942</v>
      </c>
      <c r="J711" t="s">
        <v>518</v>
      </c>
      <c r="K711" t="s">
        <v>519</v>
      </c>
      <c r="M711" t="s">
        <v>520</v>
      </c>
      <c r="N711" t="s">
        <v>571</v>
      </c>
      <c r="O711" t="s">
        <v>957</v>
      </c>
      <c r="P711" t="s">
        <v>654</v>
      </c>
      <c r="Q711" t="s">
        <v>638</v>
      </c>
      <c r="R711" t="s">
        <v>708</v>
      </c>
      <c r="S711" t="s">
        <v>958</v>
      </c>
      <c r="T711" t="s">
        <v>709</v>
      </c>
      <c r="U711">
        <v>134100</v>
      </c>
      <c r="V711" t="s">
        <v>4922</v>
      </c>
      <c r="W711" t="s">
        <v>959</v>
      </c>
      <c r="X711" t="s">
        <v>642</v>
      </c>
      <c r="Y711" t="s">
        <v>643</v>
      </c>
      <c r="Z711" t="s">
        <v>644</v>
      </c>
      <c r="AA711" t="s">
        <v>645</v>
      </c>
      <c r="AB711" t="s">
        <v>646</v>
      </c>
      <c r="AE711">
        <v>-36.855735899999999</v>
      </c>
      <c r="AF711">
        <v>174.76197056999999</v>
      </c>
      <c r="AG711">
        <v>50</v>
      </c>
      <c r="AH711">
        <v>10</v>
      </c>
      <c r="AI711">
        <v>2</v>
      </c>
      <c r="AJ711">
        <v>3</v>
      </c>
      <c r="AK711">
        <v>8</v>
      </c>
      <c r="AL711">
        <v>18</v>
      </c>
      <c r="AM711">
        <v>25</v>
      </c>
      <c r="AN711">
        <v>2</v>
      </c>
      <c r="AO711">
        <v>58</v>
      </c>
      <c r="AP711">
        <v>15</v>
      </c>
      <c r="AQ711">
        <v>3</v>
      </c>
      <c r="AR711">
        <v>2</v>
      </c>
      <c r="AS711">
        <v>41</v>
      </c>
      <c r="AT711">
        <v>4</v>
      </c>
    </row>
    <row r="712" spans="1:46">
      <c r="A712">
        <v>10289</v>
      </c>
      <c r="B712" t="s">
        <v>4923</v>
      </c>
      <c r="C712" t="s">
        <v>4924</v>
      </c>
      <c r="D712" t="s">
        <v>4925</v>
      </c>
      <c r="E712" t="s">
        <v>4926</v>
      </c>
      <c r="F712" t="s">
        <v>812</v>
      </c>
      <c r="G712" t="s">
        <v>652</v>
      </c>
      <c r="H712" t="s">
        <v>3942</v>
      </c>
      <c r="I712" t="s">
        <v>4165</v>
      </c>
      <c r="J712" t="s">
        <v>518</v>
      </c>
      <c r="K712" t="s">
        <v>519</v>
      </c>
      <c r="M712" t="s">
        <v>520</v>
      </c>
      <c r="N712" t="s">
        <v>539</v>
      </c>
      <c r="O712" t="s">
        <v>813</v>
      </c>
      <c r="P712" t="s">
        <v>654</v>
      </c>
      <c r="Q712" t="s">
        <v>638</v>
      </c>
      <c r="R712" t="s">
        <v>639</v>
      </c>
      <c r="S712" t="s">
        <v>739</v>
      </c>
      <c r="T712" t="s">
        <v>527</v>
      </c>
      <c r="U712">
        <v>119800</v>
      </c>
      <c r="V712" t="s">
        <v>920</v>
      </c>
      <c r="W712" t="s">
        <v>815</v>
      </c>
      <c r="X712" t="s">
        <v>4927</v>
      </c>
      <c r="Y712" t="s">
        <v>4928</v>
      </c>
      <c r="Z712" t="s">
        <v>4929</v>
      </c>
      <c r="AA712" t="s">
        <v>4707</v>
      </c>
      <c r="AC712">
        <v>99125</v>
      </c>
      <c r="AD712" t="s">
        <v>816</v>
      </c>
      <c r="AE712">
        <v>-36.825024630000001</v>
      </c>
      <c r="AF712">
        <v>174.624875</v>
      </c>
      <c r="AG712">
        <v>50</v>
      </c>
      <c r="AH712">
        <v>15</v>
      </c>
      <c r="AI712">
        <v>2</v>
      </c>
      <c r="AJ712">
        <v>7</v>
      </c>
      <c r="AK712">
        <v>17</v>
      </c>
      <c r="AL712">
        <v>12</v>
      </c>
      <c r="AM712">
        <v>5</v>
      </c>
      <c r="AN712">
        <v>0</v>
      </c>
      <c r="AO712">
        <v>43</v>
      </c>
      <c r="AP712">
        <v>1</v>
      </c>
      <c r="AQ712">
        <v>1</v>
      </c>
      <c r="AR712">
        <v>41</v>
      </c>
      <c r="AS712">
        <v>3</v>
      </c>
      <c r="AT712">
        <v>0</v>
      </c>
    </row>
    <row r="713" spans="1:46">
      <c r="A713">
        <v>10292</v>
      </c>
      <c r="B713" t="s">
        <v>4930</v>
      </c>
      <c r="C713" t="s">
        <v>4931</v>
      </c>
      <c r="D713" t="s">
        <v>4932</v>
      </c>
      <c r="E713" t="s">
        <v>4933</v>
      </c>
      <c r="G713" t="s">
        <v>675</v>
      </c>
      <c r="H713" t="s">
        <v>3942</v>
      </c>
      <c r="J713" t="s">
        <v>3962</v>
      </c>
      <c r="K713" t="s">
        <v>519</v>
      </c>
      <c r="M713" t="s">
        <v>520</v>
      </c>
      <c r="N713" t="s">
        <v>571</v>
      </c>
      <c r="O713" t="s">
        <v>637</v>
      </c>
      <c r="P713" t="s">
        <v>540</v>
      </c>
      <c r="Q713" t="s">
        <v>638</v>
      </c>
      <c r="R713" t="s">
        <v>639</v>
      </c>
      <c r="S713" t="s">
        <v>640</v>
      </c>
      <c r="T713" t="s">
        <v>527</v>
      </c>
      <c r="U713">
        <v>110900</v>
      </c>
      <c r="V713" t="s">
        <v>4934</v>
      </c>
      <c r="W713" t="s">
        <v>641</v>
      </c>
      <c r="X713" t="s">
        <v>4935</v>
      </c>
      <c r="Y713" t="s">
        <v>4936</v>
      </c>
      <c r="AA713" t="s">
        <v>4937</v>
      </c>
      <c r="AB713" t="s">
        <v>4938</v>
      </c>
      <c r="AC713">
        <v>99122</v>
      </c>
      <c r="AD713" t="s">
        <v>4085</v>
      </c>
      <c r="AE713">
        <v>-36.353772640000003</v>
      </c>
      <c r="AF713">
        <v>174.71706223000001</v>
      </c>
      <c r="AG713">
        <v>30</v>
      </c>
      <c r="AH713">
        <v>8</v>
      </c>
      <c r="AI713">
        <v>3</v>
      </c>
      <c r="AJ713">
        <v>6</v>
      </c>
      <c r="AK713">
        <v>8</v>
      </c>
      <c r="AL713">
        <v>14</v>
      </c>
      <c r="AM713">
        <v>8</v>
      </c>
      <c r="AN713">
        <v>2</v>
      </c>
      <c r="AO713">
        <v>41</v>
      </c>
      <c r="AP713">
        <v>41</v>
      </c>
      <c r="AQ713">
        <v>3</v>
      </c>
      <c r="AR713">
        <v>0</v>
      </c>
      <c r="AS713">
        <v>0</v>
      </c>
      <c r="AT713">
        <v>0</v>
      </c>
    </row>
    <row r="714" spans="1:46">
      <c r="A714">
        <v>10293</v>
      </c>
      <c r="B714" t="s">
        <v>4939</v>
      </c>
      <c r="C714" t="s">
        <v>4940</v>
      </c>
      <c r="D714" t="s">
        <v>4941</v>
      </c>
      <c r="E714" t="s">
        <v>4942</v>
      </c>
      <c r="F714" t="s">
        <v>975</v>
      </c>
      <c r="G714" t="s">
        <v>652</v>
      </c>
      <c r="H714" t="s">
        <v>3942</v>
      </c>
      <c r="J714" t="s">
        <v>3962</v>
      </c>
      <c r="K714" t="s">
        <v>519</v>
      </c>
      <c r="M714" t="s">
        <v>520</v>
      </c>
      <c r="N714" t="s">
        <v>4519</v>
      </c>
      <c r="O714" t="s">
        <v>848</v>
      </c>
      <c r="P714" t="s">
        <v>654</v>
      </c>
      <c r="Q714" t="s">
        <v>638</v>
      </c>
      <c r="R714" t="s">
        <v>708</v>
      </c>
      <c r="S714" t="s">
        <v>849</v>
      </c>
      <c r="T714" t="s">
        <v>709</v>
      </c>
      <c r="U714">
        <v>146800</v>
      </c>
      <c r="V714" t="s">
        <v>4943</v>
      </c>
      <c r="W714" t="s">
        <v>732</v>
      </c>
      <c r="X714" t="s">
        <v>4944</v>
      </c>
      <c r="Y714" t="s">
        <v>4945</v>
      </c>
      <c r="Z714" t="s">
        <v>821</v>
      </c>
      <c r="AA714" t="s">
        <v>4069</v>
      </c>
      <c r="AB714" t="s">
        <v>4946</v>
      </c>
      <c r="AC714">
        <v>99190</v>
      </c>
      <c r="AD714" t="s">
        <v>831</v>
      </c>
      <c r="AE714">
        <v>-36.942694189999997</v>
      </c>
      <c r="AF714">
        <v>174.78759796</v>
      </c>
      <c r="AG714">
        <v>37</v>
      </c>
      <c r="AH714">
        <v>7</v>
      </c>
      <c r="AI714">
        <v>2</v>
      </c>
      <c r="AJ714">
        <v>7</v>
      </c>
      <c r="AK714">
        <v>8</v>
      </c>
      <c r="AL714">
        <v>7</v>
      </c>
      <c r="AM714">
        <v>10</v>
      </c>
      <c r="AN714">
        <v>0</v>
      </c>
      <c r="AO714">
        <v>34</v>
      </c>
      <c r="AP714">
        <v>24</v>
      </c>
      <c r="AQ714">
        <v>2</v>
      </c>
      <c r="AR714">
        <v>8</v>
      </c>
      <c r="AS714">
        <v>11</v>
      </c>
      <c r="AT714">
        <v>2</v>
      </c>
    </row>
    <row r="715" spans="1:46">
      <c r="A715">
        <v>10294</v>
      </c>
      <c r="B715" t="s">
        <v>4947</v>
      </c>
      <c r="C715" t="s">
        <v>4948</v>
      </c>
      <c r="E715" t="s">
        <v>4949</v>
      </c>
      <c r="F715" t="s">
        <v>4950</v>
      </c>
      <c r="G715" t="s">
        <v>582</v>
      </c>
      <c r="H715" t="s">
        <v>3942</v>
      </c>
      <c r="I715" t="s">
        <v>4951</v>
      </c>
      <c r="J715" t="s">
        <v>518</v>
      </c>
      <c r="K715" t="s">
        <v>519</v>
      </c>
      <c r="M715" t="s">
        <v>520</v>
      </c>
      <c r="N715" t="s">
        <v>539</v>
      </c>
      <c r="O715" t="s">
        <v>583</v>
      </c>
      <c r="P715" t="s">
        <v>584</v>
      </c>
      <c r="Q715" t="s">
        <v>524</v>
      </c>
      <c r="R715" t="s">
        <v>525</v>
      </c>
      <c r="S715" t="s">
        <v>585</v>
      </c>
      <c r="T715" t="s">
        <v>527</v>
      </c>
      <c r="U715">
        <v>107501</v>
      </c>
      <c r="V715" t="s">
        <v>4952</v>
      </c>
      <c r="W715" t="s">
        <v>587</v>
      </c>
      <c r="X715" t="s">
        <v>4953</v>
      </c>
      <c r="Y715" t="s">
        <v>4954</v>
      </c>
      <c r="Z715" t="s">
        <v>4955</v>
      </c>
      <c r="AA715" t="s">
        <v>4956</v>
      </c>
      <c r="AB715" t="s">
        <v>4957</v>
      </c>
      <c r="AE715">
        <v>-35.734337539999999</v>
      </c>
      <c r="AF715">
        <v>174.31302524</v>
      </c>
      <c r="AG715">
        <v>70</v>
      </c>
      <c r="AH715">
        <v>20</v>
      </c>
      <c r="AI715">
        <v>1</v>
      </c>
      <c r="AJ715">
        <v>4</v>
      </c>
      <c r="AK715">
        <v>15</v>
      </c>
      <c r="AL715">
        <v>10</v>
      </c>
      <c r="AM715">
        <v>11</v>
      </c>
      <c r="AN715">
        <v>0</v>
      </c>
      <c r="AO715">
        <v>41</v>
      </c>
      <c r="AP715">
        <v>12</v>
      </c>
      <c r="AQ715">
        <v>39</v>
      </c>
      <c r="AR715">
        <v>6</v>
      </c>
      <c r="AS715">
        <v>0</v>
      </c>
      <c r="AT715">
        <v>1</v>
      </c>
    </row>
    <row r="716" spans="1:46">
      <c r="A716">
        <v>10295</v>
      </c>
      <c r="B716" t="s">
        <v>4958</v>
      </c>
      <c r="C716" t="s">
        <v>4959</v>
      </c>
      <c r="E716" t="s">
        <v>4960</v>
      </c>
      <c r="F716" t="s">
        <v>1036</v>
      </c>
      <c r="G716" t="s">
        <v>652</v>
      </c>
      <c r="H716" t="s">
        <v>3942</v>
      </c>
      <c r="J716" t="s">
        <v>3962</v>
      </c>
      <c r="K716" t="s">
        <v>519</v>
      </c>
      <c r="M716" t="s">
        <v>520</v>
      </c>
      <c r="N716" t="s">
        <v>521</v>
      </c>
      <c r="O716" t="s">
        <v>1216</v>
      </c>
      <c r="P716" t="s">
        <v>654</v>
      </c>
      <c r="Q716" t="s">
        <v>638</v>
      </c>
      <c r="R716" t="s">
        <v>729</v>
      </c>
      <c r="S716" t="s">
        <v>1217</v>
      </c>
      <c r="T716" t="s">
        <v>709</v>
      </c>
      <c r="U716">
        <v>160901</v>
      </c>
      <c r="V716" t="s">
        <v>4961</v>
      </c>
      <c r="W716" t="s">
        <v>1219</v>
      </c>
      <c r="X716" t="s">
        <v>4962</v>
      </c>
      <c r="Y716" t="s">
        <v>4963</v>
      </c>
      <c r="Z716" t="s">
        <v>821</v>
      </c>
      <c r="AA716" t="s">
        <v>4069</v>
      </c>
      <c r="AB716" t="s">
        <v>4964</v>
      </c>
      <c r="AE716">
        <v>-37.03440629</v>
      </c>
      <c r="AF716">
        <v>174.89550396999999</v>
      </c>
      <c r="AG716">
        <v>50</v>
      </c>
      <c r="AH716">
        <v>14</v>
      </c>
      <c r="AI716">
        <v>1</v>
      </c>
      <c r="AJ716">
        <v>4</v>
      </c>
      <c r="AK716">
        <v>14</v>
      </c>
      <c r="AL716">
        <v>6</v>
      </c>
      <c r="AM716">
        <v>9</v>
      </c>
      <c r="AN716">
        <v>0</v>
      </c>
      <c r="AO716">
        <v>34</v>
      </c>
      <c r="AP716">
        <v>15</v>
      </c>
      <c r="AQ716">
        <v>17</v>
      </c>
      <c r="AR716">
        <v>15</v>
      </c>
      <c r="AS716">
        <v>7</v>
      </c>
      <c r="AT716">
        <v>1</v>
      </c>
    </row>
    <row r="717" spans="1:46">
      <c r="A717">
        <v>10297</v>
      </c>
      <c r="B717" t="s">
        <v>4965</v>
      </c>
      <c r="C717" t="s">
        <v>4966</v>
      </c>
      <c r="D717" t="s">
        <v>4967</v>
      </c>
      <c r="E717" t="s">
        <v>4968</v>
      </c>
      <c r="F717" t="s">
        <v>1177</v>
      </c>
      <c r="G717" t="s">
        <v>652</v>
      </c>
      <c r="H717" t="s">
        <v>3942</v>
      </c>
      <c r="J717" t="s">
        <v>3962</v>
      </c>
      <c r="K717" t="s">
        <v>519</v>
      </c>
      <c r="M717" t="s">
        <v>520</v>
      </c>
      <c r="N717" t="s">
        <v>571</v>
      </c>
      <c r="O717" t="s">
        <v>748</v>
      </c>
      <c r="P717" t="s">
        <v>654</v>
      </c>
      <c r="Q717" t="s">
        <v>638</v>
      </c>
      <c r="R717" t="s">
        <v>639</v>
      </c>
      <c r="S717" t="s">
        <v>682</v>
      </c>
      <c r="T717" t="s">
        <v>527</v>
      </c>
      <c r="U717">
        <v>126801</v>
      </c>
      <c r="V717" t="s">
        <v>1178</v>
      </c>
      <c r="W717" t="s">
        <v>741</v>
      </c>
      <c r="X717" t="s">
        <v>4969</v>
      </c>
      <c r="Y717" t="s">
        <v>4970</v>
      </c>
      <c r="Z717" t="s">
        <v>682</v>
      </c>
      <c r="AA717" t="s">
        <v>4365</v>
      </c>
      <c r="AB717" t="s">
        <v>4971</v>
      </c>
      <c r="AC717">
        <v>99188</v>
      </c>
      <c r="AD717" t="s">
        <v>786</v>
      </c>
      <c r="AE717">
        <v>-36.79245761</v>
      </c>
      <c r="AF717">
        <v>174.77402581999999</v>
      </c>
      <c r="AG717">
        <v>50</v>
      </c>
      <c r="AH717">
        <v>17</v>
      </c>
      <c r="AI717">
        <v>4</v>
      </c>
      <c r="AJ717">
        <v>13</v>
      </c>
      <c r="AK717">
        <v>11</v>
      </c>
      <c r="AL717">
        <v>18</v>
      </c>
      <c r="AM717">
        <v>4</v>
      </c>
      <c r="AN717">
        <v>0</v>
      </c>
      <c r="AO717">
        <v>50</v>
      </c>
      <c r="AP717">
        <v>26</v>
      </c>
      <c r="AQ717">
        <v>7</v>
      </c>
      <c r="AR717">
        <v>3</v>
      </c>
      <c r="AS717">
        <v>18</v>
      </c>
      <c r="AT717">
        <v>9</v>
      </c>
    </row>
    <row r="718" spans="1:46">
      <c r="A718">
        <v>10299</v>
      </c>
      <c r="B718" t="s">
        <v>4972</v>
      </c>
      <c r="C718" t="s">
        <v>4973</v>
      </c>
      <c r="D718" t="s">
        <v>4336</v>
      </c>
      <c r="E718" t="s">
        <v>4337</v>
      </c>
      <c r="F718" t="s">
        <v>4338</v>
      </c>
      <c r="G718" t="s">
        <v>652</v>
      </c>
      <c r="H718" t="s">
        <v>3942</v>
      </c>
      <c r="J718" t="s">
        <v>518</v>
      </c>
      <c r="K718" t="s">
        <v>519</v>
      </c>
      <c r="M718" t="s">
        <v>520</v>
      </c>
      <c r="N718" t="s">
        <v>539</v>
      </c>
      <c r="O718" t="s">
        <v>728</v>
      </c>
      <c r="P718" t="s">
        <v>654</v>
      </c>
      <c r="Q718" t="s">
        <v>638</v>
      </c>
      <c r="R718" t="s">
        <v>729</v>
      </c>
      <c r="S718" t="s">
        <v>1036</v>
      </c>
      <c r="T718" t="s">
        <v>709</v>
      </c>
      <c r="U718">
        <v>155500</v>
      </c>
      <c r="V718" t="s">
        <v>4338</v>
      </c>
      <c r="W718" t="s">
        <v>732</v>
      </c>
      <c r="X718" t="s">
        <v>3943</v>
      </c>
      <c r="Y718" t="s">
        <v>3944</v>
      </c>
      <c r="Z718" t="s">
        <v>3945</v>
      </c>
      <c r="AA718" t="s">
        <v>3946</v>
      </c>
      <c r="AB718" t="s">
        <v>3947</v>
      </c>
      <c r="AE718">
        <v>-36.985819450000001</v>
      </c>
      <c r="AF718">
        <v>174.87092867000001</v>
      </c>
      <c r="AG718">
        <v>50</v>
      </c>
      <c r="AH718">
        <v>0</v>
      </c>
      <c r="AI718">
        <v>0</v>
      </c>
      <c r="AJ718">
        <v>0</v>
      </c>
      <c r="AK718">
        <v>0</v>
      </c>
      <c r="AL718">
        <v>19</v>
      </c>
      <c r="AM718">
        <v>26</v>
      </c>
      <c r="AN718">
        <v>0</v>
      </c>
      <c r="AO718">
        <v>45</v>
      </c>
      <c r="AP718">
        <v>5</v>
      </c>
      <c r="AQ718">
        <v>5</v>
      </c>
      <c r="AR718">
        <v>10</v>
      </c>
      <c r="AS718">
        <v>35</v>
      </c>
      <c r="AT718">
        <v>0</v>
      </c>
    </row>
    <row r="719" spans="1:46">
      <c r="A719">
        <v>10300</v>
      </c>
      <c r="B719" t="s">
        <v>4974</v>
      </c>
      <c r="C719" t="s">
        <v>4975</v>
      </c>
      <c r="D719" t="s">
        <v>4976</v>
      </c>
      <c r="E719" t="s">
        <v>4977</v>
      </c>
      <c r="F719" t="s">
        <v>4978</v>
      </c>
      <c r="G719" t="s">
        <v>652</v>
      </c>
      <c r="H719" t="s">
        <v>3942</v>
      </c>
      <c r="J719" t="s">
        <v>518</v>
      </c>
      <c r="K719" t="s">
        <v>519</v>
      </c>
      <c r="M719" t="s">
        <v>520</v>
      </c>
      <c r="N719" t="s">
        <v>571</v>
      </c>
      <c r="O719" t="s">
        <v>957</v>
      </c>
      <c r="P719" t="s">
        <v>654</v>
      </c>
      <c r="Q719" t="s">
        <v>638</v>
      </c>
      <c r="R719" t="s">
        <v>708</v>
      </c>
      <c r="S719" t="s">
        <v>958</v>
      </c>
      <c r="T719" t="s">
        <v>709</v>
      </c>
      <c r="U719">
        <v>136001</v>
      </c>
      <c r="V719" t="s">
        <v>4978</v>
      </c>
      <c r="W719" t="s">
        <v>860</v>
      </c>
      <c r="X719" t="s">
        <v>3943</v>
      </c>
      <c r="Y719" t="s">
        <v>3944</v>
      </c>
      <c r="Z719" t="s">
        <v>3945</v>
      </c>
      <c r="AA719" t="s">
        <v>3946</v>
      </c>
      <c r="AB719" t="s">
        <v>3947</v>
      </c>
      <c r="AE719">
        <v>-36.86615982</v>
      </c>
      <c r="AF719">
        <v>174.75598522999999</v>
      </c>
      <c r="AG719">
        <v>84</v>
      </c>
      <c r="AH719">
        <v>20</v>
      </c>
      <c r="AI719">
        <v>2</v>
      </c>
      <c r="AJ719">
        <v>15</v>
      </c>
      <c r="AK719">
        <v>26</v>
      </c>
      <c r="AL719">
        <v>22</v>
      </c>
      <c r="AM719">
        <v>22</v>
      </c>
      <c r="AN719">
        <v>1</v>
      </c>
      <c r="AO719">
        <v>88</v>
      </c>
      <c r="AP719">
        <v>30</v>
      </c>
      <c r="AQ719">
        <v>5</v>
      </c>
      <c r="AR719">
        <v>5</v>
      </c>
      <c r="AS719">
        <v>47</v>
      </c>
      <c r="AT719">
        <v>12</v>
      </c>
    </row>
    <row r="720" spans="1:46">
      <c r="A720">
        <v>10302</v>
      </c>
      <c r="B720" t="s">
        <v>4979</v>
      </c>
      <c r="C720" t="s">
        <v>4980</v>
      </c>
      <c r="D720" t="s">
        <v>4981</v>
      </c>
      <c r="E720" t="s">
        <v>4982</v>
      </c>
      <c r="F720" t="s">
        <v>872</v>
      </c>
      <c r="G720" t="s">
        <v>652</v>
      </c>
      <c r="H720" t="s">
        <v>3942</v>
      </c>
      <c r="J720" t="s">
        <v>3962</v>
      </c>
      <c r="K720" t="s">
        <v>519</v>
      </c>
      <c r="M720" t="s">
        <v>520</v>
      </c>
      <c r="N720" t="s">
        <v>571</v>
      </c>
      <c r="O720" t="s">
        <v>873</v>
      </c>
      <c r="P720" t="s">
        <v>654</v>
      </c>
      <c r="Q720" t="s">
        <v>638</v>
      </c>
      <c r="R720" t="s">
        <v>639</v>
      </c>
      <c r="S720" t="s">
        <v>719</v>
      </c>
      <c r="T720" t="s">
        <v>709</v>
      </c>
      <c r="U720">
        <v>130100</v>
      </c>
      <c r="V720" t="s">
        <v>4983</v>
      </c>
      <c r="W720" t="s">
        <v>815</v>
      </c>
      <c r="X720" t="s">
        <v>4984</v>
      </c>
      <c r="Y720" t="s">
        <v>4982</v>
      </c>
      <c r="Z720" t="s">
        <v>1067</v>
      </c>
      <c r="AA720" t="s">
        <v>4985</v>
      </c>
      <c r="AB720" t="s">
        <v>4980</v>
      </c>
      <c r="AE720">
        <v>-36.913155400000001</v>
      </c>
      <c r="AF720">
        <v>174.63979309999999</v>
      </c>
      <c r="AG720">
        <v>36</v>
      </c>
      <c r="AH720">
        <v>0</v>
      </c>
      <c r="AI720">
        <v>0</v>
      </c>
      <c r="AJ720">
        <v>0</v>
      </c>
      <c r="AK720">
        <v>4</v>
      </c>
      <c r="AL720">
        <v>10</v>
      </c>
      <c r="AM720">
        <v>16</v>
      </c>
      <c r="AN720">
        <v>3</v>
      </c>
      <c r="AO720">
        <v>33</v>
      </c>
      <c r="AP720">
        <v>13</v>
      </c>
      <c r="AQ720">
        <v>14</v>
      </c>
      <c r="AR720">
        <v>6</v>
      </c>
      <c r="AS720">
        <v>10</v>
      </c>
      <c r="AT720">
        <v>2</v>
      </c>
    </row>
    <row r="721" spans="1:46">
      <c r="A721">
        <v>10305</v>
      </c>
      <c r="B721" t="s">
        <v>4986</v>
      </c>
      <c r="C721" t="s">
        <v>4987</v>
      </c>
      <c r="D721" t="s">
        <v>4988</v>
      </c>
      <c r="E721" t="s">
        <v>4989</v>
      </c>
      <c r="F721" t="s">
        <v>898</v>
      </c>
      <c r="G721" t="s">
        <v>652</v>
      </c>
      <c r="H721" t="s">
        <v>3942</v>
      </c>
      <c r="J721" t="s">
        <v>3962</v>
      </c>
      <c r="K721" t="s">
        <v>519</v>
      </c>
      <c r="M721" t="s">
        <v>520</v>
      </c>
      <c r="N721" t="s">
        <v>557</v>
      </c>
      <c r="O721" t="s">
        <v>813</v>
      </c>
      <c r="P721" t="s">
        <v>654</v>
      </c>
      <c r="Q721" t="s">
        <v>638</v>
      </c>
      <c r="R721" t="s">
        <v>639</v>
      </c>
      <c r="S721" t="s">
        <v>899</v>
      </c>
      <c r="T721" t="s">
        <v>527</v>
      </c>
      <c r="U721">
        <v>125100</v>
      </c>
      <c r="V721" t="s">
        <v>4305</v>
      </c>
      <c r="W721" t="s">
        <v>815</v>
      </c>
      <c r="X721" t="s">
        <v>4096</v>
      </c>
      <c r="Y721" t="s">
        <v>4097</v>
      </c>
      <c r="Z721" t="s">
        <v>4098</v>
      </c>
      <c r="AA721" t="s">
        <v>4099</v>
      </c>
      <c r="AB721" t="s">
        <v>4100</v>
      </c>
      <c r="AE721">
        <v>-36.85419254</v>
      </c>
      <c r="AF721">
        <v>174.63067040000001</v>
      </c>
      <c r="AG721">
        <v>95</v>
      </c>
      <c r="AH721">
        <v>40</v>
      </c>
      <c r="AI721">
        <v>6</v>
      </c>
      <c r="AJ721">
        <v>12</v>
      </c>
      <c r="AK721">
        <v>24</v>
      </c>
      <c r="AL721">
        <v>15</v>
      </c>
      <c r="AM721">
        <v>16</v>
      </c>
      <c r="AN721">
        <v>0</v>
      </c>
      <c r="AO721">
        <v>73</v>
      </c>
      <c r="AP721">
        <v>40</v>
      </c>
      <c r="AQ721">
        <v>9</v>
      </c>
      <c r="AR721">
        <v>21</v>
      </c>
      <c r="AS721">
        <v>30</v>
      </c>
      <c r="AT721">
        <v>5</v>
      </c>
    </row>
    <row r="722" spans="1:46">
      <c r="A722">
        <v>10306</v>
      </c>
      <c r="B722" t="s">
        <v>4990</v>
      </c>
      <c r="C722" t="s">
        <v>4991</v>
      </c>
      <c r="E722" t="s">
        <v>4992</v>
      </c>
      <c r="F722" t="s">
        <v>1036</v>
      </c>
      <c r="G722" t="s">
        <v>652</v>
      </c>
      <c r="H722" t="s">
        <v>3942</v>
      </c>
      <c r="I722" t="s">
        <v>4951</v>
      </c>
      <c r="J722" t="s">
        <v>3962</v>
      </c>
      <c r="K722" t="s">
        <v>519</v>
      </c>
      <c r="M722" t="s">
        <v>520</v>
      </c>
      <c r="N722" t="s">
        <v>521</v>
      </c>
      <c r="O722" t="s">
        <v>1216</v>
      </c>
      <c r="P722" t="s">
        <v>654</v>
      </c>
      <c r="Q722" t="s">
        <v>638</v>
      </c>
      <c r="R722" t="s">
        <v>729</v>
      </c>
      <c r="S722" t="s">
        <v>1217</v>
      </c>
      <c r="T722" t="s">
        <v>709</v>
      </c>
      <c r="U722">
        <v>160901</v>
      </c>
      <c r="V722" t="s">
        <v>4961</v>
      </c>
      <c r="W722" t="s">
        <v>1219</v>
      </c>
      <c r="X722" t="s">
        <v>4962</v>
      </c>
      <c r="Y722" t="s">
        <v>4963</v>
      </c>
      <c r="Z722" t="s">
        <v>821</v>
      </c>
      <c r="AA722" t="s">
        <v>4069</v>
      </c>
      <c r="AE722">
        <v>-37.032321070000002</v>
      </c>
      <c r="AF722">
        <v>174.89510005</v>
      </c>
      <c r="AG722">
        <v>43</v>
      </c>
      <c r="AH722">
        <v>10</v>
      </c>
      <c r="AI722">
        <v>2</v>
      </c>
      <c r="AJ722">
        <v>8</v>
      </c>
      <c r="AK722">
        <v>14</v>
      </c>
      <c r="AL722">
        <v>11</v>
      </c>
      <c r="AM722">
        <v>17</v>
      </c>
      <c r="AN722">
        <v>0</v>
      </c>
      <c r="AO722">
        <v>52</v>
      </c>
      <c r="AP722">
        <v>23</v>
      </c>
      <c r="AQ722">
        <v>15</v>
      </c>
      <c r="AR722">
        <v>25</v>
      </c>
      <c r="AS722">
        <v>10</v>
      </c>
      <c r="AT722">
        <v>2</v>
      </c>
    </row>
    <row r="723" spans="1:46">
      <c r="A723">
        <v>10309</v>
      </c>
      <c r="B723" t="s">
        <v>4993</v>
      </c>
      <c r="C723" t="s">
        <v>4994</v>
      </c>
      <c r="D723" t="s">
        <v>4995</v>
      </c>
      <c r="E723" t="s">
        <v>4996</v>
      </c>
      <c r="F723" t="s">
        <v>1283</v>
      </c>
      <c r="G723" t="s">
        <v>652</v>
      </c>
      <c r="H723" t="s">
        <v>4221</v>
      </c>
      <c r="I723" t="s">
        <v>4997</v>
      </c>
      <c r="J723" t="s">
        <v>518</v>
      </c>
      <c r="K723" t="s">
        <v>519</v>
      </c>
      <c r="M723" t="s">
        <v>520</v>
      </c>
      <c r="N723" t="s">
        <v>727</v>
      </c>
      <c r="O723" t="s">
        <v>728</v>
      </c>
      <c r="P723" t="s">
        <v>654</v>
      </c>
      <c r="Q723" t="s">
        <v>638</v>
      </c>
      <c r="R723" t="s">
        <v>729</v>
      </c>
      <c r="S723" t="s">
        <v>778</v>
      </c>
      <c r="T723" t="s">
        <v>709</v>
      </c>
      <c r="U723">
        <v>157701</v>
      </c>
      <c r="V723" t="s">
        <v>4495</v>
      </c>
      <c r="W723" t="s">
        <v>732</v>
      </c>
      <c r="X723" t="s">
        <v>4998</v>
      </c>
      <c r="Y723" t="s">
        <v>4999</v>
      </c>
      <c r="Z723" t="s">
        <v>1283</v>
      </c>
      <c r="AA723" t="s">
        <v>5000</v>
      </c>
      <c r="AB723" t="s">
        <v>4994</v>
      </c>
      <c r="AE723">
        <v>-36.980788029999999</v>
      </c>
      <c r="AF723">
        <v>174.88890895</v>
      </c>
      <c r="AG723">
        <v>50</v>
      </c>
      <c r="AH723">
        <v>15</v>
      </c>
      <c r="AI723">
        <v>1</v>
      </c>
      <c r="AJ723">
        <v>7</v>
      </c>
      <c r="AK723">
        <v>9</v>
      </c>
      <c r="AL723">
        <v>13</v>
      </c>
      <c r="AM723">
        <v>11</v>
      </c>
      <c r="AN723">
        <v>2</v>
      </c>
      <c r="AO723">
        <v>43</v>
      </c>
      <c r="AP723">
        <v>0</v>
      </c>
      <c r="AQ723">
        <v>2</v>
      </c>
      <c r="AR723">
        <v>37</v>
      </c>
      <c r="AS723">
        <v>3</v>
      </c>
      <c r="AT723">
        <v>4</v>
      </c>
    </row>
    <row r="724" spans="1:46">
      <c r="A724">
        <v>10312</v>
      </c>
      <c r="B724" t="s">
        <v>5001</v>
      </c>
      <c r="C724" t="s">
        <v>5002</v>
      </c>
      <c r="D724" t="s">
        <v>5003</v>
      </c>
      <c r="E724" t="s">
        <v>5004</v>
      </c>
      <c r="F724" t="s">
        <v>726</v>
      </c>
      <c r="G724" t="s">
        <v>652</v>
      </c>
      <c r="H724" t="s">
        <v>3942</v>
      </c>
      <c r="J724" t="s">
        <v>3962</v>
      </c>
      <c r="K724" t="s">
        <v>519</v>
      </c>
      <c r="M724" t="s">
        <v>520</v>
      </c>
      <c r="N724" t="s">
        <v>727</v>
      </c>
      <c r="O724" t="s">
        <v>728</v>
      </c>
      <c r="P724" t="s">
        <v>654</v>
      </c>
      <c r="Q724" t="s">
        <v>638</v>
      </c>
      <c r="R724" t="s">
        <v>729</v>
      </c>
      <c r="S724" t="s">
        <v>730</v>
      </c>
      <c r="T724" t="s">
        <v>709</v>
      </c>
      <c r="U724">
        <v>155701</v>
      </c>
      <c r="V724" t="s">
        <v>5005</v>
      </c>
      <c r="W724" t="s">
        <v>732</v>
      </c>
      <c r="X724" t="s">
        <v>5006</v>
      </c>
      <c r="Y724" t="s">
        <v>5007</v>
      </c>
      <c r="Z724" t="s">
        <v>769</v>
      </c>
      <c r="AA724" t="s">
        <v>4333</v>
      </c>
      <c r="AB724" t="s">
        <v>5008</v>
      </c>
      <c r="AE724">
        <v>-36.964135740000003</v>
      </c>
      <c r="AF724">
        <v>174.87099838</v>
      </c>
      <c r="AG724">
        <v>36</v>
      </c>
      <c r="AH724">
        <v>10</v>
      </c>
      <c r="AI724">
        <v>1</v>
      </c>
      <c r="AJ724">
        <v>6</v>
      </c>
      <c r="AK724">
        <v>5</v>
      </c>
      <c r="AL724">
        <v>3</v>
      </c>
      <c r="AM724">
        <v>11</v>
      </c>
      <c r="AN724">
        <v>0</v>
      </c>
      <c r="AO724">
        <v>26</v>
      </c>
      <c r="AP724">
        <v>0</v>
      </c>
      <c r="AQ724">
        <v>8</v>
      </c>
      <c r="AR724">
        <v>26</v>
      </c>
      <c r="AS724">
        <v>1</v>
      </c>
      <c r="AT724">
        <v>0</v>
      </c>
    </row>
    <row r="725" spans="1:46">
      <c r="A725">
        <v>10314</v>
      </c>
      <c r="B725" t="s">
        <v>5009</v>
      </c>
      <c r="C725" t="s">
        <v>5010</v>
      </c>
      <c r="D725" t="s">
        <v>5011</v>
      </c>
      <c r="E725" t="s">
        <v>5012</v>
      </c>
      <c r="F725" t="s">
        <v>898</v>
      </c>
      <c r="G725" t="s">
        <v>652</v>
      </c>
      <c r="H725" t="s">
        <v>517</v>
      </c>
      <c r="J725" t="s">
        <v>518</v>
      </c>
      <c r="K725" t="s">
        <v>519</v>
      </c>
      <c r="M725" t="s">
        <v>520</v>
      </c>
      <c r="N725" t="s">
        <v>571</v>
      </c>
      <c r="O725" t="s">
        <v>813</v>
      </c>
      <c r="P725" t="s">
        <v>654</v>
      </c>
      <c r="Q725" t="s">
        <v>638</v>
      </c>
      <c r="R725" t="s">
        <v>639</v>
      </c>
      <c r="S725" t="s">
        <v>899</v>
      </c>
      <c r="T725" t="s">
        <v>527</v>
      </c>
      <c r="U725">
        <v>126100</v>
      </c>
      <c r="V725" t="s">
        <v>5013</v>
      </c>
      <c r="W725" t="s">
        <v>815</v>
      </c>
      <c r="X725" t="s">
        <v>642</v>
      </c>
      <c r="Y725" t="s">
        <v>643</v>
      </c>
      <c r="Z725" t="s">
        <v>644</v>
      </c>
      <c r="AA725" t="s">
        <v>645</v>
      </c>
      <c r="AB725" t="s">
        <v>646</v>
      </c>
      <c r="AE725">
        <v>-36.874685300000003</v>
      </c>
      <c r="AF725">
        <v>174.61171562000001</v>
      </c>
      <c r="AG725">
        <v>40</v>
      </c>
      <c r="AH725">
        <v>0</v>
      </c>
      <c r="AI725">
        <v>0</v>
      </c>
      <c r="AJ725">
        <v>0</v>
      </c>
      <c r="AK725">
        <v>0</v>
      </c>
      <c r="AL725">
        <v>21</v>
      </c>
      <c r="AM725">
        <v>26</v>
      </c>
      <c r="AN725">
        <v>1</v>
      </c>
      <c r="AO725">
        <v>48</v>
      </c>
      <c r="AP725">
        <v>13</v>
      </c>
      <c r="AQ725">
        <v>3</v>
      </c>
      <c r="AR725">
        <v>10</v>
      </c>
      <c r="AS725">
        <v>30</v>
      </c>
      <c r="AT725">
        <v>5</v>
      </c>
    </row>
    <row r="726" spans="1:46">
      <c r="A726">
        <v>10316</v>
      </c>
      <c r="B726" t="s">
        <v>5014</v>
      </c>
      <c r="C726" t="s">
        <v>5015</v>
      </c>
      <c r="D726" t="s">
        <v>5016</v>
      </c>
      <c r="E726" t="s">
        <v>5017</v>
      </c>
      <c r="F726" t="s">
        <v>5018</v>
      </c>
      <c r="G726" t="s">
        <v>652</v>
      </c>
      <c r="H726" t="s">
        <v>3942</v>
      </c>
      <c r="J726" t="s">
        <v>518</v>
      </c>
      <c r="K726" t="s">
        <v>519</v>
      </c>
      <c r="M726" t="s">
        <v>520</v>
      </c>
      <c r="N726" t="s">
        <v>4519</v>
      </c>
      <c r="O726" t="s">
        <v>1268</v>
      </c>
      <c r="P726" t="s">
        <v>654</v>
      </c>
      <c r="Q726" t="s">
        <v>638</v>
      </c>
      <c r="R726" t="s">
        <v>729</v>
      </c>
      <c r="S726" t="s">
        <v>1234</v>
      </c>
      <c r="T726" t="s">
        <v>1235</v>
      </c>
      <c r="U726">
        <v>162500</v>
      </c>
      <c r="V726" t="s">
        <v>5019</v>
      </c>
      <c r="W726" t="s">
        <v>1219</v>
      </c>
      <c r="X726" t="s">
        <v>5020</v>
      </c>
      <c r="Y726" t="s">
        <v>5021</v>
      </c>
      <c r="Z726" t="s">
        <v>1234</v>
      </c>
      <c r="AA726" t="s">
        <v>5022</v>
      </c>
      <c r="AB726" t="s">
        <v>5023</v>
      </c>
      <c r="AE726">
        <v>-37.081327620000003</v>
      </c>
      <c r="AF726">
        <v>174.90297279999999</v>
      </c>
      <c r="AG726">
        <v>115</v>
      </c>
      <c r="AH726">
        <v>25</v>
      </c>
      <c r="AI726">
        <v>1</v>
      </c>
      <c r="AJ726">
        <v>17</v>
      </c>
      <c r="AK726">
        <v>14</v>
      </c>
      <c r="AL726">
        <v>29</v>
      </c>
      <c r="AM726">
        <v>42</v>
      </c>
      <c r="AN726">
        <v>1</v>
      </c>
      <c r="AO726">
        <v>104</v>
      </c>
      <c r="AP726">
        <v>34</v>
      </c>
      <c r="AQ726">
        <v>6</v>
      </c>
      <c r="AR726">
        <v>4</v>
      </c>
      <c r="AS726">
        <v>74</v>
      </c>
      <c r="AT726">
        <v>5</v>
      </c>
    </row>
    <row r="727" spans="1:46">
      <c r="A727">
        <v>10317</v>
      </c>
      <c r="B727" t="s">
        <v>5024</v>
      </c>
      <c r="C727" t="s">
        <v>5025</v>
      </c>
      <c r="D727" t="s">
        <v>5026</v>
      </c>
      <c r="E727" t="s">
        <v>5027</v>
      </c>
      <c r="F727" t="s">
        <v>4921</v>
      </c>
      <c r="G727" t="s">
        <v>652</v>
      </c>
      <c r="H727" t="s">
        <v>3942</v>
      </c>
      <c r="J727" t="s">
        <v>3962</v>
      </c>
      <c r="K727" t="s">
        <v>519</v>
      </c>
      <c r="M727" t="s">
        <v>520</v>
      </c>
      <c r="N727" t="s">
        <v>571</v>
      </c>
      <c r="O727" t="s">
        <v>957</v>
      </c>
      <c r="P727" t="s">
        <v>654</v>
      </c>
      <c r="Q727" t="s">
        <v>638</v>
      </c>
      <c r="R727" t="s">
        <v>708</v>
      </c>
      <c r="S727" t="s">
        <v>958</v>
      </c>
      <c r="T727" t="s">
        <v>709</v>
      </c>
      <c r="U727">
        <v>133301</v>
      </c>
      <c r="V727" t="s">
        <v>5028</v>
      </c>
      <c r="W727" t="s">
        <v>959</v>
      </c>
      <c r="X727" t="s">
        <v>4096</v>
      </c>
      <c r="Y727" t="s">
        <v>4097</v>
      </c>
      <c r="Z727" t="s">
        <v>4098</v>
      </c>
      <c r="AA727" t="s">
        <v>4099</v>
      </c>
      <c r="AB727" t="s">
        <v>4100</v>
      </c>
      <c r="AE727">
        <v>-36.84385202</v>
      </c>
      <c r="AF727">
        <v>174.76480656000001</v>
      </c>
      <c r="AG727">
        <v>119</v>
      </c>
      <c r="AH727">
        <v>47</v>
      </c>
      <c r="AI727">
        <v>5</v>
      </c>
      <c r="AJ727">
        <v>34</v>
      </c>
      <c r="AK727">
        <v>28</v>
      </c>
      <c r="AL727">
        <v>2</v>
      </c>
      <c r="AM727">
        <v>0</v>
      </c>
      <c r="AN727">
        <v>0</v>
      </c>
      <c r="AO727">
        <v>69</v>
      </c>
      <c r="AP727">
        <v>37</v>
      </c>
      <c r="AQ727">
        <v>5</v>
      </c>
      <c r="AR727">
        <v>4</v>
      </c>
      <c r="AS727">
        <v>28</v>
      </c>
      <c r="AT727">
        <v>18</v>
      </c>
    </row>
    <row r="728" spans="1:46">
      <c r="A728">
        <v>10321</v>
      </c>
      <c r="B728" t="s">
        <v>5029</v>
      </c>
      <c r="C728" t="s">
        <v>5030</v>
      </c>
      <c r="D728" t="s">
        <v>5031</v>
      </c>
      <c r="E728" t="s">
        <v>5032</v>
      </c>
      <c r="F728" t="s">
        <v>5033</v>
      </c>
      <c r="G728" t="s">
        <v>582</v>
      </c>
      <c r="H728" t="s">
        <v>3942</v>
      </c>
      <c r="J728" t="s">
        <v>3962</v>
      </c>
      <c r="K728" t="s">
        <v>519</v>
      </c>
      <c r="M728" t="s">
        <v>520</v>
      </c>
      <c r="N728" t="s">
        <v>571</v>
      </c>
      <c r="O728" t="s">
        <v>583</v>
      </c>
      <c r="P728" t="s">
        <v>584</v>
      </c>
      <c r="Q728" t="s">
        <v>524</v>
      </c>
      <c r="R728" t="s">
        <v>525</v>
      </c>
      <c r="S728" t="s">
        <v>585</v>
      </c>
      <c r="T728" t="s">
        <v>527</v>
      </c>
      <c r="U728">
        <v>106600</v>
      </c>
      <c r="V728" t="s">
        <v>5034</v>
      </c>
      <c r="W728" t="s">
        <v>587</v>
      </c>
      <c r="X728" t="s">
        <v>4403</v>
      </c>
      <c r="Y728" t="s">
        <v>4404</v>
      </c>
      <c r="Z728" t="s">
        <v>4405</v>
      </c>
      <c r="AA728" t="s">
        <v>4529</v>
      </c>
      <c r="AB728" t="s">
        <v>4407</v>
      </c>
      <c r="AC728">
        <v>99180</v>
      </c>
      <c r="AD728" t="s">
        <v>4891</v>
      </c>
      <c r="AE728">
        <v>-35.70874757</v>
      </c>
      <c r="AF728">
        <v>174.31328715999999</v>
      </c>
      <c r="AG728">
        <v>31</v>
      </c>
      <c r="AH728">
        <v>0</v>
      </c>
      <c r="AI728">
        <v>0</v>
      </c>
      <c r="AJ728">
        <v>0</v>
      </c>
      <c r="AK728">
        <v>8</v>
      </c>
      <c r="AL728">
        <v>9</v>
      </c>
      <c r="AM728">
        <v>18</v>
      </c>
      <c r="AN728">
        <v>0</v>
      </c>
      <c r="AO728">
        <v>35</v>
      </c>
      <c r="AP728">
        <v>30</v>
      </c>
      <c r="AQ728">
        <v>9</v>
      </c>
      <c r="AR728">
        <v>1</v>
      </c>
      <c r="AS728">
        <v>2</v>
      </c>
      <c r="AT728">
        <v>3</v>
      </c>
    </row>
    <row r="729" spans="1:46">
      <c r="A729">
        <v>10323</v>
      </c>
      <c r="B729" t="s">
        <v>5035</v>
      </c>
      <c r="C729" t="s">
        <v>5036</v>
      </c>
      <c r="D729" t="s">
        <v>5037</v>
      </c>
      <c r="E729" t="s">
        <v>5038</v>
      </c>
      <c r="G729" t="s">
        <v>3970</v>
      </c>
      <c r="H729" t="s">
        <v>3942</v>
      </c>
      <c r="J729" t="s">
        <v>3962</v>
      </c>
      <c r="K729" t="s">
        <v>519</v>
      </c>
      <c r="M729" t="s">
        <v>520</v>
      </c>
      <c r="N729" t="s">
        <v>557</v>
      </c>
      <c r="O729" t="s">
        <v>813</v>
      </c>
      <c r="P729" t="s">
        <v>654</v>
      </c>
      <c r="Q729" t="s">
        <v>638</v>
      </c>
      <c r="R729" t="s">
        <v>639</v>
      </c>
      <c r="S729" t="s">
        <v>899</v>
      </c>
      <c r="T729" t="s">
        <v>527</v>
      </c>
      <c r="U729">
        <v>122001</v>
      </c>
      <c r="V729" t="s">
        <v>3970</v>
      </c>
      <c r="W729" t="s">
        <v>815</v>
      </c>
      <c r="X729" t="s">
        <v>5039</v>
      </c>
      <c r="Y729" t="s">
        <v>5040</v>
      </c>
      <c r="Z729" t="s">
        <v>4747</v>
      </c>
      <c r="AA729" t="s">
        <v>4307</v>
      </c>
      <c r="AB729" t="s">
        <v>5041</v>
      </c>
      <c r="AC729">
        <v>99029</v>
      </c>
      <c r="AD729" t="s">
        <v>901</v>
      </c>
      <c r="AE729">
        <v>-36.86692584</v>
      </c>
      <c r="AF729">
        <v>174.58616882000001</v>
      </c>
      <c r="AG729">
        <v>80</v>
      </c>
      <c r="AH729">
        <v>14</v>
      </c>
      <c r="AI729">
        <v>3</v>
      </c>
      <c r="AJ729">
        <v>10</v>
      </c>
      <c r="AK729">
        <v>20</v>
      </c>
      <c r="AL729">
        <v>21</v>
      </c>
      <c r="AM729">
        <v>17</v>
      </c>
      <c r="AN729">
        <v>1</v>
      </c>
      <c r="AO729">
        <v>72</v>
      </c>
      <c r="AP729">
        <v>57</v>
      </c>
      <c r="AQ729">
        <v>17</v>
      </c>
      <c r="AR729">
        <v>12</v>
      </c>
      <c r="AS729">
        <v>9</v>
      </c>
      <c r="AT729">
        <v>3</v>
      </c>
    </row>
    <row r="730" spans="1:46">
      <c r="A730">
        <v>10325</v>
      </c>
      <c r="B730" t="s">
        <v>5042</v>
      </c>
      <c r="C730" t="s">
        <v>5043</v>
      </c>
      <c r="D730" t="s">
        <v>5044</v>
      </c>
      <c r="E730" t="s">
        <v>5045</v>
      </c>
      <c r="F730" t="s">
        <v>726</v>
      </c>
      <c r="G730" t="s">
        <v>652</v>
      </c>
      <c r="H730" t="s">
        <v>4164</v>
      </c>
      <c r="I730" t="s">
        <v>4165</v>
      </c>
      <c r="J730" t="s">
        <v>518</v>
      </c>
      <c r="K730" t="s">
        <v>519</v>
      </c>
      <c r="M730" t="s">
        <v>520</v>
      </c>
      <c r="N730" t="s">
        <v>727</v>
      </c>
      <c r="O730" t="s">
        <v>728</v>
      </c>
      <c r="P730" t="s">
        <v>654</v>
      </c>
      <c r="Q730" t="s">
        <v>638</v>
      </c>
      <c r="R730" t="s">
        <v>729</v>
      </c>
      <c r="S730" t="s">
        <v>778</v>
      </c>
      <c r="T730" t="s">
        <v>709</v>
      </c>
      <c r="U730">
        <v>157200</v>
      </c>
      <c r="V730" t="s">
        <v>5046</v>
      </c>
      <c r="W730" t="s">
        <v>732</v>
      </c>
      <c r="X730" t="s">
        <v>4224</v>
      </c>
      <c r="Y730" t="s">
        <v>4225</v>
      </c>
      <c r="Z730" t="s">
        <v>726</v>
      </c>
      <c r="AA730" t="s">
        <v>4226</v>
      </c>
      <c r="AE730">
        <v>-36.973555050000002</v>
      </c>
      <c r="AF730">
        <v>174.89208837999999</v>
      </c>
      <c r="AG730">
        <v>35</v>
      </c>
      <c r="AH730">
        <v>8</v>
      </c>
      <c r="AI730">
        <v>0</v>
      </c>
      <c r="AJ730">
        <v>6</v>
      </c>
      <c r="AK730">
        <v>5</v>
      </c>
      <c r="AL730">
        <v>10</v>
      </c>
      <c r="AM730">
        <v>6</v>
      </c>
      <c r="AN730">
        <v>0</v>
      </c>
      <c r="AO730">
        <v>27</v>
      </c>
      <c r="AP730">
        <v>1</v>
      </c>
      <c r="AQ730">
        <v>0</v>
      </c>
      <c r="AR730">
        <v>25</v>
      </c>
      <c r="AS730">
        <v>1</v>
      </c>
      <c r="AT730">
        <v>0</v>
      </c>
    </row>
    <row r="731" spans="1:46">
      <c r="A731">
        <v>10326</v>
      </c>
      <c r="B731" t="s">
        <v>5047</v>
      </c>
      <c r="C731" t="s">
        <v>5048</v>
      </c>
      <c r="D731" t="s">
        <v>5049</v>
      </c>
      <c r="E731" t="s">
        <v>5050</v>
      </c>
      <c r="F731" t="s">
        <v>855</v>
      </c>
      <c r="G731" t="s">
        <v>652</v>
      </c>
      <c r="H731" t="s">
        <v>3942</v>
      </c>
      <c r="I731" t="s">
        <v>4065</v>
      </c>
      <c r="J731" t="s">
        <v>3962</v>
      </c>
      <c r="K731" t="s">
        <v>519</v>
      </c>
      <c r="M731" t="s">
        <v>520</v>
      </c>
      <c r="N731" t="s">
        <v>557</v>
      </c>
      <c r="O731" t="s">
        <v>857</v>
      </c>
      <c r="P731" t="s">
        <v>654</v>
      </c>
      <c r="Q731" t="s">
        <v>638</v>
      </c>
      <c r="R731" t="s">
        <v>708</v>
      </c>
      <c r="S731" t="s">
        <v>858</v>
      </c>
      <c r="T731" t="s">
        <v>709</v>
      </c>
      <c r="U731">
        <v>135500</v>
      </c>
      <c r="V731" t="s">
        <v>1080</v>
      </c>
      <c r="W731" t="s">
        <v>860</v>
      </c>
      <c r="X731" t="s">
        <v>5051</v>
      </c>
      <c r="Y731" t="s">
        <v>5052</v>
      </c>
      <c r="Z731" t="s">
        <v>1114</v>
      </c>
      <c r="AA731" t="s">
        <v>3964</v>
      </c>
      <c r="AB731" t="s">
        <v>5048</v>
      </c>
      <c r="AE731">
        <v>-36.895480399999997</v>
      </c>
      <c r="AF731">
        <v>174.70346359999999</v>
      </c>
      <c r="AG731">
        <v>50</v>
      </c>
      <c r="AH731">
        <v>18</v>
      </c>
      <c r="AI731">
        <v>1</v>
      </c>
      <c r="AJ731">
        <v>4</v>
      </c>
      <c r="AK731">
        <v>12</v>
      </c>
      <c r="AL731">
        <v>9</v>
      </c>
      <c r="AM731">
        <v>17</v>
      </c>
      <c r="AN731">
        <v>1</v>
      </c>
      <c r="AO731">
        <v>44</v>
      </c>
      <c r="AP731">
        <v>2</v>
      </c>
      <c r="AQ731">
        <v>1</v>
      </c>
      <c r="AR731">
        <v>0</v>
      </c>
      <c r="AS731">
        <v>42</v>
      </c>
      <c r="AT731">
        <v>2</v>
      </c>
    </row>
    <row r="732" spans="1:46">
      <c r="A732">
        <v>10330</v>
      </c>
      <c r="B732" t="s">
        <v>5053</v>
      </c>
      <c r="C732" t="s">
        <v>5054</v>
      </c>
      <c r="D732" t="s">
        <v>5055</v>
      </c>
      <c r="E732" t="s">
        <v>5056</v>
      </c>
      <c r="F732" t="s">
        <v>4338</v>
      </c>
      <c r="G732" t="s">
        <v>652</v>
      </c>
      <c r="H732" t="s">
        <v>3942</v>
      </c>
      <c r="J732" t="s">
        <v>3962</v>
      </c>
      <c r="K732" t="s">
        <v>519</v>
      </c>
      <c r="M732" t="s">
        <v>520</v>
      </c>
      <c r="N732" t="s">
        <v>521</v>
      </c>
      <c r="O732" t="s">
        <v>728</v>
      </c>
      <c r="P732" t="s">
        <v>654</v>
      </c>
      <c r="Q732" t="s">
        <v>638</v>
      </c>
      <c r="R732" t="s">
        <v>729</v>
      </c>
      <c r="S732" t="s">
        <v>1036</v>
      </c>
      <c r="T732" t="s">
        <v>709</v>
      </c>
      <c r="U732">
        <v>155500</v>
      </c>
      <c r="V732" t="s">
        <v>4338</v>
      </c>
      <c r="W732" t="s">
        <v>732</v>
      </c>
      <c r="X732" t="s">
        <v>5057</v>
      </c>
      <c r="Y732" t="s">
        <v>5058</v>
      </c>
      <c r="Z732" t="s">
        <v>3945</v>
      </c>
      <c r="AA732" t="s">
        <v>3946</v>
      </c>
      <c r="AB732" t="s">
        <v>5054</v>
      </c>
      <c r="AC732">
        <v>99102</v>
      </c>
      <c r="AD732" t="s">
        <v>1038</v>
      </c>
      <c r="AE732">
        <v>-36.989590149999998</v>
      </c>
      <c r="AF732">
        <v>174.86904041</v>
      </c>
      <c r="AG732">
        <v>100</v>
      </c>
      <c r="AH732">
        <v>50</v>
      </c>
      <c r="AI732">
        <v>2</v>
      </c>
      <c r="AJ732">
        <v>9</v>
      </c>
      <c r="AK732">
        <v>16</v>
      </c>
      <c r="AL732">
        <v>25</v>
      </c>
      <c r="AM732">
        <v>22</v>
      </c>
      <c r="AN732">
        <v>3</v>
      </c>
      <c r="AO732">
        <v>77</v>
      </c>
      <c r="AP732">
        <v>7</v>
      </c>
      <c r="AQ732">
        <v>4</v>
      </c>
      <c r="AR732">
        <v>24</v>
      </c>
      <c r="AS732">
        <v>48</v>
      </c>
      <c r="AT732">
        <v>3</v>
      </c>
    </row>
    <row r="733" spans="1:46">
      <c r="A733">
        <v>10332</v>
      </c>
      <c r="B733" t="s">
        <v>5059</v>
      </c>
      <c r="C733" t="s">
        <v>5060</v>
      </c>
      <c r="E733" t="s">
        <v>5061</v>
      </c>
      <c r="F733" t="s">
        <v>4896</v>
      </c>
      <c r="G733" t="s">
        <v>652</v>
      </c>
      <c r="H733" t="s">
        <v>3942</v>
      </c>
      <c r="J733" t="s">
        <v>3962</v>
      </c>
      <c r="K733" t="s">
        <v>519</v>
      </c>
      <c r="M733" t="s">
        <v>520</v>
      </c>
      <c r="N733" t="s">
        <v>571</v>
      </c>
      <c r="O733" t="s">
        <v>1168</v>
      </c>
      <c r="P733" t="s">
        <v>654</v>
      </c>
      <c r="Q733" t="s">
        <v>638</v>
      </c>
      <c r="R733" t="s">
        <v>639</v>
      </c>
      <c r="S733" t="s">
        <v>655</v>
      </c>
      <c r="T733" t="s">
        <v>527</v>
      </c>
      <c r="U733">
        <v>117600</v>
      </c>
      <c r="V733" t="s">
        <v>3997</v>
      </c>
      <c r="W733" t="s">
        <v>657</v>
      </c>
      <c r="X733" t="s">
        <v>5062</v>
      </c>
      <c r="Y733" t="s">
        <v>5063</v>
      </c>
      <c r="Z733" t="s">
        <v>1102</v>
      </c>
      <c r="AA733" t="s">
        <v>4247</v>
      </c>
      <c r="AE733">
        <v>-36.709773089999999</v>
      </c>
      <c r="AF733">
        <v>174.72714870999999</v>
      </c>
      <c r="AG733">
        <v>48</v>
      </c>
      <c r="AH733">
        <v>14</v>
      </c>
      <c r="AI733">
        <v>1</v>
      </c>
      <c r="AJ733">
        <v>14</v>
      </c>
      <c r="AK733">
        <v>5</v>
      </c>
      <c r="AL733">
        <v>6</v>
      </c>
      <c r="AM733">
        <v>10</v>
      </c>
      <c r="AN733">
        <v>1</v>
      </c>
      <c r="AO733">
        <v>37</v>
      </c>
      <c r="AP733">
        <v>23</v>
      </c>
      <c r="AQ733">
        <v>3</v>
      </c>
      <c r="AR733">
        <v>1</v>
      </c>
      <c r="AS733">
        <v>16</v>
      </c>
      <c r="AT733">
        <v>4</v>
      </c>
    </row>
    <row r="734" spans="1:46">
      <c r="A734">
        <v>10334</v>
      </c>
      <c r="B734" t="s">
        <v>5064</v>
      </c>
      <c r="C734" t="s">
        <v>5065</v>
      </c>
      <c r="D734" t="s">
        <v>5066</v>
      </c>
      <c r="E734" t="s">
        <v>5067</v>
      </c>
      <c r="G734" t="s">
        <v>699</v>
      </c>
      <c r="H734" t="s">
        <v>3942</v>
      </c>
      <c r="J734" t="s">
        <v>3962</v>
      </c>
      <c r="K734" t="s">
        <v>519</v>
      </c>
      <c r="M734" t="s">
        <v>520</v>
      </c>
      <c r="N734" t="s">
        <v>571</v>
      </c>
      <c r="O734" t="s">
        <v>653</v>
      </c>
      <c r="P734" t="s">
        <v>584</v>
      </c>
      <c r="Q734" t="s">
        <v>638</v>
      </c>
      <c r="R734" t="s">
        <v>639</v>
      </c>
      <c r="S734" t="s">
        <v>668</v>
      </c>
      <c r="T734" t="s">
        <v>527</v>
      </c>
      <c r="U734">
        <v>114901</v>
      </c>
      <c r="V734" t="s">
        <v>5068</v>
      </c>
      <c r="W734" t="s">
        <v>657</v>
      </c>
      <c r="X734" t="s">
        <v>5069</v>
      </c>
      <c r="Y734" t="s">
        <v>5070</v>
      </c>
      <c r="Z734" t="s">
        <v>3623</v>
      </c>
      <c r="AA734" t="s">
        <v>5071</v>
      </c>
      <c r="AB734" t="s">
        <v>5065</v>
      </c>
      <c r="AC734">
        <v>99095</v>
      </c>
      <c r="AD734" t="s">
        <v>701</v>
      </c>
      <c r="AE734">
        <v>-36.635260119999998</v>
      </c>
      <c r="AF734">
        <v>174.73964409999999</v>
      </c>
      <c r="AG734">
        <v>70</v>
      </c>
      <c r="AH734">
        <v>15</v>
      </c>
      <c r="AI734">
        <v>3</v>
      </c>
      <c r="AJ734">
        <v>10</v>
      </c>
      <c r="AK734">
        <v>13</v>
      </c>
      <c r="AL734">
        <v>13</v>
      </c>
      <c r="AM734">
        <v>22</v>
      </c>
      <c r="AN734">
        <v>3</v>
      </c>
      <c r="AO734">
        <v>64</v>
      </c>
      <c r="AP734">
        <v>52</v>
      </c>
      <c r="AQ734">
        <v>13</v>
      </c>
      <c r="AR734">
        <v>1</v>
      </c>
      <c r="AS734">
        <v>15</v>
      </c>
      <c r="AT734">
        <v>2</v>
      </c>
    </row>
    <row r="735" spans="1:46">
      <c r="A735">
        <v>10335</v>
      </c>
      <c r="B735" t="s">
        <v>5072</v>
      </c>
      <c r="C735" t="s">
        <v>5073</v>
      </c>
      <c r="E735" t="s">
        <v>5074</v>
      </c>
      <c r="G735" t="s">
        <v>1261</v>
      </c>
      <c r="H735" t="s">
        <v>3942</v>
      </c>
      <c r="J735" t="s">
        <v>3962</v>
      </c>
      <c r="K735" t="s">
        <v>519</v>
      </c>
      <c r="M735" t="s">
        <v>520</v>
      </c>
      <c r="N735" t="s">
        <v>571</v>
      </c>
      <c r="O735" t="s">
        <v>1233</v>
      </c>
      <c r="P735" t="s">
        <v>1262</v>
      </c>
      <c r="Q735" t="s">
        <v>638</v>
      </c>
      <c r="R735" t="s">
        <v>729</v>
      </c>
      <c r="S735" t="s">
        <v>1246</v>
      </c>
      <c r="T735" t="s">
        <v>1235</v>
      </c>
      <c r="U735">
        <v>165302</v>
      </c>
      <c r="V735" t="s">
        <v>5075</v>
      </c>
      <c r="W735" t="s">
        <v>1237</v>
      </c>
      <c r="X735" t="s">
        <v>5076</v>
      </c>
      <c r="Y735" t="s">
        <v>5077</v>
      </c>
      <c r="AA735" t="s">
        <v>5078</v>
      </c>
      <c r="AB735" t="s">
        <v>5079</v>
      </c>
      <c r="AE735">
        <v>-37.198552859999999</v>
      </c>
      <c r="AF735">
        <v>174.90026040999999</v>
      </c>
      <c r="AG735">
        <v>34</v>
      </c>
      <c r="AH735">
        <v>6</v>
      </c>
      <c r="AI735">
        <v>1</v>
      </c>
      <c r="AJ735">
        <v>5</v>
      </c>
      <c r="AK735">
        <v>8</v>
      </c>
      <c r="AL735">
        <v>9</v>
      </c>
      <c r="AM735">
        <v>7</v>
      </c>
      <c r="AN735">
        <v>1</v>
      </c>
      <c r="AO735">
        <v>31</v>
      </c>
      <c r="AP735">
        <v>26</v>
      </c>
      <c r="AQ735">
        <v>6</v>
      </c>
      <c r="AR735">
        <v>1</v>
      </c>
      <c r="AS735">
        <v>1</v>
      </c>
      <c r="AT735">
        <v>2</v>
      </c>
    </row>
    <row r="736" spans="1:46">
      <c r="A736">
        <v>10337</v>
      </c>
      <c r="B736" t="s">
        <v>5080</v>
      </c>
      <c r="C736" t="s">
        <v>5081</v>
      </c>
      <c r="D736" t="s">
        <v>5082</v>
      </c>
      <c r="E736" t="s">
        <v>4097</v>
      </c>
      <c r="F736" t="s">
        <v>660</v>
      </c>
      <c r="G736" t="s">
        <v>652</v>
      </c>
      <c r="H736" t="s">
        <v>3942</v>
      </c>
      <c r="J736" t="s">
        <v>3962</v>
      </c>
      <c r="K736" t="s">
        <v>519</v>
      </c>
      <c r="M736" t="s">
        <v>520</v>
      </c>
      <c r="N736" t="s">
        <v>571</v>
      </c>
      <c r="O736" t="s">
        <v>1168</v>
      </c>
      <c r="P736" t="s">
        <v>654</v>
      </c>
      <c r="Q736" t="s">
        <v>638</v>
      </c>
      <c r="R736" t="s">
        <v>639</v>
      </c>
      <c r="S736" t="s">
        <v>655</v>
      </c>
      <c r="T736" t="s">
        <v>527</v>
      </c>
      <c r="U736">
        <v>118502</v>
      </c>
      <c r="V736" t="s">
        <v>5083</v>
      </c>
      <c r="W736" t="s">
        <v>657</v>
      </c>
      <c r="X736" t="s">
        <v>4096</v>
      </c>
      <c r="Y736" t="s">
        <v>4097</v>
      </c>
      <c r="Z736" t="s">
        <v>4098</v>
      </c>
      <c r="AA736" t="s">
        <v>4099</v>
      </c>
      <c r="AB736" t="s">
        <v>4100</v>
      </c>
      <c r="AE736">
        <v>-36.731554350000003</v>
      </c>
      <c r="AF736">
        <v>174.7228849</v>
      </c>
      <c r="AG736">
        <v>126</v>
      </c>
      <c r="AH736">
        <v>41</v>
      </c>
      <c r="AI736">
        <v>3</v>
      </c>
      <c r="AJ736">
        <v>13</v>
      </c>
      <c r="AK736">
        <v>24</v>
      </c>
      <c r="AL736">
        <v>28</v>
      </c>
      <c r="AM736">
        <v>30</v>
      </c>
      <c r="AN736">
        <v>0</v>
      </c>
      <c r="AO736">
        <v>98</v>
      </c>
      <c r="AP736">
        <v>17</v>
      </c>
      <c r="AQ736">
        <v>5</v>
      </c>
      <c r="AR736">
        <v>1</v>
      </c>
      <c r="AS736">
        <v>73</v>
      </c>
      <c r="AT736">
        <v>8</v>
      </c>
    </row>
    <row r="737" spans="1:46">
      <c r="A737">
        <v>10342</v>
      </c>
      <c r="B737" t="s">
        <v>5084</v>
      </c>
      <c r="D737" t="s">
        <v>5085</v>
      </c>
      <c r="E737" t="s">
        <v>5086</v>
      </c>
      <c r="F737" t="s">
        <v>4098</v>
      </c>
      <c r="G737" t="s">
        <v>652</v>
      </c>
      <c r="H737" t="s">
        <v>3942</v>
      </c>
      <c r="J737" t="s">
        <v>3962</v>
      </c>
      <c r="K737" t="s">
        <v>519</v>
      </c>
      <c r="M737" t="s">
        <v>520</v>
      </c>
      <c r="N737" t="s">
        <v>571</v>
      </c>
      <c r="O737" t="s">
        <v>1168</v>
      </c>
      <c r="P737" t="s">
        <v>654</v>
      </c>
      <c r="Q737" t="s">
        <v>638</v>
      </c>
      <c r="R737" t="s">
        <v>639</v>
      </c>
      <c r="S737" t="s">
        <v>655</v>
      </c>
      <c r="T737" t="s">
        <v>527</v>
      </c>
      <c r="U737">
        <v>118502</v>
      </c>
      <c r="V737" t="s">
        <v>5083</v>
      </c>
      <c r="W737" t="s">
        <v>657</v>
      </c>
      <c r="X737" t="s">
        <v>5087</v>
      </c>
      <c r="Y737" t="s">
        <v>5088</v>
      </c>
      <c r="Z737" t="s">
        <v>4863</v>
      </c>
      <c r="AA737" t="s">
        <v>4537</v>
      </c>
      <c r="AC737">
        <v>99000</v>
      </c>
      <c r="AD737" t="s">
        <v>684</v>
      </c>
      <c r="AE737">
        <v>-36.733886040000002</v>
      </c>
      <c r="AF737">
        <v>174.72677263</v>
      </c>
      <c r="AG737">
        <v>75</v>
      </c>
      <c r="AH737">
        <v>27</v>
      </c>
      <c r="AI737">
        <v>2</v>
      </c>
      <c r="AJ737">
        <v>12</v>
      </c>
      <c r="AK737">
        <v>23</v>
      </c>
      <c r="AL737">
        <v>8</v>
      </c>
      <c r="AM737">
        <v>15</v>
      </c>
      <c r="AN737">
        <v>1</v>
      </c>
      <c r="AO737">
        <v>61</v>
      </c>
      <c r="AP737">
        <v>30</v>
      </c>
      <c r="AQ737">
        <v>5</v>
      </c>
      <c r="AR737">
        <v>4</v>
      </c>
      <c r="AS737">
        <v>29</v>
      </c>
      <c r="AT737">
        <v>7</v>
      </c>
    </row>
    <row r="738" spans="1:46">
      <c r="A738">
        <v>10343</v>
      </c>
      <c r="B738" t="s">
        <v>5089</v>
      </c>
      <c r="C738" t="s">
        <v>5090</v>
      </c>
      <c r="D738" t="s">
        <v>5091</v>
      </c>
      <c r="E738" t="s">
        <v>5092</v>
      </c>
      <c r="F738" t="s">
        <v>1283</v>
      </c>
      <c r="G738" t="s">
        <v>652</v>
      </c>
      <c r="H738" t="s">
        <v>3942</v>
      </c>
      <c r="J738" t="s">
        <v>3962</v>
      </c>
      <c r="K738" t="s">
        <v>519</v>
      </c>
      <c r="M738" t="s">
        <v>520</v>
      </c>
      <c r="N738" t="s">
        <v>557</v>
      </c>
      <c r="O738" t="s">
        <v>707</v>
      </c>
      <c r="P738" t="s">
        <v>654</v>
      </c>
      <c r="Q738" t="s">
        <v>638</v>
      </c>
      <c r="R738" t="s">
        <v>729</v>
      </c>
      <c r="S738" t="s">
        <v>1217</v>
      </c>
      <c r="T738" t="s">
        <v>709</v>
      </c>
      <c r="U738">
        <v>158300</v>
      </c>
      <c r="V738" t="s">
        <v>5093</v>
      </c>
      <c r="W738" t="s">
        <v>711</v>
      </c>
      <c r="X738" t="s">
        <v>5094</v>
      </c>
      <c r="Y738" t="s">
        <v>5092</v>
      </c>
      <c r="Z738" t="s">
        <v>1283</v>
      </c>
      <c r="AA738" t="s">
        <v>5095</v>
      </c>
      <c r="AB738" t="s">
        <v>5096</v>
      </c>
      <c r="AE738">
        <v>-36.987174590000002</v>
      </c>
      <c r="AF738">
        <v>174.89694739999999</v>
      </c>
      <c r="AG738">
        <v>20</v>
      </c>
      <c r="AH738">
        <v>0</v>
      </c>
      <c r="AI738">
        <v>0</v>
      </c>
      <c r="AJ738">
        <v>0</v>
      </c>
      <c r="AK738">
        <v>1</v>
      </c>
      <c r="AL738">
        <v>6</v>
      </c>
      <c r="AM738">
        <v>8</v>
      </c>
      <c r="AN738">
        <v>0</v>
      </c>
      <c r="AO738">
        <v>15</v>
      </c>
      <c r="AP738">
        <v>0</v>
      </c>
      <c r="AQ738">
        <v>0</v>
      </c>
      <c r="AR738">
        <v>3</v>
      </c>
      <c r="AS738">
        <v>12</v>
      </c>
      <c r="AT738">
        <v>0</v>
      </c>
    </row>
    <row r="739" spans="1:46">
      <c r="A739">
        <v>10344</v>
      </c>
      <c r="B739" t="s">
        <v>5097</v>
      </c>
      <c r="C739" t="s">
        <v>5098</v>
      </c>
      <c r="D739" t="s">
        <v>5099</v>
      </c>
      <c r="E739" t="s">
        <v>5100</v>
      </c>
      <c r="F739" t="s">
        <v>1036</v>
      </c>
      <c r="G739" t="s">
        <v>652</v>
      </c>
      <c r="H739" t="s">
        <v>3942</v>
      </c>
      <c r="J739" t="s">
        <v>518</v>
      </c>
      <c r="K739" t="s">
        <v>519</v>
      </c>
      <c r="M739" t="s">
        <v>520</v>
      </c>
      <c r="N739" t="s">
        <v>571</v>
      </c>
      <c r="O739" t="s">
        <v>1216</v>
      </c>
      <c r="P739" t="s">
        <v>654</v>
      </c>
      <c r="Q739" t="s">
        <v>638</v>
      </c>
      <c r="R739" t="s">
        <v>729</v>
      </c>
      <c r="S739" t="s">
        <v>1217</v>
      </c>
      <c r="T739" t="s">
        <v>709</v>
      </c>
      <c r="U739">
        <v>160902</v>
      </c>
      <c r="V739" t="s">
        <v>5101</v>
      </c>
      <c r="W739" t="s">
        <v>1219</v>
      </c>
      <c r="X739" t="s">
        <v>5102</v>
      </c>
      <c r="Y739" t="s">
        <v>5103</v>
      </c>
      <c r="Z739" t="s">
        <v>5104</v>
      </c>
      <c r="AA739" t="s">
        <v>5105</v>
      </c>
      <c r="AB739" t="s">
        <v>5106</v>
      </c>
      <c r="AE739">
        <v>-37.028515280000001</v>
      </c>
      <c r="AF739">
        <v>174.90122736000001</v>
      </c>
      <c r="AG739">
        <v>40</v>
      </c>
      <c r="AH739">
        <v>0</v>
      </c>
      <c r="AI739">
        <v>0</v>
      </c>
      <c r="AJ739">
        <v>0</v>
      </c>
      <c r="AK739">
        <v>6</v>
      </c>
      <c r="AL739">
        <v>12</v>
      </c>
      <c r="AM739">
        <v>16</v>
      </c>
      <c r="AN739">
        <v>2</v>
      </c>
      <c r="AO739">
        <v>36</v>
      </c>
      <c r="AP739">
        <v>2</v>
      </c>
      <c r="AQ739">
        <v>3</v>
      </c>
      <c r="AR739">
        <v>13</v>
      </c>
      <c r="AS739">
        <v>21</v>
      </c>
      <c r="AT739">
        <v>0</v>
      </c>
    </row>
    <row r="740" spans="1:46">
      <c r="A740">
        <v>10347</v>
      </c>
      <c r="B740" t="s">
        <v>5107</v>
      </c>
      <c r="C740" t="s">
        <v>5108</v>
      </c>
      <c r="E740" t="s">
        <v>5109</v>
      </c>
      <c r="F740" t="s">
        <v>719</v>
      </c>
      <c r="G740" t="s">
        <v>652</v>
      </c>
      <c r="H740" t="s">
        <v>3942</v>
      </c>
      <c r="J740" t="s">
        <v>518</v>
      </c>
      <c r="K740" t="s">
        <v>519</v>
      </c>
      <c r="M740" t="s">
        <v>520</v>
      </c>
      <c r="N740" t="s">
        <v>539</v>
      </c>
      <c r="O740" t="s">
        <v>718</v>
      </c>
      <c r="P740" t="s">
        <v>654</v>
      </c>
      <c r="Q740" t="s">
        <v>638</v>
      </c>
      <c r="R740" t="s">
        <v>639</v>
      </c>
      <c r="S740" t="s">
        <v>719</v>
      </c>
      <c r="T740" t="s">
        <v>709</v>
      </c>
      <c r="U740">
        <v>130500</v>
      </c>
      <c r="V740" t="s">
        <v>5110</v>
      </c>
      <c r="W740" t="s">
        <v>721</v>
      </c>
      <c r="X740" t="s">
        <v>5111</v>
      </c>
      <c r="Y740" t="s">
        <v>5109</v>
      </c>
      <c r="Z740" t="s">
        <v>719</v>
      </c>
      <c r="AA740" t="s">
        <v>4985</v>
      </c>
      <c r="AB740" t="s">
        <v>5112</v>
      </c>
      <c r="AE740">
        <v>-36.899443580000003</v>
      </c>
      <c r="AF740">
        <v>174.66311324</v>
      </c>
      <c r="AG740">
        <v>40</v>
      </c>
      <c r="AH740">
        <v>0</v>
      </c>
      <c r="AI740">
        <v>0</v>
      </c>
      <c r="AJ740">
        <v>0</v>
      </c>
      <c r="AK740">
        <v>3</v>
      </c>
      <c r="AL740">
        <v>16</v>
      </c>
      <c r="AM740">
        <v>20</v>
      </c>
      <c r="AN740">
        <v>0</v>
      </c>
      <c r="AO740">
        <v>39</v>
      </c>
      <c r="AP740">
        <v>4</v>
      </c>
      <c r="AQ740">
        <v>12</v>
      </c>
      <c r="AR740">
        <v>23</v>
      </c>
      <c r="AS740">
        <v>9</v>
      </c>
      <c r="AT740">
        <v>3</v>
      </c>
    </row>
    <row r="741" spans="1:46">
      <c r="A741">
        <v>10348</v>
      </c>
      <c r="B741" t="s">
        <v>5113</v>
      </c>
      <c r="C741" t="s">
        <v>5114</v>
      </c>
      <c r="D741" t="s">
        <v>4324</v>
      </c>
      <c r="E741" t="s">
        <v>5115</v>
      </c>
      <c r="F741" t="s">
        <v>3706</v>
      </c>
      <c r="G741" t="s">
        <v>4326</v>
      </c>
      <c r="H741" t="s">
        <v>3942</v>
      </c>
      <c r="J741" t="s">
        <v>518</v>
      </c>
      <c r="K741" t="s">
        <v>519</v>
      </c>
      <c r="M741" t="s">
        <v>520</v>
      </c>
      <c r="N741" t="s">
        <v>571</v>
      </c>
      <c r="O741" t="s">
        <v>1168</v>
      </c>
      <c r="P741" t="s">
        <v>654</v>
      </c>
      <c r="Q741" t="s">
        <v>638</v>
      </c>
      <c r="R741" t="s">
        <v>639</v>
      </c>
      <c r="S741" t="s">
        <v>655</v>
      </c>
      <c r="T741" t="s">
        <v>527</v>
      </c>
      <c r="U741">
        <v>117400</v>
      </c>
      <c r="V741" t="s">
        <v>3707</v>
      </c>
      <c r="W741" t="s">
        <v>657</v>
      </c>
      <c r="X741" t="s">
        <v>3943</v>
      </c>
      <c r="Y741" t="s">
        <v>3944</v>
      </c>
      <c r="Z741" t="s">
        <v>3945</v>
      </c>
      <c r="AA741" t="s">
        <v>3946</v>
      </c>
      <c r="AB741" t="s">
        <v>3947</v>
      </c>
      <c r="AE741">
        <v>-36.747737460000003</v>
      </c>
      <c r="AF741">
        <v>174.69239508999999</v>
      </c>
      <c r="AG741">
        <v>50</v>
      </c>
      <c r="AH741">
        <v>0</v>
      </c>
      <c r="AI741">
        <v>0</v>
      </c>
      <c r="AJ741">
        <v>0</v>
      </c>
      <c r="AK741">
        <v>0</v>
      </c>
      <c r="AL741">
        <v>20</v>
      </c>
      <c r="AM741">
        <v>26</v>
      </c>
      <c r="AN741">
        <v>0</v>
      </c>
      <c r="AO741">
        <v>46</v>
      </c>
      <c r="AP741">
        <v>8</v>
      </c>
      <c r="AQ741">
        <v>2</v>
      </c>
      <c r="AR741">
        <v>2</v>
      </c>
      <c r="AS741">
        <v>32</v>
      </c>
      <c r="AT741">
        <v>6</v>
      </c>
    </row>
    <row r="742" spans="1:46">
      <c r="A742">
        <v>10350</v>
      </c>
      <c r="B742" t="s">
        <v>5116</v>
      </c>
      <c r="C742" t="s">
        <v>5117</v>
      </c>
      <c r="D742" t="s">
        <v>5118</v>
      </c>
      <c r="E742" t="s">
        <v>5119</v>
      </c>
      <c r="G742" t="s">
        <v>699</v>
      </c>
      <c r="H742" t="s">
        <v>3942</v>
      </c>
      <c r="J742" t="s">
        <v>3962</v>
      </c>
      <c r="K742" t="s">
        <v>519</v>
      </c>
      <c r="M742" t="s">
        <v>520</v>
      </c>
      <c r="N742" t="s">
        <v>571</v>
      </c>
      <c r="O742" t="s">
        <v>653</v>
      </c>
      <c r="P742" t="s">
        <v>584</v>
      </c>
      <c r="Q742" t="s">
        <v>638</v>
      </c>
      <c r="R742" t="s">
        <v>639</v>
      </c>
      <c r="S742" t="s">
        <v>668</v>
      </c>
      <c r="T742" t="s">
        <v>527</v>
      </c>
      <c r="U742">
        <v>114400</v>
      </c>
      <c r="V742" t="s">
        <v>5120</v>
      </c>
      <c r="W742" t="s">
        <v>657</v>
      </c>
      <c r="X742" t="s">
        <v>5121</v>
      </c>
      <c r="Y742" t="s">
        <v>5122</v>
      </c>
      <c r="AA742" t="s">
        <v>4182</v>
      </c>
      <c r="AE742">
        <v>-36.621207640000002</v>
      </c>
      <c r="AF742">
        <v>174.71683895000001</v>
      </c>
      <c r="AG742">
        <v>40</v>
      </c>
      <c r="AH742">
        <v>10</v>
      </c>
      <c r="AI742">
        <v>2</v>
      </c>
      <c r="AJ742">
        <v>3</v>
      </c>
      <c r="AK742">
        <v>2</v>
      </c>
      <c r="AL742">
        <v>3</v>
      </c>
      <c r="AM742">
        <v>2</v>
      </c>
      <c r="AN742">
        <v>0</v>
      </c>
      <c r="AO742">
        <v>12</v>
      </c>
      <c r="AP742">
        <v>10</v>
      </c>
      <c r="AQ742">
        <v>2</v>
      </c>
      <c r="AR742">
        <v>0</v>
      </c>
      <c r="AS742">
        <v>2</v>
      </c>
      <c r="AT742">
        <v>1</v>
      </c>
    </row>
    <row r="743" spans="1:46">
      <c r="A743">
        <v>10351</v>
      </c>
      <c r="B743" t="s">
        <v>5123</v>
      </c>
      <c r="C743" t="s">
        <v>5124</v>
      </c>
      <c r="E743" t="s">
        <v>5125</v>
      </c>
      <c r="F743" t="s">
        <v>855</v>
      </c>
      <c r="G743" t="s">
        <v>652</v>
      </c>
      <c r="H743" t="s">
        <v>3942</v>
      </c>
      <c r="J743" t="s">
        <v>3962</v>
      </c>
      <c r="K743" t="s">
        <v>519</v>
      </c>
      <c r="M743" t="s">
        <v>520</v>
      </c>
      <c r="N743" t="s">
        <v>571</v>
      </c>
      <c r="O743" t="s">
        <v>857</v>
      </c>
      <c r="P743" t="s">
        <v>654</v>
      </c>
      <c r="Q743" t="s">
        <v>638</v>
      </c>
      <c r="R743" t="s">
        <v>708</v>
      </c>
      <c r="S743" t="s">
        <v>858</v>
      </c>
      <c r="T743" t="s">
        <v>709</v>
      </c>
      <c r="U743">
        <v>136801</v>
      </c>
      <c r="V743" t="s">
        <v>5126</v>
      </c>
      <c r="W743" t="s">
        <v>860</v>
      </c>
      <c r="X743" t="s">
        <v>5127</v>
      </c>
      <c r="Y743" t="s">
        <v>5128</v>
      </c>
      <c r="AA743" t="s">
        <v>3964</v>
      </c>
      <c r="AC743">
        <v>99150</v>
      </c>
      <c r="AD743" t="s">
        <v>861</v>
      </c>
      <c r="AE743">
        <v>-36.894002800000003</v>
      </c>
      <c r="AF743">
        <v>174.71722625000001</v>
      </c>
      <c r="AG743">
        <v>25</v>
      </c>
      <c r="AH743">
        <v>4</v>
      </c>
      <c r="AI743">
        <v>0</v>
      </c>
      <c r="AJ743">
        <v>5</v>
      </c>
      <c r="AK743">
        <v>7</v>
      </c>
      <c r="AL743">
        <v>8</v>
      </c>
      <c r="AM743">
        <v>7</v>
      </c>
      <c r="AN743">
        <v>1</v>
      </c>
      <c r="AO743">
        <v>28</v>
      </c>
      <c r="AP743">
        <v>12</v>
      </c>
      <c r="AQ743">
        <v>7</v>
      </c>
      <c r="AR743">
        <v>2</v>
      </c>
      <c r="AS743">
        <v>12</v>
      </c>
      <c r="AT743">
        <v>3</v>
      </c>
    </row>
    <row r="744" spans="1:46">
      <c r="A744">
        <v>10352</v>
      </c>
      <c r="B744" t="s">
        <v>5129</v>
      </c>
      <c r="C744" t="s">
        <v>5130</v>
      </c>
      <c r="D744" t="s">
        <v>5131</v>
      </c>
      <c r="E744" t="s">
        <v>5132</v>
      </c>
      <c r="G744" t="s">
        <v>4316</v>
      </c>
      <c r="H744" t="s">
        <v>517</v>
      </c>
      <c r="J744" t="s">
        <v>518</v>
      </c>
      <c r="K744" t="s">
        <v>519</v>
      </c>
      <c r="M744" t="s">
        <v>520</v>
      </c>
      <c r="N744" t="s">
        <v>571</v>
      </c>
      <c r="O744" t="s">
        <v>637</v>
      </c>
      <c r="P744" t="s">
        <v>523</v>
      </c>
      <c r="Q744" t="s">
        <v>638</v>
      </c>
      <c r="R744" t="s">
        <v>639</v>
      </c>
      <c r="S744" t="s">
        <v>640</v>
      </c>
      <c r="T744" t="s">
        <v>527</v>
      </c>
      <c r="U744">
        <v>114201</v>
      </c>
      <c r="V744" t="s">
        <v>4316</v>
      </c>
      <c r="W744" t="s">
        <v>641</v>
      </c>
      <c r="X744" t="s">
        <v>658</v>
      </c>
      <c r="Y744" t="s">
        <v>659</v>
      </c>
      <c r="Z744" t="s">
        <v>660</v>
      </c>
      <c r="AA744" t="s">
        <v>661</v>
      </c>
      <c r="AE744">
        <v>-36.771899769999997</v>
      </c>
      <c r="AF744">
        <v>174.4916011</v>
      </c>
      <c r="AG744">
        <v>40</v>
      </c>
      <c r="AH744">
        <v>0</v>
      </c>
      <c r="AI744">
        <v>0</v>
      </c>
      <c r="AJ744">
        <v>0</v>
      </c>
      <c r="AK744">
        <v>4</v>
      </c>
      <c r="AL744">
        <v>23</v>
      </c>
      <c r="AM744">
        <v>19</v>
      </c>
      <c r="AN744">
        <v>2</v>
      </c>
      <c r="AO744">
        <v>48</v>
      </c>
      <c r="AP744">
        <v>46</v>
      </c>
      <c r="AQ744">
        <v>8</v>
      </c>
      <c r="AR744">
        <v>1</v>
      </c>
      <c r="AS744">
        <v>6</v>
      </c>
      <c r="AT744">
        <v>0</v>
      </c>
    </row>
    <row r="745" spans="1:46">
      <c r="A745">
        <v>10353</v>
      </c>
      <c r="B745" t="s">
        <v>5133</v>
      </c>
      <c r="C745" t="s">
        <v>5134</v>
      </c>
      <c r="D745" t="s">
        <v>5135</v>
      </c>
      <c r="E745" t="s">
        <v>5136</v>
      </c>
      <c r="F745" t="s">
        <v>4804</v>
      </c>
      <c r="G745" t="s">
        <v>652</v>
      </c>
      <c r="H745" t="s">
        <v>517</v>
      </c>
      <c r="J745" t="s">
        <v>518</v>
      </c>
      <c r="K745" t="s">
        <v>519</v>
      </c>
      <c r="M745" t="s">
        <v>520</v>
      </c>
      <c r="N745" t="s">
        <v>571</v>
      </c>
      <c r="O745" t="s">
        <v>707</v>
      </c>
      <c r="P745" t="s">
        <v>654</v>
      </c>
      <c r="Q745" t="s">
        <v>638</v>
      </c>
      <c r="R745" t="s">
        <v>708</v>
      </c>
      <c r="S745" t="s">
        <v>778</v>
      </c>
      <c r="T745" t="s">
        <v>709</v>
      </c>
      <c r="U745">
        <v>156101</v>
      </c>
      <c r="V745" t="s">
        <v>4805</v>
      </c>
      <c r="W745" t="s">
        <v>711</v>
      </c>
      <c r="X745" t="s">
        <v>642</v>
      </c>
      <c r="Y745" t="s">
        <v>643</v>
      </c>
      <c r="Z745" t="s">
        <v>644</v>
      </c>
      <c r="AA745" t="s">
        <v>645</v>
      </c>
      <c r="AB745" t="s">
        <v>646</v>
      </c>
      <c r="AC745">
        <v>99127</v>
      </c>
      <c r="AD745" t="s">
        <v>3936</v>
      </c>
      <c r="AE745">
        <v>-36.935818650000002</v>
      </c>
      <c r="AF745">
        <v>174.91916781</v>
      </c>
      <c r="AG745">
        <v>40</v>
      </c>
      <c r="AH745">
        <v>0</v>
      </c>
      <c r="AI745">
        <v>0</v>
      </c>
      <c r="AJ745">
        <v>0</v>
      </c>
      <c r="AK745">
        <v>3</v>
      </c>
      <c r="AL745">
        <v>15</v>
      </c>
      <c r="AM745">
        <v>27</v>
      </c>
      <c r="AN745">
        <v>1</v>
      </c>
      <c r="AO745">
        <v>46</v>
      </c>
      <c r="AP745">
        <v>8</v>
      </c>
      <c r="AQ745">
        <v>4</v>
      </c>
      <c r="AR745">
        <v>2</v>
      </c>
      <c r="AS745">
        <v>30</v>
      </c>
      <c r="AT745">
        <v>4</v>
      </c>
    </row>
    <row r="746" spans="1:46">
      <c r="A746">
        <v>10355</v>
      </c>
      <c r="B746" t="s">
        <v>5137</v>
      </c>
      <c r="C746" t="s">
        <v>5138</v>
      </c>
      <c r="D746" t="s">
        <v>5139</v>
      </c>
      <c r="E746" t="s">
        <v>5140</v>
      </c>
      <c r="F746" t="s">
        <v>1036</v>
      </c>
      <c r="G746" t="s">
        <v>652</v>
      </c>
      <c r="H746" t="s">
        <v>3942</v>
      </c>
      <c r="J746" t="s">
        <v>3962</v>
      </c>
      <c r="K746" t="s">
        <v>519</v>
      </c>
      <c r="M746" t="s">
        <v>520</v>
      </c>
      <c r="N746" t="s">
        <v>571</v>
      </c>
      <c r="O746" t="s">
        <v>1216</v>
      </c>
      <c r="P746" t="s">
        <v>654</v>
      </c>
      <c r="Q746" t="s">
        <v>638</v>
      </c>
      <c r="R746" t="s">
        <v>729</v>
      </c>
      <c r="S746" t="s">
        <v>1217</v>
      </c>
      <c r="T746" t="s">
        <v>709</v>
      </c>
      <c r="U746">
        <v>159301</v>
      </c>
      <c r="V746" t="s">
        <v>5141</v>
      </c>
      <c r="W746" t="s">
        <v>1219</v>
      </c>
      <c r="X746" t="s">
        <v>5142</v>
      </c>
      <c r="Y746" t="s">
        <v>5143</v>
      </c>
      <c r="Z746" t="s">
        <v>1036</v>
      </c>
      <c r="AA746" t="s">
        <v>5144</v>
      </c>
      <c r="AB746" t="s">
        <v>5145</v>
      </c>
      <c r="AC746">
        <v>99186</v>
      </c>
      <c r="AD746" t="s">
        <v>1224</v>
      </c>
      <c r="AE746">
        <v>-37.005873569999999</v>
      </c>
      <c r="AF746">
        <v>174.91517992000001</v>
      </c>
      <c r="AG746">
        <v>70</v>
      </c>
      <c r="AH746">
        <v>20</v>
      </c>
      <c r="AI746">
        <v>1</v>
      </c>
      <c r="AJ746">
        <v>11</v>
      </c>
      <c r="AK746">
        <v>8</v>
      </c>
      <c r="AL746">
        <v>17</v>
      </c>
      <c r="AM746">
        <v>14</v>
      </c>
      <c r="AN746">
        <v>1</v>
      </c>
      <c r="AO746">
        <v>52</v>
      </c>
      <c r="AP746">
        <v>13</v>
      </c>
      <c r="AQ746">
        <v>2</v>
      </c>
      <c r="AR746">
        <v>10</v>
      </c>
      <c r="AS746">
        <v>36</v>
      </c>
      <c r="AT746">
        <v>6</v>
      </c>
    </row>
    <row r="747" spans="1:46">
      <c r="A747">
        <v>10357</v>
      </c>
      <c r="B747" t="s">
        <v>5146</v>
      </c>
      <c r="C747" t="s">
        <v>5147</v>
      </c>
      <c r="D747" t="s">
        <v>5148</v>
      </c>
      <c r="E747" t="s">
        <v>5149</v>
      </c>
      <c r="F747" t="s">
        <v>847</v>
      </c>
      <c r="G747" t="s">
        <v>652</v>
      </c>
      <c r="H747" t="s">
        <v>3942</v>
      </c>
      <c r="I747" t="s">
        <v>4222</v>
      </c>
      <c r="J747" t="s">
        <v>518</v>
      </c>
      <c r="K747" t="s">
        <v>519</v>
      </c>
      <c r="M747" t="s">
        <v>520</v>
      </c>
      <c r="N747" t="s">
        <v>521</v>
      </c>
      <c r="O747" t="s">
        <v>848</v>
      </c>
      <c r="P747" t="s">
        <v>654</v>
      </c>
      <c r="Q747" t="s">
        <v>638</v>
      </c>
      <c r="R747" t="s">
        <v>729</v>
      </c>
      <c r="S747" t="s">
        <v>849</v>
      </c>
      <c r="T747" t="s">
        <v>709</v>
      </c>
      <c r="U747">
        <v>151200</v>
      </c>
      <c r="V747" t="s">
        <v>4576</v>
      </c>
      <c r="W747" t="s">
        <v>732</v>
      </c>
      <c r="X747" t="s">
        <v>5150</v>
      </c>
      <c r="Y747" t="s">
        <v>5151</v>
      </c>
      <c r="Z747" t="s">
        <v>5152</v>
      </c>
      <c r="AA747" t="s">
        <v>5153</v>
      </c>
      <c r="AB747" t="s">
        <v>5147</v>
      </c>
      <c r="AE747">
        <v>-36.965991819999999</v>
      </c>
      <c r="AF747">
        <v>174.81057150000001</v>
      </c>
      <c r="AG747">
        <v>35</v>
      </c>
      <c r="AH747">
        <v>10</v>
      </c>
      <c r="AI747">
        <v>1</v>
      </c>
      <c r="AJ747">
        <v>2</v>
      </c>
      <c r="AK747">
        <v>5</v>
      </c>
      <c r="AL747">
        <v>6</v>
      </c>
      <c r="AM747">
        <v>3</v>
      </c>
      <c r="AN747">
        <v>0</v>
      </c>
      <c r="AO747">
        <v>17</v>
      </c>
      <c r="AP747">
        <v>0</v>
      </c>
      <c r="AQ747">
        <v>3</v>
      </c>
      <c r="AR747">
        <v>15</v>
      </c>
      <c r="AS747">
        <v>0</v>
      </c>
      <c r="AT747">
        <v>0</v>
      </c>
    </row>
    <row r="748" spans="1:46">
      <c r="A748">
        <v>10360</v>
      </c>
      <c r="B748" t="s">
        <v>5154</v>
      </c>
      <c r="C748" t="s">
        <v>5155</v>
      </c>
      <c r="D748" t="s">
        <v>5156</v>
      </c>
      <c r="E748" t="s">
        <v>5157</v>
      </c>
      <c r="F748" t="s">
        <v>5158</v>
      </c>
      <c r="G748" t="s">
        <v>652</v>
      </c>
      <c r="H748" t="s">
        <v>3942</v>
      </c>
      <c r="J748" t="s">
        <v>3962</v>
      </c>
      <c r="K748" t="s">
        <v>519</v>
      </c>
      <c r="M748" t="s">
        <v>520</v>
      </c>
      <c r="N748" t="s">
        <v>571</v>
      </c>
      <c r="O748" t="s">
        <v>829</v>
      </c>
      <c r="P748" t="s">
        <v>654</v>
      </c>
      <c r="Q748" t="s">
        <v>638</v>
      </c>
      <c r="R748" t="s">
        <v>708</v>
      </c>
      <c r="S748" t="s">
        <v>805</v>
      </c>
      <c r="T748" t="s">
        <v>709</v>
      </c>
      <c r="U748">
        <v>143400</v>
      </c>
      <c r="V748" t="s">
        <v>5159</v>
      </c>
      <c r="W748" t="s">
        <v>807</v>
      </c>
      <c r="X748" t="s">
        <v>5160</v>
      </c>
      <c r="Y748" t="s">
        <v>5161</v>
      </c>
      <c r="Z748" t="s">
        <v>1234</v>
      </c>
      <c r="AA748" t="s">
        <v>5162</v>
      </c>
      <c r="AB748" t="s">
        <v>5163</v>
      </c>
      <c r="AE748">
        <v>-36.912429699999997</v>
      </c>
      <c r="AF748">
        <v>174.7772032</v>
      </c>
      <c r="AG748">
        <v>38</v>
      </c>
      <c r="AH748">
        <v>20</v>
      </c>
      <c r="AI748">
        <v>1</v>
      </c>
      <c r="AJ748">
        <v>1</v>
      </c>
      <c r="AK748">
        <v>7</v>
      </c>
      <c r="AL748">
        <v>5</v>
      </c>
      <c r="AM748">
        <v>17</v>
      </c>
      <c r="AN748">
        <v>1</v>
      </c>
      <c r="AO748">
        <v>32</v>
      </c>
      <c r="AP748">
        <v>2</v>
      </c>
      <c r="AQ748">
        <v>3</v>
      </c>
      <c r="AR748">
        <v>3</v>
      </c>
      <c r="AS748">
        <v>27</v>
      </c>
      <c r="AT748">
        <v>0</v>
      </c>
    </row>
    <row r="749" spans="1:46">
      <c r="A749">
        <v>10363</v>
      </c>
      <c r="B749" t="s">
        <v>5164</v>
      </c>
      <c r="C749" t="s">
        <v>5165</v>
      </c>
      <c r="D749" t="s">
        <v>5166</v>
      </c>
      <c r="E749" t="s">
        <v>5167</v>
      </c>
      <c r="F749" t="s">
        <v>777</v>
      </c>
      <c r="G749" t="s">
        <v>652</v>
      </c>
      <c r="H749" t="s">
        <v>3942</v>
      </c>
      <c r="J749" t="s">
        <v>3962</v>
      </c>
      <c r="K749" t="s">
        <v>519</v>
      </c>
      <c r="M749" t="s">
        <v>520</v>
      </c>
      <c r="N749" t="s">
        <v>571</v>
      </c>
      <c r="O749" t="s">
        <v>707</v>
      </c>
      <c r="P749" t="s">
        <v>654</v>
      </c>
      <c r="Q749" t="s">
        <v>638</v>
      </c>
      <c r="R749" t="s">
        <v>708</v>
      </c>
      <c r="S749" t="s">
        <v>706</v>
      </c>
      <c r="T749" t="s">
        <v>709</v>
      </c>
      <c r="U749">
        <v>152400</v>
      </c>
      <c r="V749" t="s">
        <v>5168</v>
      </c>
      <c r="W749" t="s">
        <v>711</v>
      </c>
      <c r="X749" t="s">
        <v>5169</v>
      </c>
      <c r="Y749" t="s">
        <v>5170</v>
      </c>
      <c r="Z749" t="s">
        <v>777</v>
      </c>
      <c r="AA749" t="s">
        <v>5171</v>
      </c>
      <c r="AB749" t="s">
        <v>5165</v>
      </c>
      <c r="AC749">
        <v>99119</v>
      </c>
      <c r="AD749" t="s">
        <v>780</v>
      </c>
      <c r="AE749">
        <v>-36.900855059999998</v>
      </c>
      <c r="AF749">
        <v>174.92860367</v>
      </c>
      <c r="AG749">
        <v>100</v>
      </c>
      <c r="AH749">
        <v>22</v>
      </c>
      <c r="AI749">
        <v>0</v>
      </c>
      <c r="AJ749">
        <v>11</v>
      </c>
      <c r="AK749">
        <v>17</v>
      </c>
      <c r="AL749">
        <v>13</v>
      </c>
      <c r="AM749">
        <v>17</v>
      </c>
      <c r="AN749">
        <v>0</v>
      </c>
      <c r="AO749">
        <v>58</v>
      </c>
      <c r="AP749">
        <v>40</v>
      </c>
      <c r="AQ749">
        <v>5</v>
      </c>
      <c r="AR749">
        <v>4</v>
      </c>
      <c r="AS749">
        <v>24</v>
      </c>
      <c r="AT749">
        <v>2</v>
      </c>
    </row>
    <row r="750" spans="1:46">
      <c r="A750">
        <v>10364</v>
      </c>
      <c r="B750" t="s">
        <v>5172</v>
      </c>
      <c r="C750" t="s">
        <v>5173</v>
      </c>
      <c r="D750" t="s">
        <v>5174</v>
      </c>
      <c r="E750" t="s">
        <v>5175</v>
      </c>
      <c r="F750" t="s">
        <v>5176</v>
      </c>
      <c r="G750" t="s">
        <v>652</v>
      </c>
      <c r="H750" t="s">
        <v>3942</v>
      </c>
      <c r="J750" t="s">
        <v>518</v>
      </c>
      <c r="K750" t="s">
        <v>519</v>
      </c>
      <c r="M750" t="s">
        <v>520</v>
      </c>
      <c r="N750" t="s">
        <v>521</v>
      </c>
      <c r="O750" t="s">
        <v>804</v>
      </c>
      <c r="P750" t="s">
        <v>654</v>
      </c>
      <c r="Q750" t="s">
        <v>638</v>
      </c>
      <c r="R750" t="s">
        <v>708</v>
      </c>
      <c r="S750" t="s">
        <v>880</v>
      </c>
      <c r="T750" t="s">
        <v>709</v>
      </c>
      <c r="U750">
        <v>141802</v>
      </c>
      <c r="V750" t="s">
        <v>5177</v>
      </c>
      <c r="W750" t="s">
        <v>824</v>
      </c>
      <c r="X750" t="s">
        <v>5178</v>
      </c>
      <c r="Y750" t="s">
        <v>5175</v>
      </c>
      <c r="Z750" t="s">
        <v>5176</v>
      </c>
      <c r="AA750" t="s">
        <v>4431</v>
      </c>
      <c r="AB750" t="s">
        <v>5179</v>
      </c>
      <c r="AE750">
        <v>-36.86294058</v>
      </c>
      <c r="AF750">
        <v>174.83861998</v>
      </c>
      <c r="AG750">
        <v>41</v>
      </c>
      <c r="AH750">
        <v>12</v>
      </c>
      <c r="AI750">
        <v>1</v>
      </c>
      <c r="AJ750">
        <v>9</v>
      </c>
      <c r="AK750">
        <v>13</v>
      </c>
      <c r="AL750">
        <v>6</v>
      </c>
      <c r="AM750">
        <v>5</v>
      </c>
      <c r="AN750">
        <v>2</v>
      </c>
      <c r="AO750">
        <v>36</v>
      </c>
      <c r="AP750">
        <v>1</v>
      </c>
      <c r="AQ750">
        <v>0</v>
      </c>
      <c r="AR750">
        <v>2</v>
      </c>
      <c r="AS750">
        <v>30</v>
      </c>
      <c r="AT750">
        <v>6</v>
      </c>
    </row>
    <row r="751" spans="1:46">
      <c r="A751">
        <v>10368</v>
      </c>
      <c r="B751" t="s">
        <v>5180</v>
      </c>
      <c r="C751" t="s">
        <v>5181</v>
      </c>
      <c r="D751" t="s">
        <v>5182</v>
      </c>
      <c r="E751" t="s">
        <v>5183</v>
      </c>
      <c r="G751" t="s">
        <v>5184</v>
      </c>
      <c r="H751" t="s">
        <v>298</v>
      </c>
      <c r="J751" t="s">
        <v>518</v>
      </c>
      <c r="K751" t="s">
        <v>519</v>
      </c>
      <c r="M751" t="s">
        <v>520</v>
      </c>
      <c r="N751" t="s">
        <v>539</v>
      </c>
      <c r="O751" t="s">
        <v>564</v>
      </c>
      <c r="P751" t="s">
        <v>540</v>
      </c>
      <c r="Q751" t="s">
        <v>524</v>
      </c>
      <c r="R751" t="s">
        <v>525</v>
      </c>
      <c r="S751" t="s">
        <v>526</v>
      </c>
      <c r="T751" t="s">
        <v>527</v>
      </c>
      <c r="U751">
        <v>109101</v>
      </c>
      <c r="V751" t="s">
        <v>5185</v>
      </c>
      <c r="W751" t="s">
        <v>565</v>
      </c>
      <c r="X751" t="s">
        <v>5186</v>
      </c>
      <c r="Y751" t="s">
        <v>5187</v>
      </c>
      <c r="AA751" t="s">
        <v>5188</v>
      </c>
      <c r="AB751" t="s">
        <v>5181</v>
      </c>
      <c r="AC751">
        <v>99185</v>
      </c>
      <c r="AD751" t="s">
        <v>566</v>
      </c>
      <c r="AE751">
        <v>-36.0301768</v>
      </c>
      <c r="AF751">
        <v>173.92407752</v>
      </c>
      <c r="AG751">
        <v>30</v>
      </c>
      <c r="AH751">
        <v>15</v>
      </c>
      <c r="AI751">
        <v>2</v>
      </c>
      <c r="AJ751">
        <v>5</v>
      </c>
      <c r="AK751">
        <v>4</v>
      </c>
      <c r="AL751">
        <v>5</v>
      </c>
      <c r="AM751">
        <v>3</v>
      </c>
      <c r="AN751">
        <v>1</v>
      </c>
      <c r="AO751">
        <v>20</v>
      </c>
      <c r="AP751">
        <v>17</v>
      </c>
      <c r="AQ751">
        <v>7</v>
      </c>
      <c r="AR751">
        <v>3</v>
      </c>
      <c r="AS751">
        <v>0</v>
      </c>
      <c r="AT751">
        <v>0</v>
      </c>
    </row>
    <row r="752" spans="1:46">
      <c r="A752">
        <v>10370</v>
      </c>
      <c r="B752" t="s">
        <v>5189</v>
      </c>
      <c r="C752" t="s">
        <v>5190</v>
      </c>
      <c r="E752" t="s">
        <v>5191</v>
      </c>
      <c r="F752" t="s">
        <v>828</v>
      </c>
      <c r="G752" t="s">
        <v>652</v>
      </c>
      <c r="H752" t="s">
        <v>3942</v>
      </c>
      <c r="J752" t="s">
        <v>3962</v>
      </c>
      <c r="K752" t="s">
        <v>519</v>
      </c>
      <c r="M752" t="s">
        <v>520</v>
      </c>
      <c r="N752" t="s">
        <v>571</v>
      </c>
      <c r="O752" t="s">
        <v>829</v>
      </c>
      <c r="P752" t="s">
        <v>654</v>
      </c>
      <c r="Q752" t="s">
        <v>638</v>
      </c>
      <c r="R752" t="s">
        <v>708</v>
      </c>
      <c r="S752" t="s">
        <v>805</v>
      </c>
      <c r="T752" t="s">
        <v>709</v>
      </c>
      <c r="U752">
        <v>145000</v>
      </c>
      <c r="V752" t="s">
        <v>830</v>
      </c>
      <c r="W752" t="s">
        <v>807</v>
      </c>
      <c r="X752" t="s">
        <v>5192</v>
      </c>
      <c r="Y752" t="s">
        <v>5193</v>
      </c>
      <c r="Z752" t="s">
        <v>822</v>
      </c>
      <c r="AA752" t="s">
        <v>5194</v>
      </c>
      <c r="AB752" t="s">
        <v>5190</v>
      </c>
      <c r="AE752">
        <v>-36.916462160000002</v>
      </c>
      <c r="AF752">
        <v>174.78641739</v>
      </c>
      <c r="AG752">
        <v>45</v>
      </c>
      <c r="AH752">
        <v>0</v>
      </c>
      <c r="AI752">
        <v>0</v>
      </c>
      <c r="AJ752">
        <v>0</v>
      </c>
      <c r="AK752">
        <v>20</v>
      </c>
      <c r="AL752">
        <v>11</v>
      </c>
      <c r="AM752">
        <v>14</v>
      </c>
      <c r="AN752">
        <v>0</v>
      </c>
      <c r="AO752">
        <v>45</v>
      </c>
      <c r="AP752">
        <v>22</v>
      </c>
      <c r="AQ752">
        <v>8</v>
      </c>
      <c r="AR752">
        <v>4</v>
      </c>
      <c r="AS752">
        <v>23</v>
      </c>
      <c r="AT752">
        <v>1</v>
      </c>
    </row>
    <row r="753" spans="1:46">
      <c r="A753">
        <v>10371</v>
      </c>
      <c r="B753" t="s">
        <v>5195</v>
      </c>
      <c r="C753" t="s">
        <v>5196</v>
      </c>
      <c r="D753" t="s">
        <v>5197</v>
      </c>
      <c r="E753" t="s">
        <v>5198</v>
      </c>
      <c r="F753" t="s">
        <v>1029</v>
      </c>
      <c r="G753" t="s">
        <v>652</v>
      </c>
      <c r="H753" t="s">
        <v>3942</v>
      </c>
      <c r="J753" t="s">
        <v>3962</v>
      </c>
      <c r="K753" t="s">
        <v>519</v>
      </c>
      <c r="M753" t="s">
        <v>520</v>
      </c>
      <c r="N753" t="s">
        <v>571</v>
      </c>
      <c r="O753" t="s">
        <v>829</v>
      </c>
      <c r="P753" t="s">
        <v>654</v>
      </c>
      <c r="Q753" t="s">
        <v>638</v>
      </c>
      <c r="R753" t="s">
        <v>708</v>
      </c>
      <c r="S753" t="s">
        <v>805</v>
      </c>
      <c r="T753" t="s">
        <v>709</v>
      </c>
      <c r="U753">
        <v>146201</v>
      </c>
      <c r="V753" t="s">
        <v>5199</v>
      </c>
      <c r="W753" t="s">
        <v>807</v>
      </c>
      <c r="X753" t="s">
        <v>5200</v>
      </c>
      <c r="Y753" t="s">
        <v>5201</v>
      </c>
      <c r="Z753" t="s">
        <v>1036</v>
      </c>
      <c r="AA753" t="s">
        <v>5202</v>
      </c>
      <c r="AE753">
        <v>-36.898919880000001</v>
      </c>
      <c r="AF753">
        <v>174.83401370000001</v>
      </c>
      <c r="AG753">
        <v>76</v>
      </c>
      <c r="AH753">
        <v>20</v>
      </c>
      <c r="AI753">
        <v>3</v>
      </c>
      <c r="AJ753">
        <v>22</v>
      </c>
      <c r="AK753">
        <v>18</v>
      </c>
      <c r="AL753">
        <v>26</v>
      </c>
      <c r="AM753">
        <v>13</v>
      </c>
      <c r="AN753">
        <v>3</v>
      </c>
      <c r="AO753">
        <v>85</v>
      </c>
      <c r="AP753">
        <v>69</v>
      </c>
      <c r="AQ753">
        <v>10</v>
      </c>
      <c r="AR753">
        <v>5</v>
      </c>
      <c r="AS753">
        <v>12</v>
      </c>
      <c r="AT753">
        <v>8</v>
      </c>
    </row>
    <row r="754" spans="1:46">
      <c r="A754">
        <v>10372</v>
      </c>
      <c r="B754" t="s">
        <v>5203</v>
      </c>
      <c r="C754" t="s">
        <v>5204</v>
      </c>
      <c r="D754" t="s">
        <v>5205</v>
      </c>
      <c r="E754" t="s">
        <v>5206</v>
      </c>
      <c r="F754" t="s">
        <v>5207</v>
      </c>
      <c r="G754" t="s">
        <v>652</v>
      </c>
      <c r="H754" t="s">
        <v>3942</v>
      </c>
      <c r="J754" t="s">
        <v>3962</v>
      </c>
      <c r="K754" t="s">
        <v>519</v>
      </c>
      <c r="M754" t="s">
        <v>520</v>
      </c>
      <c r="N754" t="s">
        <v>571</v>
      </c>
      <c r="O754" t="s">
        <v>957</v>
      </c>
      <c r="P754" t="s">
        <v>654</v>
      </c>
      <c r="Q754" t="s">
        <v>638</v>
      </c>
      <c r="R754" t="s">
        <v>708</v>
      </c>
      <c r="S754" t="s">
        <v>958</v>
      </c>
      <c r="T754" t="s">
        <v>709</v>
      </c>
      <c r="U754">
        <v>136001</v>
      </c>
      <c r="V754" t="s">
        <v>4978</v>
      </c>
      <c r="W754" t="s">
        <v>860</v>
      </c>
      <c r="X754" t="s">
        <v>5208</v>
      </c>
      <c r="Y754" t="s">
        <v>5209</v>
      </c>
      <c r="Z754" t="s">
        <v>898</v>
      </c>
      <c r="AA754" t="s">
        <v>3964</v>
      </c>
      <c r="AE754">
        <v>-36.861907760000001</v>
      </c>
      <c r="AF754">
        <v>174.75965423</v>
      </c>
      <c r="AG754">
        <v>25</v>
      </c>
      <c r="AH754">
        <v>10</v>
      </c>
      <c r="AI754">
        <v>1</v>
      </c>
      <c r="AJ754">
        <v>6</v>
      </c>
      <c r="AK754">
        <v>3</v>
      </c>
      <c r="AL754">
        <v>4</v>
      </c>
      <c r="AM754">
        <v>3</v>
      </c>
      <c r="AN754">
        <v>0</v>
      </c>
      <c r="AO754">
        <v>17</v>
      </c>
      <c r="AP754">
        <v>8</v>
      </c>
      <c r="AQ754">
        <v>0</v>
      </c>
      <c r="AR754">
        <v>1</v>
      </c>
      <c r="AS754">
        <v>12</v>
      </c>
      <c r="AT754">
        <v>1</v>
      </c>
    </row>
    <row r="755" spans="1:46">
      <c r="A755">
        <v>10373</v>
      </c>
      <c r="B755" t="s">
        <v>5210</v>
      </c>
      <c r="C755" t="s">
        <v>5211</v>
      </c>
      <c r="D755" t="s">
        <v>5212</v>
      </c>
      <c r="E755" t="s">
        <v>5213</v>
      </c>
      <c r="F755" t="s">
        <v>1140</v>
      </c>
      <c r="G755" t="s">
        <v>652</v>
      </c>
      <c r="H755" t="s">
        <v>3942</v>
      </c>
      <c r="J755" t="s">
        <v>3962</v>
      </c>
      <c r="K755" t="s">
        <v>519</v>
      </c>
      <c r="M755" t="s">
        <v>520</v>
      </c>
      <c r="N755" t="s">
        <v>571</v>
      </c>
      <c r="O755" t="s">
        <v>804</v>
      </c>
      <c r="P755" t="s">
        <v>654</v>
      </c>
      <c r="Q755" t="s">
        <v>638</v>
      </c>
      <c r="R755" t="s">
        <v>708</v>
      </c>
      <c r="S755" t="s">
        <v>880</v>
      </c>
      <c r="T755" t="s">
        <v>709</v>
      </c>
      <c r="U755">
        <v>145101</v>
      </c>
      <c r="V755" t="s">
        <v>1141</v>
      </c>
      <c r="W755" t="s">
        <v>824</v>
      </c>
      <c r="X755" t="s">
        <v>5214</v>
      </c>
      <c r="Y755" t="s">
        <v>4658</v>
      </c>
      <c r="Z755" t="s">
        <v>958</v>
      </c>
      <c r="AA755" t="s">
        <v>4659</v>
      </c>
      <c r="AB755" t="s">
        <v>5211</v>
      </c>
      <c r="AE755">
        <v>-36.86500564</v>
      </c>
      <c r="AF755">
        <v>174.86136070000001</v>
      </c>
      <c r="AG755">
        <v>80</v>
      </c>
      <c r="AH755">
        <v>23</v>
      </c>
      <c r="AI755">
        <v>3</v>
      </c>
      <c r="AJ755">
        <v>11</v>
      </c>
      <c r="AK755">
        <v>18</v>
      </c>
      <c r="AL755">
        <v>9</v>
      </c>
      <c r="AM755">
        <v>11</v>
      </c>
      <c r="AN755">
        <v>0</v>
      </c>
      <c r="AO755">
        <v>52</v>
      </c>
      <c r="AP755">
        <v>43</v>
      </c>
      <c r="AQ755">
        <v>7</v>
      </c>
      <c r="AR755">
        <v>1</v>
      </c>
      <c r="AS755">
        <v>10</v>
      </c>
      <c r="AT755">
        <v>1</v>
      </c>
    </row>
    <row r="756" spans="1:46">
      <c r="A756">
        <v>10379</v>
      </c>
      <c r="B756" t="s">
        <v>5215</v>
      </c>
      <c r="C756" t="s">
        <v>5216</v>
      </c>
      <c r="D756" t="s">
        <v>5217</v>
      </c>
      <c r="E756" t="s">
        <v>5218</v>
      </c>
      <c r="G756" t="s">
        <v>582</v>
      </c>
      <c r="H756" t="s">
        <v>3942</v>
      </c>
      <c r="J756" t="s">
        <v>3962</v>
      </c>
      <c r="K756" t="s">
        <v>519</v>
      </c>
      <c r="M756" t="s">
        <v>520</v>
      </c>
      <c r="N756" t="s">
        <v>539</v>
      </c>
      <c r="O756" t="s">
        <v>583</v>
      </c>
      <c r="P756" t="s">
        <v>584</v>
      </c>
      <c r="Q756" t="s">
        <v>524</v>
      </c>
      <c r="R756" t="s">
        <v>525</v>
      </c>
      <c r="S756" t="s">
        <v>585</v>
      </c>
      <c r="T756" t="s">
        <v>527</v>
      </c>
      <c r="U756">
        <v>106100</v>
      </c>
      <c r="V756" t="s">
        <v>5219</v>
      </c>
      <c r="W756" t="s">
        <v>587</v>
      </c>
      <c r="X756" t="s">
        <v>3980</v>
      </c>
      <c r="Y756" t="s">
        <v>3981</v>
      </c>
      <c r="AA756" t="s">
        <v>3982</v>
      </c>
      <c r="AC756">
        <v>99182</v>
      </c>
      <c r="AD756" t="s">
        <v>588</v>
      </c>
      <c r="AE756">
        <v>-35.699765200000002</v>
      </c>
      <c r="AF756">
        <v>174.31663570000001</v>
      </c>
      <c r="AG756">
        <v>65</v>
      </c>
      <c r="AH756">
        <v>20</v>
      </c>
      <c r="AI756">
        <v>1</v>
      </c>
      <c r="AJ756">
        <v>13</v>
      </c>
      <c r="AK756">
        <v>15</v>
      </c>
      <c r="AL756">
        <v>21</v>
      </c>
      <c r="AM756">
        <v>19</v>
      </c>
      <c r="AN756">
        <v>0</v>
      </c>
      <c r="AO756">
        <v>69</v>
      </c>
      <c r="AP756">
        <v>45</v>
      </c>
      <c r="AQ756">
        <v>31</v>
      </c>
      <c r="AR756">
        <v>6</v>
      </c>
      <c r="AS756">
        <v>7</v>
      </c>
      <c r="AT756">
        <v>4</v>
      </c>
    </row>
    <row r="757" spans="1:46">
      <c r="A757">
        <v>10382</v>
      </c>
      <c r="B757" t="s">
        <v>5220</v>
      </c>
      <c r="C757" t="s">
        <v>5221</v>
      </c>
      <c r="D757" t="s">
        <v>5222</v>
      </c>
      <c r="E757" t="s">
        <v>5223</v>
      </c>
      <c r="F757" t="s">
        <v>855</v>
      </c>
      <c r="G757" t="s">
        <v>652</v>
      </c>
      <c r="H757" t="s">
        <v>3942</v>
      </c>
      <c r="J757" t="s">
        <v>3962</v>
      </c>
      <c r="K757" t="s">
        <v>519</v>
      </c>
      <c r="M757" t="s">
        <v>520</v>
      </c>
      <c r="N757" t="s">
        <v>571</v>
      </c>
      <c r="O757" t="s">
        <v>857</v>
      </c>
      <c r="P757" t="s">
        <v>654</v>
      </c>
      <c r="Q757" t="s">
        <v>638</v>
      </c>
      <c r="R757" t="s">
        <v>708</v>
      </c>
      <c r="S757" t="s">
        <v>858</v>
      </c>
      <c r="T757" t="s">
        <v>709</v>
      </c>
      <c r="U757">
        <v>135500</v>
      </c>
      <c r="V757" t="s">
        <v>1080</v>
      </c>
      <c r="W757" t="s">
        <v>860</v>
      </c>
      <c r="X757" t="s">
        <v>5224</v>
      </c>
      <c r="Y757" t="s">
        <v>5223</v>
      </c>
      <c r="Z757" t="s">
        <v>855</v>
      </c>
      <c r="AA757" t="s">
        <v>4876</v>
      </c>
      <c r="AB757" t="s">
        <v>5221</v>
      </c>
      <c r="AE757">
        <v>-36.893063730000001</v>
      </c>
      <c r="AF757">
        <v>174.70734037</v>
      </c>
      <c r="AG757">
        <v>34</v>
      </c>
      <c r="AH757">
        <v>10</v>
      </c>
      <c r="AI757">
        <v>1</v>
      </c>
      <c r="AJ757">
        <v>7</v>
      </c>
      <c r="AK757">
        <v>9</v>
      </c>
      <c r="AL757">
        <v>6</v>
      </c>
      <c r="AM757">
        <v>10</v>
      </c>
      <c r="AN757">
        <v>0</v>
      </c>
      <c r="AO757">
        <v>33</v>
      </c>
      <c r="AP757">
        <v>17</v>
      </c>
      <c r="AQ757">
        <v>4</v>
      </c>
      <c r="AR757">
        <v>3</v>
      </c>
      <c r="AS757">
        <v>18</v>
      </c>
      <c r="AT757">
        <v>2</v>
      </c>
    </row>
    <row r="758" spans="1:46">
      <c r="A758">
        <v>10383</v>
      </c>
      <c r="B758" t="s">
        <v>5225</v>
      </c>
      <c r="C758" t="s">
        <v>5226</v>
      </c>
      <c r="E758" t="s">
        <v>5227</v>
      </c>
      <c r="F758" t="s">
        <v>777</v>
      </c>
      <c r="G758" t="s">
        <v>652</v>
      </c>
      <c r="H758" t="s">
        <v>3942</v>
      </c>
      <c r="J758" t="s">
        <v>3962</v>
      </c>
      <c r="K758" t="s">
        <v>519</v>
      </c>
      <c r="M758" t="s">
        <v>520</v>
      </c>
      <c r="N758" t="s">
        <v>571</v>
      </c>
      <c r="O758" t="s">
        <v>707</v>
      </c>
      <c r="P758" t="s">
        <v>654</v>
      </c>
      <c r="Q758" t="s">
        <v>638</v>
      </c>
      <c r="R758" t="s">
        <v>708</v>
      </c>
      <c r="S758" t="s">
        <v>706</v>
      </c>
      <c r="T758" t="s">
        <v>709</v>
      </c>
      <c r="U758">
        <v>152400</v>
      </c>
      <c r="V758" t="s">
        <v>5168</v>
      </c>
      <c r="W758" t="s">
        <v>711</v>
      </c>
      <c r="X758" t="s">
        <v>5228</v>
      </c>
      <c r="Y758" t="s">
        <v>5229</v>
      </c>
      <c r="Z758" t="s">
        <v>777</v>
      </c>
      <c r="AA758" t="s">
        <v>5230</v>
      </c>
      <c r="AB758" t="s">
        <v>5231</v>
      </c>
      <c r="AE758">
        <v>-36.896092590000002</v>
      </c>
      <c r="AF758">
        <v>174.93374668000001</v>
      </c>
      <c r="AG758">
        <v>34</v>
      </c>
      <c r="AH758">
        <v>0</v>
      </c>
      <c r="AI758">
        <v>0</v>
      </c>
      <c r="AJ758">
        <v>0</v>
      </c>
      <c r="AK758">
        <v>6</v>
      </c>
      <c r="AL758">
        <v>13</v>
      </c>
      <c r="AM758">
        <v>12</v>
      </c>
      <c r="AN758">
        <v>2</v>
      </c>
      <c r="AO758">
        <v>33</v>
      </c>
      <c r="AP758">
        <v>17</v>
      </c>
      <c r="AQ758">
        <v>2</v>
      </c>
      <c r="AR758">
        <v>0</v>
      </c>
      <c r="AS758">
        <v>19</v>
      </c>
      <c r="AT758">
        <v>1</v>
      </c>
    </row>
    <row r="759" spans="1:46">
      <c r="A759">
        <v>10384</v>
      </c>
      <c r="B759" t="s">
        <v>5232</v>
      </c>
      <c r="C759" t="s">
        <v>5233</v>
      </c>
      <c r="D759" t="s">
        <v>5234</v>
      </c>
      <c r="E759" t="s">
        <v>5235</v>
      </c>
      <c r="F759" t="s">
        <v>898</v>
      </c>
      <c r="G759" t="s">
        <v>652</v>
      </c>
      <c r="H759" t="s">
        <v>3942</v>
      </c>
      <c r="J759" t="s">
        <v>3962</v>
      </c>
      <c r="K759" t="s">
        <v>519</v>
      </c>
      <c r="M759" t="s">
        <v>520</v>
      </c>
      <c r="N759" t="s">
        <v>571</v>
      </c>
      <c r="O759" t="s">
        <v>813</v>
      </c>
      <c r="P759" t="s">
        <v>654</v>
      </c>
      <c r="Q759" t="s">
        <v>638</v>
      </c>
      <c r="R759" t="s">
        <v>639</v>
      </c>
      <c r="S759" t="s">
        <v>899</v>
      </c>
      <c r="T759" t="s">
        <v>527</v>
      </c>
      <c r="U759">
        <v>126100</v>
      </c>
      <c r="V759" t="s">
        <v>5013</v>
      </c>
      <c r="W759" t="s">
        <v>815</v>
      </c>
      <c r="X759" t="s">
        <v>5236</v>
      </c>
      <c r="Y759" t="s">
        <v>4689</v>
      </c>
      <c r="Z759" t="s">
        <v>4690</v>
      </c>
      <c r="AA759" t="s">
        <v>4691</v>
      </c>
      <c r="AB759" t="s">
        <v>5237</v>
      </c>
      <c r="AE759">
        <v>-36.874656039999998</v>
      </c>
      <c r="AF759">
        <v>174.61223122999999</v>
      </c>
      <c r="AG759">
        <v>95</v>
      </c>
      <c r="AH759">
        <v>25</v>
      </c>
      <c r="AI759">
        <v>4</v>
      </c>
      <c r="AJ759">
        <v>21</v>
      </c>
      <c r="AK759">
        <v>25</v>
      </c>
      <c r="AL759">
        <v>22</v>
      </c>
      <c r="AM759">
        <v>26</v>
      </c>
      <c r="AN759">
        <v>0</v>
      </c>
      <c r="AO759">
        <v>98</v>
      </c>
      <c r="AP759">
        <v>44</v>
      </c>
      <c r="AQ759">
        <v>6</v>
      </c>
      <c r="AR759">
        <v>2</v>
      </c>
      <c r="AS759">
        <v>57</v>
      </c>
      <c r="AT759">
        <v>7</v>
      </c>
    </row>
    <row r="760" spans="1:46">
      <c r="A760">
        <v>10385</v>
      </c>
      <c r="B760" t="s">
        <v>5238</v>
      </c>
      <c r="C760" t="s">
        <v>5239</v>
      </c>
      <c r="D760" t="s">
        <v>5240</v>
      </c>
      <c r="E760" t="s">
        <v>5241</v>
      </c>
      <c r="F760" t="s">
        <v>821</v>
      </c>
      <c r="G760" t="s">
        <v>652</v>
      </c>
      <c r="H760" t="s">
        <v>3942</v>
      </c>
      <c r="J760" t="s">
        <v>518</v>
      </c>
      <c r="K760" t="s">
        <v>519</v>
      </c>
      <c r="M760" t="s">
        <v>520</v>
      </c>
      <c r="N760" t="s">
        <v>571</v>
      </c>
      <c r="O760" t="s">
        <v>957</v>
      </c>
      <c r="P760" t="s">
        <v>654</v>
      </c>
      <c r="Q760" t="s">
        <v>638</v>
      </c>
      <c r="R760" t="s">
        <v>708</v>
      </c>
      <c r="S760" t="s">
        <v>822</v>
      </c>
      <c r="T760" t="s">
        <v>709</v>
      </c>
      <c r="U760">
        <v>138502</v>
      </c>
      <c r="V760" t="s">
        <v>5242</v>
      </c>
      <c r="W760" t="s">
        <v>824</v>
      </c>
      <c r="X760" t="s">
        <v>3943</v>
      </c>
      <c r="Y760" t="s">
        <v>3944</v>
      </c>
      <c r="Z760" t="s">
        <v>3945</v>
      </c>
      <c r="AA760" t="s">
        <v>3946</v>
      </c>
      <c r="AB760" t="s">
        <v>3947</v>
      </c>
      <c r="AE760">
        <v>-36.872999110000002</v>
      </c>
      <c r="AF760">
        <v>174.78084895999999</v>
      </c>
      <c r="AG760">
        <v>70</v>
      </c>
      <c r="AH760">
        <v>20</v>
      </c>
      <c r="AI760">
        <v>1</v>
      </c>
      <c r="AJ760">
        <v>10</v>
      </c>
      <c r="AK760">
        <v>19</v>
      </c>
      <c r="AL760">
        <v>18</v>
      </c>
      <c r="AM760">
        <v>17</v>
      </c>
      <c r="AN760">
        <v>1</v>
      </c>
      <c r="AO760">
        <v>66</v>
      </c>
      <c r="AP760">
        <v>17</v>
      </c>
      <c r="AQ760">
        <v>0</v>
      </c>
      <c r="AR760">
        <v>0</v>
      </c>
      <c r="AS760">
        <v>45</v>
      </c>
      <c r="AT760">
        <v>10</v>
      </c>
    </row>
    <row r="761" spans="1:46">
      <c r="A761">
        <v>10387</v>
      </c>
      <c r="B761" t="s">
        <v>5243</v>
      </c>
      <c r="C761" t="s">
        <v>5244</v>
      </c>
      <c r="D761" t="s">
        <v>5245</v>
      </c>
      <c r="E761" t="s">
        <v>5246</v>
      </c>
      <c r="F761" t="s">
        <v>5207</v>
      </c>
      <c r="G761" t="s">
        <v>652</v>
      </c>
      <c r="H761" t="s">
        <v>3942</v>
      </c>
      <c r="J761" t="s">
        <v>518</v>
      </c>
      <c r="K761" t="s">
        <v>519</v>
      </c>
      <c r="M761" t="s">
        <v>520</v>
      </c>
      <c r="N761" t="s">
        <v>571</v>
      </c>
      <c r="O761" t="s">
        <v>857</v>
      </c>
      <c r="P761" t="s">
        <v>654</v>
      </c>
      <c r="Q761" t="s">
        <v>638</v>
      </c>
      <c r="R761" t="s">
        <v>708</v>
      </c>
      <c r="S761" t="s">
        <v>822</v>
      </c>
      <c r="T761" t="s">
        <v>709</v>
      </c>
      <c r="U761">
        <v>139000</v>
      </c>
      <c r="V761" t="s">
        <v>5247</v>
      </c>
      <c r="W761" t="s">
        <v>860</v>
      </c>
      <c r="X761" t="s">
        <v>5248</v>
      </c>
      <c r="Y761" t="s">
        <v>5249</v>
      </c>
      <c r="Z761" t="s">
        <v>1036</v>
      </c>
      <c r="AA761" t="s">
        <v>5250</v>
      </c>
      <c r="AB761" t="s">
        <v>5251</v>
      </c>
      <c r="AE761">
        <v>-36.882172969999999</v>
      </c>
      <c r="AF761">
        <v>174.75972483999999</v>
      </c>
      <c r="AG761">
        <v>30</v>
      </c>
      <c r="AH761">
        <v>25</v>
      </c>
      <c r="AI761">
        <v>2</v>
      </c>
      <c r="AJ761">
        <v>5</v>
      </c>
      <c r="AK761">
        <v>3</v>
      </c>
      <c r="AL761">
        <v>1</v>
      </c>
      <c r="AM761">
        <v>0</v>
      </c>
      <c r="AN761">
        <v>0</v>
      </c>
      <c r="AO761">
        <v>11</v>
      </c>
      <c r="AP761">
        <v>7</v>
      </c>
      <c r="AQ761">
        <v>0</v>
      </c>
      <c r="AR761">
        <v>4</v>
      </c>
      <c r="AS761">
        <v>3</v>
      </c>
      <c r="AT761">
        <v>0</v>
      </c>
    </row>
    <row r="762" spans="1:46">
      <c r="A762">
        <v>10393</v>
      </c>
      <c r="B762" t="s">
        <v>5252</v>
      </c>
      <c r="C762" t="s">
        <v>5253</v>
      </c>
      <c r="D762" t="s">
        <v>5254</v>
      </c>
      <c r="E762" t="s">
        <v>5255</v>
      </c>
      <c r="F762" t="s">
        <v>706</v>
      </c>
      <c r="G762" t="s">
        <v>652</v>
      </c>
      <c r="H762" t="s">
        <v>3942</v>
      </c>
      <c r="J762" t="s">
        <v>3962</v>
      </c>
      <c r="K762" t="s">
        <v>519</v>
      </c>
      <c r="M762" t="s">
        <v>520</v>
      </c>
      <c r="N762" t="s">
        <v>571</v>
      </c>
      <c r="O762" t="s">
        <v>707</v>
      </c>
      <c r="P762" t="s">
        <v>654</v>
      </c>
      <c r="Q762" t="s">
        <v>638</v>
      </c>
      <c r="R762" t="s">
        <v>708</v>
      </c>
      <c r="S762" t="s">
        <v>706</v>
      </c>
      <c r="T762" t="s">
        <v>709</v>
      </c>
      <c r="U762">
        <v>149800</v>
      </c>
      <c r="V762" t="s">
        <v>5256</v>
      </c>
      <c r="W762" t="s">
        <v>711</v>
      </c>
      <c r="X762" t="s">
        <v>5257</v>
      </c>
      <c r="Y762" t="s">
        <v>4107</v>
      </c>
      <c r="AA762" t="s">
        <v>3982</v>
      </c>
      <c r="AB762" t="s">
        <v>5253</v>
      </c>
      <c r="AE762">
        <v>-36.914368619999998</v>
      </c>
      <c r="AF762">
        <v>174.87941056</v>
      </c>
      <c r="AG762">
        <v>85</v>
      </c>
      <c r="AH762">
        <v>35</v>
      </c>
      <c r="AI762">
        <v>3</v>
      </c>
      <c r="AJ762">
        <v>18</v>
      </c>
      <c r="AK762">
        <v>20</v>
      </c>
      <c r="AL762">
        <v>0</v>
      </c>
      <c r="AM762">
        <v>0</v>
      </c>
      <c r="AN762">
        <v>0</v>
      </c>
      <c r="AO762">
        <v>41</v>
      </c>
      <c r="AP762">
        <v>12</v>
      </c>
      <c r="AQ762">
        <v>5</v>
      </c>
      <c r="AR762">
        <v>8</v>
      </c>
      <c r="AS762">
        <v>24</v>
      </c>
      <c r="AT762">
        <v>4</v>
      </c>
    </row>
    <row r="763" spans="1:46">
      <c r="A763">
        <v>10394</v>
      </c>
      <c r="B763" t="s">
        <v>5258</v>
      </c>
      <c r="C763" t="s">
        <v>5259</v>
      </c>
      <c r="D763" t="s">
        <v>5260</v>
      </c>
      <c r="E763" t="s">
        <v>5261</v>
      </c>
      <c r="G763" t="s">
        <v>1261</v>
      </c>
      <c r="H763" t="s">
        <v>3942</v>
      </c>
      <c r="J763" t="s">
        <v>3962</v>
      </c>
      <c r="K763" t="s">
        <v>519</v>
      </c>
      <c r="M763" t="s">
        <v>520</v>
      </c>
      <c r="N763" t="s">
        <v>571</v>
      </c>
      <c r="O763" t="s">
        <v>1233</v>
      </c>
      <c r="P763" t="s">
        <v>1262</v>
      </c>
      <c r="Q763" t="s">
        <v>638</v>
      </c>
      <c r="R763" t="s">
        <v>729</v>
      </c>
      <c r="S763" t="s">
        <v>1246</v>
      </c>
      <c r="T763" t="s">
        <v>1235</v>
      </c>
      <c r="U763">
        <v>166000</v>
      </c>
      <c r="V763" t="s">
        <v>1280</v>
      </c>
      <c r="W763" t="s">
        <v>1237</v>
      </c>
      <c r="X763" t="s">
        <v>5262</v>
      </c>
      <c r="Y763" t="s">
        <v>5263</v>
      </c>
      <c r="AA763" t="s">
        <v>5264</v>
      </c>
      <c r="AC763">
        <v>99075</v>
      </c>
      <c r="AD763" t="s">
        <v>1264</v>
      </c>
      <c r="AE763">
        <v>-37.202995479999998</v>
      </c>
      <c r="AF763">
        <v>174.90651410000001</v>
      </c>
      <c r="AG763">
        <v>30</v>
      </c>
      <c r="AH763">
        <v>15</v>
      </c>
      <c r="AI763">
        <v>1</v>
      </c>
      <c r="AJ763">
        <v>5</v>
      </c>
      <c r="AK763">
        <v>6</v>
      </c>
      <c r="AL763">
        <v>6</v>
      </c>
      <c r="AM763">
        <v>9</v>
      </c>
      <c r="AN763">
        <v>0</v>
      </c>
      <c r="AO763">
        <v>27</v>
      </c>
      <c r="AP763">
        <v>20</v>
      </c>
      <c r="AQ763">
        <v>7</v>
      </c>
      <c r="AR763">
        <v>2</v>
      </c>
      <c r="AS763">
        <v>7</v>
      </c>
      <c r="AT763">
        <v>1</v>
      </c>
    </row>
    <row r="764" spans="1:46">
      <c r="A764">
        <v>10395</v>
      </c>
      <c r="B764" t="s">
        <v>5265</v>
      </c>
      <c r="C764" t="s">
        <v>5266</v>
      </c>
      <c r="D764" t="s">
        <v>5267</v>
      </c>
      <c r="E764" t="s">
        <v>5268</v>
      </c>
      <c r="G764" t="s">
        <v>1261</v>
      </c>
      <c r="H764" t="s">
        <v>3942</v>
      </c>
      <c r="I764" t="s">
        <v>4951</v>
      </c>
      <c r="J764" t="s">
        <v>518</v>
      </c>
      <c r="K764" t="s">
        <v>519</v>
      </c>
      <c r="M764" t="s">
        <v>520</v>
      </c>
      <c r="N764" t="s">
        <v>727</v>
      </c>
      <c r="O764" t="s">
        <v>1233</v>
      </c>
      <c r="P764" t="s">
        <v>1262</v>
      </c>
      <c r="Q764" t="s">
        <v>638</v>
      </c>
      <c r="R764" t="s">
        <v>729</v>
      </c>
      <c r="S764" t="s">
        <v>1246</v>
      </c>
      <c r="T764" t="s">
        <v>1235</v>
      </c>
      <c r="U764">
        <v>165302</v>
      </c>
      <c r="V764" t="s">
        <v>5075</v>
      </c>
      <c r="W764" t="s">
        <v>1237</v>
      </c>
      <c r="X764" t="s">
        <v>5269</v>
      </c>
      <c r="Y764" t="s">
        <v>5270</v>
      </c>
      <c r="AA764" t="s">
        <v>5271</v>
      </c>
      <c r="AB764" t="s">
        <v>5266</v>
      </c>
      <c r="AC764">
        <v>99075</v>
      </c>
      <c r="AD764" t="s">
        <v>1264</v>
      </c>
      <c r="AE764">
        <v>-37.194553380000002</v>
      </c>
      <c r="AF764">
        <v>174.8956987</v>
      </c>
      <c r="AG764">
        <v>20</v>
      </c>
      <c r="AH764">
        <v>0</v>
      </c>
      <c r="AI764">
        <v>0</v>
      </c>
      <c r="AJ764">
        <v>0</v>
      </c>
      <c r="AK764">
        <v>1</v>
      </c>
      <c r="AL764">
        <v>6</v>
      </c>
      <c r="AM764">
        <v>8</v>
      </c>
      <c r="AN764">
        <v>0</v>
      </c>
      <c r="AO764">
        <v>15</v>
      </c>
      <c r="AP764">
        <v>3</v>
      </c>
      <c r="AQ764">
        <v>13</v>
      </c>
      <c r="AR764">
        <v>4</v>
      </c>
      <c r="AS764">
        <v>1</v>
      </c>
      <c r="AT764">
        <v>0</v>
      </c>
    </row>
    <row r="765" spans="1:46">
      <c r="A765">
        <v>10398</v>
      </c>
      <c r="B765" t="s">
        <v>5272</v>
      </c>
      <c r="C765" t="s">
        <v>5273</v>
      </c>
      <c r="E765" t="s">
        <v>5274</v>
      </c>
      <c r="G765" t="s">
        <v>1261</v>
      </c>
      <c r="H765" t="s">
        <v>3942</v>
      </c>
      <c r="J765" t="s">
        <v>3962</v>
      </c>
      <c r="K765" t="s">
        <v>519</v>
      </c>
      <c r="M765" t="s">
        <v>520</v>
      </c>
      <c r="N765" t="s">
        <v>4519</v>
      </c>
      <c r="O765" t="s">
        <v>1233</v>
      </c>
      <c r="P765" t="s">
        <v>1262</v>
      </c>
      <c r="Q765" t="s">
        <v>638</v>
      </c>
      <c r="R765" t="s">
        <v>729</v>
      </c>
      <c r="S765" t="s">
        <v>1246</v>
      </c>
      <c r="T765" t="s">
        <v>1235</v>
      </c>
      <c r="U765">
        <v>165700</v>
      </c>
      <c r="V765" t="s">
        <v>1263</v>
      </c>
      <c r="W765" t="s">
        <v>1237</v>
      </c>
      <c r="X765" t="s">
        <v>5275</v>
      </c>
      <c r="Y765" t="s">
        <v>5274</v>
      </c>
      <c r="AA765" t="s">
        <v>5078</v>
      </c>
      <c r="AB765" t="s">
        <v>5276</v>
      </c>
      <c r="AE765">
        <v>-37.205822740000002</v>
      </c>
      <c r="AF765">
        <v>174.90047200999999</v>
      </c>
      <c r="AG765">
        <v>35</v>
      </c>
      <c r="AH765">
        <v>10</v>
      </c>
      <c r="AI765">
        <v>4</v>
      </c>
      <c r="AJ765">
        <v>3</v>
      </c>
      <c r="AK765">
        <v>11</v>
      </c>
      <c r="AL765">
        <v>13</v>
      </c>
      <c r="AM765">
        <v>5</v>
      </c>
      <c r="AN765">
        <v>2</v>
      </c>
      <c r="AO765">
        <v>38</v>
      </c>
      <c r="AP765">
        <v>4</v>
      </c>
      <c r="AQ765">
        <v>10</v>
      </c>
      <c r="AR765">
        <v>6</v>
      </c>
      <c r="AS765">
        <v>22</v>
      </c>
      <c r="AT765">
        <v>1</v>
      </c>
    </row>
    <row r="766" spans="1:46">
      <c r="A766">
        <v>10401</v>
      </c>
      <c r="B766" t="s">
        <v>5277</v>
      </c>
      <c r="C766" t="s">
        <v>5278</v>
      </c>
      <c r="E766" t="s">
        <v>5279</v>
      </c>
      <c r="G766" t="s">
        <v>4678</v>
      </c>
      <c r="H766" t="s">
        <v>343</v>
      </c>
      <c r="J766" t="s">
        <v>518</v>
      </c>
      <c r="K766" t="s">
        <v>519</v>
      </c>
      <c r="L766" t="s">
        <v>4205</v>
      </c>
      <c r="M766" t="s">
        <v>520</v>
      </c>
      <c r="N766" t="s">
        <v>539</v>
      </c>
      <c r="O766" t="s">
        <v>522</v>
      </c>
      <c r="P766" t="s">
        <v>572</v>
      </c>
      <c r="Q766" t="s">
        <v>524</v>
      </c>
      <c r="R766" t="s">
        <v>525</v>
      </c>
      <c r="S766" t="s">
        <v>526</v>
      </c>
      <c r="T766" t="s">
        <v>527</v>
      </c>
      <c r="U766">
        <v>101801</v>
      </c>
      <c r="V766" t="s">
        <v>5280</v>
      </c>
      <c r="W766" t="s">
        <v>558</v>
      </c>
      <c r="X766" t="s">
        <v>4453</v>
      </c>
      <c r="Y766" t="s">
        <v>4208</v>
      </c>
      <c r="Z766" t="s">
        <v>4209</v>
      </c>
      <c r="AA766" t="s">
        <v>4210</v>
      </c>
      <c r="AB766" t="s">
        <v>4454</v>
      </c>
      <c r="AE766">
        <v>-35.043805900000002</v>
      </c>
      <c r="AF766">
        <v>173.79097657</v>
      </c>
      <c r="AG766">
        <v>24</v>
      </c>
      <c r="AH766">
        <v>5</v>
      </c>
      <c r="AI766">
        <v>0</v>
      </c>
      <c r="AJ766">
        <v>2</v>
      </c>
      <c r="AK766">
        <v>7</v>
      </c>
      <c r="AL766">
        <v>5</v>
      </c>
      <c r="AM766">
        <v>0</v>
      </c>
      <c r="AN766">
        <v>0</v>
      </c>
      <c r="AO766">
        <v>14</v>
      </c>
      <c r="AP766">
        <v>0</v>
      </c>
      <c r="AQ766">
        <v>13</v>
      </c>
      <c r="AR766">
        <v>1</v>
      </c>
      <c r="AS766">
        <v>0</v>
      </c>
      <c r="AT766">
        <v>0</v>
      </c>
    </row>
    <row r="767" spans="1:46">
      <c r="A767">
        <v>10402</v>
      </c>
      <c r="B767" t="s">
        <v>5281</v>
      </c>
      <c r="C767" t="s">
        <v>5282</v>
      </c>
      <c r="D767" t="s">
        <v>514</v>
      </c>
      <c r="E767" t="s">
        <v>5283</v>
      </c>
      <c r="F767" t="s">
        <v>5284</v>
      </c>
      <c r="G767" t="s">
        <v>582</v>
      </c>
      <c r="H767" t="s">
        <v>517</v>
      </c>
      <c r="I767" t="s">
        <v>4951</v>
      </c>
      <c r="J767" t="s">
        <v>518</v>
      </c>
      <c r="K767" t="s">
        <v>519</v>
      </c>
      <c r="M767" t="s">
        <v>520</v>
      </c>
      <c r="N767" t="s">
        <v>727</v>
      </c>
      <c r="O767" t="s">
        <v>583</v>
      </c>
      <c r="P767" t="s">
        <v>584</v>
      </c>
      <c r="Q767" t="s">
        <v>524</v>
      </c>
      <c r="R767" t="s">
        <v>525</v>
      </c>
      <c r="S767" t="s">
        <v>585</v>
      </c>
      <c r="T767" t="s">
        <v>527</v>
      </c>
      <c r="U767">
        <v>106401</v>
      </c>
      <c r="V767" t="s">
        <v>5284</v>
      </c>
      <c r="W767" t="s">
        <v>587</v>
      </c>
      <c r="X767" t="s">
        <v>530</v>
      </c>
      <c r="Y767" t="s">
        <v>531</v>
      </c>
      <c r="Z767" t="s">
        <v>532</v>
      </c>
      <c r="AA767" t="s">
        <v>533</v>
      </c>
      <c r="AB767" t="s">
        <v>534</v>
      </c>
      <c r="AC767">
        <v>99182</v>
      </c>
      <c r="AD767" t="s">
        <v>588</v>
      </c>
      <c r="AE767">
        <v>-35.695196770000003</v>
      </c>
      <c r="AF767">
        <v>174.32118546999999</v>
      </c>
      <c r="AG767">
        <v>30</v>
      </c>
      <c r="AH767">
        <v>0</v>
      </c>
      <c r="AI767">
        <v>0</v>
      </c>
      <c r="AJ767">
        <v>0</v>
      </c>
      <c r="AK767">
        <v>5</v>
      </c>
      <c r="AL767">
        <v>8</v>
      </c>
      <c r="AM767">
        <v>16</v>
      </c>
      <c r="AN767">
        <v>1</v>
      </c>
      <c r="AO767">
        <v>30</v>
      </c>
      <c r="AP767">
        <v>1</v>
      </c>
      <c r="AQ767">
        <v>28</v>
      </c>
      <c r="AR767">
        <v>1</v>
      </c>
      <c r="AS767">
        <v>0</v>
      </c>
      <c r="AT767">
        <v>3</v>
      </c>
    </row>
    <row r="768" spans="1:46">
      <c r="A768">
        <v>10403</v>
      </c>
      <c r="B768" t="s">
        <v>5285</v>
      </c>
      <c r="C768" t="s">
        <v>5286</v>
      </c>
      <c r="E768" t="s">
        <v>5287</v>
      </c>
      <c r="G768" t="s">
        <v>550</v>
      </c>
      <c r="H768" t="s">
        <v>343</v>
      </c>
      <c r="J768" t="s">
        <v>518</v>
      </c>
      <c r="K768" t="s">
        <v>519</v>
      </c>
      <c r="L768" t="s">
        <v>4205</v>
      </c>
      <c r="M768" t="s">
        <v>520</v>
      </c>
      <c r="N768" t="s">
        <v>521</v>
      </c>
      <c r="O768" t="s">
        <v>522</v>
      </c>
      <c r="P768" t="s">
        <v>572</v>
      </c>
      <c r="Q768" t="s">
        <v>524</v>
      </c>
      <c r="R768" t="s">
        <v>525</v>
      </c>
      <c r="S768" t="s">
        <v>526</v>
      </c>
      <c r="T768" t="s">
        <v>527</v>
      </c>
      <c r="U768">
        <v>103401</v>
      </c>
      <c r="V768" t="s">
        <v>5288</v>
      </c>
      <c r="W768" t="s">
        <v>551</v>
      </c>
      <c r="X768" t="s">
        <v>4453</v>
      </c>
      <c r="Y768" t="s">
        <v>4208</v>
      </c>
      <c r="Z768" t="s">
        <v>4209</v>
      </c>
      <c r="AA768" t="s">
        <v>4210</v>
      </c>
      <c r="AB768" t="s">
        <v>4454</v>
      </c>
      <c r="AE768">
        <v>-35.417961650000002</v>
      </c>
      <c r="AF768">
        <v>173.79182256999999</v>
      </c>
      <c r="AG768">
        <v>40</v>
      </c>
      <c r="AH768">
        <v>6</v>
      </c>
      <c r="AI768">
        <v>1</v>
      </c>
      <c r="AJ768">
        <v>5</v>
      </c>
      <c r="AK768">
        <v>7</v>
      </c>
      <c r="AL768">
        <v>10</v>
      </c>
      <c r="AM768">
        <v>9</v>
      </c>
      <c r="AN768">
        <v>0</v>
      </c>
      <c r="AO768">
        <v>32</v>
      </c>
      <c r="AP768">
        <v>0</v>
      </c>
      <c r="AQ768">
        <v>32</v>
      </c>
      <c r="AR768">
        <v>0</v>
      </c>
      <c r="AS768">
        <v>0</v>
      </c>
      <c r="AT768">
        <v>0</v>
      </c>
    </row>
    <row r="769" spans="1:46">
      <c r="A769">
        <v>10404</v>
      </c>
      <c r="B769" t="s">
        <v>5289</v>
      </c>
      <c r="C769" t="s">
        <v>5290</v>
      </c>
      <c r="D769" t="s">
        <v>5291</v>
      </c>
      <c r="E769" t="s">
        <v>5292</v>
      </c>
      <c r="F769" t="s">
        <v>623</v>
      </c>
      <c r="G769" t="s">
        <v>582</v>
      </c>
      <c r="H769" t="s">
        <v>3942</v>
      </c>
      <c r="J769" t="s">
        <v>518</v>
      </c>
      <c r="K769" t="s">
        <v>519</v>
      </c>
      <c r="M769" t="s">
        <v>520</v>
      </c>
      <c r="N769" t="s">
        <v>521</v>
      </c>
      <c r="O769" t="s">
        <v>583</v>
      </c>
      <c r="P769" t="s">
        <v>584</v>
      </c>
      <c r="Q769" t="s">
        <v>524</v>
      </c>
      <c r="R769" t="s">
        <v>525</v>
      </c>
      <c r="S769" t="s">
        <v>585</v>
      </c>
      <c r="T769" t="s">
        <v>527</v>
      </c>
      <c r="U769">
        <v>107401</v>
      </c>
      <c r="V769" t="s">
        <v>5293</v>
      </c>
      <c r="W769" t="s">
        <v>587</v>
      </c>
      <c r="X769" t="s">
        <v>5294</v>
      </c>
      <c r="Y769" t="s">
        <v>5295</v>
      </c>
      <c r="Z769" t="s">
        <v>582</v>
      </c>
      <c r="AA769" t="s">
        <v>5296</v>
      </c>
      <c r="AB769" t="s">
        <v>5297</v>
      </c>
      <c r="AC769">
        <v>99183</v>
      </c>
      <c r="AD769" t="s">
        <v>619</v>
      </c>
      <c r="AE769">
        <v>-35.740639510000001</v>
      </c>
      <c r="AF769">
        <v>174.30296071999999</v>
      </c>
      <c r="AG769">
        <v>50</v>
      </c>
      <c r="AH769">
        <v>35</v>
      </c>
      <c r="AI769">
        <v>2</v>
      </c>
      <c r="AJ769">
        <v>5</v>
      </c>
      <c r="AK769">
        <v>6</v>
      </c>
      <c r="AL769">
        <v>11</v>
      </c>
      <c r="AM769">
        <v>6</v>
      </c>
      <c r="AN769">
        <v>0</v>
      </c>
      <c r="AO769">
        <v>30</v>
      </c>
      <c r="AP769">
        <v>12</v>
      </c>
      <c r="AQ769">
        <v>24</v>
      </c>
      <c r="AR769">
        <v>5</v>
      </c>
      <c r="AS769">
        <v>1</v>
      </c>
      <c r="AT769">
        <v>0</v>
      </c>
    </row>
    <row r="770" spans="1:46">
      <c r="A770">
        <v>10405</v>
      </c>
      <c r="B770" t="s">
        <v>5298</v>
      </c>
      <c r="C770" t="s">
        <v>5299</v>
      </c>
      <c r="D770" t="s">
        <v>5182</v>
      </c>
      <c r="E770" t="s">
        <v>5300</v>
      </c>
      <c r="G770" t="s">
        <v>1899</v>
      </c>
      <c r="H770" t="s">
        <v>298</v>
      </c>
      <c r="J770" t="s">
        <v>518</v>
      </c>
      <c r="K770" t="s">
        <v>519</v>
      </c>
      <c r="M770" t="s">
        <v>520</v>
      </c>
      <c r="N770" t="s">
        <v>571</v>
      </c>
      <c r="O770" t="s">
        <v>583</v>
      </c>
      <c r="P770" t="s">
        <v>572</v>
      </c>
      <c r="Q770" t="s">
        <v>524</v>
      </c>
      <c r="R770" t="s">
        <v>525</v>
      </c>
      <c r="S770" t="s">
        <v>526</v>
      </c>
      <c r="T770" t="s">
        <v>527</v>
      </c>
      <c r="U770">
        <v>104800</v>
      </c>
      <c r="V770" t="s">
        <v>5301</v>
      </c>
      <c r="W770" t="s">
        <v>5302</v>
      </c>
      <c r="X770" t="s">
        <v>5186</v>
      </c>
      <c r="Y770" t="s">
        <v>5187</v>
      </c>
      <c r="AA770" t="s">
        <v>5188</v>
      </c>
      <c r="AB770" t="s">
        <v>5181</v>
      </c>
      <c r="AE770">
        <v>-35.732531209999998</v>
      </c>
      <c r="AF770">
        <v>174.05815293000001</v>
      </c>
      <c r="AG770">
        <v>30</v>
      </c>
      <c r="AH770">
        <v>12</v>
      </c>
      <c r="AI770">
        <v>2</v>
      </c>
      <c r="AJ770">
        <v>4</v>
      </c>
      <c r="AK770">
        <v>4</v>
      </c>
      <c r="AL770">
        <v>4</v>
      </c>
      <c r="AM770">
        <v>6</v>
      </c>
      <c r="AN770">
        <v>0</v>
      </c>
      <c r="AO770">
        <v>20</v>
      </c>
      <c r="AP770">
        <v>20</v>
      </c>
      <c r="AQ770">
        <v>3</v>
      </c>
      <c r="AR770">
        <v>0</v>
      </c>
      <c r="AS770">
        <v>0</v>
      </c>
      <c r="AT770">
        <v>0</v>
      </c>
    </row>
    <row r="771" spans="1:46">
      <c r="A771">
        <v>10406</v>
      </c>
      <c r="B771" t="s">
        <v>5303</v>
      </c>
      <c r="C771" t="s">
        <v>5304</v>
      </c>
      <c r="E771" t="s">
        <v>4852</v>
      </c>
      <c r="G771" t="s">
        <v>3673</v>
      </c>
      <c r="H771" t="s">
        <v>3942</v>
      </c>
      <c r="J771" t="s">
        <v>3962</v>
      </c>
      <c r="K771" t="s">
        <v>519</v>
      </c>
      <c r="M771" t="s">
        <v>520</v>
      </c>
      <c r="N771" t="s">
        <v>4519</v>
      </c>
      <c r="O771" t="s">
        <v>522</v>
      </c>
      <c r="P771" t="s">
        <v>523</v>
      </c>
      <c r="Q771" t="s">
        <v>524</v>
      </c>
      <c r="R771" t="s">
        <v>525</v>
      </c>
      <c r="S771" t="s">
        <v>526</v>
      </c>
      <c r="T771" t="s">
        <v>527</v>
      </c>
      <c r="U771">
        <v>102801</v>
      </c>
      <c r="V771" t="s">
        <v>4853</v>
      </c>
      <c r="W771" t="s">
        <v>558</v>
      </c>
      <c r="X771" t="s">
        <v>4854</v>
      </c>
      <c r="Y771" t="s">
        <v>4855</v>
      </c>
      <c r="AA771" t="s">
        <v>4856</v>
      </c>
      <c r="AB771" t="s">
        <v>4851</v>
      </c>
      <c r="AE771">
        <v>-35.207914440000003</v>
      </c>
      <c r="AF771">
        <v>173.94725672000001</v>
      </c>
      <c r="AG771">
        <v>30</v>
      </c>
      <c r="AH771">
        <v>25</v>
      </c>
      <c r="AI771">
        <v>2</v>
      </c>
      <c r="AJ771">
        <v>10</v>
      </c>
      <c r="AK771">
        <v>14</v>
      </c>
      <c r="AL771">
        <v>7</v>
      </c>
      <c r="AM771">
        <v>0</v>
      </c>
      <c r="AN771">
        <v>0</v>
      </c>
      <c r="AO771">
        <v>33</v>
      </c>
      <c r="AP771">
        <v>30</v>
      </c>
      <c r="AQ771">
        <v>14</v>
      </c>
      <c r="AR771">
        <v>0</v>
      </c>
      <c r="AS771">
        <v>0</v>
      </c>
      <c r="AT771">
        <v>2</v>
      </c>
    </row>
    <row r="772" spans="1:46">
      <c r="A772">
        <v>10407</v>
      </c>
      <c r="B772" t="s">
        <v>5305</v>
      </c>
      <c r="C772" t="s">
        <v>5306</v>
      </c>
      <c r="D772" t="s">
        <v>5307</v>
      </c>
      <c r="E772" t="s">
        <v>5308</v>
      </c>
      <c r="G772" t="s">
        <v>5309</v>
      </c>
      <c r="H772" t="s">
        <v>3942</v>
      </c>
      <c r="J772" t="s">
        <v>3962</v>
      </c>
      <c r="K772" t="s">
        <v>519</v>
      </c>
      <c r="M772" t="s">
        <v>520</v>
      </c>
      <c r="N772" t="s">
        <v>571</v>
      </c>
      <c r="O772" t="s">
        <v>564</v>
      </c>
      <c r="P772" t="s">
        <v>523</v>
      </c>
      <c r="Q772" t="s">
        <v>524</v>
      </c>
      <c r="R772" t="s">
        <v>525</v>
      </c>
      <c r="S772" t="s">
        <v>526</v>
      </c>
      <c r="T772" t="s">
        <v>527</v>
      </c>
      <c r="U772">
        <v>110100</v>
      </c>
      <c r="V772" t="s">
        <v>5309</v>
      </c>
      <c r="W772" t="s">
        <v>5310</v>
      </c>
      <c r="X772" t="s">
        <v>5311</v>
      </c>
      <c r="Y772" t="s">
        <v>5312</v>
      </c>
      <c r="Z772" t="s">
        <v>5313</v>
      </c>
      <c r="AA772" t="s">
        <v>5314</v>
      </c>
      <c r="AB772" t="s">
        <v>5306</v>
      </c>
      <c r="AC772">
        <v>99118</v>
      </c>
      <c r="AD772" t="s">
        <v>5315</v>
      </c>
      <c r="AE772">
        <v>-36.123714100000001</v>
      </c>
      <c r="AF772">
        <v>174.57375350000001</v>
      </c>
      <c r="AG772">
        <v>50</v>
      </c>
      <c r="AH772">
        <v>15</v>
      </c>
      <c r="AI772">
        <v>8</v>
      </c>
      <c r="AJ772">
        <v>11</v>
      </c>
      <c r="AK772">
        <v>20</v>
      </c>
      <c r="AL772">
        <v>12</v>
      </c>
      <c r="AM772">
        <v>11</v>
      </c>
      <c r="AN772">
        <v>3</v>
      </c>
      <c r="AO772">
        <v>65</v>
      </c>
      <c r="AP772">
        <v>45</v>
      </c>
      <c r="AQ772">
        <v>20</v>
      </c>
      <c r="AR772">
        <v>4</v>
      </c>
      <c r="AS772">
        <v>3</v>
      </c>
      <c r="AT772">
        <v>17</v>
      </c>
    </row>
    <row r="773" spans="1:46">
      <c r="A773">
        <v>10408</v>
      </c>
      <c r="B773" t="s">
        <v>5316</v>
      </c>
      <c r="C773" t="s">
        <v>5317</v>
      </c>
      <c r="D773" t="s">
        <v>5318</v>
      </c>
      <c r="E773" t="s">
        <v>5319</v>
      </c>
      <c r="F773" t="s">
        <v>532</v>
      </c>
      <c r="G773" t="s">
        <v>582</v>
      </c>
      <c r="H773" t="s">
        <v>3942</v>
      </c>
      <c r="J773" t="s">
        <v>518</v>
      </c>
      <c r="K773" t="s">
        <v>519</v>
      </c>
      <c r="M773" t="s">
        <v>520</v>
      </c>
      <c r="N773" t="s">
        <v>571</v>
      </c>
      <c r="O773" t="s">
        <v>583</v>
      </c>
      <c r="P773" t="s">
        <v>584</v>
      </c>
      <c r="Q773" t="s">
        <v>524</v>
      </c>
      <c r="R773" t="s">
        <v>525</v>
      </c>
      <c r="S773" t="s">
        <v>585</v>
      </c>
      <c r="T773" t="s">
        <v>527</v>
      </c>
      <c r="U773">
        <v>105500</v>
      </c>
      <c r="V773" t="s">
        <v>4241</v>
      </c>
      <c r="W773" t="s">
        <v>587</v>
      </c>
      <c r="X773" t="s">
        <v>4436</v>
      </c>
      <c r="Y773" t="s">
        <v>3944</v>
      </c>
      <c r="Z773" t="s">
        <v>3945</v>
      </c>
      <c r="AA773" t="s">
        <v>3946</v>
      </c>
      <c r="AC773">
        <v>99182</v>
      </c>
      <c r="AD773" t="s">
        <v>588</v>
      </c>
      <c r="AE773">
        <v>-35.681757439999998</v>
      </c>
      <c r="AF773">
        <v>174.29928287000001</v>
      </c>
      <c r="AG773">
        <v>40</v>
      </c>
      <c r="AH773">
        <v>20</v>
      </c>
      <c r="AI773">
        <v>4</v>
      </c>
      <c r="AJ773">
        <v>10</v>
      </c>
      <c r="AK773">
        <v>12</v>
      </c>
      <c r="AL773">
        <v>5</v>
      </c>
      <c r="AM773">
        <v>12</v>
      </c>
      <c r="AN773">
        <v>0</v>
      </c>
      <c r="AO773">
        <v>43</v>
      </c>
      <c r="AP773">
        <v>26</v>
      </c>
      <c r="AQ773">
        <v>12</v>
      </c>
      <c r="AR773">
        <v>1</v>
      </c>
      <c r="AS773">
        <v>9</v>
      </c>
      <c r="AT773">
        <v>5</v>
      </c>
    </row>
    <row r="774" spans="1:46">
      <c r="A774">
        <v>10409</v>
      </c>
      <c r="B774" t="s">
        <v>5320</v>
      </c>
      <c r="C774" t="s">
        <v>5321</v>
      </c>
      <c r="D774" t="s">
        <v>5322</v>
      </c>
      <c r="E774" t="s">
        <v>5323</v>
      </c>
      <c r="G774" t="s">
        <v>3673</v>
      </c>
      <c r="H774" t="s">
        <v>3942</v>
      </c>
      <c r="J774" t="s">
        <v>3962</v>
      </c>
      <c r="K774" t="s">
        <v>519</v>
      </c>
      <c r="M774" t="s">
        <v>520</v>
      </c>
      <c r="N774" t="s">
        <v>571</v>
      </c>
      <c r="O774" t="s">
        <v>522</v>
      </c>
      <c r="P774" t="s">
        <v>572</v>
      </c>
      <c r="Q774" t="s">
        <v>524</v>
      </c>
      <c r="R774" t="s">
        <v>525</v>
      </c>
      <c r="S774" t="s">
        <v>526</v>
      </c>
      <c r="T774" t="s">
        <v>527</v>
      </c>
      <c r="U774">
        <v>102600</v>
      </c>
      <c r="V774" t="s">
        <v>5324</v>
      </c>
      <c r="W774" t="s">
        <v>558</v>
      </c>
      <c r="X774" t="s">
        <v>5325</v>
      </c>
      <c r="Y774" t="s">
        <v>5326</v>
      </c>
      <c r="AA774" t="s">
        <v>4856</v>
      </c>
      <c r="AB774" t="s">
        <v>5327</v>
      </c>
      <c r="AE774">
        <v>-35.241658970000003</v>
      </c>
      <c r="AF774">
        <v>173.91576966</v>
      </c>
      <c r="AG774">
        <v>50</v>
      </c>
      <c r="AH774">
        <v>15</v>
      </c>
      <c r="AI774">
        <v>0</v>
      </c>
      <c r="AJ774">
        <v>3</v>
      </c>
      <c r="AK774">
        <v>8</v>
      </c>
      <c r="AL774">
        <v>11</v>
      </c>
      <c r="AM774">
        <v>23</v>
      </c>
      <c r="AN774">
        <v>0</v>
      </c>
      <c r="AO774">
        <v>45</v>
      </c>
      <c r="AP774">
        <v>41</v>
      </c>
      <c r="AQ774">
        <v>9</v>
      </c>
      <c r="AR774">
        <v>0</v>
      </c>
      <c r="AS774">
        <v>4</v>
      </c>
      <c r="AT774">
        <v>1</v>
      </c>
    </row>
    <row r="775" spans="1:46">
      <c r="A775">
        <v>10410</v>
      </c>
      <c r="B775" t="s">
        <v>5328</v>
      </c>
      <c r="C775" t="s">
        <v>5329</v>
      </c>
      <c r="D775" t="s">
        <v>5330</v>
      </c>
      <c r="E775" t="s">
        <v>5331</v>
      </c>
      <c r="F775" t="s">
        <v>4405</v>
      </c>
      <c r="G775" t="s">
        <v>582</v>
      </c>
      <c r="H775" t="s">
        <v>3942</v>
      </c>
      <c r="J775" t="s">
        <v>3962</v>
      </c>
      <c r="K775" t="s">
        <v>519</v>
      </c>
      <c r="M775" t="s">
        <v>520</v>
      </c>
      <c r="N775" t="s">
        <v>571</v>
      </c>
      <c r="O775" t="s">
        <v>583</v>
      </c>
      <c r="P775" t="s">
        <v>584</v>
      </c>
      <c r="Q775" t="s">
        <v>524</v>
      </c>
      <c r="R775" t="s">
        <v>525</v>
      </c>
      <c r="S775" t="s">
        <v>585</v>
      </c>
      <c r="T775" t="s">
        <v>527</v>
      </c>
      <c r="U775">
        <v>107100</v>
      </c>
      <c r="V775" t="s">
        <v>4402</v>
      </c>
      <c r="W775" t="s">
        <v>587</v>
      </c>
      <c r="X775" t="s">
        <v>4215</v>
      </c>
      <c r="Y775" t="s">
        <v>4216</v>
      </c>
      <c r="Z775" t="s">
        <v>532</v>
      </c>
      <c r="AA775" t="s">
        <v>533</v>
      </c>
      <c r="AB775" t="s">
        <v>4217</v>
      </c>
      <c r="AC775">
        <v>99181</v>
      </c>
      <c r="AD775" t="s">
        <v>594</v>
      </c>
      <c r="AE775">
        <v>-35.717808980000001</v>
      </c>
      <c r="AF775">
        <v>174.32170574</v>
      </c>
      <c r="AG775">
        <v>26</v>
      </c>
      <c r="AH775">
        <v>0</v>
      </c>
      <c r="AI775">
        <v>0</v>
      </c>
      <c r="AJ775">
        <v>0</v>
      </c>
      <c r="AK775">
        <v>1</v>
      </c>
      <c r="AL775">
        <v>7</v>
      </c>
      <c r="AM775">
        <v>8</v>
      </c>
      <c r="AN775">
        <v>0</v>
      </c>
      <c r="AO775">
        <v>16</v>
      </c>
      <c r="AP775">
        <v>14</v>
      </c>
      <c r="AQ775">
        <v>5</v>
      </c>
      <c r="AR775">
        <v>1</v>
      </c>
      <c r="AS775">
        <v>1</v>
      </c>
      <c r="AT775">
        <v>1</v>
      </c>
    </row>
    <row r="776" spans="1:46">
      <c r="A776">
        <v>10415</v>
      </c>
      <c r="B776" t="s">
        <v>5332</v>
      </c>
      <c r="C776" t="s">
        <v>5333</v>
      </c>
      <c r="D776" t="s">
        <v>5334</v>
      </c>
      <c r="E776" t="s">
        <v>5335</v>
      </c>
      <c r="G776" t="s">
        <v>5336</v>
      </c>
      <c r="H776" t="s">
        <v>3942</v>
      </c>
      <c r="J776" t="s">
        <v>3962</v>
      </c>
      <c r="K776" t="s">
        <v>519</v>
      </c>
      <c r="M776" t="s">
        <v>520</v>
      </c>
      <c r="N776" t="s">
        <v>571</v>
      </c>
      <c r="O776" t="s">
        <v>583</v>
      </c>
      <c r="P776" t="s">
        <v>572</v>
      </c>
      <c r="Q776" t="s">
        <v>524</v>
      </c>
      <c r="R776" t="s">
        <v>525</v>
      </c>
      <c r="S776" t="s">
        <v>585</v>
      </c>
      <c r="T776" t="s">
        <v>527</v>
      </c>
      <c r="U776">
        <v>106700</v>
      </c>
      <c r="V776" t="s">
        <v>5337</v>
      </c>
      <c r="W776" t="s">
        <v>4665</v>
      </c>
      <c r="X776" t="s">
        <v>5338</v>
      </c>
      <c r="Y776" t="s">
        <v>5339</v>
      </c>
      <c r="Z776" t="s">
        <v>582</v>
      </c>
      <c r="AA776" t="s">
        <v>4668</v>
      </c>
      <c r="AB776" t="s">
        <v>5333</v>
      </c>
      <c r="AE776">
        <v>-35.682784069999997</v>
      </c>
      <c r="AF776">
        <v>174.33802664000001</v>
      </c>
      <c r="AG776">
        <v>50</v>
      </c>
      <c r="AH776">
        <v>15</v>
      </c>
      <c r="AI776">
        <v>3</v>
      </c>
      <c r="AJ776">
        <v>5</v>
      </c>
      <c r="AK776">
        <v>15</v>
      </c>
      <c r="AL776">
        <v>9</v>
      </c>
      <c r="AM776">
        <v>10</v>
      </c>
      <c r="AN776">
        <v>0</v>
      </c>
      <c r="AO776">
        <v>42</v>
      </c>
      <c r="AP776">
        <v>32</v>
      </c>
      <c r="AQ776">
        <v>15</v>
      </c>
      <c r="AR776">
        <v>2</v>
      </c>
      <c r="AS776">
        <v>4</v>
      </c>
      <c r="AT776">
        <v>3</v>
      </c>
    </row>
    <row r="777" spans="1:46">
      <c r="A777">
        <v>10416</v>
      </c>
      <c r="B777" t="s">
        <v>5340</v>
      </c>
      <c r="C777" t="s">
        <v>5341</v>
      </c>
      <c r="D777" t="s">
        <v>5342</v>
      </c>
      <c r="E777" t="s">
        <v>5343</v>
      </c>
      <c r="F777" t="s">
        <v>532</v>
      </c>
      <c r="G777" t="s">
        <v>582</v>
      </c>
      <c r="H777" t="s">
        <v>3942</v>
      </c>
      <c r="J777" t="s">
        <v>3962</v>
      </c>
      <c r="K777" t="s">
        <v>519</v>
      </c>
      <c r="M777" t="s">
        <v>520</v>
      </c>
      <c r="N777" t="s">
        <v>571</v>
      </c>
      <c r="O777" t="s">
        <v>583</v>
      </c>
      <c r="P777" t="s">
        <v>584</v>
      </c>
      <c r="Q777" t="s">
        <v>524</v>
      </c>
      <c r="R777" t="s">
        <v>525</v>
      </c>
      <c r="S777" t="s">
        <v>585</v>
      </c>
      <c r="T777" t="s">
        <v>527</v>
      </c>
      <c r="U777">
        <v>105800</v>
      </c>
      <c r="V777" t="s">
        <v>5344</v>
      </c>
      <c r="W777" t="s">
        <v>587</v>
      </c>
      <c r="X777" t="s">
        <v>5345</v>
      </c>
      <c r="Y777" t="s">
        <v>5343</v>
      </c>
      <c r="Z777" t="s">
        <v>532</v>
      </c>
      <c r="AA777" t="s">
        <v>4529</v>
      </c>
      <c r="AB777" t="s">
        <v>5346</v>
      </c>
      <c r="AE777">
        <v>-35.679719550000002</v>
      </c>
      <c r="AF777">
        <v>174.30882249999999</v>
      </c>
      <c r="AG777">
        <v>40</v>
      </c>
      <c r="AH777">
        <v>10</v>
      </c>
      <c r="AI777">
        <v>3</v>
      </c>
      <c r="AJ777">
        <v>3</v>
      </c>
      <c r="AK777">
        <v>10</v>
      </c>
      <c r="AL777">
        <v>8</v>
      </c>
      <c r="AM777">
        <v>16</v>
      </c>
      <c r="AN777">
        <v>4</v>
      </c>
      <c r="AO777">
        <v>44</v>
      </c>
      <c r="AP777">
        <v>27</v>
      </c>
      <c r="AQ777">
        <v>21</v>
      </c>
      <c r="AR777">
        <v>5</v>
      </c>
      <c r="AS777">
        <v>9</v>
      </c>
      <c r="AT777">
        <v>0</v>
      </c>
    </row>
    <row r="778" spans="1:46">
      <c r="A778">
        <v>10424</v>
      </c>
      <c r="B778" t="s">
        <v>5347</v>
      </c>
      <c r="C778" t="s">
        <v>5348</v>
      </c>
      <c r="E778" t="s">
        <v>5349</v>
      </c>
      <c r="G778" t="s">
        <v>5350</v>
      </c>
      <c r="H778" t="s">
        <v>3942</v>
      </c>
      <c r="I778" t="s">
        <v>4951</v>
      </c>
      <c r="J778" t="s">
        <v>518</v>
      </c>
      <c r="K778" t="s">
        <v>519</v>
      </c>
      <c r="M778" t="s">
        <v>520</v>
      </c>
      <c r="N778" t="s">
        <v>539</v>
      </c>
      <c r="O778" t="s">
        <v>522</v>
      </c>
      <c r="P778" t="s">
        <v>523</v>
      </c>
      <c r="Q778" t="s">
        <v>524</v>
      </c>
      <c r="R778" t="s">
        <v>525</v>
      </c>
      <c r="S778" t="s">
        <v>526</v>
      </c>
      <c r="T778" t="s">
        <v>527</v>
      </c>
      <c r="U778">
        <v>104501</v>
      </c>
      <c r="V778" t="s">
        <v>5350</v>
      </c>
      <c r="W778" t="s">
        <v>558</v>
      </c>
      <c r="X778" t="s">
        <v>4953</v>
      </c>
      <c r="Y778" t="s">
        <v>4954</v>
      </c>
      <c r="Z778" t="s">
        <v>4955</v>
      </c>
      <c r="AA778" t="s">
        <v>4956</v>
      </c>
      <c r="AB778" t="s">
        <v>4957</v>
      </c>
      <c r="AE778">
        <v>-35.387633819999998</v>
      </c>
      <c r="AF778">
        <v>174.02082034</v>
      </c>
      <c r="AG778">
        <v>70</v>
      </c>
      <c r="AH778">
        <v>20</v>
      </c>
      <c r="AI778">
        <v>0</v>
      </c>
      <c r="AJ778">
        <v>0</v>
      </c>
      <c r="AK778">
        <v>5</v>
      </c>
      <c r="AL778">
        <v>9</v>
      </c>
      <c r="AM778">
        <v>17</v>
      </c>
      <c r="AN778">
        <v>2</v>
      </c>
      <c r="AO778">
        <v>33</v>
      </c>
      <c r="AP778">
        <v>12</v>
      </c>
      <c r="AQ778">
        <v>30</v>
      </c>
      <c r="AR778">
        <v>6</v>
      </c>
      <c r="AS778">
        <v>2</v>
      </c>
      <c r="AT778">
        <v>0</v>
      </c>
    </row>
    <row r="779" spans="1:46">
      <c r="A779">
        <v>10425</v>
      </c>
      <c r="B779" t="s">
        <v>5351</v>
      </c>
      <c r="C779" t="s">
        <v>5352</v>
      </c>
      <c r="D779" t="s">
        <v>5353</v>
      </c>
      <c r="E779" t="s">
        <v>5354</v>
      </c>
      <c r="G779" t="s">
        <v>5355</v>
      </c>
      <c r="H779" t="s">
        <v>3942</v>
      </c>
      <c r="J779" t="s">
        <v>3962</v>
      </c>
      <c r="K779" t="s">
        <v>519</v>
      </c>
      <c r="M779" t="s">
        <v>520</v>
      </c>
      <c r="N779" t="s">
        <v>571</v>
      </c>
      <c r="O779" t="s">
        <v>583</v>
      </c>
      <c r="P779" t="s">
        <v>523</v>
      </c>
      <c r="Q779" t="s">
        <v>524</v>
      </c>
      <c r="R779" t="s">
        <v>525</v>
      </c>
      <c r="S779" t="s">
        <v>585</v>
      </c>
      <c r="T779" t="s">
        <v>527</v>
      </c>
      <c r="U779">
        <v>109003</v>
      </c>
      <c r="V779" t="s">
        <v>5356</v>
      </c>
      <c r="W779" t="s">
        <v>618</v>
      </c>
      <c r="X779" t="s">
        <v>5357</v>
      </c>
      <c r="Y779" t="s">
        <v>5358</v>
      </c>
      <c r="AA779" t="s">
        <v>5359</v>
      </c>
      <c r="AB779" t="s">
        <v>5352</v>
      </c>
      <c r="AC779">
        <v>99184</v>
      </c>
      <c r="AD779" t="s">
        <v>3742</v>
      </c>
      <c r="AE779">
        <v>-35.982843879999997</v>
      </c>
      <c r="AF779">
        <v>174.43585164000001</v>
      </c>
      <c r="AG779">
        <v>50</v>
      </c>
      <c r="AH779">
        <v>10</v>
      </c>
      <c r="AI779">
        <v>1</v>
      </c>
      <c r="AJ779">
        <v>4</v>
      </c>
      <c r="AK779">
        <v>18</v>
      </c>
      <c r="AL779">
        <v>17</v>
      </c>
      <c r="AM779">
        <v>32</v>
      </c>
      <c r="AN779">
        <v>0</v>
      </c>
      <c r="AO779">
        <v>72</v>
      </c>
      <c r="AP779">
        <v>53</v>
      </c>
      <c r="AQ779">
        <v>23</v>
      </c>
      <c r="AR779">
        <v>4</v>
      </c>
      <c r="AS779">
        <v>4</v>
      </c>
      <c r="AT779">
        <v>8</v>
      </c>
    </row>
    <row r="780" spans="1:46">
      <c r="A780">
        <v>10426</v>
      </c>
      <c r="B780" t="s">
        <v>5360</v>
      </c>
      <c r="C780" t="s">
        <v>5361</v>
      </c>
      <c r="D780" t="s">
        <v>5362</v>
      </c>
      <c r="E780" t="s">
        <v>5363</v>
      </c>
      <c r="G780" t="s">
        <v>611</v>
      </c>
      <c r="H780" t="s">
        <v>3942</v>
      </c>
      <c r="J780" t="s">
        <v>3962</v>
      </c>
      <c r="K780" t="s">
        <v>519</v>
      </c>
      <c r="M780" t="s">
        <v>520</v>
      </c>
      <c r="N780" t="s">
        <v>557</v>
      </c>
      <c r="O780" t="s">
        <v>583</v>
      </c>
      <c r="P780" t="s">
        <v>523</v>
      </c>
      <c r="Q780" t="s">
        <v>524</v>
      </c>
      <c r="R780" t="s">
        <v>525</v>
      </c>
      <c r="S780" t="s">
        <v>585</v>
      </c>
      <c r="T780" t="s">
        <v>527</v>
      </c>
      <c r="U780">
        <v>105200</v>
      </c>
      <c r="V780" t="s">
        <v>611</v>
      </c>
      <c r="W780" t="s">
        <v>612</v>
      </c>
      <c r="X780" t="s">
        <v>4403</v>
      </c>
      <c r="Y780" t="s">
        <v>4404</v>
      </c>
      <c r="Z780" t="s">
        <v>4405</v>
      </c>
      <c r="AA780" t="s">
        <v>4529</v>
      </c>
      <c r="AB780" t="s">
        <v>4407</v>
      </c>
      <c r="AC780">
        <v>99182</v>
      </c>
      <c r="AD780" t="s">
        <v>588</v>
      </c>
      <c r="AE780">
        <v>-35.600758120000002</v>
      </c>
      <c r="AF780">
        <v>174.28519462</v>
      </c>
      <c r="AG780">
        <v>35</v>
      </c>
      <c r="AH780">
        <v>10</v>
      </c>
      <c r="AI780">
        <v>2</v>
      </c>
      <c r="AJ780">
        <v>7</v>
      </c>
      <c r="AK780">
        <v>5</v>
      </c>
      <c r="AL780">
        <v>13</v>
      </c>
      <c r="AM780">
        <v>12</v>
      </c>
      <c r="AN780">
        <v>0</v>
      </c>
      <c r="AO780">
        <v>39</v>
      </c>
      <c r="AP780">
        <v>28</v>
      </c>
      <c r="AQ780">
        <v>24</v>
      </c>
      <c r="AR780">
        <v>2</v>
      </c>
      <c r="AS780">
        <v>1</v>
      </c>
      <c r="AT780">
        <v>4</v>
      </c>
    </row>
    <row r="781" spans="1:46">
      <c r="A781">
        <v>10427</v>
      </c>
      <c r="B781" t="s">
        <v>5364</v>
      </c>
      <c r="C781" t="s">
        <v>5365</v>
      </c>
      <c r="D781" t="s">
        <v>5366</v>
      </c>
      <c r="E781" t="s">
        <v>5367</v>
      </c>
      <c r="F781" t="s">
        <v>4950</v>
      </c>
      <c r="G781" t="s">
        <v>582</v>
      </c>
      <c r="H781" t="s">
        <v>3942</v>
      </c>
      <c r="J781" t="s">
        <v>3962</v>
      </c>
      <c r="K781" t="s">
        <v>519</v>
      </c>
      <c r="M781" t="s">
        <v>520</v>
      </c>
      <c r="N781" t="s">
        <v>557</v>
      </c>
      <c r="O781" t="s">
        <v>583</v>
      </c>
      <c r="P781" t="s">
        <v>584</v>
      </c>
      <c r="Q781" t="s">
        <v>524</v>
      </c>
      <c r="R781" t="s">
        <v>525</v>
      </c>
      <c r="S781" t="s">
        <v>585</v>
      </c>
      <c r="T781" t="s">
        <v>527</v>
      </c>
      <c r="U781">
        <v>106600</v>
      </c>
      <c r="V781" t="s">
        <v>5034</v>
      </c>
      <c r="W781" t="s">
        <v>587</v>
      </c>
      <c r="X781" t="s">
        <v>5368</v>
      </c>
      <c r="Y781" t="s">
        <v>5369</v>
      </c>
      <c r="AA781" t="s">
        <v>5370</v>
      </c>
      <c r="AE781">
        <v>-35.70997594</v>
      </c>
      <c r="AF781">
        <v>174.31606252</v>
      </c>
      <c r="AG781">
        <v>59</v>
      </c>
      <c r="AH781">
        <v>15</v>
      </c>
      <c r="AI781">
        <v>2</v>
      </c>
      <c r="AJ781">
        <v>8</v>
      </c>
      <c r="AK781">
        <v>12</v>
      </c>
      <c r="AL781">
        <v>23</v>
      </c>
      <c r="AM781">
        <v>16</v>
      </c>
      <c r="AN781">
        <v>0</v>
      </c>
      <c r="AO781">
        <v>61</v>
      </c>
      <c r="AP781">
        <v>36</v>
      </c>
      <c r="AQ781">
        <v>18</v>
      </c>
      <c r="AR781">
        <v>4</v>
      </c>
      <c r="AS781">
        <v>22</v>
      </c>
      <c r="AT781">
        <v>3</v>
      </c>
    </row>
    <row r="782" spans="1:46">
      <c r="A782">
        <v>10432</v>
      </c>
      <c r="B782" t="s">
        <v>5371</v>
      </c>
      <c r="C782" t="s">
        <v>5372</v>
      </c>
      <c r="D782" t="s">
        <v>5373</v>
      </c>
      <c r="E782" t="s">
        <v>5374</v>
      </c>
      <c r="G782" t="s">
        <v>582</v>
      </c>
      <c r="H782" t="s">
        <v>3942</v>
      </c>
      <c r="J782" t="s">
        <v>3962</v>
      </c>
      <c r="K782" t="s">
        <v>519</v>
      </c>
      <c r="M782" t="s">
        <v>520</v>
      </c>
      <c r="N782" t="s">
        <v>539</v>
      </c>
      <c r="O782" t="s">
        <v>583</v>
      </c>
      <c r="P782" t="s">
        <v>584</v>
      </c>
      <c r="Q782" t="s">
        <v>524</v>
      </c>
      <c r="R782" t="s">
        <v>525</v>
      </c>
      <c r="S782" t="s">
        <v>585</v>
      </c>
      <c r="T782" t="s">
        <v>527</v>
      </c>
      <c r="U782">
        <v>107100</v>
      </c>
      <c r="V782" t="s">
        <v>4402</v>
      </c>
      <c r="W782" t="s">
        <v>587</v>
      </c>
      <c r="X782" t="s">
        <v>5375</v>
      </c>
      <c r="Y782" t="s">
        <v>5376</v>
      </c>
      <c r="Z782" t="s">
        <v>4405</v>
      </c>
      <c r="AA782" t="s">
        <v>5377</v>
      </c>
      <c r="AB782" t="s">
        <v>5372</v>
      </c>
      <c r="AC782">
        <v>99181</v>
      </c>
      <c r="AD782" t="s">
        <v>594</v>
      </c>
      <c r="AE782">
        <v>-35.718979019999999</v>
      </c>
      <c r="AF782">
        <v>174.32179060999999</v>
      </c>
      <c r="AG782">
        <v>30</v>
      </c>
      <c r="AH782">
        <v>0</v>
      </c>
      <c r="AI782">
        <v>0</v>
      </c>
      <c r="AJ782">
        <v>0</v>
      </c>
      <c r="AK782">
        <v>9</v>
      </c>
      <c r="AL782">
        <v>3</v>
      </c>
      <c r="AM782">
        <v>15</v>
      </c>
      <c r="AN782">
        <v>1</v>
      </c>
      <c r="AO782">
        <v>28</v>
      </c>
      <c r="AP782">
        <v>9</v>
      </c>
      <c r="AQ782">
        <v>19</v>
      </c>
      <c r="AR782">
        <v>3</v>
      </c>
      <c r="AS782">
        <v>8</v>
      </c>
      <c r="AT782">
        <v>0</v>
      </c>
    </row>
    <row r="783" spans="1:46">
      <c r="A783">
        <v>11004</v>
      </c>
      <c r="B783" t="s">
        <v>5378</v>
      </c>
      <c r="C783" t="s">
        <v>5379</v>
      </c>
      <c r="D783" t="s">
        <v>5380</v>
      </c>
      <c r="E783" t="s">
        <v>5381</v>
      </c>
      <c r="G783" t="s">
        <v>516</v>
      </c>
      <c r="H783" t="s">
        <v>3942</v>
      </c>
      <c r="I783" t="s">
        <v>3953</v>
      </c>
      <c r="J783" t="s">
        <v>518</v>
      </c>
      <c r="K783" t="s">
        <v>519</v>
      </c>
      <c r="M783" t="s">
        <v>520</v>
      </c>
      <c r="N783" t="s">
        <v>727</v>
      </c>
      <c r="O783" t="s">
        <v>522</v>
      </c>
      <c r="P783" t="s">
        <v>523</v>
      </c>
      <c r="Q783" t="s">
        <v>524</v>
      </c>
      <c r="R783" t="s">
        <v>525</v>
      </c>
      <c r="S783" t="s">
        <v>526</v>
      </c>
      <c r="T783" t="s">
        <v>527</v>
      </c>
      <c r="U783">
        <v>100800</v>
      </c>
      <c r="V783" t="s">
        <v>528</v>
      </c>
      <c r="W783" t="s">
        <v>529</v>
      </c>
      <c r="X783" t="s">
        <v>5382</v>
      </c>
      <c r="Y783" t="s">
        <v>5381</v>
      </c>
      <c r="AA783" t="s">
        <v>5383</v>
      </c>
      <c r="AB783" t="s">
        <v>5379</v>
      </c>
      <c r="AE783">
        <v>-35.107244100000003</v>
      </c>
      <c r="AF783">
        <v>173.25826180000001</v>
      </c>
      <c r="AG783">
        <v>90</v>
      </c>
      <c r="AH783">
        <v>20</v>
      </c>
      <c r="AI783">
        <v>1</v>
      </c>
      <c r="AJ783">
        <v>13</v>
      </c>
      <c r="AK783">
        <v>15</v>
      </c>
      <c r="AL783">
        <v>19</v>
      </c>
      <c r="AM783">
        <v>24</v>
      </c>
      <c r="AN783">
        <v>2</v>
      </c>
      <c r="AO783">
        <v>74</v>
      </c>
      <c r="AP783">
        <v>40</v>
      </c>
      <c r="AQ783">
        <v>47</v>
      </c>
      <c r="AR783">
        <v>7</v>
      </c>
      <c r="AS783">
        <v>8</v>
      </c>
      <c r="AT783">
        <v>0</v>
      </c>
    </row>
    <row r="784" spans="1:46">
      <c r="A784">
        <v>11207</v>
      </c>
      <c r="B784" t="s">
        <v>5384</v>
      </c>
      <c r="C784" t="s">
        <v>5385</v>
      </c>
      <c r="D784" t="s">
        <v>5386</v>
      </c>
      <c r="E784" t="s">
        <v>5387</v>
      </c>
      <c r="G784" t="s">
        <v>3673</v>
      </c>
      <c r="H784" t="s">
        <v>3942</v>
      </c>
      <c r="J784" t="s">
        <v>518</v>
      </c>
      <c r="K784" t="s">
        <v>519</v>
      </c>
      <c r="M784" t="s">
        <v>520</v>
      </c>
      <c r="N784" t="s">
        <v>571</v>
      </c>
      <c r="O784" t="s">
        <v>522</v>
      </c>
      <c r="P784" t="s">
        <v>523</v>
      </c>
      <c r="Q784" t="s">
        <v>524</v>
      </c>
      <c r="R784" t="s">
        <v>525</v>
      </c>
      <c r="S784" t="s">
        <v>526</v>
      </c>
      <c r="T784" t="s">
        <v>527</v>
      </c>
      <c r="U784">
        <v>103000</v>
      </c>
      <c r="V784" t="s">
        <v>3674</v>
      </c>
      <c r="W784" t="s">
        <v>558</v>
      </c>
      <c r="X784" t="s">
        <v>5388</v>
      </c>
      <c r="Y784" t="s">
        <v>5389</v>
      </c>
      <c r="AA784" t="s">
        <v>5390</v>
      </c>
      <c r="AB784" t="s">
        <v>5391</v>
      </c>
      <c r="AE784">
        <v>-35.233853830000001</v>
      </c>
      <c r="AF784">
        <v>173.951345</v>
      </c>
      <c r="AG784">
        <v>50</v>
      </c>
      <c r="AH784">
        <v>12</v>
      </c>
      <c r="AI784">
        <v>1</v>
      </c>
      <c r="AJ784">
        <v>11</v>
      </c>
      <c r="AK784">
        <v>8</v>
      </c>
      <c r="AL784">
        <v>12</v>
      </c>
      <c r="AM784">
        <v>15</v>
      </c>
      <c r="AN784">
        <v>2</v>
      </c>
      <c r="AO784">
        <v>49</v>
      </c>
      <c r="AP784">
        <v>41</v>
      </c>
      <c r="AQ784">
        <v>23</v>
      </c>
      <c r="AR784">
        <v>2</v>
      </c>
      <c r="AS784">
        <v>3</v>
      </c>
      <c r="AT784">
        <v>2</v>
      </c>
    </row>
    <row r="785" spans="1:46">
      <c r="A785">
        <v>11402</v>
      </c>
      <c r="B785" t="s">
        <v>5392</v>
      </c>
      <c r="C785" t="s">
        <v>5393</v>
      </c>
      <c r="D785" t="s">
        <v>5394</v>
      </c>
      <c r="E785" t="s">
        <v>5395</v>
      </c>
      <c r="G785" t="s">
        <v>563</v>
      </c>
      <c r="H785" t="s">
        <v>3942</v>
      </c>
      <c r="J785" t="s">
        <v>518</v>
      </c>
      <c r="K785" t="s">
        <v>519</v>
      </c>
      <c r="M785" t="s">
        <v>520</v>
      </c>
      <c r="N785" t="s">
        <v>557</v>
      </c>
      <c r="O785" t="s">
        <v>564</v>
      </c>
      <c r="P785" t="s">
        <v>523</v>
      </c>
      <c r="Q785" t="s">
        <v>524</v>
      </c>
      <c r="R785" t="s">
        <v>525</v>
      </c>
      <c r="S785" t="s">
        <v>526</v>
      </c>
      <c r="T785" t="s">
        <v>527</v>
      </c>
      <c r="U785">
        <v>109301</v>
      </c>
      <c r="V785" t="s">
        <v>563</v>
      </c>
      <c r="W785" t="s">
        <v>565</v>
      </c>
      <c r="X785" t="s">
        <v>5396</v>
      </c>
      <c r="Y785" t="s">
        <v>5395</v>
      </c>
      <c r="Z785" t="s">
        <v>563</v>
      </c>
      <c r="AA785" t="s">
        <v>5397</v>
      </c>
      <c r="AB785" t="s">
        <v>5398</v>
      </c>
      <c r="AE785">
        <v>-35.937639740000002</v>
      </c>
      <c r="AF785">
        <v>173.86760290000001</v>
      </c>
      <c r="AG785">
        <v>50</v>
      </c>
      <c r="AH785">
        <v>20</v>
      </c>
      <c r="AI785">
        <v>0</v>
      </c>
      <c r="AJ785">
        <v>6</v>
      </c>
      <c r="AK785">
        <v>12</v>
      </c>
      <c r="AL785">
        <v>19</v>
      </c>
      <c r="AM785">
        <v>10</v>
      </c>
      <c r="AN785">
        <v>0</v>
      </c>
      <c r="AO785">
        <v>47</v>
      </c>
      <c r="AP785">
        <v>28</v>
      </c>
      <c r="AQ785">
        <v>32</v>
      </c>
      <c r="AR785">
        <v>13</v>
      </c>
      <c r="AS785">
        <v>1</v>
      </c>
      <c r="AT785">
        <v>3</v>
      </c>
    </row>
    <row r="786" spans="1:46">
      <c r="A786">
        <v>11503</v>
      </c>
      <c r="B786" t="s">
        <v>5399</v>
      </c>
      <c r="C786" t="s">
        <v>5400</v>
      </c>
      <c r="D786" t="s">
        <v>5401</v>
      </c>
      <c r="E786" t="s">
        <v>5402</v>
      </c>
      <c r="G786" t="s">
        <v>582</v>
      </c>
      <c r="H786" t="s">
        <v>3942</v>
      </c>
      <c r="J786" t="s">
        <v>518</v>
      </c>
      <c r="K786" t="s">
        <v>519</v>
      </c>
      <c r="M786" t="s">
        <v>520</v>
      </c>
      <c r="N786" t="s">
        <v>571</v>
      </c>
      <c r="O786" t="s">
        <v>583</v>
      </c>
      <c r="P786" t="s">
        <v>584</v>
      </c>
      <c r="Q786" t="s">
        <v>524</v>
      </c>
      <c r="R786" t="s">
        <v>525</v>
      </c>
      <c r="S786" t="s">
        <v>585</v>
      </c>
      <c r="T786" t="s">
        <v>527</v>
      </c>
      <c r="U786">
        <v>107200</v>
      </c>
      <c r="V786" t="s">
        <v>628</v>
      </c>
      <c r="W786" t="s">
        <v>587</v>
      </c>
      <c r="X786" t="s">
        <v>5403</v>
      </c>
      <c r="Y786" t="s">
        <v>5402</v>
      </c>
      <c r="AA786" t="s">
        <v>4529</v>
      </c>
      <c r="AC786">
        <v>99181</v>
      </c>
      <c r="AD786" t="s">
        <v>594</v>
      </c>
      <c r="AE786">
        <v>-35.727943140000001</v>
      </c>
      <c r="AF786">
        <v>174.33498899</v>
      </c>
      <c r="AG786">
        <v>35</v>
      </c>
      <c r="AH786">
        <v>10</v>
      </c>
      <c r="AI786">
        <v>0</v>
      </c>
      <c r="AJ786">
        <v>7</v>
      </c>
      <c r="AK786">
        <v>14</v>
      </c>
      <c r="AL786">
        <v>9</v>
      </c>
      <c r="AM786">
        <v>6</v>
      </c>
      <c r="AN786">
        <v>0</v>
      </c>
      <c r="AO786">
        <v>36</v>
      </c>
      <c r="AP786">
        <v>25</v>
      </c>
      <c r="AQ786">
        <v>20</v>
      </c>
      <c r="AR786">
        <v>7</v>
      </c>
      <c r="AS786">
        <v>0</v>
      </c>
      <c r="AT786">
        <v>0</v>
      </c>
    </row>
    <row r="787" spans="1:46">
      <c r="A787">
        <v>11511</v>
      </c>
      <c r="B787" t="s">
        <v>5404</v>
      </c>
      <c r="C787" t="s">
        <v>5405</v>
      </c>
      <c r="D787" t="s">
        <v>5406</v>
      </c>
      <c r="E787" t="s">
        <v>5407</v>
      </c>
      <c r="F787" t="s">
        <v>592</v>
      </c>
      <c r="G787" t="s">
        <v>582</v>
      </c>
      <c r="H787" t="s">
        <v>3942</v>
      </c>
      <c r="J787" t="s">
        <v>518</v>
      </c>
      <c r="K787" t="s">
        <v>519</v>
      </c>
      <c r="M787" t="s">
        <v>520</v>
      </c>
      <c r="N787" t="s">
        <v>571</v>
      </c>
      <c r="O787" t="s">
        <v>583</v>
      </c>
      <c r="P787" t="s">
        <v>584</v>
      </c>
      <c r="Q787" t="s">
        <v>524</v>
      </c>
      <c r="R787" t="s">
        <v>525</v>
      </c>
      <c r="S787" t="s">
        <v>585</v>
      </c>
      <c r="T787" t="s">
        <v>527</v>
      </c>
      <c r="U787">
        <v>107000</v>
      </c>
      <c r="V787" t="s">
        <v>593</v>
      </c>
      <c r="W787" t="s">
        <v>587</v>
      </c>
      <c r="X787" t="s">
        <v>5408</v>
      </c>
      <c r="Y787" t="s">
        <v>5409</v>
      </c>
      <c r="AA787" t="s">
        <v>5296</v>
      </c>
      <c r="AB787" t="s">
        <v>5405</v>
      </c>
      <c r="AE787">
        <v>-35.729440959999998</v>
      </c>
      <c r="AF787">
        <v>174.30686180999999</v>
      </c>
      <c r="AG787">
        <v>40</v>
      </c>
      <c r="AH787">
        <v>16</v>
      </c>
      <c r="AI787">
        <v>3</v>
      </c>
      <c r="AJ787">
        <v>12</v>
      </c>
      <c r="AK787">
        <v>10</v>
      </c>
      <c r="AL787">
        <v>13</v>
      </c>
      <c r="AM787">
        <v>8</v>
      </c>
      <c r="AN787">
        <v>1</v>
      </c>
      <c r="AO787">
        <v>47</v>
      </c>
      <c r="AP787">
        <v>37</v>
      </c>
      <c r="AQ787">
        <v>17</v>
      </c>
      <c r="AR787">
        <v>6</v>
      </c>
      <c r="AS787">
        <v>8</v>
      </c>
      <c r="AT787">
        <v>0</v>
      </c>
    </row>
    <row r="788" spans="1:46">
      <c r="A788">
        <v>11512</v>
      </c>
      <c r="B788" t="s">
        <v>5410</v>
      </c>
      <c r="C788" t="s">
        <v>5411</v>
      </c>
      <c r="D788" t="s">
        <v>5412</v>
      </c>
      <c r="E788" t="s">
        <v>5413</v>
      </c>
      <c r="F788" t="s">
        <v>5033</v>
      </c>
      <c r="G788" t="s">
        <v>582</v>
      </c>
      <c r="H788" t="s">
        <v>3942</v>
      </c>
      <c r="J788" t="s">
        <v>518</v>
      </c>
      <c r="K788" t="s">
        <v>519</v>
      </c>
      <c r="M788" t="s">
        <v>520</v>
      </c>
      <c r="N788" t="s">
        <v>571</v>
      </c>
      <c r="O788" t="s">
        <v>583</v>
      </c>
      <c r="P788" t="s">
        <v>584</v>
      </c>
      <c r="Q788" t="s">
        <v>524</v>
      </c>
      <c r="R788" t="s">
        <v>525</v>
      </c>
      <c r="S788" t="s">
        <v>585</v>
      </c>
      <c r="T788" t="s">
        <v>527</v>
      </c>
      <c r="U788">
        <v>106600</v>
      </c>
      <c r="V788" t="s">
        <v>5034</v>
      </c>
      <c r="W788" t="s">
        <v>587</v>
      </c>
      <c r="X788" t="s">
        <v>5414</v>
      </c>
      <c r="Y788" t="s">
        <v>5415</v>
      </c>
      <c r="Z788" t="s">
        <v>5416</v>
      </c>
      <c r="AA788" t="s">
        <v>5417</v>
      </c>
      <c r="AC788">
        <v>99180</v>
      </c>
      <c r="AD788" t="s">
        <v>4891</v>
      </c>
      <c r="AE788">
        <v>-35.705419669999998</v>
      </c>
      <c r="AF788">
        <v>174.31888466999999</v>
      </c>
      <c r="AG788">
        <v>70</v>
      </c>
      <c r="AH788">
        <v>20</v>
      </c>
      <c r="AI788">
        <v>6</v>
      </c>
      <c r="AJ788">
        <v>14</v>
      </c>
      <c r="AK788">
        <v>15</v>
      </c>
      <c r="AL788">
        <v>23</v>
      </c>
      <c r="AM788">
        <v>21</v>
      </c>
      <c r="AN788">
        <v>1</v>
      </c>
      <c r="AO788">
        <v>80</v>
      </c>
      <c r="AP788">
        <v>61</v>
      </c>
      <c r="AQ788">
        <v>34</v>
      </c>
      <c r="AR788">
        <v>6</v>
      </c>
      <c r="AS788">
        <v>6</v>
      </c>
      <c r="AT788">
        <v>7</v>
      </c>
    </row>
    <row r="789" spans="1:46">
      <c r="A789">
        <v>11515</v>
      </c>
      <c r="B789" t="s">
        <v>5418</v>
      </c>
      <c r="C789" t="s">
        <v>5419</v>
      </c>
      <c r="D789" t="s">
        <v>5420</v>
      </c>
      <c r="E789" t="s">
        <v>5421</v>
      </c>
      <c r="G789" t="s">
        <v>582</v>
      </c>
      <c r="H789" t="s">
        <v>3942</v>
      </c>
      <c r="J789" t="s">
        <v>3962</v>
      </c>
      <c r="K789" t="s">
        <v>519</v>
      </c>
      <c r="M789" t="s">
        <v>520</v>
      </c>
      <c r="N789" t="s">
        <v>571</v>
      </c>
      <c r="O789" t="s">
        <v>583</v>
      </c>
      <c r="P789" t="s">
        <v>584</v>
      </c>
      <c r="Q789" t="s">
        <v>524</v>
      </c>
      <c r="R789" t="s">
        <v>525</v>
      </c>
      <c r="S789" t="s">
        <v>585</v>
      </c>
      <c r="T789" t="s">
        <v>527</v>
      </c>
      <c r="U789">
        <v>106902</v>
      </c>
      <c r="V789" t="s">
        <v>4419</v>
      </c>
      <c r="W789" t="s">
        <v>587</v>
      </c>
      <c r="X789" t="s">
        <v>5422</v>
      </c>
      <c r="Y789" t="s">
        <v>5421</v>
      </c>
      <c r="Z789" t="s">
        <v>4419</v>
      </c>
      <c r="AA789" t="s">
        <v>4406</v>
      </c>
      <c r="AB789" t="s">
        <v>5423</v>
      </c>
      <c r="AC789">
        <v>99181</v>
      </c>
      <c r="AD789" t="s">
        <v>594</v>
      </c>
      <c r="AE789">
        <v>-35.733789190000003</v>
      </c>
      <c r="AF789">
        <v>174.3016164</v>
      </c>
      <c r="AG789">
        <v>60</v>
      </c>
      <c r="AH789">
        <v>12</v>
      </c>
      <c r="AI789">
        <v>1</v>
      </c>
      <c r="AJ789">
        <v>7</v>
      </c>
      <c r="AK789">
        <v>12</v>
      </c>
      <c r="AL789">
        <v>15</v>
      </c>
      <c r="AM789">
        <v>27</v>
      </c>
      <c r="AN789">
        <v>0</v>
      </c>
      <c r="AO789">
        <v>62</v>
      </c>
      <c r="AP789">
        <v>31</v>
      </c>
      <c r="AQ789">
        <v>22</v>
      </c>
      <c r="AR789">
        <v>2</v>
      </c>
      <c r="AS789">
        <v>15</v>
      </c>
      <c r="AT789">
        <v>0</v>
      </c>
    </row>
    <row r="790" spans="1:46">
      <c r="A790">
        <v>11524</v>
      </c>
      <c r="B790" t="s">
        <v>5424</v>
      </c>
      <c r="C790" t="s">
        <v>5425</v>
      </c>
      <c r="E790" t="s">
        <v>5426</v>
      </c>
      <c r="G790" t="s">
        <v>550</v>
      </c>
      <c r="H790" t="s">
        <v>343</v>
      </c>
      <c r="J790" t="s">
        <v>518</v>
      </c>
      <c r="K790" t="s">
        <v>519</v>
      </c>
      <c r="L790" t="s">
        <v>4205</v>
      </c>
      <c r="M790" t="s">
        <v>520</v>
      </c>
      <c r="N790" t="s">
        <v>727</v>
      </c>
      <c r="O790" t="s">
        <v>522</v>
      </c>
      <c r="P790" t="s">
        <v>572</v>
      </c>
      <c r="Q790" t="s">
        <v>524</v>
      </c>
      <c r="R790" t="s">
        <v>525</v>
      </c>
      <c r="S790" t="s">
        <v>526</v>
      </c>
      <c r="T790" t="s">
        <v>527</v>
      </c>
      <c r="U790">
        <v>102700</v>
      </c>
      <c r="V790" t="s">
        <v>5427</v>
      </c>
      <c r="W790" t="s">
        <v>551</v>
      </c>
      <c r="X790" t="s">
        <v>4453</v>
      </c>
      <c r="Y790" t="s">
        <v>4208</v>
      </c>
      <c r="Z790" t="s">
        <v>4209</v>
      </c>
      <c r="AA790" t="s">
        <v>4210</v>
      </c>
      <c r="AB790" t="s">
        <v>4454</v>
      </c>
      <c r="AE790">
        <v>-35.521031790000002</v>
      </c>
      <c r="AF790">
        <v>173.74598929999999</v>
      </c>
      <c r="AG790">
        <v>23</v>
      </c>
      <c r="AH790">
        <v>6</v>
      </c>
      <c r="AI790">
        <v>0</v>
      </c>
      <c r="AJ790">
        <v>1</v>
      </c>
      <c r="AK790">
        <v>6</v>
      </c>
      <c r="AL790">
        <v>1</v>
      </c>
      <c r="AM790">
        <v>2</v>
      </c>
      <c r="AN790">
        <v>0</v>
      </c>
      <c r="AO790">
        <v>10</v>
      </c>
      <c r="AP790">
        <v>0</v>
      </c>
      <c r="AQ790">
        <v>10</v>
      </c>
      <c r="AR790">
        <v>0</v>
      </c>
      <c r="AS790">
        <v>0</v>
      </c>
      <c r="AT790">
        <v>0</v>
      </c>
    </row>
    <row r="791" spans="1:46">
      <c r="A791">
        <v>11525</v>
      </c>
      <c r="B791" t="s">
        <v>5428</v>
      </c>
      <c r="C791" t="s">
        <v>5429</v>
      </c>
      <c r="E791" t="s">
        <v>5430</v>
      </c>
      <c r="F791" t="s">
        <v>623</v>
      </c>
      <c r="G791" t="s">
        <v>582</v>
      </c>
      <c r="H791" t="s">
        <v>343</v>
      </c>
      <c r="J791" t="s">
        <v>518</v>
      </c>
      <c r="K791" t="s">
        <v>519</v>
      </c>
      <c r="L791" t="s">
        <v>4205</v>
      </c>
      <c r="M791" t="s">
        <v>520</v>
      </c>
      <c r="N791" t="s">
        <v>727</v>
      </c>
      <c r="O791" t="s">
        <v>583</v>
      </c>
      <c r="P791" t="s">
        <v>584</v>
      </c>
      <c r="Q791" t="s">
        <v>524</v>
      </c>
      <c r="R791" t="s">
        <v>525</v>
      </c>
      <c r="S791" t="s">
        <v>585</v>
      </c>
      <c r="T791" t="s">
        <v>527</v>
      </c>
      <c r="U791">
        <v>107401</v>
      </c>
      <c r="V791" t="s">
        <v>5293</v>
      </c>
      <c r="W791" t="s">
        <v>587</v>
      </c>
      <c r="X791" t="s">
        <v>4453</v>
      </c>
      <c r="Y791" t="s">
        <v>4208</v>
      </c>
      <c r="Z791" t="s">
        <v>4209</v>
      </c>
      <c r="AA791" t="s">
        <v>4210</v>
      </c>
      <c r="AB791" t="s">
        <v>4454</v>
      </c>
      <c r="AE791">
        <v>-35.740447080000003</v>
      </c>
      <c r="AF791">
        <v>174.3039081</v>
      </c>
      <c r="AG791">
        <v>52</v>
      </c>
      <c r="AH791">
        <v>16</v>
      </c>
      <c r="AI791">
        <v>3</v>
      </c>
      <c r="AJ791">
        <v>8</v>
      </c>
      <c r="AK791">
        <v>11</v>
      </c>
      <c r="AL791">
        <v>15</v>
      </c>
      <c r="AM791">
        <v>9</v>
      </c>
      <c r="AN791">
        <v>0</v>
      </c>
      <c r="AO791">
        <v>46</v>
      </c>
      <c r="AP791">
        <v>0</v>
      </c>
      <c r="AQ791">
        <v>44</v>
      </c>
      <c r="AR791">
        <v>1</v>
      </c>
      <c r="AS791">
        <v>0</v>
      </c>
      <c r="AT791">
        <v>1</v>
      </c>
    </row>
    <row r="792" spans="1:46">
      <c r="A792">
        <v>11529</v>
      </c>
      <c r="B792" t="s">
        <v>5431</v>
      </c>
      <c r="C792" t="s">
        <v>5432</v>
      </c>
      <c r="D792" t="s">
        <v>5433</v>
      </c>
      <c r="E792" t="s">
        <v>5434</v>
      </c>
      <c r="G792" t="s">
        <v>5435</v>
      </c>
      <c r="H792" t="s">
        <v>3942</v>
      </c>
      <c r="J792" t="s">
        <v>518</v>
      </c>
      <c r="K792" t="s">
        <v>519</v>
      </c>
      <c r="M792" t="s">
        <v>520</v>
      </c>
      <c r="N792" t="s">
        <v>521</v>
      </c>
      <c r="O792" t="s">
        <v>522</v>
      </c>
      <c r="P792" t="s">
        <v>572</v>
      </c>
      <c r="Q792" t="s">
        <v>524</v>
      </c>
      <c r="R792" t="s">
        <v>525</v>
      </c>
      <c r="S792" t="s">
        <v>526</v>
      </c>
      <c r="T792" t="s">
        <v>527</v>
      </c>
      <c r="U792">
        <v>101500</v>
      </c>
      <c r="V792" t="s">
        <v>5436</v>
      </c>
      <c r="W792" t="s">
        <v>558</v>
      </c>
      <c r="X792" t="s">
        <v>5437</v>
      </c>
      <c r="Y792" t="s">
        <v>5438</v>
      </c>
      <c r="AA792" t="s">
        <v>4682</v>
      </c>
      <c r="AB792" t="s">
        <v>5439</v>
      </c>
      <c r="AC792">
        <v>99197</v>
      </c>
      <c r="AD792" t="s">
        <v>5440</v>
      </c>
      <c r="AE792">
        <v>-35.03905383</v>
      </c>
      <c r="AF792">
        <v>173.71243480000001</v>
      </c>
      <c r="AG792">
        <v>27</v>
      </c>
      <c r="AH792">
        <v>5</v>
      </c>
      <c r="AI792">
        <v>0</v>
      </c>
      <c r="AJ792">
        <v>5</v>
      </c>
      <c r="AK792">
        <v>3</v>
      </c>
      <c r="AL792">
        <v>9</v>
      </c>
      <c r="AM792">
        <v>10</v>
      </c>
      <c r="AN792">
        <v>2</v>
      </c>
      <c r="AO792">
        <v>29</v>
      </c>
      <c r="AP792">
        <v>22</v>
      </c>
      <c r="AQ792">
        <v>17</v>
      </c>
      <c r="AR792">
        <v>0</v>
      </c>
      <c r="AS792">
        <v>0</v>
      </c>
      <c r="AT792">
        <v>0</v>
      </c>
    </row>
    <row r="793" spans="1:46">
      <c r="A793">
        <v>11530</v>
      </c>
      <c r="B793" t="s">
        <v>5441</v>
      </c>
      <c r="C793" t="s">
        <v>5442</v>
      </c>
      <c r="D793" t="s">
        <v>5443</v>
      </c>
      <c r="E793" t="s">
        <v>5444</v>
      </c>
      <c r="G793" t="s">
        <v>5445</v>
      </c>
      <c r="H793" t="s">
        <v>3942</v>
      </c>
      <c r="J793" t="s">
        <v>518</v>
      </c>
      <c r="K793" t="s">
        <v>519</v>
      </c>
      <c r="M793" t="s">
        <v>520</v>
      </c>
      <c r="N793" t="s">
        <v>557</v>
      </c>
      <c r="O793" t="s">
        <v>522</v>
      </c>
      <c r="P793" t="s">
        <v>572</v>
      </c>
      <c r="Q793" t="s">
        <v>524</v>
      </c>
      <c r="R793" t="s">
        <v>525</v>
      </c>
      <c r="S793" t="s">
        <v>526</v>
      </c>
      <c r="T793" t="s">
        <v>527</v>
      </c>
      <c r="U793">
        <v>100500</v>
      </c>
      <c r="V793" t="s">
        <v>5446</v>
      </c>
      <c r="W793" t="s">
        <v>529</v>
      </c>
      <c r="X793" t="s">
        <v>5447</v>
      </c>
      <c r="Y793" t="s">
        <v>5448</v>
      </c>
      <c r="AA793" t="s">
        <v>5449</v>
      </c>
      <c r="AB793" t="s">
        <v>5442</v>
      </c>
      <c r="AE793">
        <v>-35.172135240000003</v>
      </c>
      <c r="AF793">
        <v>173.15435644999999</v>
      </c>
      <c r="AG793">
        <v>60</v>
      </c>
      <c r="AH793">
        <v>20</v>
      </c>
      <c r="AI793">
        <v>2</v>
      </c>
      <c r="AJ793">
        <v>9</v>
      </c>
      <c r="AK793">
        <v>13</v>
      </c>
      <c r="AL793">
        <v>15</v>
      </c>
      <c r="AM793">
        <v>16</v>
      </c>
      <c r="AN793">
        <v>0</v>
      </c>
      <c r="AO793">
        <v>55</v>
      </c>
      <c r="AP793">
        <v>23</v>
      </c>
      <c r="AQ793">
        <v>46</v>
      </c>
      <c r="AR793">
        <v>4</v>
      </c>
      <c r="AS793">
        <v>0</v>
      </c>
      <c r="AT793">
        <v>1</v>
      </c>
    </row>
    <row r="794" spans="1:46">
      <c r="A794">
        <v>11531</v>
      </c>
      <c r="B794" t="s">
        <v>5450</v>
      </c>
      <c r="C794" t="s">
        <v>5451</v>
      </c>
      <c r="E794" t="s">
        <v>5452</v>
      </c>
      <c r="F794" t="s">
        <v>606</v>
      </c>
      <c r="G794" t="s">
        <v>582</v>
      </c>
      <c r="H794" t="s">
        <v>343</v>
      </c>
      <c r="J794" t="s">
        <v>518</v>
      </c>
      <c r="K794" t="s">
        <v>519</v>
      </c>
      <c r="L794" t="s">
        <v>4205</v>
      </c>
      <c r="M794" t="s">
        <v>520</v>
      </c>
      <c r="N794" t="s">
        <v>727</v>
      </c>
      <c r="O794" t="s">
        <v>583</v>
      </c>
      <c r="P794" t="s">
        <v>584</v>
      </c>
      <c r="Q794" t="s">
        <v>524</v>
      </c>
      <c r="R794" t="s">
        <v>525</v>
      </c>
      <c r="S794" t="s">
        <v>585</v>
      </c>
      <c r="T794" t="s">
        <v>527</v>
      </c>
      <c r="U794">
        <v>108300</v>
      </c>
      <c r="V794" t="s">
        <v>606</v>
      </c>
      <c r="W794" t="s">
        <v>587</v>
      </c>
      <c r="X794" t="s">
        <v>4453</v>
      </c>
      <c r="Y794" t="s">
        <v>4208</v>
      </c>
      <c r="Z794" t="s">
        <v>4209</v>
      </c>
      <c r="AA794" t="s">
        <v>4210</v>
      </c>
      <c r="AB794" t="s">
        <v>4454</v>
      </c>
      <c r="AE794">
        <v>-35.763838079999999</v>
      </c>
      <c r="AF794">
        <v>174.36295957999999</v>
      </c>
      <c r="AG794">
        <v>27</v>
      </c>
      <c r="AH794">
        <v>8</v>
      </c>
      <c r="AI794">
        <v>2</v>
      </c>
      <c r="AJ794">
        <v>3</v>
      </c>
      <c r="AK794">
        <v>5</v>
      </c>
      <c r="AL794">
        <v>5</v>
      </c>
      <c r="AM794">
        <v>3</v>
      </c>
      <c r="AN794">
        <v>0</v>
      </c>
      <c r="AO794">
        <v>18</v>
      </c>
      <c r="AP794">
        <v>0</v>
      </c>
      <c r="AQ794">
        <v>18</v>
      </c>
      <c r="AR794">
        <v>0</v>
      </c>
      <c r="AS794">
        <v>0</v>
      </c>
      <c r="AT794">
        <v>0</v>
      </c>
    </row>
    <row r="795" spans="1:46">
      <c r="A795">
        <v>11532</v>
      </c>
      <c r="B795" t="s">
        <v>5453</v>
      </c>
      <c r="C795" t="s">
        <v>5454</v>
      </c>
      <c r="E795" t="s">
        <v>5455</v>
      </c>
      <c r="G795" t="s">
        <v>5350</v>
      </c>
      <c r="H795" t="s">
        <v>343</v>
      </c>
      <c r="J795" t="s">
        <v>518</v>
      </c>
      <c r="K795" t="s">
        <v>519</v>
      </c>
      <c r="L795" t="s">
        <v>4205</v>
      </c>
      <c r="M795" t="s">
        <v>520</v>
      </c>
      <c r="N795" t="s">
        <v>727</v>
      </c>
      <c r="O795" t="s">
        <v>522</v>
      </c>
      <c r="P795" t="s">
        <v>523</v>
      </c>
      <c r="Q795" t="s">
        <v>524</v>
      </c>
      <c r="R795" t="s">
        <v>525</v>
      </c>
      <c r="S795" t="s">
        <v>526</v>
      </c>
      <c r="T795" t="s">
        <v>527</v>
      </c>
      <c r="U795">
        <v>104501</v>
      </c>
      <c r="V795" t="s">
        <v>5350</v>
      </c>
      <c r="W795" t="s">
        <v>558</v>
      </c>
      <c r="X795" t="s">
        <v>4453</v>
      </c>
      <c r="Y795" t="s">
        <v>4208</v>
      </c>
      <c r="Z795" t="s">
        <v>4209</v>
      </c>
      <c r="AA795" t="s">
        <v>4210</v>
      </c>
      <c r="AB795" t="s">
        <v>4454</v>
      </c>
      <c r="AE795">
        <v>-35.389763309999999</v>
      </c>
      <c r="AF795">
        <v>174.01190754999999</v>
      </c>
      <c r="AG795">
        <v>30</v>
      </c>
      <c r="AH795">
        <v>10</v>
      </c>
      <c r="AI795">
        <v>1</v>
      </c>
      <c r="AJ795">
        <v>3</v>
      </c>
      <c r="AK795">
        <v>8</v>
      </c>
      <c r="AL795">
        <v>1</v>
      </c>
      <c r="AM795">
        <v>9</v>
      </c>
      <c r="AN795">
        <v>0</v>
      </c>
      <c r="AO795">
        <v>22</v>
      </c>
      <c r="AP795">
        <v>0</v>
      </c>
      <c r="AQ795">
        <v>22</v>
      </c>
      <c r="AR795">
        <v>0</v>
      </c>
      <c r="AS795">
        <v>0</v>
      </c>
      <c r="AT795">
        <v>0</v>
      </c>
    </row>
    <row r="796" spans="1:46">
      <c r="A796">
        <v>11534</v>
      </c>
      <c r="B796" t="s">
        <v>5456</v>
      </c>
      <c r="C796" t="s">
        <v>5457</v>
      </c>
      <c r="E796" t="s">
        <v>5458</v>
      </c>
      <c r="G796" t="s">
        <v>550</v>
      </c>
      <c r="H796" t="s">
        <v>343</v>
      </c>
      <c r="J796" t="s">
        <v>518</v>
      </c>
      <c r="K796" t="s">
        <v>519</v>
      </c>
      <c r="L796" t="s">
        <v>4205</v>
      </c>
      <c r="M796" t="s">
        <v>520</v>
      </c>
      <c r="N796" t="s">
        <v>521</v>
      </c>
      <c r="O796" t="s">
        <v>522</v>
      </c>
      <c r="P796" t="s">
        <v>523</v>
      </c>
      <c r="Q796" t="s">
        <v>524</v>
      </c>
      <c r="R796" t="s">
        <v>525</v>
      </c>
      <c r="S796" t="s">
        <v>526</v>
      </c>
      <c r="T796" t="s">
        <v>527</v>
      </c>
      <c r="U796">
        <v>103501</v>
      </c>
      <c r="V796" t="s">
        <v>550</v>
      </c>
      <c r="W796" t="s">
        <v>551</v>
      </c>
      <c r="X796" t="s">
        <v>4453</v>
      </c>
      <c r="Y796" t="s">
        <v>4208</v>
      </c>
      <c r="Z796" t="s">
        <v>4209</v>
      </c>
      <c r="AA796" t="s">
        <v>4210</v>
      </c>
      <c r="AB796" t="s">
        <v>4454</v>
      </c>
      <c r="AE796">
        <v>-35.402955179999999</v>
      </c>
      <c r="AF796">
        <v>173.80394734999999</v>
      </c>
      <c r="AG796">
        <v>23</v>
      </c>
      <c r="AH796">
        <v>5</v>
      </c>
      <c r="AI796">
        <v>0</v>
      </c>
      <c r="AJ796">
        <v>4</v>
      </c>
      <c r="AK796">
        <v>6</v>
      </c>
      <c r="AL796">
        <v>2</v>
      </c>
      <c r="AM796">
        <v>4</v>
      </c>
      <c r="AN796">
        <v>0</v>
      </c>
      <c r="AO796">
        <v>16</v>
      </c>
      <c r="AP796">
        <v>0</v>
      </c>
      <c r="AQ796">
        <v>16</v>
      </c>
      <c r="AR796">
        <v>0</v>
      </c>
      <c r="AS796">
        <v>0</v>
      </c>
      <c r="AT796">
        <v>0</v>
      </c>
    </row>
    <row r="797" spans="1:46">
      <c r="A797">
        <v>11535</v>
      </c>
      <c r="B797" t="s">
        <v>5459</v>
      </c>
      <c r="C797" t="s">
        <v>5460</v>
      </c>
      <c r="E797" t="s">
        <v>5461</v>
      </c>
      <c r="F797" t="s">
        <v>5284</v>
      </c>
      <c r="G797" t="s">
        <v>582</v>
      </c>
      <c r="H797" t="s">
        <v>343</v>
      </c>
      <c r="J797" t="s">
        <v>518</v>
      </c>
      <c r="K797" t="s">
        <v>519</v>
      </c>
      <c r="L797" t="s">
        <v>4205</v>
      </c>
      <c r="M797" t="s">
        <v>520</v>
      </c>
      <c r="N797" t="s">
        <v>727</v>
      </c>
      <c r="O797" t="s">
        <v>583</v>
      </c>
      <c r="P797" t="s">
        <v>584</v>
      </c>
      <c r="Q797" t="s">
        <v>524</v>
      </c>
      <c r="R797" t="s">
        <v>525</v>
      </c>
      <c r="S797" t="s">
        <v>585</v>
      </c>
      <c r="T797" t="s">
        <v>527</v>
      </c>
      <c r="U797">
        <v>106401</v>
      </c>
      <c r="V797" t="s">
        <v>5284</v>
      </c>
      <c r="W797" t="s">
        <v>587</v>
      </c>
      <c r="X797" t="s">
        <v>4453</v>
      </c>
      <c r="Y797" t="s">
        <v>4208</v>
      </c>
      <c r="Z797" t="s">
        <v>4209</v>
      </c>
      <c r="AA797" t="s">
        <v>4210</v>
      </c>
      <c r="AB797" t="s">
        <v>4454</v>
      </c>
      <c r="AE797">
        <v>-35.692911260000002</v>
      </c>
      <c r="AF797">
        <v>174.31730121999999</v>
      </c>
      <c r="AG797">
        <v>18</v>
      </c>
      <c r="AH797">
        <v>5</v>
      </c>
      <c r="AI797">
        <v>1</v>
      </c>
      <c r="AJ797">
        <v>1</v>
      </c>
      <c r="AK797">
        <v>3</v>
      </c>
      <c r="AL797">
        <v>6</v>
      </c>
      <c r="AM797">
        <v>1</v>
      </c>
      <c r="AN797">
        <v>0</v>
      </c>
      <c r="AO797">
        <v>12</v>
      </c>
      <c r="AP797">
        <v>0</v>
      </c>
      <c r="AQ797">
        <v>10</v>
      </c>
      <c r="AR797">
        <v>2</v>
      </c>
      <c r="AS797">
        <v>0</v>
      </c>
      <c r="AT797">
        <v>0</v>
      </c>
    </row>
    <row r="798" spans="1:46">
      <c r="A798">
        <v>11543</v>
      </c>
      <c r="B798" t="s">
        <v>5462</v>
      </c>
      <c r="C798" t="s">
        <v>5463</v>
      </c>
      <c r="E798" t="s">
        <v>5464</v>
      </c>
      <c r="G798" t="s">
        <v>5465</v>
      </c>
      <c r="H798" t="s">
        <v>343</v>
      </c>
      <c r="J798" t="s">
        <v>518</v>
      </c>
      <c r="K798" t="s">
        <v>519</v>
      </c>
      <c r="L798" t="s">
        <v>4205</v>
      </c>
      <c r="M798" t="s">
        <v>520</v>
      </c>
      <c r="N798" t="s">
        <v>727</v>
      </c>
      <c r="O798" t="s">
        <v>522</v>
      </c>
      <c r="P798" t="s">
        <v>540</v>
      </c>
      <c r="Q798" t="s">
        <v>524</v>
      </c>
      <c r="R798" t="s">
        <v>525</v>
      </c>
      <c r="S798" t="s">
        <v>526</v>
      </c>
      <c r="T798" t="s">
        <v>527</v>
      </c>
      <c r="U798">
        <v>102300</v>
      </c>
      <c r="V798" t="s">
        <v>5466</v>
      </c>
      <c r="W798" t="s">
        <v>551</v>
      </c>
      <c r="X798" t="s">
        <v>4453</v>
      </c>
      <c r="Y798" t="s">
        <v>4208</v>
      </c>
      <c r="Z798" t="s">
        <v>4209</v>
      </c>
      <c r="AA798" t="s">
        <v>4210</v>
      </c>
      <c r="AB798" t="s">
        <v>4454</v>
      </c>
      <c r="AE798">
        <v>-35.322155299999999</v>
      </c>
      <c r="AF798">
        <v>173.77030561999999</v>
      </c>
      <c r="AG798">
        <v>40</v>
      </c>
      <c r="AH798">
        <v>10</v>
      </c>
      <c r="AI798">
        <v>0</v>
      </c>
      <c r="AJ798">
        <v>10</v>
      </c>
      <c r="AK798">
        <v>5</v>
      </c>
      <c r="AL798">
        <v>15</v>
      </c>
      <c r="AM798">
        <v>4</v>
      </c>
      <c r="AN798">
        <v>0</v>
      </c>
      <c r="AO798">
        <v>34</v>
      </c>
      <c r="AP798">
        <v>0</v>
      </c>
      <c r="AQ798">
        <v>32</v>
      </c>
      <c r="AR798">
        <v>0</v>
      </c>
      <c r="AS798">
        <v>0</v>
      </c>
      <c r="AT798">
        <v>2</v>
      </c>
    </row>
    <row r="799" spans="1:46">
      <c r="A799">
        <v>11545</v>
      </c>
      <c r="B799" t="s">
        <v>5467</v>
      </c>
      <c r="C799" t="s">
        <v>5468</v>
      </c>
      <c r="E799" t="s">
        <v>5469</v>
      </c>
      <c r="G799" t="s">
        <v>5350</v>
      </c>
      <c r="H799" t="s">
        <v>343</v>
      </c>
      <c r="J799" t="s">
        <v>518</v>
      </c>
      <c r="K799" t="s">
        <v>519</v>
      </c>
      <c r="L799" t="s">
        <v>4205</v>
      </c>
      <c r="M799" t="s">
        <v>520</v>
      </c>
      <c r="N799" t="s">
        <v>521</v>
      </c>
      <c r="O799" t="s">
        <v>522</v>
      </c>
      <c r="P799" t="s">
        <v>523</v>
      </c>
      <c r="Q799" t="s">
        <v>524</v>
      </c>
      <c r="R799" t="s">
        <v>525</v>
      </c>
      <c r="S799" t="s">
        <v>526</v>
      </c>
      <c r="T799" t="s">
        <v>527</v>
      </c>
      <c r="U799">
        <v>104501</v>
      </c>
      <c r="V799" t="s">
        <v>5350</v>
      </c>
      <c r="W799" t="s">
        <v>558</v>
      </c>
      <c r="X799" t="s">
        <v>4453</v>
      </c>
      <c r="Y799" t="s">
        <v>4208</v>
      </c>
      <c r="Z799" t="s">
        <v>4209</v>
      </c>
      <c r="AA799" t="s">
        <v>4210</v>
      </c>
      <c r="AB799" t="s">
        <v>4454</v>
      </c>
      <c r="AE799">
        <v>-35.378081129999998</v>
      </c>
      <c r="AF799">
        <v>174.03912975</v>
      </c>
      <c r="AG799">
        <v>25</v>
      </c>
      <c r="AH799">
        <v>8</v>
      </c>
      <c r="AI799">
        <v>0</v>
      </c>
      <c r="AJ799">
        <v>4</v>
      </c>
      <c r="AK799">
        <v>7</v>
      </c>
      <c r="AL799">
        <v>6</v>
      </c>
      <c r="AM799">
        <v>1</v>
      </c>
      <c r="AN799">
        <v>0</v>
      </c>
      <c r="AO799">
        <v>18</v>
      </c>
      <c r="AP799">
        <v>0</v>
      </c>
      <c r="AQ799">
        <v>18</v>
      </c>
      <c r="AR799">
        <v>0</v>
      </c>
      <c r="AS799">
        <v>0</v>
      </c>
      <c r="AT799">
        <v>0</v>
      </c>
    </row>
    <row r="800" spans="1:46">
      <c r="A800">
        <v>11552</v>
      </c>
      <c r="B800" t="s">
        <v>5470</v>
      </c>
      <c r="C800" t="s">
        <v>5471</v>
      </c>
      <c r="D800" t="s">
        <v>5472</v>
      </c>
      <c r="E800" t="s">
        <v>5473</v>
      </c>
      <c r="G800" t="s">
        <v>550</v>
      </c>
      <c r="H800" t="s">
        <v>3942</v>
      </c>
      <c r="J800" t="s">
        <v>518</v>
      </c>
      <c r="K800" t="s">
        <v>519</v>
      </c>
      <c r="M800" t="s">
        <v>520</v>
      </c>
      <c r="N800" t="s">
        <v>539</v>
      </c>
      <c r="O800" t="s">
        <v>522</v>
      </c>
      <c r="P800" t="s">
        <v>523</v>
      </c>
      <c r="Q800" t="s">
        <v>524</v>
      </c>
      <c r="R800" t="s">
        <v>525</v>
      </c>
      <c r="S800" t="s">
        <v>526</v>
      </c>
      <c r="T800" t="s">
        <v>527</v>
      </c>
      <c r="U800">
        <v>103501</v>
      </c>
      <c r="V800" t="s">
        <v>550</v>
      </c>
      <c r="W800" t="s">
        <v>551</v>
      </c>
      <c r="X800" t="s">
        <v>4436</v>
      </c>
      <c r="Y800" t="s">
        <v>3944</v>
      </c>
      <c r="Z800" t="s">
        <v>3945</v>
      </c>
      <c r="AA800" t="s">
        <v>3946</v>
      </c>
      <c r="AC800">
        <v>99060</v>
      </c>
      <c r="AD800" t="s">
        <v>552</v>
      </c>
      <c r="AE800">
        <v>-35.405980640000003</v>
      </c>
      <c r="AF800">
        <v>173.79655507999999</v>
      </c>
      <c r="AG800">
        <v>62</v>
      </c>
      <c r="AH800">
        <v>15</v>
      </c>
      <c r="AI800">
        <v>1</v>
      </c>
      <c r="AJ800">
        <v>12</v>
      </c>
      <c r="AK800">
        <v>17</v>
      </c>
      <c r="AL800">
        <v>13</v>
      </c>
      <c r="AM800">
        <v>27</v>
      </c>
      <c r="AN800">
        <v>0</v>
      </c>
      <c r="AO800">
        <v>70</v>
      </c>
      <c r="AP800">
        <v>22</v>
      </c>
      <c r="AQ800">
        <v>57</v>
      </c>
      <c r="AR800">
        <v>4</v>
      </c>
      <c r="AS800">
        <v>10</v>
      </c>
      <c r="AT800">
        <v>2</v>
      </c>
    </row>
    <row r="801" spans="1:46">
      <c r="A801">
        <v>11554</v>
      </c>
      <c r="B801" t="s">
        <v>5474</v>
      </c>
      <c r="C801" t="s">
        <v>5475</v>
      </c>
      <c r="E801" t="s">
        <v>5476</v>
      </c>
      <c r="G801" t="s">
        <v>5477</v>
      </c>
      <c r="H801" t="s">
        <v>343</v>
      </c>
      <c r="J801" t="s">
        <v>518</v>
      </c>
      <c r="K801" t="s">
        <v>519</v>
      </c>
      <c r="L801" t="s">
        <v>4205</v>
      </c>
      <c r="M801" t="s">
        <v>520</v>
      </c>
      <c r="N801" t="s">
        <v>521</v>
      </c>
      <c r="O801" t="s">
        <v>522</v>
      </c>
      <c r="P801" t="s">
        <v>572</v>
      </c>
      <c r="Q801" t="s">
        <v>524</v>
      </c>
      <c r="R801" t="s">
        <v>525</v>
      </c>
      <c r="S801" t="s">
        <v>526</v>
      </c>
      <c r="T801" t="s">
        <v>527</v>
      </c>
      <c r="U801">
        <v>104700</v>
      </c>
      <c r="V801" t="s">
        <v>5478</v>
      </c>
      <c r="W801" t="s">
        <v>558</v>
      </c>
      <c r="X801" t="s">
        <v>4453</v>
      </c>
      <c r="Y801" t="s">
        <v>4208</v>
      </c>
      <c r="Z801" t="s">
        <v>4209</v>
      </c>
      <c r="AA801" t="s">
        <v>4210</v>
      </c>
      <c r="AB801" t="s">
        <v>4454</v>
      </c>
      <c r="AE801">
        <v>-35.489832020000001</v>
      </c>
      <c r="AF801">
        <v>174.0365463</v>
      </c>
      <c r="AG801">
        <v>25</v>
      </c>
      <c r="AH801">
        <v>10</v>
      </c>
      <c r="AI801">
        <v>1</v>
      </c>
      <c r="AJ801">
        <v>4</v>
      </c>
      <c r="AK801">
        <v>6</v>
      </c>
      <c r="AL801">
        <v>5</v>
      </c>
      <c r="AM801">
        <v>3</v>
      </c>
      <c r="AN801">
        <v>0</v>
      </c>
      <c r="AO801">
        <v>19</v>
      </c>
      <c r="AP801">
        <v>0</v>
      </c>
      <c r="AQ801">
        <v>19</v>
      </c>
      <c r="AR801">
        <v>0</v>
      </c>
      <c r="AS801">
        <v>0</v>
      </c>
      <c r="AT801">
        <v>0</v>
      </c>
    </row>
    <row r="802" spans="1:46">
      <c r="A802">
        <v>11555</v>
      </c>
      <c r="B802" t="s">
        <v>5479</v>
      </c>
      <c r="C802" t="s">
        <v>5480</v>
      </c>
      <c r="D802" t="s">
        <v>5481</v>
      </c>
      <c r="E802" t="s">
        <v>5482</v>
      </c>
      <c r="G802" t="s">
        <v>5483</v>
      </c>
      <c r="H802" t="s">
        <v>3942</v>
      </c>
      <c r="J802" t="s">
        <v>3962</v>
      </c>
      <c r="K802" t="s">
        <v>519</v>
      </c>
      <c r="M802" t="s">
        <v>520</v>
      </c>
      <c r="N802" t="s">
        <v>571</v>
      </c>
      <c r="O802" t="s">
        <v>522</v>
      </c>
      <c r="P802" t="s">
        <v>523</v>
      </c>
      <c r="Q802" t="s">
        <v>524</v>
      </c>
      <c r="R802" t="s">
        <v>525</v>
      </c>
      <c r="S802" t="s">
        <v>526</v>
      </c>
      <c r="T802" t="s">
        <v>527</v>
      </c>
      <c r="U802">
        <v>103700</v>
      </c>
      <c r="V802" t="s">
        <v>5484</v>
      </c>
      <c r="W802" t="s">
        <v>558</v>
      </c>
      <c r="X802" t="s">
        <v>5485</v>
      </c>
      <c r="Y802" t="s">
        <v>5486</v>
      </c>
      <c r="Z802" t="s">
        <v>1066</v>
      </c>
      <c r="AA802" t="s">
        <v>5487</v>
      </c>
      <c r="AE802">
        <v>-35.277617589999998</v>
      </c>
      <c r="AF802">
        <v>174.05832376999999</v>
      </c>
      <c r="AG802">
        <v>50</v>
      </c>
      <c r="AH802">
        <v>20</v>
      </c>
      <c r="AI802">
        <v>2</v>
      </c>
      <c r="AJ802">
        <v>8</v>
      </c>
      <c r="AK802">
        <v>4</v>
      </c>
      <c r="AL802">
        <v>10</v>
      </c>
      <c r="AM802">
        <v>16</v>
      </c>
      <c r="AN802">
        <v>0</v>
      </c>
      <c r="AO802">
        <v>40</v>
      </c>
      <c r="AP802">
        <v>30</v>
      </c>
      <c r="AQ802">
        <v>14</v>
      </c>
      <c r="AR802">
        <v>2</v>
      </c>
      <c r="AS802">
        <v>12</v>
      </c>
      <c r="AT802">
        <v>0</v>
      </c>
    </row>
    <row r="803" spans="1:46">
      <c r="A803">
        <v>11556</v>
      </c>
      <c r="B803" t="s">
        <v>5488</v>
      </c>
      <c r="C803" t="s">
        <v>5489</v>
      </c>
      <c r="E803" t="s">
        <v>5490</v>
      </c>
      <c r="G803" t="s">
        <v>563</v>
      </c>
      <c r="H803" t="s">
        <v>343</v>
      </c>
      <c r="J803" t="s">
        <v>518</v>
      </c>
      <c r="K803" t="s">
        <v>519</v>
      </c>
      <c r="L803" t="s">
        <v>4205</v>
      </c>
      <c r="M803" t="s">
        <v>520</v>
      </c>
      <c r="N803" t="s">
        <v>521</v>
      </c>
      <c r="O803" t="s">
        <v>564</v>
      </c>
      <c r="P803" t="s">
        <v>523</v>
      </c>
      <c r="Q803" t="s">
        <v>524</v>
      </c>
      <c r="R803" t="s">
        <v>525</v>
      </c>
      <c r="S803" t="s">
        <v>526</v>
      </c>
      <c r="T803" t="s">
        <v>527</v>
      </c>
      <c r="U803">
        <v>109301</v>
      </c>
      <c r="V803" t="s">
        <v>563</v>
      </c>
      <c r="W803" t="s">
        <v>565</v>
      </c>
      <c r="X803" t="s">
        <v>4453</v>
      </c>
      <c r="Y803" t="s">
        <v>4208</v>
      </c>
      <c r="Z803" t="s">
        <v>4209</v>
      </c>
      <c r="AA803" t="s">
        <v>4210</v>
      </c>
      <c r="AB803" t="s">
        <v>4454</v>
      </c>
      <c r="AE803">
        <v>-35.933521329999998</v>
      </c>
      <c r="AF803">
        <v>173.88688970999999</v>
      </c>
      <c r="AG803">
        <v>30</v>
      </c>
      <c r="AH803">
        <v>10</v>
      </c>
      <c r="AI803">
        <v>1</v>
      </c>
      <c r="AJ803">
        <v>5</v>
      </c>
      <c r="AK803">
        <v>4</v>
      </c>
      <c r="AL803">
        <v>3</v>
      </c>
      <c r="AM803">
        <v>3</v>
      </c>
      <c r="AN803">
        <v>0</v>
      </c>
      <c r="AO803">
        <v>16</v>
      </c>
      <c r="AP803">
        <v>0</v>
      </c>
      <c r="AQ803">
        <v>16</v>
      </c>
      <c r="AR803">
        <v>0</v>
      </c>
      <c r="AS803">
        <v>0</v>
      </c>
      <c r="AT803">
        <v>0</v>
      </c>
    </row>
    <row r="804" spans="1:46">
      <c r="A804">
        <v>11557</v>
      </c>
      <c r="B804" t="s">
        <v>5491</v>
      </c>
      <c r="C804" t="s">
        <v>5492</v>
      </c>
      <c r="E804" t="s">
        <v>5493</v>
      </c>
      <c r="G804" t="s">
        <v>3673</v>
      </c>
      <c r="H804" t="s">
        <v>343</v>
      </c>
      <c r="J804" t="s">
        <v>518</v>
      </c>
      <c r="K804" t="s">
        <v>519</v>
      </c>
      <c r="L804" t="s">
        <v>4205</v>
      </c>
      <c r="M804" t="s">
        <v>520</v>
      </c>
      <c r="N804" t="s">
        <v>571</v>
      </c>
      <c r="O804" t="s">
        <v>522</v>
      </c>
      <c r="P804" t="s">
        <v>523</v>
      </c>
      <c r="Q804" t="s">
        <v>524</v>
      </c>
      <c r="R804" t="s">
        <v>525</v>
      </c>
      <c r="S804" t="s">
        <v>526</v>
      </c>
      <c r="T804" t="s">
        <v>527</v>
      </c>
      <c r="U804">
        <v>103000</v>
      </c>
      <c r="V804" t="s">
        <v>3674</v>
      </c>
      <c r="W804" t="s">
        <v>558</v>
      </c>
      <c r="X804" t="s">
        <v>4453</v>
      </c>
      <c r="Y804" t="s">
        <v>4208</v>
      </c>
      <c r="Z804" t="s">
        <v>4209</v>
      </c>
      <c r="AA804" t="s">
        <v>4210</v>
      </c>
      <c r="AB804" t="s">
        <v>4454</v>
      </c>
      <c r="AE804">
        <v>-35.229683250000001</v>
      </c>
      <c r="AF804">
        <v>173.95787705000001</v>
      </c>
      <c r="AG804">
        <v>33</v>
      </c>
      <c r="AH804">
        <v>10</v>
      </c>
      <c r="AI804">
        <v>3</v>
      </c>
      <c r="AJ804">
        <v>5</v>
      </c>
      <c r="AK804">
        <v>7</v>
      </c>
      <c r="AL804">
        <v>6</v>
      </c>
      <c r="AM804">
        <v>1</v>
      </c>
      <c r="AN804">
        <v>0</v>
      </c>
      <c r="AO804">
        <v>22</v>
      </c>
      <c r="AP804">
        <v>0</v>
      </c>
      <c r="AQ804">
        <v>19</v>
      </c>
      <c r="AR804">
        <v>0</v>
      </c>
      <c r="AS804">
        <v>0</v>
      </c>
      <c r="AT804">
        <v>3</v>
      </c>
    </row>
    <row r="805" spans="1:46">
      <c r="A805">
        <v>11559</v>
      </c>
      <c r="B805" t="s">
        <v>5494</v>
      </c>
      <c r="C805" t="s">
        <v>4212</v>
      </c>
      <c r="E805" t="s">
        <v>4213</v>
      </c>
      <c r="F805" t="s">
        <v>532</v>
      </c>
      <c r="G805" t="s">
        <v>582</v>
      </c>
      <c r="H805" t="s">
        <v>3942</v>
      </c>
      <c r="J805" t="s">
        <v>3962</v>
      </c>
      <c r="K805" t="s">
        <v>519</v>
      </c>
      <c r="M805" t="s">
        <v>520</v>
      </c>
      <c r="N805" t="s">
        <v>571</v>
      </c>
      <c r="O805" t="s">
        <v>583</v>
      </c>
      <c r="P805" t="s">
        <v>584</v>
      </c>
      <c r="Q805" t="s">
        <v>524</v>
      </c>
      <c r="R805" t="s">
        <v>525</v>
      </c>
      <c r="S805" t="s">
        <v>585</v>
      </c>
      <c r="T805" t="s">
        <v>527</v>
      </c>
      <c r="U805">
        <v>105901</v>
      </c>
      <c r="V805" t="s">
        <v>4214</v>
      </c>
      <c r="W805" t="s">
        <v>587</v>
      </c>
      <c r="X805" t="s">
        <v>4215</v>
      </c>
      <c r="Y805" t="s">
        <v>4216</v>
      </c>
      <c r="Z805" t="s">
        <v>532</v>
      </c>
      <c r="AA805" t="s">
        <v>533</v>
      </c>
      <c r="AB805" t="s">
        <v>4217</v>
      </c>
      <c r="AE805">
        <v>-35.683888119999999</v>
      </c>
      <c r="AF805">
        <v>174.29953438000001</v>
      </c>
      <c r="AG805">
        <v>50</v>
      </c>
      <c r="AH805">
        <v>0</v>
      </c>
      <c r="AI805">
        <v>0</v>
      </c>
      <c r="AJ805">
        <v>0</v>
      </c>
      <c r="AK805">
        <v>12</v>
      </c>
      <c r="AL805">
        <v>27</v>
      </c>
      <c r="AM805">
        <v>8</v>
      </c>
      <c r="AN805">
        <v>2</v>
      </c>
      <c r="AO805">
        <v>49</v>
      </c>
      <c r="AP805">
        <v>42</v>
      </c>
      <c r="AQ805">
        <v>13</v>
      </c>
      <c r="AR805">
        <v>2</v>
      </c>
      <c r="AS805">
        <v>6</v>
      </c>
      <c r="AT805">
        <v>3</v>
      </c>
    </row>
    <row r="806" spans="1:46">
      <c r="A806">
        <v>11560</v>
      </c>
      <c r="B806" t="s">
        <v>5495</v>
      </c>
      <c r="C806" t="s">
        <v>5496</v>
      </c>
      <c r="D806" t="s">
        <v>5497</v>
      </c>
      <c r="E806" t="s">
        <v>5498</v>
      </c>
      <c r="G806" t="s">
        <v>538</v>
      </c>
      <c r="H806" t="s">
        <v>3942</v>
      </c>
      <c r="J806" t="s">
        <v>3962</v>
      </c>
      <c r="K806" t="s">
        <v>519</v>
      </c>
      <c r="M806" t="s">
        <v>520</v>
      </c>
      <c r="N806" t="s">
        <v>557</v>
      </c>
      <c r="O806" t="s">
        <v>522</v>
      </c>
      <c r="P806" t="s">
        <v>540</v>
      </c>
      <c r="Q806" t="s">
        <v>524</v>
      </c>
      <c r="R806" t="s">
        <v>525</v>
      </c>
      <c r="S806" t="s">
        <v>526</v>
      </c>
      <c r="T806" t="s">
        <v>527</v>
      </c>
      <c r="U806">
        <v>101101</v>
      </c>
      <c r="V806" t="s">
        <v>541</v>
      </c>
      <c r="W806" t="s">
        <v>529</v>
      </c>
      <c r="X806" t="s">
        <v>5499</v>
      </c>
      <c r="Y806" t="s">
        <v>5500</v>
      </c>
      <c r="AA806" t="s">
        <v>5501</v>
      </c>
      <c r="AB806" t="s">
        <v>5496</v>
      </c>
      <c r="AE806">
        <v>-34.998566029999999</v>
      </c>
      <c r="AF806">
        <v>173.46495686</v>
      </c>
      <c r="AG806">
        <v>28</v>
      </c>
      <c r="AH806">
        <v>10</v>
      </c>
      <c r="AI806">
        <v>1</v>
      </c>
      <c r="AJ806">
        <v>6</v>
      </c>
      <c r="AK806">
        <v>10</v>
      </c>
      <c r="AL806">
        <v>13</v>
      </c>
      <c r="AM806">
        <v>4</v>
      </c>
      <c r="AN806">
        <v>0</v>
      </c>
      <c r="AO806">
        <v>34</v>
      </c>
      <c r="AP806">
        <v>31</v>
      </c>
      <c r="AQ806">
        <v>13</v>
      </c>
      <c r="AR806">
        <v>0</v>
      </c>
      <c r="AS806">
        <v>2</v>
      </c>
      <c r="AT806">
        <v>2</v>
      </c>
    </row>
    <row r="807" spans="1:46">
      <c r="A807">
        <v>11561</v>
      </c>
      <c r="B807" t="s">
        <v>5502</v>
      </c>
      <c r="C807" t="s">
        <v>5181</v>
      </c>
      <c r="D807" t="s">
        <v>5182</v>
      </c>
      <c r="E807" t="s">
        <v>5503</v>
      </c>
      <c r="G807" t="s">
        <v>582</v>
      </c>
      <c r="H807" t="s">
        <v>298</v>
      </c>
      <c r="J807" t="s">
        <v>518</v>
      </c>
      <c r="K807" t="s">
        <v>519</v>
      </c>
      <c r="M807" t="s">
        <v>520</v>
      </c>
      <c r="N807" t="s">
        <v>571</v>
      </c>
      <c r="O807" t="s">
        <v>583</v>
      </c>
      <c r="P807" t="s">
        <v>584</v>
      </c>
      <c r="Q807" t="s">
        <v>524</v>
      </c>
      <c r="R807" t="s">
        <v>525</v>
      </c>
      <c r="S807" t="s">
        <v>585</v>
      </c>
      <c r="T807" t="s">
        <v>527</v>
      </c>
      <c r="U807">
        <v>106100</v>
      </c>
      <c r="V807" t="s">
        <v>5219</v>
      </c>
      <c r="W807" t="s">
        <v>587</v>
      </c>
      <c r="X807" t="s">
        <v>5186</v>
      </c>
      <c r="Y807" t="s">
        <v>5187</v>
      </c>
      <c r="AA807" t="s">
        <v>5188</v>
      </c>
      <c r="AB807" t="s">
        <v>5181</v>
      </c>
      <c r="AE807">
        <v>-35.69297151</v>
      </c>
      <c r="AF807">
        <v>174.30750209999999</v>
      </c>
      <c r="AG807">
        <v>30</v>
      </c>
      <c r="AH807">
        <v>15</v>
      </c>
      <c r="AI807">
        <v>0</v>
      </c>
      <c r="AJ807">
        <v>9</v>
      </c>
      <c r="AK807">
        <v>7</v>
      </c>
      <c r="AL807">
        <v>9</v>
      </c>
      <c r="AM807">
        <v>6</v>
      </c>
      <c r="AN807">
        <v>1</v>
      </c>
      <c r="AO807">
        <v>32</v>
      </c>
      <c r="AP807">
        <v>27</v>
      </c>
      <c r="AQ807">
        <v>3</v>
      </c>
      <c r="AR807">
        <v>0</v>
      </c>
      <c r="AS807">
        <v>4</v>
      </c>
      <c r="AT807">
        <v>3</v>
      </c>
    </row>
    <row r="808" spans="1:46">
      <c r="A808">
        <v>11565</v>
      </c>
      <c r="B808" t="s">
        <v>5504</v>
      </c>
      <c r="C808" t="s">
        <v>5505</v>
      </c>
      <c r="D808" t="s">
        <v>5506</v>
      </c>
      <c r="E808" t="s">
        <v>5507</v>
      </c>
      <c r="F808" t="s">
        <v>532</v>
      </c>
      <c r="G808" t="s">
        <v>582</v>
      </c>
      <c r="H808" t="s">
        <v>3942</v>
      </c>
      <c r="J808" t="s">
        <v>518</v>
      </c>
      <c r="K808" t="s">
        <v>519</v>
      </c>
      <c r="M808" t="s">
        <v>520</v>
      </c>
      <c r="N808" t="s">
        <v>571</v>
      </c>
      <c r="O808" t="s">
        <v>583</v>
      </c>
      <c r="P808" t="s">
        <v>584</v>
      </c>
      <c r="Q808" t="s">
        <v>524</v>
      </c>
      <c r="R808" t="s">
        <v>525</v>
      </c>
      <c r="S808" t="s">
        <v>585</v>
      </c>
      <c r="T808" t="s">
        <v>527</v>
      </c>
      <c r="U808">
        <v>105500</v>
      </c>
      <c r="V808" t="s">
        <v>4241</v>
      </c>
      <c r="W808" t="s">
        <v>587</v>
      </c>
      <c r="X808" t="s">
        <v>4436</v>
      </c>
      <c r="Y808" t="s">
        <v>3944</v>
      </c>
      <c r="Z808" t="s">
        <v>3945</v>
      </c>
      <c r="AA808" t="s">
        <v>3946</v>
      </c>
      <c r="AC808">
        <v>99182</v>
      </c>
      <c r="AD808" t="s">
        <v>588</v>
      </c>
      <c r="AE808">
        <v>-35.674933369999998</v>
      </c>
      <c r="AF808">
        <v>174.29709774</v>
      </c>
      <c r="AG808">
        <v>50</v>
      </c>
      <c r="AH808">
        <v>15</v>
      </c>
      <c r="AI808">
        <v>3</v>
      </c>
      <c r="AJ808">
        <v>9</v>
      </c>
      <c r="AK808">
        <v>21</v>
      </c>
      <c r="AL808">
        <v>12</v>
      </c>
      <c r="AM808">
        <v>7</v>
      </c>
      <c r="AN808">
        <v>1</v>
      </c>
      <c r="AO808">
        <v>53</v>
      </c>
      <c r="AP808">
        <v>30</v>
      </c>
      <c r="AQ808">
        <v>21</v>
      </c>
      <c r="AR808">
        <v>2</v>
      </c>
      <c r="AS808">
        <v>1</v>
      </c>
      <c r="AT808">
        <v>14</v>
      </c>
    </row>
    <row r="809" spans="1:46">
      <c r="A809">
        <v>11568</v>
      </c>
      <c r="B809" t="s">
        <v>5508</v>
      </c>
      <c r="C809" t="s">
        <v>5509</v>
      </c>
      <c r="E809" t="s">
        <v>5510</v>
      </c>
      <c r="G809" t="s">
        <v>3896</v>
      </c>
      <c r="H809" t="s">
        <v>343</v>
      </c>
      <c r="J809" t="s">
        <v>518</v>
      </c>
      <c r="K809" t="s">
        <v>519</v>
      </c>
      <c r="L809" t="s">
        <v>4205</v>
      </c>
      <c r="M809" t="s">
        <v>520</v>
      </c>
      <c r="N809" t="s">
        <v>727</v>
      </c>
      <c r="O809" t="s">
        <v>583</v>
      </c>
      <c r="P809" t="s">
        <v>572</v>
      </c>
      <c r="Q809" t="s">
        <v>524</v>
      </c>
      <c r="R809" t="s">
        <v>525</v>
      </c>
      <c r="S809" t="s">
        <v>526</v>
      </c>
      <c r="T809" t="s">
        <v>527</v>
      </c>
      <c r="U809">
        <v>104900</v>
      </c>
      <c r="V809" t="s">
        <v>5511</v>
      </c>
      <c r="W809" t="s">
        <v>612</v>
      </c>
      <c r="X809" t="s">
        <v>4453</v>
      </c>
      <c r="Y809" t="s">
        <v>4208</v>
      </c>
      <c r="Z809" t="s">
        <v>4209</v>
      </c>
      <c r="AA809" t="s">
        <v>4210</v>
      </c>
      <c r="AB809" t="s">
        <v>4454</v>
      </c>
      <c r="AE809">
        <v>-35.408199719999999</v>
      </c>
      <c r="AF809">
        <v>174.34298466000001</v>
      </c>
      <c r="AG809">
        <v>23</v>
      </c>
      <c r="AH809">
        <v>5</v>
      </c>
      <c r="AI809">
        <v>1</v>
      </c>
      <c r="AJ809">
        <v>4</v>
      </c>
      <c r="AK809">
        <v>5</v>
      </c>
      <c r="AL809">
        <v>9</v>
      </c>
      <c r="AM809">
        <v>4</v>
      </c>
      <c r="AN809">
        <v>0</v>
      </c>
      <c r="AO809">
        <v>23</v>
      </c>
      <c r="AP809">
        <v>0</v>
      </c>
      <c r="AQ809">
        <v>23</v>
      </c>
      <c r="AR809">
        <v>0</v>
      </c>
      <c r="AS809">
        <v>0</v>
      </c>
      <c r="AT809">
        <v>0</v>
      </c>
    </row>
    <row r="810" spans="1:46">
      <c r="A810">
        <v>13709</v>
      </c>
      <c r="B810" t="s">
        <v>5512</v>
      </c>
      <c r="C810" t="s">
        <v>5513</v>
      </c>
      <c r="D810" t="s">
        <v>5514</v>
      </c>
      <c r="E810" t="s">
        <v>5515</v>
      </c>
      <c r="G810" t="s">
        <v>5309</v>
      </c>
      <c r="H810" t="s">
        <v>517</v>
      </c>
      <c r="J810" t="s">
        <v>518</v>
      </c>
      <c r="K810" t="s">
        <v>519</v>
      </c>
      <c r="M810" t="s">
        <v>520</v>
      </c>
      <c r="N810" t="s">
        <v>571</v>
      </c>
      <c r="O810" t="s">
        <v>564</v>
      </c>
      <c r="P810" t="s">
        <v>523</v>
      </c>
      <c r="Q810" t="s">
        <v>524</v>
      </c>
      <c r="R810" t="s">
        <v>525</v>
      </c>
      <c r="S810" t="s">
        <v>526</v>
      </c>
      <c r="T810" t="s">
        <v>527</v>
      </c>
      <c r="U810">
        <v>110100</v>
      </c>
      <c r="V810" t="s">
        <v>5309</v>
      </c>
      <c r="W810" t="s">
        <v>5310</v>
      </c>
      <c r="X810" t="s">
        <v>642</v>
      </c>
      <c r="Y810" t="s">
        <v>643</v>
      </c>
      <c r="Z810" t="s">
        <v>644</v>
      </c>
      <c r="AA810" t="s">
        <v>645</v>
      </c>
      <c r="AB810" t="s">
        <v>646</v>
      </c>
      <c r="AC810">
        <v>99118</v>
      </c>
      <c r="AD810" t="s">
        <v>5315</v>
      </c>
      <c r="AE810">
        <v>-36.129058579999999</v>
      </c>
      <c r="AF810">
        <v>174.57719125</v>
      </c>
      <c r="AG810">
        <v>40</v>
      </c>
      <c r="AH810">
        <v>0</v>
      </c>
      <c r="AI810">
        <v>0</v>
      </c>
      <c r="AJ810">
        <v>0</v>
      </c>
      <c r="AK810">
        <v>0</v>
      </c>
      <c r="AL810">
        <v>0</v>
      </c>
      <c r="AM810">
        <v>40</v>
      </c>
      <c r="AN810">
        <v>12</v>
      </c>
      <c r="AO810">
        <v>52</v>
      </c>
      <c r="AP810">
        <v>50</v>
      </c>
      <c r="AQ810">
        <v>5</v>
      </c>
      <c r="AR810">
        <v>3</v>
      </c>
      <c r="AS810">
        <v>3</v>
      </c>
      <c r="AT810">
        <v>1</v>
      </c>
    </row>
    <row r="811" spans="1:46">
      <c r="A811">
        <v>16025</v>
      </c>
      <c r="B811" t="s">
        <v>5516</v>
      </c>
      <c r="C811" t="s">
        <v>5517</v>
      </c>
      <c r="D811" t="s">
        <v>5182</v>
      </c>
      <c r="E811" t="s">
        <v>5518</v>
      </c>
      <c r="G811" t="s">
        <v>516</v>
      </c>
      <c r="H811" t="s">
        <v>298</v>
      </c>
      <c r="J811" t="s">
        <v>518</v>
      </c>
      <c r="K811" t="s">
        <v>519</v>
      </c>
      <c r="M811" t="s">
        <v>520</v>
      </c>
      <c r="N811" t="s">
        <v>539</v>
      </c>
      <c r="O811" t="s">
        <v>522</v>
      </c>
      <c r="P811" t="s">
        <v>523</v>
      </c>
      <c r="Q811" t="s">
        <v>524</v>
      </c>
      <c r="R811" t="s">
        <v>525</v>
      </c>
      <c r="S811" t="s">
        <v>526</v>
      </c>
      <c r="T811" t="s">
        <v>527</v>
      </c>
      <c r="U811">
        <v>100700</v>
      </c>
      <c r="V811" t="s">
        <v>546</v>
      </c>
      <c r="W811" t="s">
        <v>529</v>
      </c>
      <c r="X811" t="s">
        <v>5186</v>
      </c>
      <c r="Y811" t="s">
        <v>5187</v>
      </c>
      <c r="AA811" t="s">
        <v>5188</v>
      </c>
      <c r="AB811" t="s">
        <v>5181</v>
      </c>
      <c r="AE811">
        <v>-35.102410149999997</v>
      </c>
      <c r="AF811">
        <v>173.26021750000001</v>
      </c>
      <c r="AG811">
        <v>25</v>
      </c>
      <c r="AH811">
        <v>10</v>
      </c>
      <c r="AI811">
        <v>1</v>
      </c>
      <c r="AJ811">
        <v>1</v>
      </c>
      <c r="AK811">
        <v>7</v>
      </c>
      <c r="AL811">
        <v>3</v>
      </c>
      <c r="AM811">
        <v>3</v>
      </c>
      <c r="AN811">
        <v>0</v>
      </c>
      <c r="AO811">
        <v>15</v>
      </c>
      <c r="AP811">
        <v>12</v>
      </c>
      <c r="AQ811">
        <v>5</v>
      </c>
      <c r="AR811">
        <v>2</v>
      </c>
      <c r="AS811">
        <v>1</v>
      </c>
      <c r="AT811">
        <v>1</v>
      </c>
    </row>
    <row r="812" spans="1:46">
      <c r="A812">
        <v>16144</v>
      </c>
      <c r="B812" t="s">
        <v>5519</v>
      </c>
      <c r="C812" t="s">
        <v>5520</v>
      </c>
      <c r="D812" t="s">
        <v>5182</v>
      </c>
      <c r="E812" t="s">
        <v>5521</v>
      </c>
      <c r="G812" t="s">
        <v>4451</v>
      </c>
      <c r="H812" t="s">
        <v>298</v>
      </c>
      <c r="J812" t="s">
        <v>518</v>
      </c>
      <c r="K812" t="s">
        <v>519</v>
      </c>
      <c r="M812" t="s">
        <v>520</v>
      </c>
      <c r="N812" t="s">
        <v>521</v>
      </c>
      <c r="O812" t="s">
        <v>522</v>
      </c>
      <c r="P812" t="s">
        <v>540</v>
      </c>
      <c r="Q812" t="s">
        <v>524</v>
      </c>
      <c r="R812" t="s">
        <v>525</v>
      </c>
      <c r="S812" t="s">
        <v>526</v>
      </c>
      <c r="T812" t="s">
        <v>527</v>
      </c>
      <c r="U812">
        <v>102100</v>
      </c>
      <c r="V812" t="s">
        <v>4452</v>
      </c>
      <c r="W812" t="s">
        <v>551</v>
      </c>
      <c r="X812" t="s">
        <v>5186</v>
      </c>
      <c r="Y812" t="s">
        <v>5187</v>
      </c>
      <c r="AA812" t="s">
        <v>5188</v>
      </c>
      <c r="AB812" t="s">
        <v>5181</v>
      </c>
      <c r="AE812">
        <v>-35.402385219999999</v>
      </c>
      <c r="AF812">
        <v>173.50541977</v>
      </c>
      <c r="AG812">
        <v>30</v>
      </c>
      <c r="AH812">
        <v>16</v>
      </c>
      <c r="AI812">
        <v>0</v>
      </c>
      <c r="AJ812">
        <v>1</v>
      </c>
      <c r="AK812">
        <v>0</v>
      </c>
      <c r="AL812">
        <v>3</v>
      </c>
      <c r="AM812">
        <v>0</v>
      </c>
      <c r="AN812">
        <v>1</v>
      </c>
      <c r="AO812">
        <v>5</v>
      </c>
      <c r="AP812">
        <v>3</v>
      </c>
      <c r="AQ812">
        <v>5</v>
      </c>
      <c r="AR812">
        <v>0</v>
      </c>
      <c r="AS812">
        <v>0</v>
      </c>
      <c r="AT812">
        <v>1</v>
      </c>
    </row>
    <row r="813" spans="1:46">
      <c r="A813">
        <v>16248</v>
      </c>
      <c r="B813" t="s">
        <v>5522</v>
      </c>
      <c r="C813" t="s">
        <v>5523</v>
      </c>
      <c r="E813" t="s">
        <v>5524</v>
      </c>
      <c r="G813" t="s">
        <v>3673</v>
      </c>
      <c r="H813" t="s">
        <v>298</v>
      </c>
      <c r="J813" t="s">
        <v>518</v>
      </c>
      <c r="K813" t="s">
        <v>519</v>
      </c>
      <c r="M813" t="s">
        <v>520</v>
      </c>
      <c r="N813" t="s">
        <v>571</v>
      </c>
      <c r="O813" t="s">
        <v>522</v>
      </c>
      <c r="P813" t="s">
        <v>523</v>
      </c>
      <c r="Q813" t="s">
        <v>524</v>
      </c>
      <c r="R813" t="s">
        <v>525</v>
      </c>
      <c r="S813" t="s">
        <v>526</v>
      </c>
      <c r="T813" t="s">
        <v>527</v>
      </c>
      <c r="U813">
        <v>102801</v>
      </c>
      <c r="V813" t="s">
        <v>4853</v>
      </c>
      <c r="W813" t="s">
        <v>558</v>
      </c>
      <c r="X813" t="s">
        <v>5186</v>
      </c>
      <c r="Y813" t="s">
        <v>5187</v>
      </c>
      <c r="AA813" t="s">
        <v>5188</v>
      </c>
      <c r="AB813" t="s">
        <v>5181</v>
      </c>
      <c r="AE813">
        <v>-35.209375219999998</v>
      </c>
      <c r="AF813">
        <v>173.96330760000001</v>
      </c>
      <c r="AG813">
        <v>30</v>
      </c>
      <c r="AH813">
        <v>15</v>
      </c>
      <c r="AI813">
        <v>3</v>
      </c>
      <c r="AJ813">
        <v>4</v>
      </c>
      <c r="AK813">
        <v>3</v>
      </c>
      <c r="AL813">
        <v>15</v>
      </c>
      <c r="AM813">
        <v>5</v>
      </c>
      <c r="AN813">
        <v>1</v>
      </c>
      <c r="AO813">
        <v>31</v>
      </c>
      <c r="AP813">
        <v>27</v>
      </c>
      <c r="AQ813">
        <v>4</v>
      </c>
      <c r="AR813">
        <v>0</v>
      </c>
      <c r="AS813">
        <v>2</v>
      </c>
      <c r="AT813">
        <v>1</v>
      </c>
    </row>
    <row r="814" spans="1:46">
      <c r="A814">
        <v>16345</v>
      </c>
      <c r="B814" t="s">
        <v>5525</v>
      </c>
      <c r="C814" t="s">
        <v>5526</v>
      </c>
      <c r="D814" t="s">
        <v>5182</v>
      </c>
      <c r="E814" t="s">
        <v>5527</v>
      </c>
      <c r="G814" t="s">
        <v>5528</v>
      </c>
      <c r="H814" t="s">
        <v>298</v>
      </c>
      <c r="J814" t="s">
        <v>518</v>
      </c>
      <c r="K814" t="s">
        <v>519</v>
      </c>
      <c r="M814" t="s">
        <v>520</v>
      </c>
      <c r="N814" t="s">
        <v>571</v>
      </c>
      <c r="O814" t="s">
        <v>522</v>
      </c>
      <c r="P814" t="s">
        <v>540</v>
      </c>
      <c r="Q814" t="s">
        <v>524</v>
      </c>
      <c r="R814" t="s">
        <v>525</v>
      </c>
      <c r="S814" t="s">
        <v>526</v>
      </c>
      <c r="T814" t="s">
        <v>527</v>
      </c>
      <c r="U814">
        <v>103800</v>
      </c>
      <c r="V814" t="s">
        <v>5528</v>
      </c>
      <c r="W814" t="s">
        <v>558</v>
      </c>
      <c r="X814" t="s">
        <v>5186</v>
      </c>
      <c r="Y814" t="s">
        <v>5187</v>
      </c>
      <c r="AA814" t="s">
        <v>5188</v>
      </c>
      <c r="AB814" t="s">
        <v>5181</v>
      </c>
      <c r="AE814">
        <v>-35.260654989999999</v>
      </c>
      <c r="AF814">
        <v>174.12274466</v>
      </c>
      <c r="AG814">
        <v>23</v>
      </c>
      <c r="AH814">
        <v>8</v>
      </c>
      <c r="AI814">
        <v>1</v>
      </c>
      <c r="AJ814">
        <v>1</v>
      </c>
      <c r="AK814">
        <v>1</v>
      </c>
      <c r="AL814">
        <v>5</v>
      </c>
      <c r="AM814">
        <v>6</v>
      </c>
      <c r="AN814">
        <v>0</v>
      </c>
      <c r="AO814">
        <v>14</v>
      </c>
      <c r="AP814">
        <v>14</v>
      </c>
      <c r="AQ814">
        <v>3</v>
      </c>
      <c r="AR814">
        <v>1</v>
      </c>
      <c r="AS814">
        <v>2</v>
      </c>
      <c r="AT814">
        <v>0</v>
      </c>
    </row>
    <row r="815" spans="1:46">
      <c r="A815">
        <v>16347</v>
      </c>
      <c r="B815" t="s">
        <v>5529</v>
      </c>
      <c r="C815" t="s">
        <v>5530</v>
      </c>
      <c r="D815" t="s">
        <v>5182</v>
      </c>
      <c r="E815" t="s">
        <v>5531</v>
      </c>
      <c r="G815" t="s">
        <v>5532</v>
      </c>
      <c r="H815" t="s">
        <v>298</v>
      </c>
      <c r="J815" t="s">
        <v>518</v>
      </c>
      <c r="K815" t="s">
        <v>519</v>
      </c>
      <c r="M815" t="s">
        <v>520</v>
      </c>
      <c r="N815" t="s">
        <v>539</v>
      </c>
      <c r="O815" t="s">
        <v>522</v>
      </c>
      <c r="P815" t="s">
        <v>523</v>
      </c>
      <c r="Q815" t="s">
        <v>524</v>
      </c>
      <c r="R815" t="s">
        <v>525</v>
      </c>
      <c r="S815" t="s">
        <v>526</v>
      </c>
      <c r="T815" t="s">
        <v>527</v>
      </c>
      <c r="U815">
        <v>104600</v>
      </c>
      <c r="V815" t="s">
        <v>5532</v>
      </c>
      <c r="W815" t="s">
        <v>558</v>
      </c>
      <c r="X815" t="s">
        <v>5186</v>
      </c>
      <c r="Y815" t="s">
        <v>5187</v>
      </c>
      <c r="AA815" t="s">
        <v>5188</v>
      </c>
      <c r="AB815" t="s">
        <v>5181</v>
      </c>
      <c r="AE815">
        <v>-35.382540749999997</v>
      </c>
      <c r="AF815">
        <v>174.06547522</v>
      </c>
      <c r="AG815">
        <v>30</v>
      </c>
      <c r="AH815">
        <v>10</v>
      </c>
      <c r="AI815">
        <v>0</v>
      </c>
      <c r="AJ815">
        <v>2</v>
      </c>
      <c r="AK815">
        <v>0</v>
      </c>
      <c r="AL815">
        <v>1</v>
      </c>
      <c r="AM815">
        <v>0</v>
      </c>
      <c r="AN815">
        <v>0</v>
      </c>
      <c r="AO815">
        <v>3</v>
      </c>
      <c r="AP815">
        <v>2</v>
      </c>
      <c r="AQ815">
        <v>1</v>
      </c>
      <c r="AR815">
        <v>2</v>
      </c>
      <c r="AS815">
        <v>0</v>
      </c>
      <c r="AT815">
        <v>0</v>
      </c>
    </row>
    <row r="816" spans="1:46">
      <c r="A816">
        <v>16462</v>
      </c>
      <c r="B816" t="s">
        <v>5533</v>
      </c>
      <c r="C816" t="s">
        <v>5181</v>
      </c>
      <c r="D816" t="s">
        <v>5182</v>
      </c>
      <c r="E816" t="s">
        <v>5534</v>
      </c>
      <c r="G816" t="s">
        <v>563</v>
      </c>
      <c r="H816" t="s">
        <v>298</v>
      </c>
      <c r="J816" t="s">
        <v>518</v>
      </c>
      <c r="K816" t="s">
        <v>519</v>
      </c>
      <c r="M816" t="s">
        <v>520</v>
      </c>
      <c r="N816" t="s">
        <v>557</v>
      </c>
      <c r="O816" t="s">
        <v>564</v>
      </c>
      <c r="P816" t="s">
        <v>523</v>
      </c>
      <c r="Q816" t="s">
        <v>524</v>
      </c>
      <c r="R816" t="s">
        <v>525</v>
      </c>
      <c r="S816" t="s">
        <v>526</v>
      </c>
      <c r="T816" t="s">
        <v>527</v>
      </c>
      <c r="U816">
        <v>109301</v>
      </c>
      <c r="V816" t="s">
        <v>563</v>
      </c>
      <c r="W816" t="s">
        <v>565</v>
      </c>
      <c r="X816" t="s">
        <v>5186</v>
      </c>
      <c r="Y816" t="s">
        <v>5187</v>
      </c>
      <c r="AA816" t="s">
        <v>5188</v>
      </c>
      <c r="AB816" t="s">
        <v>5181</v>
      </c>
      <c r="AC816">
        <v>99185</v>
      </c>
      <c r="AD816" t="s">
        <v>566</v>
      </c>
      <c r="AE816">
        <v>-35.938239039999999</v>
      </c>
      <c r="AF816">
        <v>173.86533482999999</v>
      </c>
      <c r="AG816">
        <v>30</v>
      </c>
      <c r="AH816">
        <v>15</v>
      </c>
      <c r="AI816">
        <v>1</v>
      </c>
      <c r="AJ816">
        <v>2</v>
      </c>
      <c r="AK816">
        <v>4</v>
      </c>
      <c r="AL816">
        <v>6</v>
      </c>
      <c r="AM816">
        <v>1</v>
      </c>
      <c r="AN816">
        <v>0</v>
      </c>
      <c r="AO816">
        <v>14</v>
      </c>
      <c r="AP816">
        <v>13</v>
      </c>
      <c r="AQ816">
        <v>6</v>
      </c>
      <c r="AR816">
        <v>2</v>
      </c>
      <c r="AS816">
        <v>0</v>
      </c>
      <c r="AT816">
        <v>0</v>
      </c>
    </row>
    <row r="817" spans="1:46">
      <c r="A817">
        <v>16572</v>
      </c>
      <c r="B817" t="s">
        <v>5535</v>
      </c>
      <c r="C817" t="s">
        <v>5536</v>
      </c>
      <c r="D817" t="s">
        <v>5182</v>
      </c>
      <c r="E817" t="s">
        <v>5537</v>
      </c>
      <c r="F817" t="s">
        <v>606</v>
      </c>
      <c r="G817" t="s">
        <v>582</v>
      </c>
      <c r="H817" t="s">
        <v>298</v>
      </c>
      <c r="J817" t="s">
        <v>518</v>
      </c>
      <c r="K817" t="s">
        <v>519</v>
      </c>
      <c r="M817" t="s">
        <v>520</v>
      </c>
      <c r="N817" t="s">
        <v>557</v>
      </c>
      <c r="O817" t="s">
        <v>583</v>
      </c>
      <c r="P817" t="s">
        <v>584</v>
      </c>
      <c r="Q817" t="s">
        <v>524</v>
      </c>
      <c r="R817" t="s">
        <v>525</v>
      </c>
      <c r="S817" t="s">
        <v>585</v>
      </c>
      <c r="T817" t="s">
        <v>527</v>
      </c>
      <c r="U817">
        <v>108300</v>
      </c>
      <c r="V817" t="s">
        <v>606</v>
      </c>
      <c r="W817" t="s">
        <v>587</v>
      </c>
      <c r="X817" t="s">
        <v>5186</v>
      </c>
      <c r="Y817" t="s">
        <v>5187</v>
      </c>
      <c r="AA817" t="s">
        <v>5188</v>
      </c>
      <c r="AB817" t="s">
        <v>5181</v>
      </c>
      <c r="AE817">
        <v>-35.757936800000003</v>
      </c>
      <c r="AF817">
        <v>174.36801629999999</v>
      </c>
      <c r="AG817">
        <v>30</v>
      </c>
      <c r="AH817">
        <v>15</v>
      </c>
      <c r="AI817">
        <v>29</v>
      </c>
      <c r="AJ817">
        <v>9</v>
      </c>
      <c r="AK817">
        <v>7</v>
      </c>
      <c r="AL817">
        <v>1</v>
      </c>
      <c r="AM817">
        <v>0</v>
      </c>
      <c r="AN817">
        <v>0</v>
      </c>
      <c r="AO817">
        <v>46</v>
      </c>
      <c r="AP817">
        <v>45</v>
      </c>
      <c r="AQ817">
        <v>10</v>
      </c>
      <c r="AR817">
        <v>2</v>
      </c>
      <c r="AS817">
        <v>3</v>
      </c>
      <c r="AT817">
        <v>3</v>
      </c>
    </row>
    <row r="818" spans="1:46">
      <c r="A818">
        <v>16585</v>
      </c>
      <c r="B818" t="s">
        <v>5538</v>
      </c>
      <c r="C818" t="s">
        <v>5181</v>
      </c>
      <c r="D818" t="s">
        <v>5182</v>
      </c>
      <c r="E818" t="s">
        <v>5539</v>
      </c>
      <c r="F818" t="s">
        <v>581</v>
      </c>
      <c r="G818" t="s">
        <v>582</v>
      </c>
      <c r="H818" t="s">
        <v>298</v>
      </c>
      <c r="J818" t="s">
        <v>518</v>
      </c>
      <c r="K818" t="s">
        <v>519</v>
      </c>
      <c r="M818" t="s">
        <v>520</v>
      </c>
      <c r="N818" t="s">
        <v>539</v>
      </c>
      <c r="O818" t="s">
        <v>583</v>
      </c>
      <c r="P818" t="s">
        <v>584</v>
      </c>
      <c r="Q818" t="s">
        <v>524</v>
      </c>
      <c r="R818" t="s">
        <v>525</v>
      </c>
      <c r="S818" t="s">
        <v>585</v>
      </c>
      <c r="T818" t="s">
        <v>527</v>
      </c>
      <c r="U818">
        <v>105800</v>
      </c>
      <c r="V818" t="s">
        <v>5344</v>
      </c>
      <c r="W818" t="s">
        <v>587</v>
      </c>
      <c r="X818" t="s">
        <v>5186</v>
      </c>
      <c r="Y818" t="s">
        <v>5187</v>
      </c>
      <c r="AA818" t="s">
        <v>5188</v>
      </c>
      <c r="AB818" t="s">
        <v>5181</v>
      </c>
      <c r="AE818">
        <v>-35.67967874</v>
      </c>
      <c r="AF818">
        <v>174.31588987000001</v>
      </c>
      <c r="AG818">
        <v>30</v>
      </c>
      <c r="AH818">
        <v>18</v>
      </c>
      <c r="AI818">
        <v>20</v>
      </c>
      <c r="AJ818">
        <v>5</v>
      </c>
      <c r="AK818">
        <v>7</v>
      </c>
      <c r="AL818">
        <v>1</v>
      </c>
      <c r="AM818">
        <v>4</v>
      </c>
      <c r="AN818">
        <v>0</v>
      </c>
      <c r="AO818">
        <v>37</v>
      </c>
      <c r="AP818">
        <v>36</v>
      </c>
      <c r="AQ818">
        <v>13</v>
      </c>
      <c r="AR818">
        <v>3</v>
      </c>
      <c r="AS818">
        <v>1</v>
      </c>
      <c r="AT818">
        <v>1</v>
      </c>
    </row>
    <row r="819" spans="1:46">
      <c r="A819">
        <v>16668</v>
      </c>
      <c r="B819" t="s">
        <v>5540</v>
      </c>
      <c r="C819" t="s">
        <v>5181</v>
      </c>
      <c r="D819" t="s">
        <v>5182</v>
      </c>
      <c r="E819" t="s">
        <v>5541</v>
      </c>
      <c r="F819" t="s">
        <v>5542</v>
      </c>
      <c r="G819" t="s">
        <v>582</v>
      </c>
      <c r="H819" t="s">
        <v>298</v>
      </c>
      <c r="J819" t="s">
        <v>518</v>
      </c>
      <c r="K819" t="s">
        <v>519</v>
      </c>
      <c r="M819" t="s">
        <v>520</v>
      </c>
      <c r="N819" t="s">
        <v>557</v>
      </c>
      <c r="O819" t="s">
        <v>583</v>
      </c>
      <c r="P819" t="s">
        <v>572</v>
      </c>
      <c r="Q819" t="s">
        <v>524</v>
      </c>
      <c r="R819" t="s">
        <v>525</v>
      </c>
      <c r="S819" t="s">
        <v>585</v>
      </c>
      <c r="T819" t="s">
        <v>527</v>
      </c>
      <c r="U819">
        <v>108601</v>
      </c>
      <c r="V819" t="s">
        <v>5543</v>
      </c>
      <c r="W819" t="s">
        <v>618</v>
      </c>
      <c r="X819" t="s">
        <v>5186</v>
      </c>
      <c r="Y819" t="s">
        <v>5187</v>
      </c>
      <c r="AA819" t="s">
        <v>5188</v>
      </c>
      <c r="AB819" t="s">
        <v>5181</v>
      </c>
      <c r="AC819">
        <v>99184</v>
      </c>
      <c r="AD819" t="s">
        <v>3742</v>
      </c>
      <c r="AE819">
        <v>-35.853335909999998</v>
      </c>
      <c r="AF819">
        <v>174.45195459999999</v>
      </c>
      <c r="AG819">
        <v>30</v>
      </c>
      <c r="AH819">
        <v>16</v>
      </c>
    </row>
    <row r="820" spans="1:46">
      <c r="A820">
        <v>16689</v>
      </c>
      <c r="B820" t="s">
        <v>5544</v>
      </c>
      <c r="C820" t="s">
        <v>5181</v>
      </c>
      <c r="D820" t="s">
        <v>5182</v>
      </c>
      <c r="E820" t="s">
        <v>5545</v>
      </c>
      <c r="G820" t="s">
        <v>5355</v>
      </c>
      <c r="H820" t="s">
        <v>298</v>
      </c>
      <c r="J820" t="s">
        <v>518</v>
      </c>
      <c r="K820" t="s">
        <v>519</v>
      </c>
      <c r="M820" t="s">
        <v>520</v>
      </c>
      <c r="N820" t="s">
        <v>571</v>
      </c>
      <c r="O820" t="s">
        <v>583</v>
      </c>
      <c r="P820" t="s">
        <v>523</v>
      </c>
      <c r="Q820" t="s">
        <v>524</v>
      </c>
      <c r="R820" t="s">
        <v>525</v>
      </c>
      <c r="S820" t="s">
        <v>585</v>
      </c>
      <c r="T820" t="s">
        <v>527</v>
      </c>
      <c r="U820">
        <v>109003</v>
      </c>
      <c r="V820" t="s">
        <v>5356</v>
      </c>
      <c r="W820" t="s">
        <v>618</v>
      </c>
      <c r="X820" t="s">
        <v>5186</v>
      </c>
      <c r="Y820" t="s">
        <v>5187</v>
      </c>
      <c r="AA820" t="s">
        <v>5188</v>
      </c>
      <c r="AB820" t="s">
        <v>5181</v>
      </c>
      <c r="AC820">
        <v>99184</v>
      </c>
      <c r="AD820" t="s">
        <v>3742</v>
      </c>
      <c r="AE820">
        <v>-35.98656897</v>
      </c>
      <c r="AF820">
        <v>174.44138939999999</v>
      </c>
      <c r="AG820">
        <v>30</v>
      </c>
      <c r="AH820">
        <v>16</v>
      </c>
      <c r="AI820">
        <v>3</v>
      </c>
      <c r="AJ820">
        <v>6</v>
      </c>
      <c r="AK820">
        <v>4</v>
      </c>
      <c r="AL820">
        <v>5</v>
      </c>
      <c r="AM820">
        <v>5</v>
      </c>
      <c r="AN820">
        <v>0</v>
      </c>
      <c r="AO820">
        <v>23</v>
      </c>
      <c r="AP820">
        <v>22</v>
      </c>
      <c r="AQ820">
        <v>1</v>
      </c>
      <c r="AR820">
        <v>0</v>
      </c>
      <c r="AS820">
        <v>1</v>
      </c>
      <c r="AT820">
        <v>1</v>
      </c>
    </row>
    <row r="821" spans="1:46">
      <c r="A821">
        <v>16765</v>
      </c>
      <c r="B821" t="s">
        <v>5546</v>
      </c>
      <c r="C821" t="s">
        <v>5547</v>
      </c>
      <c r="D821" t="s">
        <v>5182</v>
      </c>
      <c r="E821" t="s">
        <v>5548</v>
      </c>
      <c r="G821" t="s">
        <v>5549</v>
      </c>
      <c r="H821" t="s">
        <v>298</v>
      </c>
      <c r="J821" t="s">
        <v>518</v>
      </c>
      <c r="K821" t="s">
        <v>519</v>
      </c>
      <c r="M821" t="s">
        <v>520</v>
      </c>
      <c r="N821" t="s">
        <v>571</v>
      </c>
      <c r="O821" t="s">
        <v>564</v>
      </c>
      <c r="P821" t="s">
        <v>540</v>
      </c>
      <c r="Q821" t="s">
        <v>524</v>
      </c>
      <c r="R821" t="s">
        <v>525</v>
      </c>
      <c r="S821" t="s">
        <v>526</v>
      </c>
      <c r="T821" t="s">
        <v>527</v>
      </c>
      <c r="U821">
        <v>109700</v>
      </c>
      <c r="V821" t="s">
        <v>5549</v>
      </c>
      <c r="W821" t="s">
        <v>5310</v>
      </c>
      <c r="X821" t="s">
        <v>5186</v>
      </c>
      <c r="Y821" t="s">
        <v>5187</v>
      </c>
      <c r="AA821" t="s">
        <v>5188</v>
      </c>
      <c r="AB821" t="s">
        <v>5181</v>
      </c>
      <c r="AE821">
        <v>-36.170739519999998</v>
      </c>
      <c r="AF821">
        <v>174.44518586000001</v>
      </c>
      <c r="AG821">
        <v>25</v>
      </c>
      <c r="AH821">
        <v>15</v>
      </c>
      <c r="AI821">
        <v>1</v>
      </c>
      <c r="AJ821">
        <v>5</v>
      </c>
      <c r="AK821">
        <v>1</v>
      </c>
      <c r="AL821">
        <v>2</v>
      </c>
      <c r="AM821">
        <v>4</v>
      </c>
      <c r="AN821">
        <v>1</v>
      </c>
      <c r="AO821">
        <v>14</v>
      </c>
      <c r="AP821">
        <v>12</v>
      </c>
      <c r="AQ821">
        <v>2</v>
      </c>
      <c r="AR821">
        <v>0</v>
      </c>
      <c r="AS821">
        <v>2</v>
      </c>
      <c r="AT821">
        <v>0</v>
      </c>
    </row>
    <row r="822" spans="1:46">
      <c r="A822">
        <v>16766</v>
      </c>
      <c r="B822" t="s">
        <v>5550</v>
      </c>
      <c r="C822" t="s">
        <v>5181</v>
      </c>
      <c r="D822" t="s">
        <v>5182</v>
      </c>
      <c r="E822" t="s">
        <v>5551</v>
      </c>
      <c r="F822" t="s">
        <v>5552</v>
      </c>
      <c r="G822" t="s">
        <v>582</v>
      </c>
      <c r="H822" t="s">
        <v>298</v>
      </c>
      <c r="J822" t="s">
        <v>518</v>
      </c>
      <c r="K822" t="s">
        <v>519</v>
      </c>
      <c r="M822" t="s">
        <v>520</v>
      </c>
      <c r="N822" t="s">
        <v>539</v>
      </c>
      <c r="O822" t="s">
        <v>583</v>
      </c>
      <c r="P822" t="s">
        <v>584</v>
      </c>
      <c r="Q822" t="s">
        <v>524</v>
      </c>
      <c r="R822" t="s">
        <v>525</v>
      </c>
      <c r="S822" t="s">
        <v>585</v>
      </c>
      <c r="T822" t="s">
        <v>527</v>
      </c>
      <c r="U822">
        <v>106902</v>
      </c>
      <c r="V822" t="s">
        <v>4419</v>
      </c>
      <c r="W822" t="s">
        <v>587</v>
      </c>
      <c r="X822" t="s">
        <v>5186</v>
      </c>
      <c r="Y822" t="s">
        <v>5187</v>
      </c>
      <c r="AA822" t="s">
        <v>5188</v>
      </c>
      <c r="AB822" t="s">
        <v>5181</v>
      </c>
      <c r="AE822">
        <v>-35.736389709999997</v>
      </c>
      <c r="AF822">
        <v>174.30824296</v>
      </c>
      <c r="AG822">
        <v>19</v>
      </c>
      <c r="AH822">
        <v>15</v>
      </c>
      <c r="AI822">
        <v>1</v>
      </c>
      <c r="AJ822">
        <v>5</v>
      </c>
      <c r="AK822">
        <v>3</v>
      </c>
      <c r="AL822">
        <v>3</v>
      </c>
      <c r="AM822">
        <v>2</v>
      </c>
      <c r="AN822">
        <v>1</v>
      </c>
      <c r="AO822">
        <v>15</v>
      </c>
      <c r="AP822">
        <v>14</v>
      </c>
      <c r="AQ822">
        <v>2</v>
      </c>
      <c r="AR822">
        <v>1</v>
      </c>
      <c r="AS822">
        <v>1</v>
      </c>
      <c r="AT822">
        <v>2</v>
      </c>
    </row>
    <row r="823" spans="1:46">
      <c r="A823">
        <v>17021</v>
      </c>
      <c r="B823" t="s">
        <v>5553</v>
      </c>
      <c r="C823" t="s">
        <v>5181</v>
      </c>
      <c r="D823" t="s">
        <v>5182</v>
      </c>
      <c r="E823" t="s">
        <v>5554</v>
      </c>
      <c r="G823" t="s">
        <v>4140</v>
      </c>
      <c r="H823" t="s">
        <v>298</v>
      </c>
      <c r="J823" t="s">
        <v>518</v>
      </c>
      <c r="K823" t="s">
        <v>519</v>
      </c>
      <c r="M823" t="s">
        <v>520</v>
      </c>
      <c r="N823" t="s">
        <v>571</v>
      </c>
      <c r="O823" t="s">
        <v>522</v>
      </c>
      <c r="P823" t="s">
        <v>540</v>
      </c>
      <c r="Q823" t="s">
        <v>524</v>
      </c>
      <c r="R823" t="s">
        <v>525</v>
      </c>
      <c r="S823" t="s">
        <v>526</v>
      </c>
      <c r="T823" t="s">
        <v>527</v>
      </c>
      <c r="U823">
        <v>100200</v>
      </c>
      <c r="V823" t="s">
        <v>4141</v>
      </c>
      <c r="W823" t="s">
        <v>529</v>
      </c>
      <c r="X823" t="s">
        <v>5186</v>
      </c>
      <c r="Y823" t="s">
        <v>5187</v>
      </c>
      <c r="AA823" t="s">
        <v>5188</v>
      </c>
      <c r="AB823" t="s">
        <v>5181</v>
      </c>
      <c r="AE823">
        <v>-35.039526119999998</v>
      </c>
      <c r="AF823">
        <v>173.25484940999999</v>
      </c>
      <c r="AG823">
        <v>25</v>
      </c>
      <c r="AH823">
        <v>10</v>
      </c>
      <c r="AI823">
        <v>0</v>
      </c>
      <c r="AJ823">
        <v>0</v>
      </c>
      <c r="AK823">
        <v>2</v>
      </c>
      <c r="AL823">
        <v>1</v>
      </c>
      <c r="AM823">
        <v>2</v>
      </c>
      <c r="AN823">
        <v>3</v>
      </c>
      <c r="AO823">
        <v>8</v>
      </c>
      <c r="AP823">
        <v>5</v>
      </c>
      <c r="AQ823">
        <v>4</v>
      </c>
      <c r="AR823">
        <v>0</v>
      </c>
      <c r="AS823">
        <v>0</v>
      </c>
      <c r="AT823">
        <v>0</v>
      </c>
    </row>
    <row r="824" spans="1:46">
      <c r="A824">
        <v>17027</v>
      </c>
      <c r="B824" t="s">
        <v>5555</v>
      </c>
      <c r="C824" t="s">
        <v>5556</v>
      </c>
      <c r="D824" t="s">
        <v>5182</v>
      </c>
      <c r="E824" t="s">
        <v>5557</v>
      </c>
      <c r="F824" t="s">
        <v>5558</v>
      </c>
      <c r="G824" t="s">
        <v>516</v>
      </c>
      <c r="H824" t="s">
        <v>298</v>
      </c>
      <c r="J824" t="s">
        <v>518</v>
      </c>
      <c r="K824" t="s">
        <v>519</v>
      </c>
      <c r="M824" t="s">
        <v>520</v>
      </c>
      <c r="N824" t="s">
        <v>557</v>
      </c>
      <c r="O824" t="s">
        <v>522</v>
      </c>
      <c r="P824" t="s">
        <v>572</v>
      </c>
      <c r="Q824" t="s">
        <v>524</v>
      </c>
      <c r="R824" t="s">
        <v>525</v>
      </c>
      <c r="S824" t="s">
        <v>526</v>
      </c>
      <c r="T824" t="s">
        <v>527</v>
      </c>
      <c r="U824">
        <v>100900</v>
      </c>
      <c r="V824" t="s">
        <v>5559</v>
      </c>
      <c r="W824" t="s">
        <v>529</v>
      </c>
      <c r="X824" t="s">
        <v>5186</v>
      </c>
      <c r="Y824" t="s">
        <v>5187</v>
      </c>
      <c r="AA824" t="s">
        <v>5188</v>
      </c>
      <c r="AB824" t="s">
        <v>5181</v>
      </c>
      <c r="AE824">
        <v>-35.132834920000001</v>
      </c>
      <c r="AF824">
        <v>173.35156648</v>
      </c>
      <c r="AG824">
        <v>28</v>
      </c>
      <c r="AH824">
        <v>15</v>
      </c>
      <c r="AI824">
        <v>1</v>
      </c>
      <c r="AJ824">
        <v>2</v>
      </c>
      <c r="AK824">
        <v>2</v>
      </c>
      <c r="AL824">
        <v>2</v>
      </c>
      <c r="AM824">
        <v>1</v>
      </c>
      <c r="AN824">
        <v>0</v>
      </c>
      <c r="AO824">
        <v>8</v>
      </c>
      <c r="AP824">
        <v>7</v>
      </c>
      <c r="AQ824">
        <v>1</v>
      </c>
      <c r="AR824">
        <v>0</v>
      </c>
      <c r="AS824">
        <v>0</v>
      </c>
      <c r="AT824">
        <v>0</v>
      </c>
    </row>
    <row r="825" spans="1:46">
      <c r="A825">
        <v>17028</v>
      </c>
      <c r="B825" t="s">
        <v>5560</v>
      </c>
      <c r="C825" t="s">
        <v>5556</v>
      </c>
      <c r="D825" t="s">
        <v>5182</v>
      </c>
      <c r="E825" t="s">
        <v>5561</v>
      </c>
      <c r="G825" t="s">
        <v>516</v>
      </c>
      <c r="H825" t="s">
        <v>298</v>
      </c>
      <c r="J825" t="s">
        <v>518</v>
      </c>
      <c r="K825" t="s">
        <v>519</v>
      </c>
      <c r="M825" t="s">
        <v>520</v>
      </c>
      <c r="N825" t="s">
        <v>521</v>
      </c>
      <c r="O825" t="s">
        <v>522</v>
      </c>
      <c r="P825" t="s">
        <v>572</v>
      </c>
      <c r="Q825" t="s">
        <v>524</v>
      </c>
      <c r="R825" t="s">
        <v>525</v>
      </c>
      <c r="S825" t="s">
        <v>526</v>
      </c>
      <c r="T825" t="s">
        <v>527</v>
      </c>
      <c r="U825">
        <v>101300</v>
      </c>
      <c r="V825" t="s">
        <v>5562</v>
      </c>
      <c r="W825" t="s">
        <v>529</v>
      </c>
      <c r="X825" t="s">
        <v>5186</v>
      </c>
      <c r="Y825" t="s">
        <v>5187</v>
      </c>
      <c r="AA825" t="s">
        <v>5188</v>
      </c>
      <c r="AB825" t="s">
        <v>5181</v>
      </c>
      <c r="AE825">
        <v>-35.098404799999997</v>
      </c>
      <c r="AF825">
        <v>173.48774922000001</v>
      </c>
      <c r="AG825">
        <v>23</v>
      </c>
      <c r="AH825">
        <v>8</v>
      </c>
      <c r="AI825">
        <v>0</v>
      </c>
      <c r="AJ825">
        <v>3</v>
      </c>
      <c r="AK825">
        <v>1</v>
      </c>
      <c r="AL825">
        <v>5</v>
      </c>
      <c r="AM825">
        <v>1</v>
      </c>
      <c r="AN825">
        <v>0</v>
      </c>
      <c r="AO825">
        <v>10</v>
      </c>
      <c r="AP825">
        <v>10</v>
      </c>
      <c r="AQ825">
        <v>2</v>
      </c>
      <c r="AR825">
        <v>0</v>
      </c>
      <c r="AS825">
        <v>0</v>
      </c>
      <c r="AT825">
        <v>0</v>
      </c>
    </row>
    <row r="826" spans="1:46">
      <c r="A826">
        <v>17126</v>
      </c>
      <c r="B826" t="s">
        <v>5563</v>
      </c>
      <c r="C826" t="s">
        <v>5181</v>
      </c>
      <c r="D826" t="s">
        <v>5182</v>
      </c>
      <c r="E826" t="s">
        <v>5564</v>
      </c>
      <c r="G826" t="s">
        <v>5565</v>
      </c>
      <c r="H826" t="s">
        <v>298</v>
      </c>
      <c r="J826" t="s">
        <v>518</v>
      </c>
      <c r="K826" t="s">
        <v>519</v>
      </c>
      <c r="M826" t="s">
        <v>520</v>
      </c>
      <c r="N826" t="s">
        <v>557</v>
      </c>
      <c r="O826" t="s">
        <v>522</v>
      </c>
      <c r="P826" t="s">
        <v>540</v>
      </c>
      <c r="Q826" t="s">
        <v>524</v>
      </c>
      <c r="R826" t="s">
        <v>525</v>
      </c>
      <c r="S826" t="s">
        <v>526</v>
      </c>
      <c r="T826" t="s">
        <v>527</v>
      </c>
      <c r="U826">
        <v>101700</v>
      </c>
      <c r="V826" t="s">
        <v>5566</v>
      </c>
      <c r="W826" t="s">
        <v>551</v>
      </c>
      <c r="X826" t="s">
        <v>5186</v>
      </c>
      <c r="Y826" t="s">
        <v>5187</v>
      </c>
      <c r="AA826" t="s">
        <v>5188</v>
      </c>
      <c r="AB826" t="s">
        <v>5181</v>
      </c>
      <c r="AE826">
        <v>-35.360857350000003</v>
      </c>
      <c r="AF826">
        <v>173.54429956000001</v>
      </c>
      <c r="AG826">
        <v>20</v>
      </c>
      <c r="AH826">
        <v>8</v>
      </c>
      <c r="AI826">
        <v>0</v>
      </c>
      <c r="AJ826">
        <v>1</v>
      </c>
      <c r="AK826">
        <v>0</v>
      </c>
      <c r="AL826">
        <v>2</v>
      </c>
      <c r="AM826">
        <v>0</v>
      </c>
      <c r="AN826">
        <v>0</v>
      </c>
      <c r="AO826">
        <v>3</v>
      </c>
      <c r="AP826">
        <v>2</v>
      </c>
      <c r="AQ826">
        <v>3</v>
      </c>
      <c r="AR826">
        <v>0</v>
      </c>
      <c r="AS826">
        <v>0</v>
      </c>
      <c r="AT826">
        <v>0</v>
      </c>
    </row>
    <row r="827" spans="1:46">
      <c r="A827">
        <v>17146</v>
      </c>
      <c r="B827" t="s">
        <v>5567</v>
      </c>
      <c r="C827" t="s">
        <v>5568</v>
      </c>
      <c r="D827" t="s">
        <v>5182</v>
      </c>
      <c r="E827" t="s">
        <v>5569</v>
      </c>
      <c r="G827" t="s">
        <v>5570</v>
      </c>
      <c r="H827" t="s">
        <v>298</v>
      </c>
      <c r="I827" t="s">
        <v>4951</v>
      </c>
      <c r="J827" t="s">
        <v>518</v>
      </c>
      <c r="K827" t="s">
        <v>519</v>
      </c>
      <c r="M827" t="s">
        <v>520</v>
      </c>
      <c r="N827" t="s">
        <v>727</v>
      </c>
      <c r="O827" t="s">
        <v>522</v>
      </c>
      <c r="P827" t="s">
        <v>572</v>
      </c>
      <c r="Q827" t="s">
        <v>524</v>
      </c>
      <c r="R827" t="s">
        <v>525</v>
      </c>
      <c r="S827" t="s">
        <v>526</v>
      </c>
      <c r="T827" t="s">
        <v>527</v>
      </c>
      <c r="U827">
        <v>102700</v>
      </c>
      <c r="V827" t="s">
        <v>5427</v>
      </c>
      <c r="W827" t="s">
        <v>551</v>
      </c>
      <c r="X827" t="s">
        <v>5186</v>
      </c>
      <c r="Y827" t="s">
        <v>5187</v>
      </c>
      <c r="AA827" t="s">
        <v>5188</v>
      </c>
      <c r="AB827" t="s">
        <v>5181</v>
      </c>
      <c r="AE827">
        <v>-35.456890549999997</v>
      </c>
      <c r="AF827">
        <v>173.52406059</v>
      </c>
      <c r="AG827">
        <v>20</v>
      </c>
      <c r="AH827">
        <v>5</v>
      </c>
      <c r="AI827">
        <v>1</v>
      </c>
      <c r="AJ827">
        <v>4</v>
      </c>
      <c r="AK827">
        <v>2</v>
      </c>
      <c r="AL827">
        <v>4</v>
      </c>
      <c r="AM827">
        <v>3</v>
      </c>
      <c r="AN827">
        <v>0</v>
      </c>
      <c r="AO827">
        <v>14</v>
      </c>
      <c r="AP827">
        <v>7</v>
      </c>
      <c r="AQ827">
        <v>13</v>
      </c>
      <c r="AR827">
        <v>0</v>
      </c>
      <c r="AS827">
        <v>2</v>
      </c>
      <c r="AT827">
        <v>0</v>
      </c>
    </row>
    <row r="828" spans="1:46">
      <c r="A828">
        <v>17151</v>
      </c>
      <c r="B828" t="s">
        <v>5571</v>
      </c>
      <c r="C828" t="s">
        <v>5572</v>
      </c>
      <c r="D828" t="s">
        <v>5182</v>
      </c>
      <c r="E828" t="s">
        <v>5573</v>
      </c>
      <c r="G828" t="s">
        <v>5574</v>
      </c>
      <c r="H828" t="s">
        <v>298</v>
      </c>
      <c r="J828" t="s">
        <v>518</v>
      </c>
      <c r="K828" t="s">
        <v>519</v>
      </c>
      <c r="M828" t="s">
        <v>520</v>
      </c>
      <c r="N828" t="s">
        <v>557</v>
      </c>
      <c r="O828" t="s">
        <v>522</v>
      </c>
      <c r="P828" t="s">
        <v>540</v>
      </c>
      <c r="Q828" t="s">
        <v>524</v>
      </c>
      <c r="R828" t="s">
        <v>525</v>
      </c>
      <c r="S828" t="s">
        <v>526</v>
      </c>
      <c r="T828" t="s">
        <v>527</v>
      </c>
      <c r="U828">
        <v>103200</v>
      </c>
      <c r="V828" t="s">
        <v>5575</v>
      </c>
      <c r="W828" t="s">
        <v>551</v>
      </c>
      <c r="X828" t="s">
        <v>5186</v>
      </c>
      <c r="Y828" t="s">
        <v>5187</v>
      </c>
      <c r="AA828" t="s">
        <v>5188</v>
      </c>
      <c r="AB828" t="s">
        <v>5181</v>
      </c>
      <c r="AE828">
        <v>-35.35234947</v>
      </c>
      <c r="AF828">
        <v>173.88307166000001</v>
      </c>
      <c r="AG828">
        <v>20</v>
      </c>
      <c r="AH828">
        <v>10</v>
      </c>
    </row>
    <row r="829" spans="1:46">
      <c r="A829">
        <v>17153</v>
      </c>
      <c r="B829" t="s">
        <v>5576</v>
      </c>
      <c r="C829" t="s">
        <v>5577</v>
      </c>
      <c r="D829" t="s">
        <v>5182</v>
      </c>
      <c r="E829" t="s">
        <v>5578</v>
      </c>
      <c r="G829" t="s">
        <v>5579</v>
      </c>
      <c r="H829" t="s">
        <v>298</v>
      </c>
      <c r="J829" t="s">
        <v>518</v>
      </c>
      <c r="K829" t="s">
        <v>519</v>
      </c>
      <c r="M829" t="s">
        <v>520</v>
      </c>
      <c r="N829" t="s">
        <v>539</v>
      </c>
      <c r="O829" t="s">
        <v>522</v>
      </c>
      <c r="P829" t="s">
        <v>572</v>
      </c>
      <c r="Q829" t="s">
        <v>524</v>
      </c>
      <c r="R829" t="s">
        <v>525</v>
      </c>
      <c r="S829" t="s">
        <v>526</v>
      </c>
      <c r="T829" t="s">
        <v>527</v>
      </c>
      <c r="U829">
        <v>102900</v>
      </c>
      <c r="V829" t="s">
        <v>5580</v>
      </c>
      <c r="W829" t="s">
        <v>551</v>
      </c>
      <c r="X829" t="s">
        <v>5186</v>
      </c>
      <c r="Y829" t="s">
        <v>5187</v>
      </c>
      <c r="AA829" t="s">
        <v>5188</v>
      </c>
      <c r="AB829" t="s">
        <v>5181</v>
      </c>
      <c r="AE829">
        <v>-35.555998019999997</v>
      </c>
      <c r="AF829">
        <v>173.47398303</v>
      </c>
      <c r="AG829">
        <v>30</v>
      </c>
      <c r="AH829">
        <v>8</v>
      </c>
      <c r="AI829">
        <v>1</v>
      </c>
      <c r="AJ829">
        <v>2</v>
      </c>
      <c r="AK829">
        <v>0</v>
      </c>
      <c r="AL829">
        <v>1</v>
      </c>
      <c r="AM829">
        <v>2</v>
      </c>
      <c r="AN829">
        <v>0</v>
      </c>
      <c r="AO829">
        <v>6</v>
      </c>
      <c r="AP829">
        <v>6</v>
      </c>
      <c r="AQ829">
        <v>0</v>
      </c>
      <c r="AR829">
        <v>0</v>
      </c>
      <c r="AS829">
        <v>0</v>
      </c>
      <c r="AT829">
        <v>0</v>
      </c>
    </row>
    <row r="830" spans="1:46">
      <c r="A830">
        <v>17241</v>
      </c>
      <c r="B830" t="s">
        <v>5581</v>
      </c>
      <c r="C830" t="s">
        <v>5582</v>
      </c>
      <c r="D830" t="s">
        <v>5182</v>
      </c>
      <c r="E830" t="s">
        <v>5444</v>
      </c>
      <c r="G830" t="s">
        <v>4678</v>
      </c>
      <c r="H830" t="s">
        <v>298</v>
      </c>
      <c r="J830" t="s">
        <v>518</v>
      </c>
      <c r="K830" t="s">
        <v>519</v>
      </c>
      <c r="M830" t="s">
        <v>520</v>
      </c>
      <c r="N830" t="s">
        <v>557</v>
      </c>
      <c r="O830" t="s">
        <v>522</v>
      </c>
      <c r="P830" t="s">
        <v>540</v>
      </c>
      <c r="Q830" t="s">
        <v>524</v>
      </c>
      <c r="R830" t="s">
        <v>525</v>
      </c>
      <c r="S830" t="s">
        <v>526</v>
      </c>
      <c r="T830" t="s">
        <v>527</v>
      </c>
      <c r="U830">
        <v>101900</v>
      </c>
      <c r="V830" t="s">
        <v>4679</v>
      </c>
      <c r="W830" t="s">
        <v>558</v>
      </c>
      <c r="X830" t="s">
        <v>5186</v>
      </c>
      <c r="Y830" t="s">
        <v>5187</v>
      </c>
      <c r="AA830" t="s">
        <v>5188</v>
      </c>
      <c r="AB830" t="s">
        <v>5181</v>
      </c>
      <c r="AE830">
        <v>-35.100344419999999</v>
      </c>
      <c r="AF830">
        <v>173.78759368999999</v>
      </c>
      <c r="AG830">
        <v>28</v>
      </c>
      <c r="AH830">
        <v>10</v>
      </c>
      <c r="AI830">
        <v>0</v>
      </c>
      <c r="AJ830">
        <v>1</v>
      </c>
      <c r="AK830">
        <v>0</v>
      </c>
      <c r="AL830">
        <v>3</v>
      </c>
      <c r="AM830">
        <v>0</v>
      </c>
      <c r="AN830">
        <v>0</v>
      </c>
      <c r="AO830">
        <v>4</v>
      </c>
      <c r="AP830">
        <v>3</v>
      </c>
      <c r="AQ830">
        <v>2</v>
      </c>
      <c r="AR830">
        <v>0</v>
      </c>
      <c r="AS830">
        <v>0</v>
      </c>
      <c r="AT830">
        <v>0</v>
      </c>
    </row>
    <row r="831" spans="1:46">
      <c r="A831">
        <v>17464</v>
      </c>
      <c r="B831" t="s">
        <v>5583</v>
      </c>
      <c r="C831" t="s">
        <v>5181</v>
      </c>
      <c r="D831" t="s">
        <v>5182</v>
      </c>
      <c r="E831" t="s">
        <v>5584</v>
      </c>
      <c r="G831" t="s">
        <v>5585</v>
      </c>
      <c r="H831" t="s">
        <v>298</v>
      </c>
      <c r="J831" t="s">
        <v>518</v>
      </c>
      <c r="K831" t="s">
        <v>519</v>
      </c>
      <c r="M831" t="s">
        <v>520</v>
      </c>
      <c r="N831" t="s">
        <v>571</v>
      </c>
      <c r="O831" t="s">
        <v>564</v>
      </c>
      <c r="P831" t="s">
        <v>572</v>
      </c>
      <c r="Q831" t="s">
        <v>524</v>
      </c>
      <c r="R831" t="s">
        <v>525</v>
      </c>
      <c r="S831" t="s">
        <v>526</v>
      </c>
      <c r="T831" t="s">
        <v>527</v>
      </c>
      <c r="U831">
        <v>109101</v>
      </c>
      <c r="V831" t="s">
        <v>5185</v>
      </c>
      <c r="W831" t="s">
        <v>565</v>
      </c>
      <c r="X831" t="s">
        <v>5186</v>
      </c>
      <c r="Y831" t="s">
        <v>5187</v>
      </c>
      <c r="AA831" t="s">
        <v>5188</v>
      </c>
      <c r="AB831" t="s">
        <v>5181</v>
      </c>
      <c r="AC831">
        <v>99185</v>
      </c>
      <c r="AD831" t="s">
        <v>566</v>
      </c>
      <c r="AE831">
        <v>-35.834599599999997</v>
      </c>
      <c r="AF831">
        <v>173.75339299999999</v>
      </c>
      <c r="AG831">
        <v>30</v>
      </c>
      <c r="AH831">
        <v>12</v>
      </c>
      <c r="AI831">
        <v>0</v>
      </c>
      <c r="AJ831">
        <v>2</v>
      </c>
      <c r="AK831">
        <v>1</v>
      </c>
      <c r="AL831">
        <v>2</v>
      </c>
      <c r="AM831">
        <v>4</v>
      </c>
      <c r="AN831">
        <v>0</v>
      </c>
      <c r="AO831">
        <v>9</v>
      </c>
      <c r="AP831">
        <v>9</v>
      </c>
      <c r="AQ831">
        <v>3</v>
      </c>
      <c r="AR831">
        <v>0</v>
      </c>
      <c r="AS831">
        <v>0</v>
      </c>
      <c r="AT831">
        <v>0</v>
      </c>
    </row>
    <row r="832" spans="1:46">
      <c r="A832">
        <v>17663</v>
      </c>
      <c r="B832" t="s">
        <v>5586</v>
      </c>
      <c r="C832" t="s">
        <v>5181</v>
      </c>
      <c r="D832" t="s">
        <v>5182</v>
      </c>
      <c r="E832" t="s">
        <v>5587</v>
      </c>
      <c r="G832" t="s">
        <v>5588</v>
      </c>
      <c r="H832" t="s">
        <v>298</v>
      </c>
      <c r="J832" t="s">
        <v>518</v>
      </c>
      <c r="K832" t="s">
        <v>519</v>
      </c>
      <c r="M832" t="s">
        <v>520</v>
      </c>
      <c r="N832" t="s">
        <v>557</v>
      </c>
      <c r="O832" t="s">
        <v>583</v>
      </c>
      <c r="P832" t="s">
        <v>572</v>
      </c>
      <c r="Q832" t="s">
        <v>524</v>
      </c>
      <c r="R832" t="s">
        <v>525</v>
      </c>
      <c r="S832" t="s">
        <v>526</v>
      </c>
      <c r="T832" t="s">
        <v>527</v>
      </c>
      <c r="U832">
        <v>104800</v>
      </c>
      <c r="V832" t="s">
        <v>5301</v>
      </c>
      <c r="W832" t="s">
        <v>612</v>
      </c>
      <c r="X832" t="s">
        <v>5186</v>
      </c>
      <c r="Y832" t="s">
        <v>5187</v>
      </c>
      <c r="AA832" t="s">
        <v>5188</v>
      </c>
      <c r="AB832" t="s">
        <v>5181</v>
      </c>
      <c r="AE832">
        <v>-35.520713319999999</v>
      </c>
      <c r="AF832">
        <v>174.19675237000001</v>
      </c>
      <c r="AG832">
        <v>25</v>
      </c>
      <c r="AH832">
        <v>12</v>
      </c>
      <c r="AI832">
        <v>2</v>
      </c>
      <c r="AJ832">
        <v>6</v>
      </c>
      <c r="AK832">
        <v>7</v>
      </c>
      <c r="AL832">
        <v>2</v>
      </c>
      <c r="AM832">
        <v>6</v>
      </c>
      <c r="AN832">
        <v>0</v>
      </c>
      <c r="AO832">
        <v>23</v>
      </c>
      <c r="AP832">
        <v>23</v>
      </c>
      <c r="AQ832">
        <v>3</v>
      </c>
      <c r="AR832">
        <v>0</v>
      </c>
      <c r="AS832">
        <v>0</v>
      </c>
      <c r="AT832">
        <v>0</v>
      </c>
    </row>
    <row r="833" spans="1:46">
      <c r="A833">
        <v>17669</v>
      </c>
      <c r="B833" t="s">
        <v>5589</v>
      </c>
      <c r="C833" t="s">
        <v>5181</v>
      </c>
      <c r="D833" t="s">
        <v>5182</v>
      </c>
      <c r="E833" t="s">
        <v>5590</v>
      </c>
      <c r="G833" t="s">
        <v>5591</v>
      </c>
      <c r="H833" t="s">
        <v>298</v>
      </c>
      <c r="J833" t="s">
        <v>518</v>
      </c>
      <c r="K833" t="s">
        <v>519</v>
      </c>
      <c r="M833" t="s">
        <v>520</v>
      </c>
      <c r="N833" t="s">
        <v>571</v>
      </c>
      <c r="O833" t="s">
        <v>583</v>
      </c>
      <c r="P833" t="s">
        <v>540</v>
      </c>
      <c r="Q833" t="s">
        <v>524</v>
      </c>
      <c r="R833" t="s">
        <v>525</v>
      </c>
      <c r="S833" t="s">
        <v>526</v>
      </c>
      <c r="T833" t="s">
        <v>527</v>
      </c>
      <c r="U833">
        <v>107800</v>
      </c>
      <c r="V833" t="s">
        <v>5592</v>
      </c>
      <c r="W833" t="s">
        <v>618</v>
      </c>
      <c r="X833" t="s">
        <v>5186</v>
      </c>
      <c r="Y833" t="s">
        <v>5187</v>
      </c>
      <c r="AA833" t="s">
        <v>5188</v>
      </c>
      <c r="AB833" t="s">
        <v>5181</v>
      </c>
      <c r="AC833">
        <v>99183</v>
      </c>
      <c r="AD833" t="s">
        <v>619</v>
      </c>
      <c r="AE833">
        <v>-35.844798359999999</v>
      </c>
      <c r="AF833">
        <v>174.20427447</v>
      </c>
      <c r="AG833">
        <v>26</v>
      </c>
      <c r="AH833">
        <v>12</v>
      </c>
      <c r="AI833">
        <v>1</v>
      </c>
      <c r="AJ833">
        <v>2</v>
      </c>
      <c r="AK833">
        <v>2</v>
      </c>
      <c r="AL833">
        <v>1</v>
      </c>
      <c r="AM833">
        <v>5</v>
      </c>
      <c r="AN833">
        <v>0</v>
      </c>
      <c r="AO833">
        <v>11</v>
      </c>
      <c r="AP833">
        <v>11</v>
      </c>
      <c r="AQ833">
        <v>2</v>
      </c>
      <c r="AR833">
        <v>1</v>
      </c>
      <c r="AS833">
        <v>0</v>
      </c>
      <c r="AT833">
        <v>0</v>
      </c>
    </row>
    <row r="834" spans="1:46">
      <c r="A834">
        <v>17670</v>
      </c>
      <c r="B834" t="s">
        <v>5593</v>
      </c>
      <c r="C834" t="s">
        <v>5181</v>
      </c>
      <c r="D834" t="s">
        <v>5182</v>
      </c>
      <c r="E834" t="s">
        <v>5300</v>
      </c>
      <c r="G834" t="s">
        <v>5594</v>
      </c>
      <c r="H834" t="s">
        <v>298</v>
      </c>
      <c r="J834" t="s">
        <v>518</v>
      </c>
      <c r="K834" t="s">
        <v>519</v>
      </c>
      <c r="M834" t="s">
        <v>520</v>
      </c>
      <c r="N834" t="s">
        <v>571</v>
      </c>
      <c r="O834" t="s">
        <v>583</v>
      </c>
      <c r="P834" t="s">
        <v>540</v>
      </c>
      <c r="Q834" t="s">
        <v>524</v>
      </c>
      <c r="R834" t="s">
        <v>525</v>
      </c>
      <c r="S834" t="s">
        <v>585</v>
      </c>
      <c r="T834" t="s">
        <v>527</v>
      </c>
      <c r="U834">
        <v>105400</v>
      </c>
      <c r="V834" t="s">
        <v>5595</v>
      </c>
      <c r="W834" t="s">
        <v>5302</v>
      </c>
      <c r="X834" t="s">
        <v>5186</v>
      </c>
      <c r="Y834" t="s">
        <v>5187</v>
      </c>
      <c r="AA834" t="s">
        <v>5188</v>
      </c>
      <c r="AB834" t="s">
        <v>5181</v>
      </c>
      <c r="AE834">
        <v>-35.754815999999998</v>
      </c>
      <c r="AF834">
        <v>174.20475082999999</v>
      </c>
      <c r="AG834">
        <v>30</v>
      </c>
      <c r="AH834">
        <v>15</v>
      </c>
      <c r="AI834">
        <v>2</v>
      </c>
      <c r="AJ834">
        <v>4</v>
      </c>
      <c r="AK834">
        <v>6</v>
      </c>
      <c r="AL834">
        <v>5</v>
      </c>
      <c r="AM834">
        <v>2</v>
      </c>
      <c r="AN834">
        <v>0</v>
      </c>
      <c r="AO834">
        <v>19</v>
      </c>
      <c r="AP834">
        <v>16</v>
      </c>
      <c r="AQ834">
        <v>0</v>
      </c>
      <c r="AR834">
        <v>0</v>
      </c>
      <c r="AS834">
        <v>1</v>
      </c>
      <c r="AT834">
        <v>2</v>
      </c>
    </row>
    <row r="835" spans="1:46">
      <c r="A835">
        <v>17675</v>
      </c>
      <c r="B835" t="s">
        <v>5596</v>
      </c>
      <c r="C835" t="s">
        <v>5181</v>
      </c>
      <c r="D835" t="s">
        <v>5182</v>
      </c>
      <c r="E835" t="s">
        <v>5597</v>
      </c>
      <c r="G835" t="s">
        <v>4889</v>
      </c>
      <c r="H835" t="s">
        <v>298</v>
      </c>
      <c r="J835" t="s">
        <v>518</v>
      </c>
      <c r="K835" t="s">
        <v>519</v>
      </c>
      <c r="M835" t="s">
        <v>520</v>
      </c>
      <c r="N835" t="s">
        <v>571</v>
      </c>
      <c r="O835" t="s">
        <v>583</v>
      </c>
      <c r="P835" t="s">
        <v>540</v>
      </c>
      <c r="Q835" t="s">
        <v>524</v>
      </c>
      <c r="R835" t="s">
        <v>525</v>
      </c>
      <c r="S835" t="s">
        <v>585</v>
      </c>
      <c r="T835" t="s">
        <v>527</v>
      </c>
      <c r="U835">
        <v>108500</v>
      </c>
      <c r="V835" t="s">
        <v>4890</v>
      </c>
      <c r="W835" t="s">
        <v>4665</v>
      </c>
      <c r="X835" t="s">
        <v>5186</v>
      </c>
      <c r="Y835" t="s">
        <v>5187</v>
      </c>
      <c r="AA835" t="s">
        <v>5188</v>
      </c>
      <c r="AB835" t="s">
        <v>5181</v>
      </c>
      <c r="AC835">
        <v>99180</v>
      </c>
      <c r="AD835" t="s">
        <v>4891</v>
      </c>
      <c r="AE835">
        <v>-35.769971329999997</v>
      </c>
      <c r="AF835">
        <v>174.48077140999999</v>
      </c>
      <c r="AG835">
        <v>30</v>
      </c>
      <c r="AH835">
        <v>15</v>
      </c>
      <c r="AI835">
        <v>3</v>
      </c>
      <c r="AJ835">
        <v>4</v>
      </c>
      <c r="AK835">
        <v>10</v>
      </c>
      <c r="AL835">
        <v>2</v>
      </c>
      <c r="AM835">
        <v>8</v>
      </c>
      <c r="AN835">
        <v>1</v>
      </c>
      <c r="AO835">
        <v>28</v>
      </c>
      <c r="AP835">
        <v>26</v>
      </c>
      <c r="AQ835">
        <v>2</v>
      </c>
      <c r="AR835">
        <v>0</v>
      </c>
      <c r="AS835">
        <v>0</v>
      </c>
      <c r="AT835">
        <v>3</v>
      </c>
    </row>
    <row r="836" spans="1:46">
      <c r="A836">
        <v>17686</v>
      </c>
      <c r="B836" t="s">
        <v>5598</v>
      </c>
      <c r="C836" t="s">
        <v>5181</v>
      </c>
      <c r="D836" t="s">
        <v>5182</v>
      </c>
      <c r="E836" t="s">
        <v>5599</v>
      </c>
      <c r="G836" t="s">
        <v>5600</v>
      </c>
      <c r="H836" t="s">
        <v>298</v>
      </c>
      <c r="J836" t="s">
        <v>518</v>
      </c>
      <c r="K836" t="s">
        <v>519</v>
      </c>
      <c r="M836" t="s">
        <v>520</v>
      </c>
      <c r="N836" t="s">
        <v>571</v>
      </c>
      <c r="O836" t="s">
        <v>583</v>
      </c>
      <c r="P836" t="s">
        <v>523</v>
      </c>
      <c r="Q836" t="s">
        <v>524</v>
      </c>
      <c r="R836" t="s">
        <v>525</v>
      </c>
      <c r="S836" t="s">
        <v>585</v>
      </c>
      <c r="T836" t="s">
        <v>527</v>
      </c>
      <c r="U836">
        <v>107600</v>
      </c>
      <c r="V836" t="s">
        <v>5600</v>
      </c>
      <c r="W836" t="s">
        <v>612</v>
      </c>
      <c r="X836" t="s">
        <v>5186</v>
      </c>
      <c r="Y836" t="s">
        <v>5187</v>
      </c>
      <c r="AA836" t="s">
        <v>5188</v>
      </c>
      <c r="AB836" t="s">
        <v>5181</v>
      </c>
      <c r="AC836">
        <v>99180</v>
      </c>
      <c r="AD836" t="s">
        <v>4891</v>
      </c>
      <c r="AE836">
        <v>-35.627818400000002</v>
      </c>
      <c r="AF836">
        <v>174.5066066</v>
      </c>
      <c r="AG836">
        <v>21</v>
      </c>
      <c r="AH836">
        <v>12</v>
      </c>
      <c r="AI836">
        <v>2</v>
      </c>
      <c r="AJ836">
        <v>2</v>
      </c>
      <c r="AK836">
        <v>4</v>
      </c>
      <c r="AL836">
        <v>3</v>
      </c>
      <c r="AM836">
        <v>0</v>
      </c>
      <c r="AN836">
        <v>2</v>
      </c>
      <c r="AO836">
        <v>13</v>
      </c>
      <c r="AP836">
        <v>11</v>
      </c>
      <c r="AQ836">
        <v>1</v>
      </c>
      <c r="AR836">
        <v>1</v>
      </c>
      <c r="AS836">
        <v>1</v>
      </c>
      <c r="AT836">
        <v>2</v>
      </c>
    </row>
    <row r="837" spans="1:46">
      <c r="A837">
        <v>17771</v>
      </c>
      <c r="B837" t="s">
        <v>5601</v>
      </c>
      <c r="C837" t="s">
        <v>5181</v>
      </c>
      <c r="D837" t="s">
        <v>5182</v>
      </c>
      <c r="E837" t="s">
        <v>5602</v>
      </c>
      <c r="G837" t="s">
        <v>5603</v>
      </c>
      <c r="H837" t="s">
        <v>298</v>
      </c>
      <c r="J837" t="s">
        <v>518</v>
      </c>
      <c r="K837" t="s">
        <v>519</v>
      </c>
      <c r="M837" t="s">
        <v>520</v>
      </c>
      <c r="N837" t="s">
        <v>571</v>
      </c>
      <c r="O837" t="s">
        <v>564</v>
      </c>
      <c r="P837" t="s">
        <v>540</v>
      </c>
      <c r="Q837" t="s">
        <v>524</v>
      </c>
      <c r="R837" t="s">
        <v>525</v>
      </c>
      <c r="S837" t="s">
        <v>526</v>
      </c>
      <c r="T837" t="s">
        <v>527</v>
      </c>
      <c r="U837">
        <v>109600</v>
      </c>
      <c r="V837" t="s">
        <v>5604</v>
      </c>
      <c r="W837" t="s">
        <v>574</v>
      </c>
      <c r="X837" t="s">
        <v>5186</v>
      </c>
      <c r="Y837" t="s">
        <v>5187</v>
      </c>
      <c r="AA837" t="s">
        <v>5188</v>
      </c>
      <c r="AB837" t="s">
        <v>5181</v>
      </c>
      <c r="AE837">
        <v>-36.110192789999999</v>
      </c>
      <c r="AF837">
        <v>174.35306259999999</v>
      </c>
      <c r="AG837">
        <v>30</v>
      </c>
      <c r="AH837">
        <v>12</v>
      </c>
      <c r="AI837">
        <v>0</v>
      </c>
      <c r="AJ837">
        <v>1</v>
      </c>
      <c r="AK837">
        <v>1</v>
      </c>
      <c r="AL837">
        <v>2</v>
      </c>
      <c r="AM837">
        <v>0</v>
      </c>
      <c r="AN837">
        <v>1</v>
      </c>
      <c r="AO837">
        <v>5</v>
      </c>
      <c r="AP837">
        <v>5</v>
      </c>
      <c r="AQ837">
        <v>0</v>
      </c>
      <c r="AR837">
        <v>0</v>
      </c>
      <c r="AS837">
        <v>0</v>
      </c>
      <c r="AT837">
        <v>0</v>
      </c>
    </row>
    <row r="838" spans="1:46">
      <c r="A838">
        <v>17778</v>
      </c>
      <c r="B838" t="s">
        <v>5605</v>
      </c>
      <c r="C838" t="s">
        <v>5606</v>
      </c>
      <c r="D838" t="s">
        <v>5182</v>
      </c>
      <c r="E838" t="s">
        <v>5607</v>
      </c>
      <c r="G838" t="s">
        <v>5608</v>
      </c>
      <c r="H838" t="s">
        <v>298</v>
      </c>
      <c r="J838" t="s">
        <v>518</v>
      </c>
      <c r="K838" t="s">
        <v>519</v>
      </c>
      <c r="M838" t="s">
        <v>520</v>
      </c>
      <c r="N838" t="s">
        <v>571</v>
      </c>
      <c r="O838" t="s">
        <v>564</v>
      </c>
      <c r="P838" t="s">
        <v>540</v>
      </c>
      <c r="Q838" t="s">
        <v>524</v>
      </c>
      <c r="R838" t="s">
        <v>525</v>
      </c>
      <c r="S838" t="s">
        <v>526</v>
      </c>
      <c r="T838" t="s">
        <v>527</v>
      </c>
      <c r="U838">
        <v>109500</v>
      </c>
      <c r="V838" t="s">
        <v>5609</v>
      </c>
      <c r="W838" t="s">
        <v>574</v>
      </c>
      <c r="X838" t="s">
        <v>5186</v>
      </c>
      <c r="Y838" t="s">
        <v>5187</v>
      </c>
      <c r="AA838" t="s">
        <v>5188</v>
      </c>
      <c r="AB838" t="s">
        <v>5181</v>
      </c>
      <c r="AE838">
        <v>-36.099795319999998</v>
      </c>
      <c r="AF838">
        <v>174.23337006</v>
      </c>
      <c r="AG838">
        <v>25</v>
      </c>
      <c r="AH838">
        <v>12</v>
      </c>
      <c r="AI838">
        <v>2</v>
      </c>
      <c r="AJ838">
        <v>2</v>
      </c>
      <c r="AK838">
        <v>2</v>
      </c>
      <c r="AL838">
        <v>2</v>
      </c>
      <c r="AM838">
        <v>2</v>
      </c>
      <c r="AN838">
        <v>1</v>
      </c>
      <c r="AO838">
        <v>11</v>
      </c>
      <c r="AP838">
        <v>11</v>
      </c>
      <c r="AQ838">
        <v>4</v>
      </c>
      <c r="AR838">
        <v>0</v>
      </c>
      <c r="AS838">
        <v>0</v>
      </c>
      <c r="AT838">
        <v>0</v>
      </c>
    </row>
    <row r="839" spans="1:46">
      <c r="A839">
        <v>18201</v>
      </c>
      <c r="B839" t="s">
        <v>5610</v>
      </c>
      <c r="C839" t="s">
        <v>5611</v>
      </c>
      <c r="E839" t="s">
        <v>5612</v>
      </c>
      <c r="F839" t="s">
        <v>581</v>
      </c>
      <c r="G839" t="s">
        <v>582</v>
      </c>
      <c r="H839" t="s">
        <v>343</v>
      </c>
      <c r="J839" t="s">
        <v>518</v>
      </c>
      <c r="K839" t="s">
        <v>519</v>
      </c>
      <c r="L839" t="s">
        <v>4205</v>
      </c>
      <c r="M839" t="s">
        <v>520</v>
      </c>
      <c r="N839" t="s">
        <v>521</v>
      </c>
      <c r="O839" t="s">
        <v>583</v>
      </c>
      <c r="P839" t="s">
        <v>584</v>
      </c>
      <c r="Q839" t="s">
        <v>524</v>
      </c>
      <c r="R839" t="s">
        <v>525</v>
      </c>
      <c r="S839" t="s">
        <v>585</v>
      </c>
      <c r="T839" t="s">
        <v>527</v>
      </c>
      <c r="U839">
        <v>106201</v>
      </c>
      <c r="V839" t="s">
        <v>586</v>
      </c>
      <c r="W839" t="s">
        <v>587</v>
      </c>
      <c r="X839" t="s">
        <v>4453</v>
      </c>
      <c r="Y839" t="s">
        <v>4208</v>
      </c>
      <c r="Z839" t="s">
        <v>4209</v>
      </c>
      <c r="AA839" t="s">
        <v>4210</v>
      </c>
      <c r="AB839" t="s">
        <v>4454</v>
      </c>
      <c r="AE839">
        <v>-35.675872329999997</v>
      </c>
      <c r="AF839">
        <v>174.32791997000001</v>
      </c>
      <c r="AG839">
        <v>25</v>
      </c>
      <c r="AH839">
        <v>5</v>
      </c>
      <c r="AI839">
        <v>0</v>
      </c>
      <c r="AJ839">
        <v>2</v>
      </c>
      <c r="AK839">
        <v>4</v>
      </c>
      <c r="AL839">
        <v>7</v>
      </c>
      <c r="AM839">
        <v>4</v>
      </c>
      <c r="AN839">
        <v>0</v>
      </c>
      <c r="AO839">
        <v>17</v>
      </c>
      <c r="AP839">
        <v>0</v>
      </c>
      <c r="AQ839">
        <v>17</v>
      </c>
      <c r="AR839">
        <v>0</v>
      </c>
      <c r="AS839">
        <v>0</v>
      </c>
      <c r="AT839">
        <v>0</v>
      </c>
    </row>
    <row r="840" spans="1:46">
      <c r="A840">
        <v>18212</v>
      </c>
      <c r="B840" t="s">
        <v>5613</v>
      </c>
      <c r="C840" t="s">
        <v>5614</v>
      </c>
      <c r="E840" t="s">
        <v>5615</v>
      </c>
      <c r="G840" t="s">
        <v>582</v>
      </c>
      <c r="H840" t="s">
        <v>343</v>
      </c>
      <c r="J840" t="s">
        <v>518</v>
      </c>
      <c r="K840" t="s">
        <v>519</v>
      </c>
      <c r="L840" t="s">
        <v>4205</v>
      </c>
      <c r="M840" t="s">
        <v>520</v>
      </c>
      <c r="N840" t="s">
        <v>727</v>
      </c>
      <c r="O840" t="s">
        <v>583</v>
      </c>
      <c r="P840" t="s">
        <v>572</v>
      </c>
      <c r="Q840" t="s">
        <v>524</v>
      </c>
      <c r="R840" t="s">
        <v>525</v>
      </c>
      <c r="S840" t="s">
        <v>526</v>
      </c>
      <c r="T840" t="s">
        <v>527</v>
      </c>
      <c r="U840">
        <v>104800</v>
      </c>
      <c r="V840" t="s">
        <v>5301</v>
      </c>
      <c r="W840" t="s">
        <v>5302</v>
      </c>
      <c r="X840" t="s">
        <v>4453</v>
      </c>
      <c r="Y840" t="s">
        <v>4208</v>
      </c>
      <c r="Z840" t="s">
        <v>4209</v>
      </c>
      <c r="AA840" t="s">
        <v>4210</v>
      </c>
      <c r="AB840" t="s">
        <v>4454</v>
      </c>
      <c r="AE840">
        <v>-35.620969670000001</v>
      </c>
      <c r="AF840">
        <v>174.01873719</v>
      </c>
      <c r="AG840">
        <v>20</v>
      </c>
      <c r="AH840">
        <v>7</v>
      </c>
      <c r="AI840">
        <v>0</v>
      </c>
      <c r="AJ840">
        <v>5</v>
      </c>
      <c r="AK840">
        <v>2</v>
      </c>
      <c r="AL840">
        <v>5</v>
      </c>
      <c r="AM840">
        <v>6</v>
      </c>
      <c r="AN840">
        <v>0</v>
      </c>
      <c r="AO840">
        <v>18</v>
      </c>
      <c r="AP840">
        <v>0</v>
      </c>
      <c r="AQ840">
        <v>17</v>
      </c>
      <c r="AR840">
        <v>0</v>
      </c>
      <c r="AS840">
        <v>0</v>
      </c>
      <c r="AT840">
        <v>1</v>
      </c>
    </row>
    <row r="841" spans="1:46">
      <c r="A841">
        <v>18220</v>
      </c>
      <c r="B841" t="s">
        <v>5616</v>
      </c>
      <c r="C841" t="s">
        <v>5617</v>
      </c>
      <c r="E841" t="s">
        <v>5618</v>
      </c>
      <c r="G841" t="s">
        <v>5542</v>
      </c>
      <c r="H841" t="s">
        <v>343</v>
      </c>
      <c r="J841" t="s">
        <v>518</v>
      </c>
      <c r="K841" t="s">
        <v>519</v>
      </c>
      <c r="L841" t="s">
        <v>4205</v>
      </c>
      <c r="M841" t="s">
        <v>520</v>
      </c>
      <c r="N841" t="s">
        <v>521</v>
      </c>
      <c r="O841" t="s">
        <v>583</v>
      </c>
      <c r="P841" t="s">
        <v>572</v>
      </c>
      <c r="Q841" t="s">
        <v>524</v>
      </c>
      <c r="R841" t="s">
        <v>525</v>
      </c>
      <c r="S841" t="s">
        <v>585</v>
      </c>
      <c r="T841" t="s">
        <v>527</v>
      </c>
      <c r="U841">
        <v>108601</v>
      </c>
      <c r="V841" t="s">
        <v>5543</v>
      </c>
      <c r="W841" t="s">
        <v>618</v>
      </c>
      <c r="X841" t="s">
        <v>4453</v>
      </c>
      <c r="Y841" t="s">
        <v>4208</v>
      </c>
      <c r="Z841" t="s">
        <v>4209</v>
      </c>
      <c r="AA841" t="s">
        <v>4210</v>
      </c>
      <c r="AB841" t="s">
        <v>4454</v>
      </c>
      <c r="AE841">
        <v>-35.83788989</v>
      </c>
      <c r="AF841">
        <v>174.42053960999999</v>
      </c>
      <c r="AG841">
        <v>17</v>
      </c>
      <c r="AH841">
        <v>6</v>
      </c>
      <c r="AI841">
        <v>1</v>
      </c>
      <c r="AJ841">
        <v>4</v>
      </c>
      <c r="AK841">
        <v>1</v>
      </c>
      <c r="AL841">
        <v>1</v>
      </c>
      <c r="AM841">
        <v>0</v>
      </c>
      <c r="AN841">
        <v>0</v>
      </c>
      <c r="AO841">
        <v>7</v>
      </c>
      <c r="AP841">
        <v>0</v>
      </c>
      <c r="AQ841">
        <v>6</v>
      </c>
      <c r="AR841">
        <v>0</v>
      </c>
      <c r="AS841">
        <v>0</v>
      </c>
      <c r="AT841">
        <v>1</v>
      </c>
    </row>
    <row r="842" spans="1:46">
      <c r="A842">
        <v>18228</v>
      </c>
      <c r="B842" t="s">
        <v>5619</v>
      </c>
      <c r="C842" t="s">
        <v>5620</v>
      </c>
      <c r="E842" t="s">
        <v>5621</v>
      </c>
      <c r="F842" t="s">
        <v>532</v>
      </c>
      <c r="G842" t="s">
        <v>582</v>
      </c>
      <c r="H842" t="s">
        <v>343</v>
      </c>
      <c r="J842" t="s">
        <v>518</v>
      </c>
      <c r="K842" t="s">
        <v>519</v>
      </c>
      <c r="L842" t="s">
        <v>4205</v>
      </c>
      <c r="M842" t="s">
        <v>520</v>
      </c>
      <c r="N842" t="s">
        <v>727</v>
      </c>
      <c r="O842" t="s">
        <v>583</v>
      </c>
      <c r="P842" t="s">
        <v>584</v>
      </c>
      <c r="Q842" t="s">
        <v>524</v>
      </c>
      <c r="R842" t="s">
        <v>525</v>
      </c>
      <c r="S842" t="s">
        <v>585</v>
      </c>
      <c r="T842" t="s">
        <v>527</v>
      </c>
      <c r="U842">
        <v>105901</v>
      </c>
      <c r="V842" t="s">
        <v>4214</v>
      </c>
      <c r="W842" t="s">
        <v>587</v>
      </c>
      <c r="X842" t="s">
        <v>4453</v>
      </c>
      <c r="Y842" t="s">
        <v>4208</v>
      </c>
      <c r="Z842" t="s">
        <v>4209</v>
      </c>
      <c r="AA842" t="s">
        <v>4210</v>
      </c>
      <c r="AB842" t="s">
        <v>4454</v>
      </c>
      <c r="AE842">
        <v>-35.683614599999999</v>
      </c>
      <c r="AF842">
        <v>174.29858611</v>
      </c>
      <c r="AG842">
        <v>22</v>
      </c>
      <c r="AH842">
        <v>6</v>
      </c>
      <c r="AI842">
        <v>1</v>
      </c>
      <c r="AJ842">
        <v>5</v>
      </c>
      <c r="AK842">
        <v>4</v>
      </c>
      <c r="AL842">
        <v>2</v>
      </c>
      <c r="AM842">
        <v>2</v>
      </c>
      <c r="AN842">
        <v>0</v>
      </c>
      <c r="AO842">
        <v>14</v>
      </c>
      <c r="AP842">
        <v>0</v>
      </c>
      <c r="AQ842">
        <v>11</v>
      </c>
      <c r="AR842">
        <v>0</v>
      </c>
      <c r="AS842">
        <v>0</v>
      </c>
      <c r="AT842">
        <v>3</v>
      </c>
    </row>
    <row r="843" spans="1:46">
      <c r="A843">
        <v>18271</v>
      </c>
      <c r="B843" t="s">
        <v>5622</v>
      </c>
      <c r="C843" t="s">
        <v>5623</v>
      </c>
      <c r="E843" t="s">
        <v>5624</v>
      </c>
      <c r="F843" t="s">
        <v>623</v>
      </c>
      <c r="G843" t="s">
        <v>582</v>
      </c>
      <c r="H843" t="s">
        <v>343</v>
      </c>
      <c r="J843" t="s">
        <v>518</v>
      </c>
      <c r="K843" t="s">
        <v>519</v>
      </c>
      <c r="L843" t="s">
        <v>4205</v>
      </c>
      <c r="M843" t="s">
        <v>520</v>
      </c>
      <c r="N843" t="s">
        <v>521</v>
      </c>
      <c r="O843" t="s">
        <v>583</v>
      </c>
      <c r="P843" t="s">
        <v>584</v>
      </c>
      <c r="Q843" t="s">
        <v>524</v>
      </c>
      <c r="R843" t="s">
        <v>525</v>
      </c>
      <c r="S843" t="s">
        <v>585</v>
      </c>
      <c r="T843" t="s">
        <v>527</v>
      </c>
      <c r="U843">
        <v>107300</v>
      </c>
      <c r="V843" t="s">
        <v>623</v>
      </c>
      <c r="W843" t="s">
        <v>587</v>
      </c>
      <c r="X843" t="s">
        <v>4453</v>
      </c>
      <c r="Y843" t="s">
        <v>4208</v>
      </c>
      <c r="Z843" t="s">
        <v>4209</v>
      </c>
      <c r="AA843" t="s">
        <v>4210</v>
      </c>
      <c r="AB843" t="s">
        <v>4454</v>
      </c>
      <c r="AE843">
        <v>-35.753443660000002</v>
      </c>
      <c r="AF843">
        <v>174.30831358</v>
      </c>
      <c r="AG843">
        <v>23</v>
      </c>
      <c r="AH843">
        <v>10</v>
      </c>
      <c r="AI843">
        <v>1</v>
      </c>
      <c r="AJ843">
        <v>1</v>
      </c>
      <c r="AK843">
        <v>5</v>
      </c>
      <c r="AL843">
        <v>5</v>
      </c>
      <c r="AM843">
        <v>6</v>
      </c>
      <c r="AN843">
        <v>0</v>
      </c>
      <c r="AO843">
        <v>18</v>
      </c>
      <c r="AP843">
        <v>0</v>
      </c>
      <c r="AQ843">
        <v>18</v>
      </c>
      <c r="AR843">
        <v>0</v>
      </c>
      <c r="AS843">
        <v>0</v>
      </c>
      <c r="AT843">
        <v>0</v>
      </c>
    </row>
    <row r="844" spans="1:46">
      <c r="A844">
        <v>18335</v>
      </c>
      <c r="B844" t="s">
        <v>5625</v>
      </c>
      <c r="C844" t="s">
        <v>5626</v>
      </c>
      <c r="E844" t="s">
        <v>5627</v>
      </c>
      <c r="G844" t="s">
        <v>5628</v>
      </c>
      <c r="H844" t="s">
        <v>343</v>
      </c>
      <c r="J844" t="s">
        <v>518</v>
      </c>
      <c r="K844" t="s">
        <v>519</v>
      </c>
      <c r="L844" t="s">
        <v>4205</v>
      </c>
      <c r="M844" t="s">
        <v>520</v>
      </c>
      <c r="N844" t="s">
        <v>727</v>
      </c>
      <c r="O844" t="s">
        <v>522</v>
      </c>
      <c r="P844" t="s">
        <v>572</v>
      </c>
      <c r="Q844" t="s">
        <v>524</v>
      </c>
      <c r="R844" t="s">
        <v>525</v>
      </c>
      <c r="S844" t="s">
        <v>526</v>
      </c>
      <c r="T844" t="s">
        <v>527</v>
      </c>
      <c r="U844">
        <v>104101</v>
      </c>
      <c r="V844" t="s">
        <v>5629</v>
      </c>
      <c r="W844" t="s">
        <v>558</v>
      </c>
      <c r="X844" t="s">
        <v>4453</v>
      </c>
      <c r="Y844" t="s">
        <v>4208</v>
      </c>
      <c r="Z844" t="s">
        <v>4209</v>
      </c>
      <c r="AA844" t="s">
        <v>4210</v>
      </c>
      <c r="AB844" t="s">
        <v>4454</v>
      </c>
      <c r="AE844">
        <v>-35.496642199999997</v>
      </c>
      <c r="AF844">
        <v>173.96035280999999</v>
      </c>
      <c r="AG844">
        <v>20</v>
      </c>
      <c r="AH844">
        <v>6</v>
      </c>
      <c r="AI844">
        <v>0</v>
      </c>
      <c r="AJ844">
        <v>7</v>
      </c>
      <c r="AK844">
        <v>2</v>
      </c>
      <c r="AL844">
        <v>4</v>
      </c>
      <c r="AM844">
        <v>4</v>
      </c>
      <c r="AN844">
        <v>0</v>
      </c>
      <c r="AO844">
        <v>17</v>
      </c>
      <c r="AP844">
        <v>0</v>
      </c>
      <c r="AQ844">
        <v>16</v>
      </c>
      <c r="AR844">
        <v>0</v>
      </c>
      <c r="AS844">
        <v>0</v>
      </c>
      <c r="AT844">
        <v>1</v>
      </c>
    </row>
    <row r="845" spans="1:46">
      <c r="A845">
        <v>18339</v>
      </c>
      <c r="B845" t="s">
        <v>5630</v>
      </c>
      <c r="C845" t="s">
        <v>5631</v>
      </c>
      <c r="E845" t="s">
        <v>5632</v>
      </c>
      <c r="G845" t="s">
        <v>5532</v>
      </c>
      <c r="H845" t="s">
        <v>343</v>
      </c>
      <c r="J845" t="s">
        <v>518</v>
      </c>
      <c r="K845" t="s">
        <v>519</v>
      </c>
      <c r="L845" t="s">
        <v>4205</v>
      </c>
      <c r="M845" t="s">
        <v>520</v>
      </c>
      <c r="N845" t="s">
        <v>539</v>
      </c>
      <c r="O845" t="s">
        <v>522</v>
      </c>
      <c r="P845" t="s">
        <v>523</v>
      </c>
      <c r="Q845" t="s">
        <v>524</v>
      </c>
      <c r="R845" t="s">
        <v>525</v>
      </c>
      <c r="S845" t="s">
        <v>526</v>
      </c>
      <c r="T845" t="s">
        <v>527</v>
      </c>
      <c r="U845">
        <v>104600</v>
      </c>
      <c r="V845" t="s">
        <v>5532</v>
      </c>
      <c r="W845" t="s">
        <v>558</v>
      </c>
      <c r="X845" t="s">
        <v>4453</v>
      </c>
      <c r="Y845" t="s">
        <v>4208</v>
      </c>
      <c r="Z845" t="s">
        <v>4209</v>
      </c>
      <c r="AA845" t="s">
        <v>4210</v>
      </c>
      <c r="AB845" t="s">
        <v>4454</v>
      </c>
      <c r="AE845">
        <v>-35.379149589999997</v>
      </c>
      <c r="AF845">
        <v>174.07517188</v>
      </c>
      <c r="AG845">
        <v>20</v>
      </c>
      <c r="AH845">
        <v>5</v>
      </c>
      <c r="AI845">
        <v>0</v>
      </c>
      <c r="AJ845">
        <v>5</v>
      </c>
      <c r="AK845">
        <v>2</v>
      </c>
      <c r="AL845">
        <v>4</v>
      </c>
      <c r="AM845">
        <v>6</v>
      </c>
      <c r="AN845">
        <v>0</v>
      </c>
      <c r="AO845">
        <v>17</v>
      </c>
      <c r="AP845">
        <v>0</v>
      </c>
      <c r="AQ845">
        <v>16</v>
      </c>
      <c r="AR845">
        <v>0</v>
      </c>
      <c r="AS845">
        <v>0</v>
      </c>
      <c r="AT845">
        <v>1</v>
      </c>
    </row>
    <row r="846" spans="1:46">
      <c r="A846">
        <v>18350</v>
      </c>
      <c r="B846" t="s">
        <v>5633</v>
      </c>
      <c r="C846" t="s">
        <v>5634</v>
      </c>
      <c r="E846" t="s">
        <v>5635</v>
      </c>
      <c r="G846" t="s">
        <v>5636</v>
      </c>
      <c r="H846" t="s">
        <v>343</v>
      </c>
      <c r="J846" t="s">
        <v>518</v>
      </c>
      <c r="K846" t="s">
        <v>519</v>
      </c>
      <c r="L846" t="s">
        <v>4205</v>
      </c>
      <c r="M846" t="s">
        <v>520</v>
      </c>
      <c r="N846" t="s">
        <v>727</v>
      </c>
      <c r="O846" t="s">
        <v>522</v>
      </c>
      <c r="P846" t="s">
        <v>572</v>
      </c>
      <c r="Q846" t="s">
        <v>524</v>
      </c>
      <c r="R846" t="s">
        <v>525</v>
      </c>
      <c r="S846" t="s">
        <v>526</v>
      </c>
      <c r="T846" t="s">
        <v>527</v>
      </c>
      <c r="U846">
        <v>104400</v>
      </c>
      <c r="V846" t="s">
        <v>5637</v>
      </c>
      <c r="W846" t="s">
        <v>558</v>
      </c>
      <c r="X846" t="s">
        <v>4453</v>
      </c>
      <c r="Y846" t="s">
        <v>4208</v>
      </c>
      <c r="Z846" t="s">
        <v>4209</v>
      </c>
      <c r="AA846" t="s">
        <v>4210</v>
      </c>
      <c r="AB846" t="s">
        <v>4454</v>
      </c>
      <c r="AE846">
        <v>-35.367184719999997</v>
      </c>
      <c r="AF846">
        <v>174.13094229999999</v>
      </c>
      <c r="AG846">
        <v>30</v>
      </c>
      <c r="AH846">
        <v>10</v>
      </c>
      <c r="AI846">
        <v>2</v>
      </c>
      <c r="AJ846">
        <v>3</v>
      </c>
      <c r="AK846">
        <v>11</v>
      </c>
      <c r="AL846">
        <v>7</v>
      </c>
      <c r="AM846">
        <v>6</v>
      </c>
      <c r="AN846">
        <v>0</v>
      </c>
      <c r="AO846">
        <v>29</v>
      </c>
      <c r="AP846">
        <v>0</v>
      </c>
      <c r="AQ846">
        <v>29</v>
      </c>
      <c r="AR846">
        <v>0</v>
      </c>
      <c r="AS846">
        <v>0</v>
      </c>
      <c r="AT846">
        <v>0</v>
      </c>
    </row>
    <row r="847" spans="1:46">
      <c r="A847">
        <v>18411</v>
      </c>
      <c r="B847" t="s">
        <v>5638</v>
      </c>
      <c r="C847" t="s">
        <v>5639</v>
      </c>
      <c r="E847" t="s">
        <v>5640</v>
      </c>
      <c r="G847" t="s">
        <v>550</v>
      </c>
      <c r="H847" t="s">
        <v>343</v>
      </c>
      <c r="J847" t="s">
        <v>518</v>
      </c>
      <c r="K847" t="s">
        <v>519</v>
      </c>
      <c r="L847" t="s">
        <v>4205</v>
      </c>
      <c r="M847" t="s">
        <v>520</v>
      </c>
      <c r="N847" t="s">
        <v>727</v>
      </c>
      <c r="O847" t="s">
        <v>522</v>
      </c>
      <c r="P847" t="s">
        <v>523</v>
      </c>
      <c r="Q847" t="s">
        <v>524</v>
      </c>
      <c r="R847" t="s">
        <v>525</v>
      </c>
      <c r="S847" t="s">
        <v>526</v>
      </c>
      <c r="T847" t="s">
        <v>527</v>
      </c>
      <c r="U847">
        <v>103501</v>
      </c>
      <c r="V847" t="s">
        <v>550</v>
      </c>
      <c r="W847" t="s">
        <v>551</v>
      </c>
      <c r="X847" t="s">
        <v>4453</v>
      </c>
      <c r="Y847" t="s">
        <v>4208</v>
      </c>
      <c r="Z847" t="s">
        <v>4209</v>
      </c>
      <c r="AA847" t="s">
        <v>4210</v>
      </c>
      <c r="AB847" t="s">
        <v>4454</v>
      </c>
      <c r="AE847">
        <v>-35.409897669999999</v>
      </c>
      <c r="AF847">
        <v>173.80447737</v>
      </c>
      <c r="AG847">
        <v>21</v>
      </c>
      <c r="AH847">
        <v>6</v>
      </c>
      <c r="AI847">
        <v>0</v>
      </c>
      <c r="AJ847">
        <v>4</v>
      </c>
      <c r="AK847">
        <v>5</v>
      </c>
      <c r="AL847">
        <v>2</v>
      </c>
      <c r="AM847">
        <v>3</v>
      </c>
      <c r="AN847">
        <v>0</v>
      </c>
      <c r="AO847">
        <v>14</v>
      </c>
      <c r="AP847">
        <v>0</v>
      </c>
      <c r="AQ847">
        <v>14</v>
      </c>
      <c r="AR847">
        <v>0</v>
      </c>
      <c r="AS847">
        <v>0</v>
      </c>
      <c r="AT847">
        <v>0</v>
      </c>
    </row>
    <row r="848" spans="1:46">
      <c r="A848">
        <v>18625</v>
      </c>
      <c r="B848" t="s">
        <v>5641</v>
      </c>
      <c r="C848" t="s">
        <v>5642</v>
      </c>
      <c r="E848" t="s">
        <v>5643</v>
      </c>
      <c r="G848" t="s">
        <v>5644</v>
      </c>
      <c r="H848" t="s">
        <v>343</v>
      </c>
      <c r="J848" t="s">
        <v>518</v>
      </c>
      <c r="K848" t="s">
        <v>519</v>
      </c>
      <c r="L848" t="s">
        <v>4205</v>
      </c>
      <c r="M848" t="s">
        <v>520</v>
      </c>
      <c r="N848" t="s">
        <v>727</v>
      </c>
      <c r="O848" t="s">
        <v>522</v>
      </c>
      <c r="P848" t="s">
        <v>572</v>
      </c>
      <c r="Q848" t="s">
        <v>524</v>
      </c>
      <c r="R848" t="s">
        <v>525</v>
      </c>
      <c r="S848" t="s">
        <v>526</v>
      </c>
      <c r="T848" t="s">
        <v>527</v>
      </c>
      <c r="U848">
        <v>102100</v>
      </c>
      <c r="V848" t="s">
        <v>4452</v>
      </c>
      <c r="W848" t="s">
        <v>551</v>
      </c>
      <c r="X848" t="s">
        <v>4453</v>
      </c>
      <c r="Y848" t="s">
        <v>4208</v>
      </c>
      <c r="Z848" t="s">
        <v>4209</v>
      </c>
      <c r="AA848" t="s">
        <v>4210</v>
      </c>
      <c r="AB848" t="s">
        <v>4454</v>
      </c>
      <c r="AE848">
        <v>-35.475934160000001</v>
      </c>
      <c r="AF848">
        <v>173.46349393</v>
      </c>
      <c r="AG848">
        <v>25</v>
      </c>
      <c r="AH848">
        <v>10</v>
      </c>
      <c r="AI848">
        <v>0</v>
      </c>
      <c r="AJ848">
        <v>6</v>
      </c>
      <c r="AK848">
        <v>7</v>
      </c>
      <c r="AL848">
        <v>6</v>
      </c>
      <c r="AM848">
        <v>6</v>
      </c>
      <c r="AN848">
        <v>0</v>
      </c>
      <c r="AO848">
        <v>25</v>
      </c>
      <c r="AP848">
        <v>0</v>
      </c>
      <c r="AQ848">
        <v>25</v>
      </c>
      <c r="AR848">
        <v>0</v>
      </c>
      <c r="AS848">
        <v>0</v>
      </c>
      <c r="AT848">
        <v>0</v>
      </c>
    </row>
    <row r="849" spans="1:46">
      <c r="A849">
        <v>18717</v>
      </c>
      <c r="B849" t="s">
        <v>5645</v>
      </c>
      <c r="C849" t="s">
        <v>5646</v>
      </c>
      <c r="E849" t="s">
        <v>5647</v>
      </c>
      <c r="G849" t="s">
        <v>5648</v>
      </c>
      <c r="H849" t="s">
        <v>343</v>
      </c>
      <c r="J849" t="s">
        <v>518</v>
      </c>
      <c r="K849" t="s">
        <v>519</v>
      </c>
      <c r="L849" t="s">
        <v>4205</v>
      </c>
      <c r="M849" t="s">
        <v>520</v>
      </c>
      <c r="N849" t="s">
        <v>539</v>
      </c>
      <c r="O849" t="s">
        <v>522</v>
      </c>
      <c r="P849" t="s">
        <v>572</v>
      </c>
      <c r="Q849" t="s">
        <v>524</v>
      </c>
      <c r="R849" t="s">
        <v>525</v>
      </c>
      <c r="S849" t="s">
        <v>526</v>
      </c>
      <c r="T849" t="s">
        <v>527</v>
      </c>
      <c r="U849">
        <v>101700</v>
      </c>
      <c r="V849" t="s">
        <v>5566</v>
      </c>
      <c r="W849" t="s">
        <v>551</v>
      </c>
      <c r="X849" t="s">
        <v>4453</v>
      </c>
      <c r="Y849" t="s">
        <v>4208</v>
      </c>
      <c r="Z849" t="s">
        <v>4209</v>
      </c>
      <c r="AA849" t="s">
        <v>4210</v>
      </c>
      <c r="AB849" t="s">
        <v>4454</v>
      </c>
      <c r="AE849">
        <v>-35.369922289999998</v>
      </c>
      <c r="AF849">
        <v>173.49979471</v>
      </c>
      <c r="AG849">
        <v>30</v>
      </c>
      <c r="AH849">
        <v>8</v>
      </c>
      <c r="AI849">
        <v>1</v>
      </c>
      <c r="AJ849">
        <v>3</v>
      </c>
      <c r="AK849">
        <v>6</v>
      </c>
      <c r="AL849">
        <v>4</v>
      </c>
      <c r="AM849">
        <v>2</v>
      </c>
      <c r="AN849">
        <v>0</v>
      </c>
      <c r="AO849">
        <v>16</v>
      </c>
      <c r="AP849">
        <v>0</v>
      </c>
      <c r="AQ849">
        <v>15</v>
      </c>
      <c r="AR849">
        <v>0</v>
      </c>
      <c r="AS849">
        <v>0</v>
      </c>
      <c r="AT849">
        <v>1</v>
      </c>
    </row>
    <row r="850" spans="1:46">
      <c r="A850">
        <v>18737</v>
      </c>
      <c r="B850" t="s">
        <v>5649</v>
      </c>
      <c r="C850" t="s">
        <v>5650</v>
      </c>
      <c r="E850" t="s">
        <v>5651</v>
      </c>
      <c r="G850" t="s">
        <v>5652</v>
      </c>
      <c r="H850" t="s">
        <v>343</v>
      </c>
      <c r="J850" t="s">
        <v>518</v>
      </c>
      <c r="K850" t="s">
        <v>519</v>
      </c>
      <c r="L850" t="s">
        <v>4205</v>
      </c>
      <c r="M850" t="s">
        <v>520</v>
      </c>
      <c r="N850" t="s">
        <v>539</v>
      </c>
      <c r="O850" t="s">
        <v>522</v>
      </c>
      <c r="P850" t="s">
        <v>572</v>
      </c>
      <c r="Q850" t="s">
        <v>524</v>
      </c>
      <c r="R850" t="s">
        <v>525</v>
      </c>
      <c r="S850" t="s">
        <v>526</v>
      </c>
      <c r="T850" t="s">
        <v>527</v>
      </c>
      <c r="U850">
        <v>102000</v>
      </c>
      <c r="V850" t="s">
        <v>5653</v>
      </c>
      <c r="W850" t="s">
        <v>551</v>
      </c>
      <c r="X850" t="s">
        <v>4453</v>
      </c>
      <c r="Y850" t="s">
        <v>4208</v>
      </c>
      <c r="Z850" t="s">
        <v>4209</v>
      </c>
      <c r="AA850" t="s">
        <v>4210</v>
      </c>
      <c r="AB850" t="s">
        <v>4454</v>
      </c>
      <c r="AE850">
        <v>-35.209943520000003</v>
      </c>
      <c r="AF850">
        <v>173.54229079999999</v>
      </c>
      <c r="AG850">
        <v>18</v>
      </c>
      <c r="AH850">
        <v>5</v>
      </c>
      <c r="AI850">
        <v>1</v>
      </c>
      <c r="AJ850">
        <v>3</v>
      </c>
      <c r="AK850">
        <v>0</v>
      </c>
      <c r="AL850">
        <v>5</v>
      </c>
      <c r="AM850">
        <v>4</v>
      </c>
      <c r="AN850">
        <v>0</v>
      </c>
      <c r="AO850">
        <v>13</v>
      </c>
      <c r="AP850">
        <v>0</v>
      </c>
      <c r="AQ850">
        <v>13</v>
      </c>
      <c r="AR850">
        <v>0</v>
      </c>
      <c r="AS850">
        <v>0</v>
      </c>
      <c r="AT850">
        <v>0</v>
      </c>
    </row>
    <row r="851" spans="1:46">
      <c r="A851">
        <v>18807</v>
      </c>
      <c r="B851" t="s">
        <v>5654</v>
      </c>
      <c r="C851" t="s">
        <v>5655</v>
      </c>
      <c r="E851" t="s">
        <v>5656</v>
      </c>
      <c r="G851" t="s">
        <v>5445</v>
      </c>
      <c r="H851" t="s">
        <v>343</v>
      </c>
      <c r="J851" t="s">
        <v>518</v>
      </c>
      <c r="K851" t="s">
        <v>519</v>
      </c>
      <c r="L851" t="s">
        <v>4205</v>
      </c>
      <c r="M851" t="s">
        <v>520</v>
      </c>
      <c r="N851" t="s">
        <v>727</v>
      </c>
      <c r="O851" t="s">
        <v>522</v>
      </c>
      <c r="P851" t="s">
        <v>572</v>
      </c>
      <c r="Q851" t="s">
        <v>524</v>
      </c>
      <c r="R851" t="s">
        <v>525</v>
      </c>
      <c r="S851" t="s">
        <v>526</v>
      </c>
      <c r="T851" t="s">
        <v>527</v>
      </c>
      <c r="U851">
        <v>100500</v>
      </c>
      <c r="V851" t="s">
        <v>5446</v>
      </c>
      <c r="W851" t="s">
        <v>529</v>
      </c>
      <c r="X851" t="s">
        <v>4453</v>
      </c>
      <c r="Y851" t="s">
        <v>4208</v>
      </c>
      <c r="Z851" t="s">
        <v>4209</v>
      </c>
      <c r="AA851" t="s">
        <v>4210</v>
      </c>
      <c r="AB851" t="s">
        <v>4454</v>
      </c>
      <c r="AE851">
        <v>-35.18101764</v>
      </c>
      <c r="AF851">
        <v>173.15843817999999</v>
      </c>
      <c r="AG851">
        <v>20</v>
      </c>
      <c r="AH851">
        <v>5</v>
      </c>
      <c r="AI851">
        <v>0</v>
      </c>
      <c r="AJ851">
        <v>5</v>
      </c>
      <c r="AK851">
        <v>3</v>
      </c>
      <c r="AL851">
        <v>5</v>
      </c>
      <c r="AM851">
        <v>6</v>
      </c>
      <c r="AN851">
        <v>0</v>
      </c>
      <c r="AO851">
        <v>19</v>
      </c>
      <c r="AP851">
        <v>0</v>
      </c>
      <c r="AQ851">
        <v>19</v>
      </c>
      <c r="AR851">
        <v>0</v>
      </c>
      <c r="AS851">
        <v>0</v>
      </c>
      <c r="AT851">
        <v>0</v>
      </c>
    </row>
    <row r="852" spans="1:46">
      <c r="A852">
        <v>18841</v>
      </c>
      <c r="B852" t="s">
        <v>5657</v>
      </c>
      <c r="C852" t="s">
        <v>5658</v>
      </c>
      <c r="E852" t="s">
        <v>5659</v>
      </c>
      <c r="G852" t="s">
        <v>5558</v>
      </c>
      <c r="H852" t="s">
        <v>343</v>
      </c>
      <c r="J852" t="s">
        <v>518</v>
      </c>
      <c r="K852" t="s">
        <v>519</v>
      </c>
      <c r="L852" t="s">
        <v>4205</v>
      </c>
      <c r="M852" t="s">
        <v>520</v>
      </c>
      <c r="N852" t="s">
        <v>539</v>
      </c>
      <c r="O852" t="s">
        <v>522</v>
      </c>
      <c r="P852" t="s">
        <v>572</v>
      </c>
      <c r="Q852" t="s">
        <v>524</v>
      </c>
      <c r="R852" t="s">
        <v>525</v>
      </c>
      <c r="S852" t="s">
        <v>526</v>
      </c>
      <c r="T852" t="s">
        <v>527</v>
      </c>
      <c r="U852">
        <v>100900</v>
      </c>
      <c r="V852" t="s">
        <v>5559</v>
      </c>
      <c r="W852" t="s">
        <v>529</v>
      </c>
      <c r="X852" t="s">
        <v>4453</v>
      </c>
      <c r="Y852" t="s">
        <v>4208</v>
      </c>
      <c r="Z852" t="s">
        <v>4209</v>
      </c>
      <c r="AA852" t="s">
        <v>4210</v>
      </c>
      <c r="AB852" t="s">
        <v>4454</v>
      </c>
      <c r="AE852">
        <v>-35.127121019999997</v>
      </c>
      <c r="AF852">
        <v>173.34267865000001</v>
      </c>
      <c r="AG852">
        <v>35</v>
      </c>
      <c r="AH852">
        <v>5</v>
      </c>
      <c r="AI852">
        <v>4</v>
      </c>
      <c r="AJ852">
        <v>2</v>
      </c>
      <c r="AK852">
        <v>4</v>
      </c>
      <c r="AL852">
        <v>5</v>
      </c>
      <c r="AM852">
        <v>2</v>
      </c>
      <c r="AN852">
        <v>0</v>
      </c>
      <c r="AO852">
        <v>17</v>
      </c>
      <c r="AP852">
        <v>0</v>
      </c>
      <c r="AQ852">
        <v>17</v>
      </c>
      <c r="AR852">
        <v>0</v>
      </c>
      <c r="AS852">
        <v>0</v>
      </c>
      <c r="AT852">
        <v>0</v>
      </c>
    </row>
    <row r="853" spans="1:46">
      <c r="A853">
        <v>18842</v>
      </c>
      <c r="B853" t="s">
        <v>5660</v>
      </c>
      <c r="C853" t="s">
        <v>5661</v>
      </c>
      <c r="E853" t="s">
        <v>5662</v>
      </c>
      <c r="G853" t="s">
        <v>516</v>
      </c>
      <c r="H853" t="s">
        <v>343</v>
      </c>
      <c r="J853" t="s">
        <v>518</v>
      </c>
      <c r="K853" t="s">
        <v>519</v>
      </c>
      <c r="L853" t="s">
        <v>4205</v>
      </c>
      <c r="M853" t="s">
        <v>520</v>
      </c>
      <c r="N853" t="s">
        <v>727</v>
      </c>
      <c r="O853" t="s">
        <v>522</v>
      </c>
      <c r="P853" t="s">
        <v>523</v>
      </c>
      <c r="Q853" t="s">
        <v>524</v>
      </c>
      <c r="R853" t="s">
        <v>525</v>
      </c>
      <c r="S853" t="s">
        <v>526</v>
      </c>
      <c r="T853" t="s">
        <v>527</v>
      </c>
      <c r="U853">
        <v>100800</v>
      </c>
      <c r="V853" t="s">
        <v>528</v>
      </c>
      <c r="W853" t="s">
        <v>529</v>
      </c>
      <c r="X853" t="s">
        <v>4453</v>
      </c>
      <c r="Y853" t="s">
        <v>4208</v>
      </c>
      <c r="Z853" t="s">
        <v>4209</v>
      </c>
      <c r="AA853" t="s">
        <v>4210</v>
      </c>
      <c r="AB853" t="s">
        <v>4454</v>
      </c>
      <c r="AE853">
        <v>-35.127024830000003</v>
      </c>
      <c r="AF853">
        <v>173.25344791000001</v>
      </c>
      <c r="AG853">
        <v>30</v>
      </c>
      <c r="AH853">
        <v>10</v>
      </c>
      <c r="AI853">
        <v>5</v>
      </c>
      <c r="AJ853">
        <v>4</v>
      </c>
      <c r="AK853">
        <v>8</v>
      </c>
      <c r="AL853">
        <v>4</v>
      </c>
      <c r="AM853">
        <v>4</v>
      </c>
      <c r="AN853">
        <v>0</v>
      </c>
      <c r="AO853">
        <v>25</v>
      </c>
      <c r="AP853">
        <v>0</v>
      </c>
      <c r="AQ853">
        <v>24</v>
      </c>
      <c r="AR853">
        <v>0</v>
      </c>
      <c r="AS853">
        <v>0</v>
      </c>
      <c r="AT853">
        <v>1</v>
      </c>
    </row>
    <row r="854" spans="1:46">
      <c r="A854">
        <v>18852</v>
      </c>
      <c r="B854" t="s">
        <v>5663</v>
      </c>
      <c r="C854" t="s">
        <v>5664</v>
      </c>
      <c r="E854" t="s">
        <v>5665</v>
      </c>
      <c r="G854" t="s">
        <v>5666</v>
      </c>
      <c r="H854" t="s">
        <v>343</v>
      </c>
      <c r="J854" t="s">
        <v>518</v>
      </c>
      <c r="K854" t="s">
        <v>519</v>
      </c>
      <c r="L854" t="s">
        <v>4205</v>
      </c>
      <c r="M854" t="s">
        <v>520</v>
      </c>
      <c r="N854" t="s">
        <v>521</v>
      </c>
      <c r="O854" t="s">
        <v>522</v>
      </c>
      <c r="P854" t="s">
        <v>572</v>
      </c>
      <c r="Q854" t="s">
        <v>524</v>
      </c>
      <c r="R854" t="s">
        <v>525</v>
      </c>
      <c r="S854" t="s">
        <v>526</v>
      </c>
      <c r="T854" t="s">
        <v>527</v>
      </c>
      <c r="U854">
        <v>100200</v>
      </c>
      <c r="V854" t="s">
        <v>4141</v>
      </c>
      <c r="W854" t="s">
        <v>529</v>
      </c>
      <c r="X854" t="s">
        <v>4453</v>
      </c>
      <c r="Y854" t="s">
        <v>4208</v>
      </c>
      <c r="Z854" t="s">
        <v>4209</v>
      </c>
      <c r="AA854" t="s">
        <v>4210</v>
      </c>
      <c r="AB854" t="s">
        <v>4454</v>
      </c>
      <c r="AE854">
        <v>-35.037441319999999</v>
      </c>
      <c r="AF854">
        <v>173.25422739999999</v>
      </c>
      <c r="AG854">
        <v>16</v>
      </c>
      <c r="AH854">
        <v>6</v>
      </c>
      <c r="AI854">
        <v>1</v>
      </c>
      <c r="AJ854">
        <v>3</v>
      </c>
      <c r="AK854">
        <v>1</v>
      </c>
      <c r="AL854">
        <v>3</v>
      </c>
      <c r="AM854">
        <v>6</v>
      </c>
      <c r="AN854">
        <v>0</v>
      </c>
      <c r="AO854">
        <v>14</v>
      </c>
      <c r="AP854">
        <v>0</v>
      </c>
      <c r="AQ854">
        <v>14</v>
      </c>
      <c r="AR854">
        <v>0</v>
      </c>
      <c r="AS854">
        <v>0</v>
      </c>
      <c r="AT854">
        <v>0</v>
      </c>
    </row>
    <row r="855" spans="1:46">
      <c r="A855">
        <v>18859</v>
      </c>
      <c r="B855" t="s">
        <v>5667</v>
      </c>
      <c r="C855" t="s">
        <v>5668</v>
      </c>
      <c r="E855" t="s">
        <v>5669</v>
      </c>
      <c r="G855" t="s">
        <v>5670</v>
      </c>
      <c r="H855" t="s">
        <v>343</v>
      </c>
      <c r="J855" t="s">
        <v>518</v>
      </c>
      <c r="K855" t="s">
        <v>519</v>
      </c>
      <c r="L855" t="s">
        <v>4205</v>
      </c>
      <c r="M855" t="s">
        <v>520</v>
      </c>
      <c r="N855" t="s">
        <v>521</v>
      </c>
      <c r="O855" t="s">
        <v>522</v>
      </c>
      <c r="P855" t="s">
        <v>572</v>
      </c>
      <c r="Q855" t="s">
        <v>524</v>
      </c>
      <c r="R855" t="s">
        <v>525</v>
      </c>
      <c r="S855" t="s">
        <v>526</v>
      </c>
      <c r="T855" t="s">
        <v>527</v>
      </c>
      <c r="U855">
        <v>101200</v>
      </c>
      <c r="V855" t="s">
        <v>5671</v>
      </c>
      <c r="W855" t="s">
        <v>529</v>
      </c>
      <c r="X855" t="s">
        <v>4453</v>
      </c>
      <c r="Y855" t="s">
        <v>4208</v>
      </c>
      <c r="Z855" t="s">
        <v>4209</v>
      </c>
      <c r="AA855" t="s">
        <v>4210</v>
      </c>
      <c r="AB855" t="s">
        <v>4454</v>
      </c>
      <c r="AE855">
        <v>-35.332557039999998</v>
      </c>
      <c r="AF855">
        <v>173.22588038000001</v>
      </c>
      <c r="AG855">
        <v>20</v>
      </c>
      <c r="AH855">
        <v>6</v>
      </c>
      <c r="AI855">
        <v>0</v>
      </c>
      <c r="AJ855">
        <v>0</v>
      </c>
      <c r="AK855">
        <v>3</v>
      </c>
      <c r="AL855">
        <v>1</v>
      </c>
      <c r="AM855">
        <v>2</v>
      </c>
      <c r="AN855">
        <v>0</v>
      </c>
      <c r="AO855">
        <v>6</v>
      </c>
      <c r="AP855">
        <v>0</v>
      </c>
      <c r="AQ855">
        <v>6</v>
      </c>
      <c r="AR855">
        <v>0</v>
      </c>
      <c r="AS855">
        <v>0</v>
      </c>
      <c r="AT855">
        <v>0</v>
      </c>
    </row>
    <row r="856" spans="1:46">
      <c r="A856">
        <v>18882</v>
      </c>
      <c r="B856" t="s">
        <v>5672</v>
      </c>
      <c r="C856" t="s">
        <v>5673</v>
      </c>
      <c r="E856" t="s">
        <v>5674</v>
      </c>
      <c r="G856" t="s">
        <v>4140</v>
      </c>
      <c r="H856" t="s">
        <v>343</v>
      </c>
      <c r="J856" t="s">
        <v>518</v>
      </c>
      <c r="K856" t="s">
        <v>519</v>
      </c>
      <c r="L856" t="s">
        <v>4205</v>
      </c>
      <c r="M856" t="s">
        <v>520</v>
      </c>
      <c r="N856" t="s">
        <v>727</v>
      </c>
      <c r="O856" t="s">
        <v>522</v>
      </c>
      <c r="P856" t="s">
        <v>572</v>
      </c>
      <c r="Q856" t="s">
        <v>524</v>
      </c>
      <c r="R856" t="s">
        <v>525</v>
      </c>
      <c r="S856" t="s">
        <v>526</v>
      </c>
      <c r="T856" t="s">
        <v>527</v>
      </c>
      <c r="U856">
        <v>100200</v>
      </c>
      <c r="V856" t="s">
        <v>4141</v>
      </c>
      <c r="W856" t="s">
        <v>529</v>
      </c>
      <c r="X856" t="s">
        <v>4453</v>
      </c>
      <c r="Y856" t="s">
        <v>4208</v>
      </c>
      <c r="Z856" t="s">
        <v>4209</v>
      </c>
      <c r="AA856" t="s">
        <v>4210</v>
      </c>
      <c r="AB856" t="s">
        <v>4454</v>
      </c>
      <c r="AE856">
        <v>-35.043486450000003</v>
      </c>
      <c r="AF856">
        <v>173.28584475</v>
      </c>
      <c r="AG856">
        <v>17</v>
      </c>
      <c r="AH856">
        <v>5</v>
      </c>
      <c r="AI856">
        <v>0</v>
      </c>
      <c r="AJ856">
        <v>4</v>
      </c>
      <c r="AK856">
        <v>3</v>
      </c>
      <c r="AL856">
        <v>4</v>
      </c>
      <c r="AM856">
        <v>3</v>
      </c>
      <c r="AN856">
        <v>0</v>
      </c>
      <c r="AO856">
        <v>14</v>
      </c>
      <c r="AP856">
        <v>0</v>
      </c>
      <c r="AQ856">
        <v>13</v>
      </c>
      <c r="AR856">
        <v>1</v>
      </c>
      <c r="AS856">
        <v>0</v>
      </c>
      <c r="AT856">
        <v>0</v>
      </c>
    </row>
    <row r="857" spans="1:46">
      <c r="A857">
        <v>18903</v>
      </c>
      <c r="B857" t="s">
        <v>5675</v>
      </c>
      <c r="C857" t="s">
        <v>5676</v>
      </c>
      <c r="E857" t="s">
        <v>5677</v>
      </c>
      <c r="G857" t="s">
        <v>5678</v>
      </c>
      <c r="H857" t="s">
        <v>343</v>
      </c>
      <c r="J857" t="s">
        <v>518</v>
      </c>
      <c r="K857" t="s">
        <v>519</v>
      </c>
      <c r="L857" t="s">
        <v>4205</v>
      </c>
      <c r="M857" t="s">
        <v>520</v>
      </c>
      <c r="N857" t="s">
        <v>727</v>
      </c>
      <c r="O857" t="s">
        <v>522</v>
      </c>
      <c r="P857" t="s">
        <v>572</v>
      </c>
      <c r="Q857" t="s">
        <v>524</v>
      </c>
      <c r="R857" t="s">
        <v>525</v>
      </c>
      <c r="S857" t="s">
        <v>526</v>
      </c>
      <c r="T857" t="s">
        <v>527</v>
      </c>
      <c r="U857">
        <v>100100</v>
      </c>
      <c r="V857" t="s">
        <v>5679</v>
      </c>
      <c r="W857" t="s">
        <v>529</v>
      </c>
      <c r="X857" t="s">
        <v>4453</v>
      </c>
      <c r="Y857" t="s">
        <v>4208</v>
      </c>
      <c r="Z857" t="s">
        <v>4209</v>
      </c>
      <c r="AA857" t="s">
        <v>4210</v>
      </c>
      <c r="AB857" t="s">
        <v>4454</v>
      </c>
      <c r="AE857">
        <v>-34.519677940000001</v>
      </c>
      <c r="AF857">
        <v>172.90690767000001</v>
      </c>
      <c r="AG857">
        <v>15</v>
      </c>
      <c r="AH857">
        <v>5</v>
      </c>
      <c r="AI857">
        <v>0</v>
      </c>
      <c r="AJ857">
        <v>1</v>
      </c>
      <c r="AK857">
        <v>0</v>
      </c>
      <c r="AL857">
        <v>1</v>
      </c>
      <c r="AM857">
        <v>4</v>
      </c>
      <c r="AN857">
        <v>0</v>
      </c>
      <c r="AO857">
        <v>6</v>
      </c>
      <c r="AP857">
        <v>0</v>
      </c>
      <c r="AQ857">
        <v>6</v>
      </c>
      <c r="AR857">
        <v>0</v>
      </c>
      <c r="AS857">
        <v>0</v>
      </c>
      <c r="AT857">
        <v>0</v>
      </c>
    </row>
    <row r="858" spans="1:46">
      <c r="A858">
        <v>18908</v>
      </c>
      <c r="B858" t="s">
        <v>5680</v>
      </c>
      <c r="C858" t="s">
        <v>5681</v>
      </c>
      <c r="E858" t="s">
        <v>5682</v>
      </c>
      <c r="G858" t="s">
        <v>5683</v>
      </c>
      <c r="H858" t="s">
        <v>343</v>
      </c>
      <c r="J858" t="s">
        <v>518</v>
      </c>
      <c r="K858" t="s">
        <v>519</v>
      </c>
      <c r="L858" t="s">
        <v>4205</v>
      </c>
      <c r="M858" t="s">
        <v>520</v>
      </c>
      <c r="N858" t="s">
        <v>521</v>
      </c>
      <c r="O858" t="s">
        <v>522</v>
      </c>
      <c r="P858" t="s">
        <v>572</v>
      </c>
      <c r="Q858" t="s">
        <v>524</v>
      </c>
      <c r="R858" t="s">
        <v>525</v>
      </c>
      <c r="S858" t="s">
        <v>526</v>
      </c>
      <c r="T858" t="s">
        <v>527</v>
      </c>
      <c r="U858">
        <v>100100</v>
      </c>
      <c r="V858" t="s">
        <v>5679</v>
      </c>
      <c r="W858" t="s">
        <v>529</v>
      </c>
      <c r="X858" t="s">
        <v>4453</v>
      </c>
      <c r="Y858" t="s">
        <v>4208</v>
      </c>
      <c r="Z858" t="s">
        <v>4209</v>
      </c>
      <c r="AA858" t="s">
        <v>4210</v>
      </c>
      <c r="AB858" t="s">
        <v>4454</v>
      </c>
      <c r="AE858">
        <v>-34.656033010000002</v>
      </c>
      <c r="AF858">
        <v>172.96577599</v>
      </c>
      <c r="AG858">
        <v>40</v>
      </c>
      <c r="AH858">
        <v>12</v>
      </c>
      <c r="AI858">
        <v>3</v>
      </c>
      <c r="AJ858">
        <v>9</v>
      </c>
      <c r="AK858">
        <v>6</v>
      </c>
      <c r="AL858">
        <v>4</v>
      </c>
      <c r="AM858">
        <v>8</v>
      </c>
      <c r="AN858">
        <v>0</v>
      </c>
      <c r="AO858">
        <v>30</v>
      </c>
      <c r="AP858">
        <v>0</v>
      </c>
      <c r="AQ858">
        <v>30</v>
      </c>
      <c r="AR858">
        <v>0</v>
      </c>
      <c r="AS858">
        <v>0</v>
      </c>
      <c r="AT858">
        <v>0</v>
      </c>
    </row>
    <row r="859" spans="1:46">
      <c r="A859">
        <v>20000</v>
      </c>
      <c r="B859" t="s">
        <v>5684</v>
      </c>
      <c r="C859" t="s">
        <v>5685</v>
      </c>
      <c r="E859" t="s">
        <v>5686</v>
      </c>
      <c r="F859" t="s">
        <v>836</v>
      </c>
      <c r="G859" t="s">
        <v>652</v>
      </c>
      <c r="H859" t="s">
        <v>3942</v>
      </c>
      <c r="I859" t="s">
        <v>4065</v>
      </c>
      <c r="J859" t="s">
        <v>3962</v>
      </c>
      <c r="K859" t="s">
        <v>519</v>
      </c>
      <c r="M859" t="s">
        <v>520</v>
      </c>
      <c r="N859" t="s">
        <v>571</v>
      </c>
      <c r="O859" t="s">
        <v>748</v>
      </c>
      <c r="P859" t="s">
        <v>654</v>
      </c>
      <c r="Q859" t="s">
        <v>638</v>
      </c>
      <c r="R859" t="s">
        <v>639</v>
      </c>
      <c r="S859" t="s">
        <v>682</v>
      </c>
      <c r="T859" t="s">
        <v>527</v>
      </c>
      <c r="U859">
        <v>130700</v>
      </c>
      <c r="V859" t="s">
        <v>5687</v>
      </c>
      <c r="W859" t="s">
        <v>741</v>
      </c>
      <c r="X859" t="s">
        <v>5688</v>
      </c>
      <c r="Y859" t="s">
        <v>5689</v>
      </c>
      <c r="Z859" t="s">
        <v>717</v>
      </c>
      <c r="AA859" t="s">
        <v>5690</v>
      </c>
      <c r="AC859">
        <v>99048</v>
      </c>
      <c r="AD859" t="s">
        <v>750</v>
      </c>
      <c r="AE859">
        <v>-36.814156629999999</v>
      </c>
      <c r="AF859">
        <v>174.79154201</v>
      </c>
      <c r="AG859">
        <v>35</v>
      </c>
      <c r="AH859">
        <v>0</v>
      </c>
      <c r="AI859">
        <v>0</v>
      </c>
      <c r="AJ859">
        <v>0</v>
      </c>
      <c r="AK859">
        <v>15</v>
      </c>
      <c r="AL859">
        <v>17</v>
      </c>
      <c r="AM859">
        <v>13</v>
      </c>
      <c r="AN859">
        <v>0</v>
      </c>
      <c r="AO859">
        <v>45</v>
      </c>
      <c r="AP859">
        <v>42</v>
      </c>
      <c r="AQ859">
        <v>0</v>
      </c>
      <c r="AR859">
        <v>1</v>
      </c>
      <c r="AS859">
        <v>7</v>
      </c>
      <c r="AT859">
        <v>3</v>
      </c>
    </row>
    <row r="860" spans="1:46">
      <c r="A860">
        <v>20001</v>
      </c>
      <c r="B860" t="s">
        <v>5691</v>
      </c>
      <c r="C860" t="s">
        <v>5692</v>
      </c>
      <c r="D860" t="s">
        <v>5693</v>
      </c>
      <c r="E860" t="s">
        <v>5694</v>
      </c>
      <c r="F860" t="s">
        <v>756</v>
      </c>
      <c r="G860" t="s">
        <v>652</v>
      </c>
      <c r="H860" t="s">
        <v>3942</v>
      </c>
      <c r="J860" t="s">
        <v>518</v>
      </c>
      <c r="K860" t="s">
        <v>519</v>
      </c>
      <c r="M860" t="s">
        <v>520</v>
      </c>
      <c r="N860" t="s">
        <v>571</v>
      </c>
      <c r="O860" t="s">
        <v>738</v>
      </c>
      <c r="P860" t="s">
        <v>654</v>
      </c>
      <c r="Q860" t="s">
        <v>638</v>
      </c>
      <c r="R860" t="s">
        <v>639</v>
      </c>
      <c r="S860" t="s">
        <v>756</v>
      </c>
      <c r="T860" t="s">
        <v>527</v>
      </c>
      <c r="U860">
        <v>127200</v>
      </c>
      <c r="V860" t="s">
        <v>5695</v>
      </c>
      <c r="W860" t="s">
        <v>741</v>
      </c>
      <c r="X860" t="s">
        <v>5696</v>
      </c>
      <c r="Y860" t="s">
        <v>5697</v>
      </c>
      <c r="AA860" t="s">
        <v>4037</v>
      </c>
      <c r="AB860" t="s">
        <v>5698</v>
      </c>
      <c r="AE860">
        <v>-36.798272820000001</v>
      </c>
      <c r="AF860">
        <v>174.75665003</v>
      </c>
      <c r="AG860">
        <v>42</v>
      </c>
      <c r="AH860">
        <v>8</v>
      </c>
      <c r="AI860">
        <v>0</v>
      </c>
      <c r="AJ860">
        <v>3</v>
      </c>
      <c r="AK860">
        <v>9</v>
      </c>
      <c r="AL860">
        <v>5</v>
      </c>
      <c r="AM860">
        <v>9</v>
      </c>
      <c r="AN860">
        <v>0</v>
      </c>
      <c r="AO860">
        <v>26</v>
      </c>
      <c r="AP860">
        <v>11</v>
      </c>
      <c r="AQ860">
        <v>5</v>
      </c>
      <c r="AR860">
        <v>0</v>
      </c>
      <c r="AS860">
        <v>10</v>
      </c>
      <c r="AT860">
        <v>1</v>
      </c>
    </row>
    <row r="861" spans="1:46">
      <c r="A861">
        <v>20002</v>
      </c>
      <c r="B861" t="s">
        <v>5699</v>
      </c>
      <c r="C861" t="s">
        <v>5700</v>
      </c>
      <c r="D861" t="s">
        <v>5701</v>
      </c>
      <c r="E861" t="s">
        <v>5702</v>
      </c>
      <c r="F861" t="s">
        <v>3706</v>
      </c>
      <c r="G861" t="s">
        <v>652</v>
      </c>
      <c r="H861" t="s">
        <v>3942</v>
      </c>
      <c r="J861" t="s">
        <v>518</v>
      </c>
      <c r="K861" t="s">
        <v>519</v>
      </c>
      <c r="M861" t="s">
        <v>520</v>
      </c>
      <c r="N861" t="s">
        <v>571</v>
      </c>
      <c r="O861" t="s">
        <v>1168</v>
      </c>
      <c r="P861" t="s">
        <v>654</v>
      </c>
      <c r="Q861" t="s">
        <v>638</v>
      </c>
      <c r="R861" t="s">
        <v>639</v>
      </c>
      <c r="S861" t="s">
        <v>655</v>
      </c>
      <c r="T861" t="s">
        <v>527</v>
      </c>
      <c r="U861">
        <v>117300</v>
      </c>
      <c r="V861" t="s">
        <v>5703</v>
      </c>
      <c r="W861" t="s">
        <v>657</v>
      </c>
      <c r="X861" t="s">
        <v>5704</v>
      </c>
      <c r="Y861" t="s">
        <v>5705</v>
      </c>
      <c r="Z861" t="s">
        <v>3706</v>
      </c>
      <c r="AA861" t="s">
        <v>5706</v>
      </c>
      <c r="AB861" t="s">
        <v>5707</v>
      </c>
      <c r="AE861">
        <v>-36.728576869999998</v>
      </c>
      <c r="AF861">
        <v>174.6979876</v>
      </c>
      <c r="AG861">
        <v>40</v>
      </c>
      <c r="AH861">
        <v>0</v>
      </c>
      <c r="AI861">
        <v>0</v>
      </c>
      <c r="AJ861">
        <v>0</v>
      </c>
      <c r="AK861">
        <v>5</v>
      </c>
      <c r="AL861">
        <v>14</v>
      </c>
      <c r="AM861">
        <v>19</v>
      </c>
      <c r="AN861">
        <v>1</v>
      </c>
      <c r="AO861">
        <v>39</v>
      </c>
      <c r="AP861">
        <v>24</v>
      </c>
      <c r="AQ861">
        <v>7</v>
      </c>
      <c r="AR861">
        <v>7</v>
      </c>
      <c r="AS861">
        <v>11</v>
      </c>
      <c r="AT861">
        <v>1</v>
      </c>
    </row>
    <row r="862" spans="1:46">
      <c r="A862">
        <v>20004</v>
      </c>
      <c r="B862" t="s">
        <v>5708</v>
      </c>
      <c r="C862" t="s">
        <v>5709</v>
      </c>
      <c r="D862" t="s">
        <v>5710</v>
      </c>
      <c r="E862" t="s">
        <v>5711</v>
      </c>
      <c r="G862" t="s">
        <v>3673</v>
      </c>
      <c r="H862" t="s">
        <v>3942</v>
      </c>
      <c r="J862" t="s">
        <v>3962</v>
      </c>
      <c r="K862" t="s">
        <v>519</v>
      </c>
      <c r="M862" t="s">
        <v>520</v>
      </c>
      <c r="N862" t="s">
        <v>571</v>
      </c>
      <c r="O862" t="s">
        <v>522</v>
      </c>
      <c r="P862" t="s">
        <v>572</v>
      </c>
      <c r="Q862" t="s">
        <v>524</v>
      </c>
      <c r="R862" t="s">
        <v>525</v>
      </c>
      <c r="S862" t="s">
        <v>526</v>
      </c>
      <c r="T862" t="s">
        <v>527</v>
      </c>
      <c r="U862">
        <v>102201</v>
      </c>
      <c r="V862" t="s">
        <v>5712</v>
      </c>
      <c r="W862" t="s">
        <v>558</v>
      </c>
      <c r="X862" t="s">
        <v>5713</v>
      </c>
      <c r="Y862" t="s">
        <v>5714</v>
      </c>
      <c r="AA862" t="s">
        <v>4856</v>
      </c>
      <c r="AB862" t="s">
        <v>5715</v>
      </c>
      <c r="AE862">
        <v>-35.194143689999997</v>
      </c>
      <c r="AF862">
        <v>173.94598329999999</v>
      </c>
      <c r="AG862">
        <v>50</v>
      </c>
      <c r="AH862">
        <v>10</v>
      </c>
      <c r="AI862">
        <v>0</v>
      </c>
      <c r="AJ862">
        <v>8</v>
      </c>
      <c r="AK862">
        <v>8</v>
      </c>
      <c r="AL862">
        <v>9</v>
      </c>
      <c r="AM862">
        <v>17</v>
      </c>
      <c r="AN862">
        <v>0</v>
      </c>
      <c r="AO862">
        <v>42</v>
      </c>
      <c r="AP862">
        <v>33</v>
      </c>
      <c r="AQ862">
        <v>27</v>
      </c>
      <c r="AR862">
        <v>7</v>
      </c>
      <c r="AS862">
        <v>4</v>
      </c>
      <c r="AT862">
        <v>0</v>
      </c>
    </row>
    <row r="863" spans="1:46">
      <c r="A863">
        <v>20006</v>
      </c>
      <c r="B863" t="s">
        <v>5716</v>
      </c>
      <c r="C863" t="s">
        <v>5717</v>
      </c>
      <c r="D863" t="s">
        <v>5718</v>
      </c>
      <c r="E863" t="s">
        <v>5719</v>
      </c>
      <c r="F863" t="s">
        <v>4031</v>
      </c>
      <c r="G863" t="s">
        <v>652</v>
      </c>
      <c r="H863" t="s">
        <v>3942</v>
      </c>
      <c r="J863" t="s">
        <v>518</v>
      </c>
      <c r="K863" t="s">
        <v>519</v>
      </c>
      <c r="M863" t="s">
        <v>520</v>
      </c>
      <c r="N863" t="s">
        <v>571</v>
      </c>
      <c r="O863" t="s">
        <v>957</v>
      </c>
      <c r="P863" t="s">
        <v>654</v>
      </c>
      <c r="Q863" t="s">
        <v>638</v>
      </c>
      <c r="R863" t="s">
        <v>708</v>
      </c>
      <c r="S863" t="s">
        <v>958</v>
      </c>
      <c r="T863" t="s">
        <v>709</v>
      </c>
      <c r="U863">
        <v>136100</v>
      </c>
      <c r="V863" t="s">
        <v>4031</v>
      </c>
      <c r="W863" t="s">
        <v>824</v>
      </c>
      <c r="X863" t="s">
        <v>5720</v>
      </c>
      <c r="Y863" t="s">
        <v>5721</v>
      </c>
      <c r="AA863" t="s">
        <v>4037</v>
      </c>
      <c r="AE863">
        <v>-36.859568879999998</v>
      </c>
      <c r="AF863">
        <v>174.76950977999999</v>
      </c>
      <c r="AG863">
        <v>100</v>
      </c>
      <c r="AH863">
        <v>40</v>
      </c>
      <c r="AI863">
        <v>5</v>
      </c>
      <c r="AJ863">
        <v>18</v>
      </c>
      <c r="AK863">
        <v>40</v>
      </c>
      <c r="AL863">
        <v>20</v>
      </c>
      <c r="AM863">
        <v>27</v>
      </c>
      <c r="AN863">
        <v>2</v>
      </c>
      <c r="AO863">
        <v>112</v>
      </c>
      <c r="AP863">
        <v>83</v>
      </c>
      <c r="AQ863">
        <v>8</v>
      </c>
      <c r="AR863">
        <v>14</v>
      </c>
      <c r="AS863">
        <v>37</v>
      </c>
      <c r="AT863">
        <v>5</v>
      </c>
    </row>
    <row r="864" spans="1:46">
      <c r="A864">
        <v>20009</v>
      </c>
      <c r="B864" t="s">
        <v>5722</v>
      </c>
      <c r="C864" t="s">
        <v>5723</v>
      </c>
      <c r="D864" t="s">
        <v>5724</v>
      </c>
      <c r="E864" t="s">
        <v>5725</v>
      </c>
      <c r="F864" t="s">
        <v>4921</v>
      </c>
      <c r="G864" t="s">
        <v>652</v>
      </c>
      <c r="H864" t="s">
        <v>3942</v>
      </c>
      <c r="J864" t="s">
        <v>518</v>
      </c>
      <c r="K864" t="s">
        <v>519</v>
      </c>
      <c r="M864" t="s">
        <v>520</v>
      </c>
      <c r="N864" t="s">
        <v>571</v>
      </c>
      <c r="O864" t="s">
        <v>957</v>
      </c>
      <c r="P864" t="s">
        <v>654</v>
      </c>
      <c r="Q864" t="s">
        <v>638</v>
      </c>
      <c r="R864" t="s">
        <v>708</v>
      </c>
      <c r="S864" t="s">
        <v>958</v>
      </c>
      <c r="T864" t="s">
        <v>709</v>
      </c>
      <c r="U864">
        <v>134800</v>
      </c>
      <c r="V864" t="s">
        <v>5726</v>
      </c>
      <c r="W864" t="s">
        <v>959</v>
      </c>
      <c r="X864" t="s">
        <v>5727</v>
      </c>
      <c r="Y864" t="s">
        <v>5728</v>
      </c>
      <c r="AA864" t="s">
        <v>4659</v>
      </c>
      <c r="AE864">
        <v>-36.853983049999997</v>
      </c>
      <c r="AF864">
        <v>174.7685893</v>
      </c>
      <c r="AG864">
        <v>34</v>
      </c>
      <c r="AH864">
        <v>0</v>
      </c>
      <c r="AI864">
        <v>0</v>
      </c>
      <c r="AJ864">
        <v>0</v>
      </c>
      <c r="AK864">
        <v>8</v>
      </c>
      <c r="AL864">
        <v>12</v>
      </c>
      <c r="AM864">
        <v>9</v>
      </c>
      <c r="AN864">
        <v>0</v>
      </c>
      <c r="AO864">
        <v>29</v>
      </c>
      <c r="AP864">
        <v>4</v>
      </c>
      <c r="AQ864">
        <v>1</v>
      </c>
      <c r="AR864">
        <v>2</v>
      </c>
      <c r="AS864">
        <v>19</v>
      </c>
      <c r="AT864">
        <v>7</v>
      </c>
    </row>
    <row r="865" spans="1:46">
      <c r="A865">
        <v>20010</v>
      </c>
      <c r="B865" t="s">
        <v>5729</v>
      </c>
      <c r="C865" t="s">
        <v>5730</v>
      </c>
      <c r="D865" t="s">
        <v>5731</v>
      </c>
      <c r="E865" t="s">
        <v>5732</v>
      </c>
      <c r="F865" t="s">
        <v>717</v>
      </c>
      <c r="G865" t="s">
        <v>652</v>
      </c>
      <c r="H865" t="s">
        <v>3942</v>
      </c>
      <c r="I865" t="s">
        <v>3953</v>
      </c>
      <c r="J865" t="s">
        <v>518</v>
      </c>
      <c r="K865" t="s">
        <v>519</v>
      </c>
      <c r="M865" t="s">
        <v>520</v>
      </c>
      <c r="N865" t="s">
        <v>571</v>
      </c>
      <c r="O865" t="s">
        <v>718</v>
      </c>
      <c r="P865" t="s">
        <v>654</v>
      </c>
      <c r="Q865" t="s">
        <v>638</v>
      </c>
      <c r="R865" t="s">
        <v>708</v>
      </c>
      <c r="S865" t="s">
        <v>770</v>
      </c>
      <c r="T865" t="s">
        <v>709</v>
      </c>
      <c r="U865">
        <v>135000</v>
      </c>
      <c r="V865" t="s">
        <v>5733</v>
      </c>
      <c r="W865" t="s">
        <v>721</v>
      </c>
      <c r="X865" t="s">
        <v>5734</v>
      </c>
      <c r="Y865" t="s">
        <v>5735</v>
      </c>
      <c r="Z865" t="s">
        <v>717</v>
      </c>
      <c r="AA865" t="s">
        <v>4333</v>
      </c>
      <c r="AB865" t="s">
        <v>5736</v>
      </c>
      <c r="AC865">
        <v>99210</v>
      </c>
      <c r="AD865" t="s">
        <v>3957</v>
      </c>
      <c r="AE865">
        <v>-36.90243598</v>
      </c>
      <c r="AF865">
        <v>174.69646700999999</v>
      </c>
      <c r="AG865">
        <v>50</v>
      </c>
      <c r="AH865">
        <v>0</v>
      </c>
      <c r="AI865">
        <v>0</v>
      </c>
      <c r="AJ865">
        <v>0</v>
      </c>
      <c r="AK865">
        <v>2</v>
      </c>
      <c r="AL865">
        <v>20</v>
      </c>
      <c r="AM865">
        <v>25</v>
      </c>
      <c r="AN865">
        <v>3</v>
      </c>
      <c r="AO865">
        <v>50</v>
      </c>
      <c r="AP865">
        <v>17</v>
      </c>
      <c r="AQ865">
        <v>4</v>
      </c>
      <c r="AR865">
        <v>13</v>
      </c>
      <c r="AS865">
        <v>12</v>
      </c>
      <c r="AT865">
        <v>13</v>
      </c>
    </row>
    <row r="866" spans="1:46">
      <c r="A866">
        <v>20011</v>
      </c>
      <c r="B866" t="s">
        <v>5737</v>
      </c>
      <c r="C866" t="s">
        <v>5738</v>
      </c>
      <c r="E866" t="s">
        <v>5739</v>
      </c>
      <c r="F866" t="s">
        <v>5158</v>
      </c>
      <c r="G866" t="s">
        <v>652</v>
      </c>
      <c r="H866" t="s">
        <v>3942</v>
      </c>
      <c r="J866" t="s">
        <v>3962</v>
      </c>
      <c r="K866" t="s">
        <v>519</v>
      </c>
      <c r="M866" t="s">
        <v>520</v>
      </c>
      <c r="N866" t="s">
        <v>571</v>
      </c>
      <c r="O866" t="s">
        <v>912</v>
      </c>
      <c r="P866" t="s">
        <v>654</v>
      </c>
      <c r="Q866" t="s">
        <v>638</v>
      </c>
      <c r="R866" t="s">
        <v>708</v>
      </c>
      <c r="S866" t="s">
        <v>805</v>
      </c>
      <c r="T866" t="s">
        <v>709</v>
      </c>
      <c r="U866">
        <v>142600</v>
      </c>
      <c r="V866" t="s">
        <v>5740</v>
      </c>
      <c r="W866" t="s">
        <v>860</v>
      </c>
      <c r="X866" t="s">
        <v>5741</v>
      </c>
      <c r="Y866" t="s">
        <v>5739</v>
      </c>
      <c r="Z866" t="s">
        <v>5158</v>
      </c>
      <c r="AA866" t="s">
        <v>4382</v>
      </c>
      <c r="AB866" t="s">
        <v>5742</v>
      </c>
      <c r="AE866">
        <v>-36.909939340000001</v>
      </c>
      <c r="AF866">
        <v>174.77332286999999</v>
      </c>
      <c r="AG866">
        <v>47</v>
      </c>
      <c r="AH866">
        <v>25</v>
      </c>
      <c r="AI866">
        <v>1</v>
      </c>
      <c r="AJ866">
        <v>7</v>
      </c>
      <c r="AK866">
        <v>16</v>
      </c>
      <c r="AL866">
        <v>2</v>
      </c>
      <c r="AM866">
        <v>1</v>
      </c>
      <c r="AN866">
        <v>0</v>
      </c>
      <c r="AO866">
        <v>27</v>
      </c>
      <c r="AP866">
        <v>16</v>
      </c>
      <c r="AQ866">
        <v>1</v>
      </c>
      <c r="AR866">
        <v>0</v>
      </c>
      <c r="AS866">
        <v>12</v>
      </c>
      <c r="AT866">
        <v>0</v>
      </c>
    </row>
    <row r="867" spans="1:46">
      <c r="A867">
        <v>20015</v>
      </c>
      <c r="B867" t="s">
        <v>5743</v>
      </c>
      <c r="C867" t="s">
        <v>5744</v>
      </c>
      <c r="E867" t="s">
        <v>5745</v>
      </c>
      <c r="F867" t="s">
        <v>755</v>
      </c>
      <c r="G867" t="s">
        <v>652</v>
      </c>
      <c r="H867" t="s">
        <v>3942</v>
      </c>
      <c r="J867" t="s">
        <v>518</v>
      </c>
      <c r="K867" t="s">
        <v>519</v>
      </c>
      <c r="M867" t="s">
        <v>520</v>
      </c>
      <c r="N867" t="s">
        <v>571</v>
      </c>
      <c r="O867" t="s">
        <v>738</v>
      </c>
      <c r="P867" t="s">
        <v>654</v>
      </c>
      <c r="Q867" t="s">
        <v>638</v>
      </c>
      <c r="R867" t="s">
        <v>639</v>
      </c>
      <c r="S867" t="s">
        <v>756</v>
      </c>
      <c r="T867" t="s">
        <v>527</v>
      </c>
      <c r="U867">
        <v>121800</v>
      </c>
      <c r="V867" t="s">
        <v>5746</v>
      </c>
      <c r="W867" t="s">
        <v>741</v>
      </c>
      <c r="X867" t="s">
        <v>4603</v>
      </c>
      <c r="Y867" t="s">
        <v>4604</v>
      </c>
      <c r="AA867" t="s">
        <v>4037</v>
      </c>
      <c r="AB867" t="s">
        <v>4605</v>
      </c>
      <c r="AE867">
        <v>-36.791074180000003</v>
      </c>
      <c r="AF867">
        <v>174.68848668999999</v>
      </c>
      <c r="AG867">
        <v>30</v>
      </c>
      <c r="AH867">
        <v>0</v>
      </c>
      <c r="AI867">
        <v>0</v>
      </c>
      <c r="AJ867">
        <v>0</v>
      </c>
      <c r="AK867">
        <v>4</v>
      </c>
      <c r="AL867">
        <v>11</v>
      </c>
      <c r="AM867">
        <v>5</v>
      </c>
      <c r="AN867">
        <v>1</v>
      </c>
      <c r="AO867">
        <v>21</v>
      </c>
      <c r="AP867">
        <v>14</v>
      </c>
      <c r="AQ867">
        <v>6</v>
      </c>
      <c r="AR867">
        <v>4</v>
      </c>
      <c r="AS867">
        <v>6</v>
      </c>
      <c r="AT867">
        <v>0</v>
      </c>
    </row>
    <row r="868" spans="1:46">
      <c r="A868">
        <v>20016</v>
      </c>
      <c r="B868" t="s">
        <v>5747</v>
      </c>
      <c r="C868" t="s">
        <v>5748</v>
      </c>
      <c r="D868" t="s">
        <v>5749</v>
      </c>
      <c r="E868" t="s">
        <v>5750</v>
      </c>
      <c r="F868" t="s">
        <v>755</v>
      </c>
      <c r="G868" t="s">
        <v>652</v>
      </c>
      <c r="H868" t="s">
        <v>3942</v>
      </c>
      <c r="J868" t="s">
        <v>3962</v>
      </c>
      <c r="K868" t="s">
        <v>519</v>
      </c>
      <c r="M868" t="s">
        <v>520</v>
      </c>
      <c r="N868" t="s">
        <v>571</v>
      </c>
      <c r="O868" t="s">
        <v>738</v>
      </c>
      <c r="P868" t="s">
        <v>654</v>
      </c>
      <c r="Q868" t="s">
        <v>638</v>
      </c>
      <c r="R868" t="s">
        <v>639</v>
      </c>
      <c r="S868" t="s">
        <v>756</v>
      </c>
      <c r="T868" t="s">
        <v>527</v>
      </c>
      <c r="U868">
        <v>122400</v>
      </c>
      <c r="V868" t="s">
        <v>757</v>
      </c>
      <c r="W868" t="s">
        <v>741</v>
      </c>
      <c r="X868" t="s">
        <v>5751</v>
      </c>
      <c r="Y868" t="s">
        <v>5750</v>
      </c>
      <c r="Z868" t="s">
        <v>755</v>
      </c>
      <c r="AA868" t="s">
        <v>5752</v>
      </c>
      <c r="AB868" t="s">
        <v>5748</v>
      </c>
      <c r="AC868">
        <v>99214</v>
      </c>
      <c r="AD868" t="s">
        <v>758</v>
      </c>
      <c r="AE868">
        <v>-36.793623080000003</v>
      </c>
      <c r="AF868">
        <v>174.69191659000001</v>
      </c>
      <c r="AG868">
        <v>35</v>
      </c>
      <c r="AH868">
        <v>8</v>
      </c>
      <c r="AI868">
        <v>2</v>
      </c>
      <c r="AJ868">
        <v>4</v>
      </c>
      <c r="AK868">
        <v>9</v>
      </c>
      <c r="AL868">
        <v>9</v>
      </c>
      <c r="AM868">
        <v>15</v>
      </c>
      <c r="AN868">
        <v>0</v>
      </c>
      <c r="AO868">
        <v>39</v>
      </c>
      <c r="AP868">
        <v>34</v>
      </c>
      <c r="AQ868">
        <v>4</v>
      </c>
      <c r="AR868">
        <v>2</v>
      </c>
      <c r="AS868">
        <v>3</v>
      </c>
      <c r="AT868">
        <v>13</v>
      </c>
    </row>
    <row r="869" spans="1:46">
      <c r="A869">
        <v>20017</v>
      </c>
      <c r="B869" t="s">
        <v>5753</v>
      </c>
      <c r="C869" t="s">
        <v>5754</v>
      </c>
      <c r="D869" t="s">
        <v>5755</v>
      </c>
      <c r="E869" t="s">
        <v>5756</v>
      </c>
      <c r="F869" t="s">
        <v>1140</v>
      </c>
      <c r="G869" t="s">
        <v>652</v>
      </c>
      <c r="H869" t="s">
        <v>3942</v>
      </c>
      <c r="J869" t="s">
        <v>3962</v>
      </c>
      <c r="K869" t="s">
        <v>519</v>
      </c>
      <c r="M869" t="s">
        <v>520</v>
      </c>
      <c r="N869" t="s">
        <v>571</v>
      </c>
      <c r="O869" t="s">
        <v>804</v>
      </c>
      <c r="P869" t="s">
        <v>654</v>
      </c>
      <c r="Q869" t="s">
        <v>638</v>
      </c>
      <c r="R869" t="s">
        <v>708</v>
      </c>
      <c r="S869" t="s">
        <v>880</v>
      </c>
      <c r="T869" t="s">
        <v>709</v>
      </c>
      <c r="U869">
        <v>143000</v>
      </c>
      <c r="V869" t="s">
        <v>5757</v>
      </c>
      <c r="W869" t="s">
        <v>824</v>
      </c>
      <c r="X869" t="s">
        <v>5758</v>
      </c>
      <c r="Y869" t="s">
        <v>5759</v>
      </c>
      <c r="Z869" t="s">
        <v>5760</v>
      </c>
      <c r="AA869" t="s">
        <v>5761</v>
      </c>
      <c r="AB869" t="s">
        <v>5762</v>
      </c>
      <c r="AE869">
        <v>-36.853328009999998</v>
      </c>
      <c r="AF869">
        <v>174.86661950999999</v>
      </c>
      <c r="AG869">
        <v>60</v>
      </c>
      <c r="AH869">
        <v>20</v>
      </c>
      <c r="AI869">
        <v>2</v>
      </c>
      <c r="AJ869">
        <v>11</v>
      </c>
      <c r="AK869">
        <v>23</v>
      </c>
      <c r="AL869">
        <v>13</v>
      </c>
      <c r="AM869">
        <v>17</v>
      </c>
      <c r="AN869">
        <v>0</v>
      </c>
      <c r="AO869">
        <v>66</v>
      </c>
      <c r="AP869">
        <v>53</v>
      </c>
      <c r="AQ869">
        <v>7</v>
      </c>
      <c r="AR869">
        <v>1</v>
      </c>
      <c r="AS869">
        <v>20</v>
      </c>
      <c r="AT869">
        <v>3</v>
      </c>
    </row>
    <row r="870" spans="1:46">
      <c r="A870">
        <v>20020</v>
      </c>
      <c r="B870" t="s">
        <v>5763</v>
      </c>
      <c r="C870" t="s">
        <v>5764</v>
      </c>
      <c r="E870" t="s">
        <v>5765</v>
      </c>
      <c r="F870" t="s">
        <v>5766</v>
      </c>
      <c r="G870" t="s">
        <v>652</v>
      </c>
      <c r="H870" t="s">
        <v>3942</v>
      </c>
      <c r="J870" t="s">
        <v>518</v>
      </c>
      <c r="K870" t="s">
        <v>519</v>
      </c>
      <c r="M870" t="s">
        <v>520</v>
      </c>
      <c r="N870" t="s">
        <v>571</v>
      </c>
      <c r="O870" t="s">
        <v>738</v>
      </c>
      <c r="P870" t="s">
        <v>654</v>
      </c>
      <c r="Q870" t="s">
        <v>638</v>
      </c>
      <c r="R870" t="s">
        <v>639</v>
      </c>
      <c r="S870" t="s">
        <v>756</v>
      </c>
      <c r="T870" t="s">
        <v>527</v>
      </c>
      <c r="U870">
        <v>122802</v>
      </c>
      <c r="V870" t="s">
        <v>5767</v>
      </c>
      <c r="W870" t="s">
        <v>741</v>
      </c>
      <c r="X870" t="s">
        <v>4603</v>
      </c>
      <c r="Y870" t="s">
        <v>4604</v>
      </c>
      <c r="AA870" t="s">
        <v>4037</v>
      </c>
      <c r="AB870" t="s">
        <v>4605</v>
      </c>
      <c r="AE870">
        <v>-36.799763140000003</v>
      </c>
      <c r="AF870">
        <v>174.70182008</v>
      </c>
      <c r="AG870">
        <v>22</v>
      </c>
      <c r="AH870">
        <v>0</v>
      </c>
      <c r="AI870">
        <v>0</v>
      </c>
      <c r="AJ870">
        <v>0</v>
      </c>
      <c r="AK870">
        <v>4</v>
      </c>
      <c r="AL870">
        <v>6</v>
      </c>
      <c r="AM870">
        <v>9</v>
      </c>
      <c r="AN870">
        <v>0</v>
      </c>
      <c r="AO870">
        <v>19</v>
      </c>
      <c r="AP870">
        <v>9</v>
      </c>
      <c r="AQ870">
        <v>4</v>
      </c>
      <c r="AR870">
        <v>4</v>
      </c>
      <c r="AS870">
        <v>4</v>
      </c>
      <c r="AT870">
        <v>4</v>
      </c>
    </row>
    <row r="871" spans="1:46">
      <c r="A871">
        <v>20021</v>
      </c>
      <c r="B871" t="s">
        <v>5768</v>
      </c>
      <c r="C871" t="s">
        <v>5769</v>
      </c>
      <c r="D871" t="s">
        <v>5770</v>
      </c>
      <c r="E871" t="s">
        <v>5771</v>
      </c>
      <c r="F871" t="s">
        <v>769</v>
      </c>
      <c r="G871" t="s">
        <v>652</v>
      </c>
      <c r="H871" t="s">
        <v>3942</v>
      </c>
      <c r="I871" t="s">
        <v>5772</v>
      </c>
      <c r="J871" t="s">
        <v>518</v>
      </c>
      <c r="K871" t="s">
        <v>519</v>
      </c>
      <c r="M871" t="s">
        <v>520</v>
      </c>
      <c r="N871" t="s">
        <v>571</v>
      </c>
      <c r="O871" t="s">
        <v>718</v>
      </c>
      <c r="P871" t="s">
        <v>654</v>
      </c>
      <c r="Q871" t="s">
        <v>638</v>
      </c>
      <c r="R871" t="s">
        <v>708</v>
      </c>
      <c r="S871" t="s">
        <v>770</v>
      </c>
      <c r="T871" t="s">
        <v>709</v>
      </c>
      <c r="U871">
        <v>137202</v>
      </c>
      <c r="V871" t="s">
        <v>771</v>
      </c>
      <c r="W871" t="s">
        <v>721</v>
      </c>
      <c r="X871" t="s">
        <v>5773</v>
      </c>
      <c r="Y871" t="s">
        <v>5771</v>
      </c>
      <c r="Z871" t="s">
        <v>769</v>
      </c>
      <c r="AA871" t="s">
        <v>4333</v>
      </c>
      <c r="AB871" t="s">
        <v>5769</v>
      </c>
      <c r="AC871">
        <v>99012</v>
      </c>
      <c r="AD871" t="s">
        <v>772</v>
      </c>
      <c r="AE871">
        <v>-36.920464099999997</v>
      </c>
      <c r="AF871">
        <v>174.70202757999999</v>
      </c>
      <c r="AG871">
        <v>30</v>
      </c>
      <c r="AH871">
        <v>0</v>
      </c>
      <c r="AI871">
        <v>0</v>
      </c>
      <c r="AJ871">
        <v>0</v>
      </c>
      <c r="AK871">
        <v>5</v>
      </c>
      <c r="AL871">
        <v>9</v>
      </c>
      <c r="AM871">
        <v>12</v>
      </c>
      <c r="AN871">
        <v>0</v>
      </c>
      <c r="AO871">
        <v>26</v>
      </c>
      <c r="AP871">
        <v>7</v>
      </c>
      <c r="AQ871">
        <v>4</v>
      </c>
      <c r="AR871">
        <v>6</v>
      </c>
      <c r="AS871">
        <v>15</v>
      </c>
      <c r="AT871">
        <v>1</v>
      </c>
    </row>
    <row r="872" spans="1:46">
      <c r="A872">
        <v>20024</v>
      </c>
      <c r="B872" t="s">
        <v>5774</v>
      </c>
      <c r="C872" t="s">
        <v>5775</v>
      </c>
      <c r="D872" t="s">
        <v>5776</v>
      </c>
      <c r="E872" t="s">
        <v>5777</v>
      </c>
      <c r="F872" t="s">
        <v>660</v>
      </c>
      <c r="G872" t="s">
        <v>652</v>
      </c>
      <c r="H872" t="s">
        <v>3942</v>
      </c>
      <c r="J872" t="s">
        <v>3962</v>
      </c>
      <c r="K872" t="s">
        <v>519</v>
      </c>
      <c r="M872" t="s">
        <v>520</v>
      </c>
      <c r="N872" t="s">
        <v>571</v>
      </c>
      <c r="O872" t="s">
        <v>653</v>
      </c>
      <c r="P872" t="s">
        <v>654</v>
      </c>
      <c r="Q872" t="s">
        <v>638</v>
      </c>
      <c r="R872" t="s">
        <v>639</v>
      </c>
      <c r="S872" t="s">
        <v>655</v>
      </c>
      <c r="T872" t="s">
        <v>527</v>
      </c>
      <c r="U872">
        <v>118700</v>
      </c>
      <c r="V872" t="s">
        <v>5778</v>
      </c>
      <c r="W872" t="s">
        <v>657</v>
      </c>
      <c r="X872" t="s">
        <v>5779</v>
      </c>
      <c r="Y872" t="s">
        <v>5780</v>
      </c>
      <c r="Z872" t="s">
        <v>660</v>
      </c>
      <c r="AA872" t="s">
        <v>4537</v>
      </c>
      <c r="AC872">
        <v>99000</v>
      </c>
      <c r="AD872" t="s">
        <v>684</v>
      </c>
      <c r="AE872">
        <v>-36.721615839999998</v>
      </c>
      <c r="AF872">
        <v>174.74393659</v>
      </c>
      <c r="AG872">
        <v>39</v>
      </c>
      <c r="AH872">
        <v>9</v>
      </c>
      <c r="AI872">
        <v>1</v>
      </c>
      <c r="AJ872">
        <v>7</v>
      </c>
      <c r="AK872">
        <v>6</v>
      </c>
      <c r="AL872">
        <v>13</v>
      </c>
      <c r="AM872">
        <v>16</v>
      </c>
      <c r="AN872">
        <v>0</v>
      </c>
      <c r="AO872">
        <v>43</v>
      </c>
      <c r="AP872">
        <v>36</v>
      </c>
      <c r="AQ872">
        <v>3</v>
      </c>
      <c r="AR872">
        <v>0</v>
      </c>
      <c r="AS872">
        <v>6</v>
      </c>
      <c r="AT872">
        <v>4</v>
      </c>
    </row>
    <row r="873" spans="1:46">
      <c r="A873">
        <v>20026</v>
      </c>
      <c r="B873" t="s">
        <v>5781</v>
      </c>
      <c r="C873" t="s">
        <v>5782</v>
      </c>
      <c r="D873" t="s">
        <v>5783</v>
      </c>
      <c r="E873" t="s">
        <v>5784</v>
      </c>
      <c r="F873" t="s">
        <v>769</v>
      </c>
      <c r="G873" t="s">
        <v>652</v>
      </c>
      <c r="H873" t="s">
        <v>3942</v>
      </c>
      <c r="J873" t="s">
        <v>3962</v>
      </c>
      <c r="K873" t="s">
        <v>519</v>
      </c>
      <c r="M873" t="s">
        <v>520</v>
      </c>
      <c r="N873" t="s">
        <v>571</v>
      </c>
      <c r="O873" t="s">
        <v>718</v>
      </c>
      <c r="P873" t="s">
        <v>654</v>
      </c>
      <c r="Q873" t="s">
        <v>638</v>
      </c>
      <c r="R873" t="s">
        <v>708</v>
      </c>
      <c r="S873" t="s">
        <v>770</v>
      </c>
      <c r="T873" t="s">
        <v>709</v>
      </c>
      <c r="U873">
        <v>137201</v>
      </c>
      <c r="V873" t="s">
        <v>5785</v>
      </c>
      <c r="W873" t="s">
        <v>721</v>
      </c>
      <c r="X873" t="s">
        <v>5786</v>
      </c>
      <c r="Y873" t="s">
        <v>5784</v>
      </c>
      <c r="Z873" t="s">
        <v>769</v>
      </c>
      <c r="AA873" t="s">
        <v>4333</v>
      </c>
      <c r="AB873" t="s">
        <v>5787</v>
      </c>
      <c r="AC873">
        <v>99012</v>
      </c>
      <c r="AD873" t="s">
        <v>772</v>
      </c>
      <c r="AE873">
        <v>-36.91283902</v>
      </c>
      <c r="AF873">
        <v>174.69375733999999</v>
      </c>
      <c r="AG873">
        <v>36</v>
      </c>
      <c r="AH873">
        <v>10</v>
      </c>
      <c r="AI873">
        <v>1</v>
      </c>
      <c r="AJ873">
        <v>5</v>
      </c>
      <c r="AK873">
        <v>12</v>
      </c>
      <c r="AL873">
        <v>12</v>
      </c>
      <c r="AM873">
        <v>9</v>
      </c>
      <c r="AN873">
        <v>0</v>
      </c>
      <c r="AO873">
        <v>39</v>
      </c>
      <c r="AP873">
        <v>18</v>
      </c>
      <c r="AQ873">
        <v>4</v>
      </c>
      <c r="AR873">
        <v>5</v>
      </c>
      <c r="AS873">
        <v>18</v>
      </c>
      <c r="AT873">
        <v>4</v>
      </c>
    </row>
    <row r="874" spans="1:46">
      <c r="A874">
        <v>20027</v>
      </c>
      <c r="B874" t="s">
        <v>5788</v>
      </c>
      <c r="C874" t="s">
        <v>5789</v>
      </c>
      <c r="D874" t="s">
        <v>5790</v>
      </c>
      <c r="E874" t="s">
        <v>5791</v>
      </c>
      <c r="F874" t="s">
        <v>898</v>
      </c>
      <c r="G874" t="s">
        <v>652</v>
      </c>
      <c r="H874" t="s">
        <v>3942</v>
      </c>
      <c r="J874" t="s">
        <v>3962</v>
      </c>
      <c r="K874" t="s">
        <v>519</v>
      </c>
      <c r="M874" t="s">
        <v>520</v>
      </c>
      <c r="N874" t="s">
        <v>539</v>
      </c>
      <c r="O874" t="s">
        <v>813</v>
      </c>
      <c r="P874" t="s">
        <v>654</v>
      </c>
      <c r="Q874" t="s">
        <v>638</v>
      </c>
      <c r="R874" t="s">
        <v>639</v>
      </c>
      <c r="S874" t="s">
        <v>899</v>
      </c>
      <c r="T874" t="s">
        <v>527</v>
      </c>
      <c r="U874">
        <v>125701</v>
      </c>
      <c r="V874" t="s">
        <v>5792</v>
      </c>
      <c r="W874" t="s">
        <v>815</v>
      </c>
      <c r="X874" t="s">
        <v>5793</v>
      </c>
      <c r="Y874" t="s">
        <v>5791</v>
      </c>
      <c r="Z874" t="s">
        <v>898</v>
      </c>
      <c r="AA874" t="s">
        <v>4307</v>
      </c>
      <c r="AB874" t="s">
        <v>5794</v>
      </c>
      <c r="AE874">
        <v>-36.865708290000001</v>
      </c>
      <c r="AF874">
        <v>174.61593601999999</v>
      </c>
      <c r="AG874">
        <v>50</v>
      </c>
      <c r="AH874">
        <v>12</v>
      </c>
      <c r="AI874">
        <v>3</v>
      </c>
      <c r="AJ874">
        <v>7</v>
      </c>
      <c r="AK874">
        <v>5</v>
      </c>
      <c r="AL874">
        <v>15</v>
      </c>
      <c r="AM874">
        <v>18</v>
      </c>
      <c r="AN874">
        <v>1</v>
      </c>
      <c r="AO874">
        <v>49</v>
      </c>
      <c r="AP874">
        <v>14</v>
      </c>
      <c r="AQ874">
        <v>14</v>
      </c>
      <c r="AR874">
        <v>20</v>
      </c>
      <c r="AS874">
        <v>18</v>
      </c>
      <c r="AT874">
        <v>2</v>
      </c>
    </row>
    <row r="875" spans="1:46">
      <c r="A875">
        <v>20033</v>
      </c>
      <c r="B875" t="s">
        <v>5795</v>
      </c>
      <c r="C875" t="s">
        <v>5796</v>
      </c>
      <c r="D875" t="s">
        <v>5797</v>
      </c>
      <c r="E875" t="s">
        <v>5798</v>
      </c>
      <c r="F875" t="s">
        <v>763</v>
      </c>
      <c r="G875" t="s">
        <v>652</v>
      </c>
      <c r="H875" t="s">
        <v>3942</v>
      </c>
      <c r="J875" t="s">
        <v>3962</v>
      </c>
      <c r="K875" t="s">
        <v>519</v>
      </c>
      <c r="M875" t="s">
        <v>520</v>
      </c>
      <c r="N875" t="s">
        <v>571</v>
      </c>
      <c r="O875" t="s">
        <v>738</v>
      </c>
      <c r="P875" t="s">
        <v>654</v>
      </c>
      <c r="Q875" t="s">
        <v>638</v>
      </c>
      <c r="R875" t="s">
        <v>639</v>
      </c>
      <c r="S875" t="s">
        <v>756</v>
      </c>
      <c r="T875" t="s">
        <v>527</v>
      </c>
      <c r="U875">
        <v>126500</v>
      </c>
      <c r="V875" t="s">
        <v>5799</v>
      </c>
      <c r="W875" t="s">
        <v>741</v>
      </c>
      <c r="X875" t="s">
        <v>5800</v>
      </c>
      <c r="Y875" t="s">
        <v>5801</v>
      </c>
      <c r="Z875" t="s">
        <v>763</v>
      </c>
      <c r="AA875" t="s">
        <v>5802</v>
      </c>
      <c r="AB875" t="s">
        <v>5796</v>
      </c>
      <c r="AE875">
        <v>-36.810297929999997</v>
      </c>
      <c r="AF875">
        <v>174.73072017999999</v>
      </c>
      <c r="AG875">
        <v>37</v>
      </c>
      <c r="AH875">
        <v>0</v>
      </c>
      <c r="AI875">
        <v>0</v>
      </c>
      <c r="AJ875">
        <v>0</v>
      </c>
      <c r="AK875">
        <v>13</v>
      </c>
      <c r="AL875">
        <v>13</v>
      </c>
      <c r="AM875">
        <v>12</v>
      </c>
      <c r="AN875">
        <v>1</v>
      </c>
      <c r="AO875">
        <v>39</v>
      </c>
      <c r="AP875">
        <v>22</v>
      </c>
      <c r="AQ875">
        <v>2</v>
      </c>
      <c r="AR875">
        <v>0</v>
      </c>
      <c r="AS875">
        <v>18</v>
      </c>
      <c r="AT875">
        <v>5</v>
      </c>
    </row>
    <row r="876" spans="1:46">
      <c r="A876">
        <v>20035</v>
      </c>
      <c r="B876" t="s">
        <v>5803</v>
      </c>
      <c r="C876" t="s">
        <v>5804</v>
      </c>
      <c r="D876" t="s">
        <v>5805</v>
      </c>
      <c r="E876" t="s">
        <v>5806</v>
      </c>
      <c r="F876" t="s">
        <v>763</v>
      </c>
      <c r="G876" t="s">
        <v>652</v>
      </c>
      <c r="H876" t="s">
        <v>3942</v>
      </c>
      <c r="J876" t="s">
        <v>3962</v>
      </c>
      <c r="K876" t="s">
        <v>519</v>
      </c>
      <c r="M876" t="s">
        <v>520</v>
      </c>
      <c r="N876" t="s">
        <v>571</v>
      </c>
      <c r="O876" t="s">
        <v>738</v>
      </c>
      <c r="P876" t="s">
        <v>654</v>
      </c>
      <c r="Q876" t="s">
        <v>638</v>
      </c>
      <c r="R876" t="s">
        <v>639</v>
      </c>
      <c r="S876" t="s">
        <v>756</v>
      </c>
      <c r="T876" t="s">
        <v>527</v>
      </c>
      <c r="U876">
        <v>127400</v>
      </c>
      <c r="V876" t="s">
        <v>764</v>
      </c>
      <c r="W876" t="s">
        <v>741</v>
      </c>
      <c r="X876" t="s">
        <v>5807</v>
      </c>
      <c r="Y876" t="s">
        <v>5808</v>
      </c>
      <c r="Z876" t="s">
        <v>763</v>
      </c>
      <c r="AA876" t="s">
        <v>4365</v>
      </c>
      <c r="AB876" t="s">
        <v>5809</v>
      </c>
      <c r="AE876">
        <v>-36.814166890000003</v>
      </c>
      <c r="AF876">
        <v>174.72811475</v>
      </c>
      <c r="AG876">
        <v>50</v>
      </c>
      <c r="AH876">
        <v>10</v>
      </c>
      <c r="AI876">
        <v>1</v>
      </c>
      <c r="AJ876">
        <v>8</v>
      </c>
      <c r="AK876">
        <v>10</v>
      </c>
      <c r="AL876">
        <v>10</v>
      </c>
      <c r="AM876">
        <v>9</v>
      </c>
      <c r="AN876">
        <v>0</v>
      </c>
      <c r="AO876">
        <v>38</v>
      </c>
      <c r="AP876">
        <v>33</v>
      </c>
      <c r="AQ876">
        <v>1</v>
      </c>
      <c r="AR876">
        <v>2</v>
      </c>
      <c r="AS876">
        <v>4</v>
      </c>
      <c r="AT876">
        <v>2</v>
      </c>
    </row>
    <row r="877" spans="1:46">
      <c r="A877">
        <v>20036</v>
      </c>
      <c r="B877" t="s">
        <v>5810</v>
      </c>
      <c r="C877" t="s">
        <v>5811</v>
      </c>
      <c r="D877" t="s">
        <v>5812</v>
      </c>
      <c r="E877" t="s">
        <v>5813</v>
      </c>
      <c r="F877" t="s">
        <v>1146</v>
      </c>
      <c r="G877" t="s">
        <v>652</v>
      </c>
      <c r="H877" t="s">
        <v>3942</v>
      </c>
      <c r="J877" t="s">
        <v>3962</v>
      </c>
      <c r="K877" t="s">
        <v>519</v>
      </c>
      <c r="M877" t="s">
        <v>520</v>
      </c>
      <c r="N877" t="s">
        <v>4519</v>
      </c>
      <c r="O877" t="s">
        <v>957</v>
      </c>
      <c r="P877" t="s">
        <v>654</v>
      </c>
      <c r="Q877" t="s">
        <v>638</v>
      </c>
      <c r="R877" t="s">
        <v>708</v>
      </c>
      <c r="S877" t="s">
        <v>858</v>
      </c>
      <c r="T877" t="s">
        <v>709</v>
      </c>
      <c r="U877">
        <v>132100</v>
      </c>
      <c r="V877" t="s">
        <v>5814</v>
      </c>
      <c r="W877" t="s">
        <v>959</v>
      </c>
      <c r="X877" t="s">
        <v>5815</v>
      </c>
      <c r="Y877" t="s">
        <v>5816</v>
      </c>
      <c r="Z877" t="s">
        <v>1146</v>
      </c>
      <c r="AA877" t="s">
        <v>4414</v>
      </c>
      <c r="AB877" t="s">
        <v>5811</v>
      </c>
      <c r="AE877">
        <v>-36.86276307</v>
      </c>
      <c r="AF877">
        <v>174.72991838999999</v>
      </c>
      <c r="AG877">
        <v>26</v>
      </c>
      <c r="AH877">
        <v>8</v>
      </c>
      <c r="AI877">
        <v>1</v>
      </c>
      <c r="AJ877">
        <v>4</v>
      </c>
      <c r="AK877">
        <v>10</v>
      </c>
      <c r="AL877">
        <v>9</v>
      </c>
      <c r="AM877">
        <v>6</v>
      </c>
      <c r="AN877">
        <v>0</v>
      </c>
      <c r="AO877">
        <v>30</v>
      </c>
      <c r="AP877">
        <v>29</v>
      </c>
      <c r="AQ877">
        <v>0</v>
      </c>
      <c r="AR877">
        <v>4</v>
      </c>
      <c r="AS877">
        <v>1</v>
      </c>
      <c r="AT877">
        <v>0</v>
      </c>
    </row>
    <row r="878" spans="1:46">
      <c r="A878">
        <v>20039</v>
      </c>
      <c r="B878" t="s">
        <v>5817</v>
      </c>
      <c r="C878" t="s">
        <v>5818</v>
      </c>
      <c r="D878" t="s">
        <v>5819</v>
      </c>
      <c r="E878" t="s">
        <v>5820</v>
      </c>
      <c r="F878" t="s">
        <v>1017</v>
      </c>
      <c r="G878" t="s">
        <v>652</v>
      </c>
      <c r="H878" t="s">
        <v>3942</v>
      </c>
      <c r="I878" t="s">
        <v>5821</v>
      </c>
      <c r="J878" t="s">
        <v>518</v>
      </c>
      <c r="K878" t="s">
        <v>519</v>
      </c>
      <c r="M878" t="s">
        <v>520</v>
      </c>
      <c r="N878" t="s">
        <v>571</v>
      </c>
      <c r="O878" t="s">
        <v>857</v>
      </c>
      <c r="P878" t="s">
        <v>654</v>
      </c>
      <c r="Q878" t="s">
        <v>638</v>
      </c>
      <c r="R878" t="s">
        <v>708</v>
      </c>
      <c r="S878" t="s">
        <v>822</v>
      </c>
      <c r="T878" t="s">
        <v>709</v>
      </c>
      <c r="U878">
        <v>136900</v>
      </c>
      <c r="V878" t="s">
        <v>5822</v>
      </c>
      <c r="W878" t="s">
        <v>860</v>
      </c>
      <c r="X878" t="s">
        <v>5823</v>
      </c>
      <c r="Y878" t="s">
        <v>5820</v>
      </c>
      <c r="Z878" t="s">
        <v>1017</v>
      </c>
      <c r="AA878" t="s">
        <v>5824</v>
      </c>
      <c r="AB878" t="s">
        <v>5818</v>
      </c>
      <c r="AE878">
        <v>-36.872443269999998</v>
      </c>
      <c r="AF878">
        <v>174.75303643999999</v>
      </c>
      <c r="AG878">
        <v>35</v>
      </c>
      <c r="AH878">
        <v>0</v>
      </c>
      <c r="AI878">
        <v>0</v>
      </c>
      <c r="AJ878">
        <v>0</v>
      </c>
      <c r="AK878">
        <v>4</v>
      </c>
      <c r="AL878">
        <v>12</v>
      </c>
      <c r="AM878">
        <v>11</v>
      </c>
      <c r="AN878">
        <v>3</v>
      </c>
      <c r="AO878">
        <v>30</v>
      </c>
      <c r="AP878">
        <v>11</v>
      </c>
      <c r="AQ878">
        <v>2</v>
      </c>
      <c r="AR878">
        <v>2</v>
      </c>
      <c r="AS878">
        <v>21</v>
      </c>
      <c r="AT878">
        <v>5</v>
      </c>
    </row>
    <row r="879" spans="1:46">
      <c r="A879">
        <v>20040</v>
      </c>
      <c r="B879" t="s">
        <v>5825</v>
      </c>
      <c r="C879" t="s">
        <v>5826</v>
      </c>
      <c r="D879" t="s">
        <v>5827</v>
      </c>
      <c r="E879" t="s">
        <v>5828</v>
      </c>
      <c r="F879" t="s">
        <v>5829</v>
      </c>
      <c r="G879" t="s">
        <v>652</v>
      </c>
      <c r="H879" t="s">
        <v>3942</v>
      </c>
      <c r="J879" t="s">
        <v>3962</v>
      </c>
      <c r="K879" t="s">
        <v>519</v>
      </c>
      <c r="M879" t="s">
        <v>520</v>
      </c>
      <c r="N879" t="s">
        <v>571</v>
      </c>
      <c r="O879" t="s">
        <v>1168</v>
      </c>
      <c r="P879" t="s">
        <v>654</v>
      </c>
      <c r="Q879" t="s">
        <v>638</v>
      </c>
      <c r="R879" t="s">
        <v>639</v>
      </c>
      <c r="S879" t="s">
        <v>739</v>
      </c>
      <c r="T879" t="s">
        <v>527</v>
      </c>
      <c r="U879">
        <v>120400</v>
      </c>
      <c r="V879" t="s">
        <v>4260</v>
      </c>
      <c r="W879" t="s">
        <v>657</v>
      </c>
      <c r="X879" t="s">
        <v>5830</v>
      </c>
      <c r="Y879" t="s">
        <v>5828</v>
      </c>
      <c r="Z879" t="s">
        <v>4012</v>
      </c>
      <c r="AA879" t="s">
        <v>4099</v>
      </c>
      <c r="AE879">
        <v>-36.752757289999998</v>
      </c>
      <c r="AF879">
        <v>174.72059168000001</v>
      </c>
      <c r="AG879">
        <v>30</v>
      </c>
      <c r="AH879">
        <v>15</v>
      </c>
      <c r="AI879">
        <v>0</v>
      </c>
      <c r="AJ879">
        <v>6</v>
      </c>
      <c r="AK879">
        <v>11</v>
      </c>
      <c r="AL879">
        <v>10</v>
      </c>
      <c r="AM879">
        <v>4</v>
      </c>
      <c r="AN879">
        <v>0</v>
      </c>
      <c r="AO879">
        <v>31</v>
      </c>
      <c r="AP879">
        <v>12</v>
      </c>
      <c r="AQ879">
        <v>4</v>
      </c>
      <c r="AR879">
        <v>1</v>
      </c>
      <c r="AS879">
        <v>19</v>
      </c>
      <c r="AT879">
        <v>3</v>
      </c>
    </row>
    <row r="880" spans="1:46">
      <c r="A880">
        <v>20041</v>
      </c>
      <c r="B880" t="s">
        <v>5831</v>
      </c>
      <c r="C880" t="s">
        <v>5832</v>
      </c>
      <c r="D880" t="s">
        <v>5833</v>
      </c>
      <c r="E880" t="s">
        <v>5834</v>
      </c>
      <c r="F880" t="s">
        <v>836</v>
      </c>
      <c r="G880" t="s">
        <v>652</v>
      </c>
      <c r="H880" t="s">
        <v>3942</v>
      </c>
      <c r="J880" t="s">
        <v>518</v>
      </c>
      <c r="K880" t="s">
        <v>519</v>
      </c>
      <c r="M880" t="s">
        <v>520</v>
      </c>
      <c r="N880" t="s">
        <v>571</v>
      </c>
      <c r="O880" t="s">
        <v>748</v>
      </c>
      <c r="P880" t="s">
        <v>654</v>
      </c>
      <c r="Q880" t="s">
        <v>638</v>
      </c>
      <c r="R880" t="s">
        <v>639</v>
      </c>
      <c r="S880" t="s">
        <v>682</v>
      </c>
      <c r="T880" t="s">
        <v>527</v>
      </c>
      <c r="U880">
        <v>133000</v>
      </c>
      <c r="V880" t="s">
        <v>836</v>
      </c>
      <c r="W880" t="s">
        <v>741</v>
      </c>
      <c r="X880" t="s">
        <v>5835</v>
      </c>
      <c r="Y880" t="s">
        <v>5836</v>
      </c>
      <c r="Z880" t="s">
        <v>836</v>
      </c>
      <c r="AA880" t="s">
        <v>4282</v>
      </c>
      <c r="AB880" t="s">
        <v>5837</v>
      </c>
      <c r="AC880">
        <v>99048</v>
      </c>
      <c r="AD880" t="s">
        <v>750</v>
      </c>
      <c r="AE880">
        <v>-36.829800300000002</v>
      </c>
      <c r="AF880">
        <v>174.79555811</v>
      </c>
      <c r="AG880">
        <v>25</v>
      </c>
      <c r="AH880">
        <v>5</v>
      </c>
      <c r="AI880">
        <v>0</v>
      </c>
      <c r="AJ880">
        <v>4</v>
      </c>
      <c r="AK880">
        <v>26</v>
      </c>
      <c r="AL880">
        <v>17</v>
      </c>
      <c r="AM880">
        <v>1</v>
      </c>
      <c r="AN880">
        <v>0</v>
      </c>
      <c r="AO880">
        <v>48</v>
      </c>
      <c r="AP880">
        <v>43</v>
      </c>
      <c r="AQ880">
        <v>8</v>
      </c>
      <c r="AR880">
        <v>2</v>
      </c>
      <c r="AS880">
        <v>6</v>
      </c>
      <c r="AT880">
        <v>4</v>
      </c>
    </row>
    <row r="881" spans="1:46">
      <c r="A881">
        <v>20043</v>
      </c>
      <c r="B881" t="s">
        <v>5838</v>
      </c>
      <c r="C881" t="s">
        <v>5839</v>
      </c>
      <c r="E881" t="s">
        <v>5840</v>
      </c>
      <c r="F881" t="s">
        <v>660</v>
      </c>
      <c r="G881" t="s">
        <v>652</v>
      </c>
      <c r="H881" t="s">
        <v>3942</v>
      </c>
      <c r="J881" t="s">
        <v>518</v>
      </c>
      <c r="K881" t="s">
        <v>519</v>
      </c>
      <c r="M881" t="s">
        <v>520</v>
      </c>
      <c r="N881" t="s">
        <v>571</v>
      </c>
      <c r="O881" t="s">
        <v>653</v>
      </c>
      <c r="P881" t="s">
        <v>654</v>
      </c>
      <c r="Q881" t="s">
        <v>638</v>
      </c>
      <c r="R881" t="s">
        <v>639</v>
      </c>
      <c r="S881" t="s">
        <v>655</v>
      </c>
      <c r="T881" t="s">
        <v>527</v>
      </c>
      <c r="U881">
        <v>118300</v>
      </c>
      <c r="V881" t="s">
        <v>689</v>
      </c>
      <c r="W881" t="s">
        <v>657</v>
      </c>
      <c r="X881" t="s">
        <v>5841</v>
      </c>
      <c r="Y881" t="s">
        <v>5842</v>
      </c>
      <c r="Z881" t="s">
        <v>660</v>
      </c>
      <c r="AA881" t="s">
        <v>661</v>
      </c>
      <c r="AB881" t="s">
        <v>5839</v>
      </c>
      <c r="AC881">
        <v>99000</v>
      </c>
      <c r="AD881" t="s">
        <v>684</v>
      </c>
      <c r="AE881">
        <v>-36.715417359999996</v>
      </c>
      <c r="AF881">
        <v>174.74700038</v>
      </c>
      <c r="AG881">
        <v>32</v>
      </c>
      <c r="AH881">
        <v>10</v>
      </c>
      <c r="AI881">
        <v>1</v>
      </c>
      <c r="AJ881">
        <v>3</v>
      </c>
      <c r="AK881">
        <v>18</v>
      </c>
      <c r="AL881">
        <v>12</v>
      </c>
      <c r="AM881">
        <v>4</v>
      </c>
      <c r="AN881">
        <v>2</v>
      </c>
      <c r="AO881">
        <v>40</v>
      </c>
      <c r="AP881">
        <v>23</v>
      </c>
      <c r="AQ881">
        <v>9</v>
      </c>
      <c r="AR881">
        <v>5</v>
      </c>
      <c r="AS881">
        <v>13</v>
      </c>
      <c r="AT881">
        <v>3</v>
      </c>
    </row>
    <row r="882" spans="1:46">
      <c r="A882">
        <v>20045</v>
      </c>
      <c r="B882" t="s">
        <v>5843</v>
      </c>
      <c r="C882" t="s">
        <v>5844</v>
      </c>
      <c r="D882" t="s">
        <v>5845</v>
      </c>
      <c r="E882" t="s">
        <v>5846</v>
      </c>
      <c r="F882" t="s">
        <v>1189</v>
      </c>
      <c r="G882" t="s">
        <v>652</v>
      </c>
      <c r="H882" t="s">
        <v>3942</v>
      </c>
      <c r="J882" t="s">
        <v>518</v>
      </c>
      <c r="K882" t="s">
        <v>519</v>
      </c>
      <c r="M882" t="s">
        <v>520</v>
      </c>
      <c r="N882" t="s">
        <v>571</v>
      </c>
      <c r="O882" t="s">
        <v>813</v>
      </c>
      <c r="P882" t="s">
        <v>654</v>
      </c>
      <c r="Q882" t="s">
        <v>638</v>
      </c>
      <c r="R882" t="s">
        <v>639</v>
      </c>
      <c r="S882" t="s">
        <v>899</v>
      </c>
      <c r="T882" t="s">
        <v>709</v>
      </c>
      <c r="U882">
        <v>126401</v>
      </c>
      <c r="V882" t="s">
        <v>5847</v>
      </c>
      <c r="W882" t="s">
        <v>815</v>
      </c>
      <c r="X882" t="s">
        <v>5848</v>
      </c>
      <c r="Y882" t="s">
        <v>5849</v>
      </c>
      <c r="Z882" t="s">
        <v>1189</v>
      </c>
      <c r="AA882" t="s">
        <v>5850</v>
      </c>
      <c r="AE882">
        <v>-36.866344820000002</v>
      </c>
      <c r="AF882">
        <v>174.64552963</v>
      </c>
      <c r="AG882">
        <v>30</v>
      </c>
      <c r="AH882">
        <v>0</v>
      </c>
      <c r="AI882">
        <v>0</v>
      </c>
      <c r="AJ882">
        <v>0</v>
      </c>
      <c r="AK882">
        <v>10</v>
      </c>
      <c r="AL882">
        <v>17</v>
      </c>
      <c r="AM882">
        <v>15</v>
      </c>
      <c r="AN882">
        <v>1</v>
      </c>
      <c r="AO882">
        <v>43</v>
      </c>
      <c r="AP882">
        <v>26</v>
      </c>
      <c r="AQ882">
        <v>13</v>
      </c>
      <c r="AR882">
        <v>9</v>
      </c>
      <c r="AS882">
        <v>7</v>
      </c>
      <c r="AT882">
        <v>1</v>
      </c>
    </row>
    <row r="883" spans="1:46">
      <c r="A883">
        <v>20049</v>
      </c>
      <c r="B883" t="s">
        <v>5851</v>
      </c>
      <c r="C883" t="s">
        <v>5852</v>
      </c>
      <c r="D883" t="s">
        <v>5853</v>
      </c>
      <c r="E883" t="s">
        <v>5854</v>
      </c>
      <c r="F883" t="s">
        <v>822</v>
      </c>
      <c r="G883" t="s">
        <v>652</v>
      </c>
      <c r="H883" t="s">
        <v>3942</v>
      </c>
      <c r="J883" t="s">
        <v>518</v>
      </c>
      <c r="K883" t="s">
        <v>519</v>
      </c>
      <c r="M883" t="s">
        <v>520</v>
      </c>
      <c r="N883" t="s">
        <v>4519</v>
      </c>
      <c r="O883" t="s">
        <v>857</v>
      </c>
      <c r="P883" t="s">
        <v>654</v>
      </c>
      <c r="Q883" t="s">
        <v>638</v>
      </c>
      <c r="R883" t="s">
        <v>708</v>
      </c>
      <c r="S883" t="s">
        <v>822</v>
      </c>
      <c r="T883" t="s">
        <v>709</v>
      </c>
      <c r="U883">
        <v>140200</v>
      </c>
      <c r="V883" t="s">
        <v>951</v>
      </c>
      <c r="W883" t="s">
        <v>860</v>
      </c>
      <c r="X883" t="s">
        <v>5855</v>
      </c>
      <c r="Y883" t="s">
        <v>5854</v>
      </c>
      <c r="Z883" t="s">
        <v>822</v>
      </c>
      <c r="AA883" t="s">
        <v>4382</v>
      </c>
      <c r="AE883">
        <v>-36.887005649999999</v>
      </c>
      <c r="AF883">
        <v>174.77109783</v>
      </c>
      <c r="AG883">
        <v>15</v>
      </c>
      <c r="AH883">
        <v>0</v>
      </c>
      <c r="AI883">
        <v>0</v>
      </c>
      <c r="AJ883">
        <v>0</v>
      </c>
      <c r="AK883">
        <v>17</v>
      </c>
      <c r="AL883">
        <v>9</v>
      </c>
      <c r="AM883">
        <v>0</v>
      </c>
      <c r="AN883">
        <v>0</v>
      </c>
      <c r="AO883">
        <v>26</v>
      </c>
      <c r="AP883">
        <v>17</v>
      </c>
      <c r="AQ883">
        <v>0</v>
      </c>
      <c r="AR883">
        <v>1</v>
      </c>
      <c r="AS883">
        <v>5</v>
      </c>
      <c r="AT883">
        <v>6</v>
      </c>
    </row>
    <row r="884" spans="1:46">
      <c r="A884">
        <v>20050</v>
      </c>
      <c r="B884" t="s">
        <v>5856</v>
      </c>
      <c r="C884" t="s">
        <v>5857</v>
      </c>
      <c r="D884" t="s">
        <v>5858</v>
      </c>
      <c r="E884" t="s">
        <v>5859</v>
      </c>
      <c r="F884" t="s">
        <v>5860</v>
      </c>
      <c r="G884" t="s">
        <v>652</v>
      </c>
      <c r="H884" t="s">
        <v>3942</v>
      </c>
      <c r="J884" t="s">
        <v>3962</v>
      </c>
      <c r="K884" t="s">
        <v>519</v>
      </c>
      <c r="M884" t="s">
        <v>520</v>
      </c>
      <c r="N884" t="s">
        <v>571</v>
      </c>
      <c r="O884" t="s">
        <v>748</v>
      </c>
      <c r="P884" t="s">
        <v>654</v>
      </c>
      <c r="Q884" t="s">
        <v>638</v>
      </c>
      <c r="R884" t="s">
        <v>639</v>
      </c>
      <c r="S884" t="s">
        <v>682</v>
      </c>
      <c r="T884" t="s">
        <v>527</v>
      </c>
      <c r="U884">
        <v>121300</v>
      </c>
      <c r="V884" t="s">
        <v>785</v>
      </c>
      <c r="W884" t="s">
        <v>741</v>
      </c>
      <c r="X884" t="s">
        <v>5861</v>
      </c>
      <c r="Y884" t="s">
        <v>5859</v>
      </c>
      <c r="Z884" t="s">
        <v>5860</v>
      </c>
      <c r="AA884" t="s">
        <v>4911</v>
      </c>
      <c r="AB884" t="s">
        <v>5862</v>
      </c>
      <c r="AC884">
        <v>99188</v>
      </c>
      <c r="AD884" t="s">
        <v>786</v>
      </c>
      <c r="AE884">
        <v>-36.753788520000001</v>
      </c>
      <c r="AF884">
        <v>174.73983595000001</v>
      </c>
      <c r="AG884">
        <v>35</v>
      </c>
      <c r="AH884">
        <v>0</v>
      </c>
      <c r="AI884">
        <v>0</v>
      </c>
      <c r="AJ884">
        <v>0</v>
      </c>
      <c r="AK884">
        <v>7</v>
      </c>
      <c r="AL884">
        <v>16</v>
      </c>
      <c r="AM884">
        <v>13</v>
      </c>
      <c r="AN884">
        <v>0</v>
      </c>
      <c r="AO884">
        <v>36</v>
      </c>
      <c r="AP884">
        <v>6</v>
      </c>
      <c r="AQ884">
        <v>3</v>
      </c>
      <c r="AR884">
        <v>2</v>
      </c>
      <c r="AS884">
        <v>29</v>
      </c>
      <c r="AT884">
        <v>0</v>
      </c>
    </row>
    <row r="885" spans="1:46">
      <c r="A885">
        <v>20052</v>
      </c>
      <c r="B885" t="s">
        <v>5863</v>
      </c>
      <c r="C885" t="s">
        <v>5864</v>
      </c>
      <c r="E885" t="s">
        <v>5865</v>
      </c>
      <c r="F885" t="s">
        <v>956</v>
      </c>
      <c r="G885" t="s">
        <v>652</v>
      </c>
      <c r="H885" t="s">
        <v>3942</v>
      </c>
      <c r="J885" t="s">
        <v>518</v>
      </c>
      <c r="K885" t="s">
        <v>519</v>
      </c>
      <c r="M885" t="s">
        <v>520</v>
      </c>
      <c r="N885" t="s">
        <v>4519</v>
      </c>
      <c r="O885" t="s">
        <v>957</v>
      </c>
      <c r="P885" t="s">
        <v>654</v>
      </c>
      <c r="Q885" t="s">
        <v>638</v>
      </c>
      <c r="R885" t="s">
        <v>708</v>
      </c>
      <c r="S885" t="s">
        <v>958</v>
      </c>
      <c r="T885" t="s">
        <v>709</v>
      </c>
      <c r="U885">
        <v>131801</v>
      </c>
      <c r="V885" t="s">
        <v>956</v>
      </c>
      <c r="W885" t="s">
        <v>959</v>
      </c>
      <c r="X885" t="s">
        <v>5866</v>
      </c>
      <c r="Y885" t="s">
        <v>5867</v>
      </c>
      <c r="Z885" t="s">
        <v>4655</v>
      </c>
      <c r="AA885" t="s">
        <v>4247</v>
      </c>
      <c r="AE885">
        <v>-36.852606590000001</v>
      </c>
      <c r="AF885">
        <v>174.75046589999999</v>
      </c>
      <c r="AG885">
        <v>50</v>
      </c>
      <c r="AH885">
        <v>12</v>
      </c>
      <c r="AI885">
        <v>2</v>
      </c>
      <c r="AJ885">
        <v>8</v>
      </c>
      <c r="AK885">
        <v>13</v>
      </c>
      <c r="AL885">
        <v>14</v>
      </c>
      <c r="AM885">
        <v>10</v>
      </c>
      <c r="AN885">
        <v>0</v>
      </c>
      <c r="AO885">
        <v>47</v>
      </c>
      <c r="AP885">
        <v>33</v>
      </c>
      <c r="AQ885">
        <v>2</v>
      </c>
      <c r="AR885">
        <v>1</v>
      </c>
      <c r="AS885">
        <v>5</v>
      </c>
      <c r="AT885">
        <v>14</v>
      </c>
    </row>
    <row r="886" spans="1:46">
      <c r="A886">
        <v>20053</v>
      </c>
      <c r="B886" t="s">
        <v>5868</v>
      </c>
      <c r="C886" t="s">
        <v>5869</v>
      </c>
      <c r="D886" t="s">
        <v>5870</v>
      </c>
      <c r="E886" t="s">
        <v>5871</v>
      </c>
      <c r="F886" t="s">
        <v>822</v>
      </c>
      <c r="G886" t="s">
        <v>652</v>
      </c>
      <c r="H886" t="s">
        <v>3942</v>
      </c>
      <c r="J886" t="s">
        <v>518</v>
      </c>
      <c r="K886" t="s">
        <v>519</v>
      </c>
      <c r="M886" t="s">
        <v>520</v>
      </c>
      <c r="N886" t="s">
        <v>571</v>
      </c>
      <c r="O886" t="s">
        <v>857</v>
      </c>
      <c r="P886" t="s">
        <v>654</v>
      </c>
      <c r="Q886" t="s">
        <v>638</v>
      </c>
      <c r="R886" t="s">
        <v>708</v>
      </c>
      <c r="S886" t="s">
        <v>822</v>
      </c>
      <c r="T886" t="s">
        <v>709</v>
      </c>
      <c r="U886">
        <v>141500</v>
      </c>
      <c r="V886" t="s">
        <v>5872</v>
      </c>
      <c r="W886" t="s">
        <v>860</v>
      </c>
      <c r="X886" t="s">
        <v>5873</v>
      </c>
      <c r="Y886" t="s">
        <v>5871</v>
      </c>
      <c r="Z886" t="s">
        <v>822</v>
      </c>
      <c r="AA886" t="s">
        <v>4382</v>
      </c>
      <c r="AB886" t="s">
        <v>5874</v>
      </c>
      <c r="AC886">
        <v>99001</v>
      </c>
      <c r="AD886" t="s">
        <v>5875</v>
      </c>
      <c r="AE886">
        <v>-36.896225819999998</v>
      </c>
      <c r="AF886">
        <v>174.7752807</v>
      </c>
      <c r="AG886">
        <v>37</v>
      </c>
      <c r="AH886">
        <v>0</v>
      </c>
      <c r="AI886">
        <v>0</v>
      </c>
      <c r="AJ886">
        <v>0</v>
      </c>
      <c r="AK886">
        <v>0</v>
      </c>
      <c r="AL886">
        <v>19</v>
      </c>
      <c r="AM886">
        <v>30</v>
      </c>
      <c r="AN886">
        <v>1</v>
      </c>
      <c r="AO886">
        <v>50</v>
      </c>
      <c r="AP886">
        <v>43</v>
      </c>
      <c r="AQ886">
        <v>1</v>
      </c>
      <c r="AR886">
        <v>3</v>
      </c>
      <c r="AS886">
        <v>12</v>
      </c>
      <c r="AT886">
        <v>2</v>
      </c>
    </row>
    <row r="887" spans="1:46">
      <c r="A887">
        <v>20055</v>
      </c>
      <c r="B887" t="s">
        <v>5876</v>
      </c>
      <c r="C887" t="s">
        <v>5877</v>
      </c>
      <c r="D887" t="s">
        <v>5878</v>
      </c>
      <c r="E887" t="s">
        <v>5879</v>
      </c>
      <c r="F887" t="s">
        <v>4466</v>
      </c>
      <c r="G887" t="s">
        <v>652</v>
      </c>
      <c r="H887" t="s">
        <v>3942</v>
      </c>
      <c r="J887" t="s">
        <v>3962</v>
      </c>
      <c r="K887" t="s">
        <v>519</v>
      </c>
      <c r="M887" t="s">
        <v>520</v>
      </c>
      <c r="N887" t="s">
        <v>557</v>
      </c>
      <c r="O887" t="s">
        <v>813</v>
      </c>
      <c r="P887" t="s">
        <v>654</v>
      </c>
      <c r="Q887" t="s">
        <v>638</v>
      </c>
      <c r="R887" t="s">
        <v>639</v>
      </c>
      <c r="S887" t="s">
        <v>719</v>
      </c>
      <c r="T887" t="s">
        <v>709</v>
      </c>
      <c r="U887">
        <v>128902</v>
      </c>
      <c r="V887" t="s">
        <v>5880</v>
      </c>
      <c r="W887" t="s">
        <v>815</v>
      </c>
      <c r="X887" t="s">
        <v>5881</v>
      </c>
      <c r="Y887" t="s">
        <v>5882</v>
      </c>
      <c r="Z887" t="s">
        <v>1183</v>
      </c>
      <c r="AA887" t="s">
        <v>4307</v>
      </c>
      <c r="AB887" t="s">
        <v>5883</v>
      </c>
      <c r="AE887">
        <v>-36.886108419999999</v>
      </c>
      <c r="AF887">
        <v>174.65457028</v>
      </c>
      <c r="AG887">
        <v>32</v>
      </c>
      <c r="AH887">
        <v>10</v>
      </c>
      <c r="AI887">
        <v>1</v>
      </c>
      <c r="AJ887">
        <v>6</v>
      </c>
      <c r="AK887">
        <v>6</v>
      </c>
      <c r="AL887">
        <v>7</v>
      </c>
      <c r="AM887">
        <v>9</v>
      </c>
      <c r="AN887">
        <v>0</v>
      </c>
      <c r="AO887">
        <v>29</v>
      </c>
      <c r="AP887">
        <v>16</v>
      </c>
      <c r="AQ887">
        <v>7</v>
      </c>
      <c r="AR887">
        <v>8</v>
      </c>
      <c r="AS887">
        <v>8</v>
      </c>
      <c r="AT887">
        <v>0</v>
      </c>
    </row>
    <row r="888" spans="1:46">
      <c r="A888">
        <v>20056</v>
      </c>
      <c r="B888" t="s">
        <v>5884</v>
      </c>
      <c r="C888" t="s">
        <v>5885</v>
      </c>
      <c r="D888" t="s">
        <v>5886</v>
      </c>
      <c r="E888" t="s">
        <v>5887</v>
      </c>
      <c r="F888" t="s">
        <v>872</v>
      </c>
      <c r="G888" t="s">
        <v>652</v>
      </c>
      <c r="H888" t="s">
        <v>3942</v>
      </c>
      <c r="I888" t="s">
        <v>5772</v>
      </c>
      <c r="J888" t="s">
        <v>518</v>
      </c>
      <c r="K888" t="s">
        <v>519</v>
      </c>
      <c r="M888" t="s">
        <v>520</v>
      </c>
      <c r="N888" t="s">
        <v>571</v>
      </c>
      <c r="O888" t="s">
        <v>873</v>
      </c>
      <c r="P888" t="s">
        <v>654</v>
      </c>
      <c r="Q888" t="s">
        <v>638</v>
      </c>
      <c r="R888" t="s">
        <v>639</v>
      </c>
      <c r="S888" t="s">
        <v>719</v>
      </c>
      <c r="T888" t="s">
        <v>709</v>
      </c>
      <c r="U888">
        <v>130901</v>
      </c>
      <c r="V888" t="s">
        <v>1125</v>
      </c>
      <c r="W888" t="s">
        <v>815</v>
      </c>
      <c r="X888" t="s">
        <v>5888</v>
      </c>
      <c r="Y888" t="s">
        <v>5889</v>
      </c>
      <c r="Z888" t="s">
        <v>872</v>
      </c>
      <c r="AA888" t="s">
        <v>5890</v>
      </c>
      <c r="AB888" t="s">
        <v>5891</v>
      </c>
      <c r="AE888">
        <v>-36.917847950000002</v>
      </c>
      <c r="AF888">
        <v>174.64898435999999</v>
      </c>
      <c r="AG888">
        <v>38</v>
      </c>
      <c r="AH888">
        <v>0</v>
      </c>
      <c r="AI888">
        <v>0</v>
      </c>
      <c r="AJ888">
        <v>0</v>
      </c>
      <c r="AK888">
        <v>4</v>
      </c>
      <c r="AL888">
        <v>8</v>
      </c>
      <c r="AM888">
        <v>8</v>
      </c>
      <c r="AN888">
        <v>0</v>
      </c>
      <c r="AO888">
        <v>20</v>
      </c>
      <c r="AP888">
        <v>5</v>
      </c>
      <c r="AQ888">
        <v>4</v>
      </c>
      <c r="AR888">
        <v>8</v>
      </c>
      <c r="AS888">
        <v>7</v>
      </c>
      <c r="AT888">
        <v>4</v>
      </c>
    </row>
    <row r="889" spans="1:46">
      <c r="A889">
        <v>20060</v>
      </c>
      <c r="B889" t="s">
        <v>5892</v>
      </c>
      <c r="C889" t="s">
        <v>5893</v>
      </c>
      <c r="D889" t="s">
        <v>5894</v>
      </c>
      <c r="E889" t="s">
        <v>5895</v>
      </c>
      <c r="F889" t="s">
        <v>737</v>
      </c>
      <c r="G889" t="s">
        <v>652</v>
      </c>
      <c r="H889" t="s">
        <v>3942</v>
      </c>
      <c r="J889" t="s">
        <v>3962</v>
      </c>
      <c r="K889" t="s">
        <v>519</v>
      </c>
      <c r="M889" t="s">
        <v>520</v>
      </c>
      <c r="N889" t="s">
        <v>571</v>
      </c>
      <c r="O889" t="s">
        <v>738</v>
      </c>
      <c r="P889" t="s">
        <v>654</v>
      </c>
      <c r="Q889" t="s">
        <v>638</v>
      </c>
      <c r="R889" t="s">
        <v>639</v>
      </c>
      <c r="S889" t="s">
        <v>756</v>
      </c>
      <c r="T889" t="s">
        <v>527</v>
      </c>
      <c r="U889">
        <v>125202</v>
      </c>
      <c r="V889" t="s">
        <v>5896</v>
      </c>
      <c r="W889" t="s">
        <v>741</v>
      </c>
      <c r="X889" t="s">
        <v>5897</v>
      </c>
      <c r="Y889" t="s">
        <v>5898</v>
      </c>
      <c r="Z889" t="s">
        <v>756</v>
      </c>
      <c r="AA889" t="s">
        <v>5899</v>
      </c>
      <c r="AE889">
        <v>-36.800114190000002</v>
      </c>
      <c r="AF889">
        <v>174.72394315</v>
      </c>
      <c r="AG889">
        <v>30</v>
      </c>
      <c r="AH889">
        <v>12</v>
      </c>
      <c r="AI889">
        <v>2</v>
      </c>
      <c r="AJ889">
        <v>7</v>
      </c>
      <c r="AK889">
        <v>14</v>
      </c>
      <c r="AL889">
        <v>3</v>
      </c>
      <c r="AM889">
        <v>7</v>
      </c>
      <c r="AN889">
        <v>0</v>
      </c>
      <c r="AO889">
        <v>33</v>
      </c>
      <c r="AP889">
        <v>30</v>
      </c>
      <c r="AQ889">
        <v>3</v>
      </c>
      <c r="AR889">
        <v>0</v>
      </c>
      <c r="AS889">
        <v>3</v>
      </c>
      <c r="AT889">
        <v>5</v>
      </c>
    </row>
    <row r="890" spans="1:46">
      <c r="A890">
        <v>20061</v>
      </c>
      <c r="B890" t="s">
        <v>5900</v>
      </c>
      <c r="C890" t="s">
        <v>5901</v>
      </c>
      <c r="D890" t="s">
        <v>5902</v>
      </c>
      <c r="E890" t="s">
        <v>5903</v>
      </c>
      <c r="F890" t="s">
        <v>4765</v>
      </c>
      <c r="G890" t="s">
        <v>652</v>
      </c>
      <c r="H890" t="s">
        <v>3942</v>
      </c>
      <c r="J890" t="s">
        <v>3962</v>
      </c>
      <c r="K890" t="s">
        <v>519</v>
      </c>
      <c r="M890" t="s">
        <v>520</v>
      </c>
      <c r="N890" t="s">
        <v>571</v>
      </c>
      <c r="O890" t="s">
        <v>857</v>
      </c>
      <c r="P890" t="s">
        <v>654</v>
      </c>
      <c r="Q890" t="s">
        <v>638</v>
      </c>
      <c r="R890" t="s">
        <v>708</v>
      </c>
      <c r="S890" t="s">
        <v>805</v>
      </c>
      <c r="T890" t="s">
        <v>709</v>
      </c>
      <c r="U890">
        <v>142202</v>
      </c>
      <c r="V890" t="s">
        <v>5904</v>
      </c>
      <c r="W890" t="s">
        <v>860</v>
      </c>
      <c r="X890" t="s">
        <v>5905</v>
      </c>
      <c r="Y890" t="s">
        <v>5906</v>
      </c>
      <c r="Z890" t="s">
        <v>4765</v>
      </c>
      <c r="AA890" t="s">
        <v>4768</v>
      </c>
      <c r="AB890" t="s">
        <v>5907</v>
      </c>
      <c r="AE890">
        <v>-36.89298505</v>
      </c>
      <c r="AF890">
        <v>174.7962517</v>
      </c>
      <c r="AG890">
        <v>48</v>
      </c>
      <c r="AH890">
        <v>12</v>
      </c>
      <c r="AI890">
        <v>3</v>
      </c>
      <c r="AJ890">
        <v>6</v>
      </c>
      <c r="AK890">
        <v>11</v>
      </c>
      <c r="AL890">
        <v>6</v>
      </c>
      <c r="AM890">
        <v>16</v>
      </c>
      <c r="AN890">
        <v>0</v>
      </c>
      <c r="AO890">
        <v>42</v>
      </c>
      <c r="AP890">
        <v>26</v>
      </c>
      <c r="AQ890">
        <v>1</v>
      </c>
      <c r="AR890">
        <v>1</v>
      </c>
      <c r="AS890">
        <v>11</v>
      </c>
      <c r="AT890">
        <v>9</v>
      </c>
    </row>
    <row r="891" spans="1:46">
      <c r="A891">
        <v>20062</v>
      </c>
      <c r="B891" t="s">
        <v>5908</v>
      </c>
      <c r="C891" t="s">
        <v>5909</v>
      </c>
      <c r="D891" t="s">
        <v>5910</v>
      </c>
      <c r="E891" t="s">
        <v>5911</v>
      </c>
      <c r="F891" t="s">
        <v>822</v>
      </c>
      <c r="G891" t="s">
        <v>652</v>
      </c>
      <c r="H891" t="s">
        <v>3942</v>
      </c>
      <c r="I891" t="s">
        <v>4033</v>
      </c>
      <c r="J891" t="s">
        <v>518</v>
      </c>
      <c r="K891" t="s">
        <v>519</v>
      </c>
      <c r="M891" t="s">
        <v>520</v>
      </c>
      <c r="N891" t="s">
        <v>571</v>
      </c>
      <c r="O891" t="s">
        <v>857</v>
      </c>
      <c r="P891" t="s">
        <v>654</v>
      </c>
      <c r="Q891" t="s">
        <v>638</v>
      </c>
      <c r="R891" t="s">
        <v>708</v>
      </c>
      <c r="S891" t="s">
        <v>822</v>
      </c>
      <c r="T891" t="s">
        <v>709</v>
      </c>
      <c r="U891">
        <v>141500</v>
      </c>
      <c r="V891" t="s">
        <v>5872</v>
      </c>
      <c r="W891" t="s">
        <v>860</v>
      </c>
      <c r="X891" t="s">
        <v>5912</v>
      </c>
      <c r="Y891" t="s">
        <v>5913</v>
      </c>
      <c r="AA891" t="s">
        <v>4037</v>
      </c>
      <c r="AB891" t="s">
        <v>5914</v>
      </c>
      <c r="AE891">
        <v>-36.893943649999997</v>
      </c>
      <c r="AF891">
        <v>174.77998319</v>
      </c>
      <c r="AG891">
        <v>75</v>
      </c>
      <c r="AH891">
        <v>40</v>
      </c>
      <c r="AI891">
        <v>6</v>
      </c>
      <c r="AJ891">
        <v>14</v>
      </c>
      <c r="AK891">
        <v>22</v>
      </c>
      <c r="AL891">
        <v>14</v>
      </c>
      <c r="AM891">
        <v>12</v>
      </c>
      <c r="AN891">
        <v>0</v>
      </c>
      <c r="AO891">
        <v>68</v>
      </c>
      <c r="AP891">
        <v>36</v>
      </c>
      <c r="AQ891">
        <v>7</v>
      </c>
      <c r="AR891">
        <v>8</v>
      </c>
      <c r="AS891">
        <v>32</v>
      </c>
      <c r="AT891">
        <v>9</v>
      </c>
    </row>
    <row r="892" spans="1:46">
      <c r="A892">
        <v>20064</v>
      </c>
      <c r="B892" t="s">
        <v>5915</v>
      </c>
      <c r="C892" t="s">
        <v>5916</v>
      </c>
      <c r="D892" t="s">
        <v>5917</v>
      </c>
      <c r="E892" t="s">
        <v>5918</v>
      </c>
      <c r="G892" t="s">
        <v>5919</v>
      </c>
      <c r="H892" t="s">
        <v>3942</v>
      </c>
      <c r="I892" t="s">
        <v>4065</v>
      </c>
      <c r="J892" t="s">
        <v>3962</v>
      </c>
      <c r="K892" t="s">
        <v>519</v>
      </c>
      <c r="M892" t="s">
        <v>520</v>
      </c>
      <c r="N892" t="s">
        <v>571</v>
      </c>
      <c r="O892" t="s">
        <v>637</v>
      </c>
      <c r="P892" t="s">
        <v>572</v>
      </c>
      <c r="Q892" t="s">
        <v>638</v>
      </c>
      <c r="R892" t="s">
        <v>639</v>
      </c>
      <c r="S892" t="s">
        <v>640</v>
      </c>
      <c r="T892" t="s">
        <v>527</v>
      </c>
      <c r="U892">
        <v>110900</v>
      </c>
      <c r="V892" t="s">
        <v>4934</v>
      </c>
      <c r="W892" t="s">
        <v>641</v>
      </c>
      <c r="X892" t="s">
        <v>5920</v>
      </c>
      <c r="Y892" t="s">
        <v>5918</v>
      </c>
      <c r="AA892" t="s">
        <v>5921</v>
      </c>
      <c r="AB892" t="s">
        <v>5922</v>
      </c>
      <c r="AC892">
        <v>99122</v>
      </c>
      <c r="AD892" t="s">
        <v>4085</v>
      </c>
      <c r="AE892">
        <v>-36.326161929999998</v>
      </c>
      <c r="AF892">
        <v>174.69638671999999</v>
      </c>
      <c r="AG892">
        <v>28</v>
      </c>
      <c r="AH892">
        <v>0</v>
      </c>
      <c r="AI892">
        <v>0</v>
      </c>
      <c r="AJ892">
        <v>0</v>
      </c>
      <c r="AK892">
        <v>3</v>
      </c>
      <c r="AL892">
        <v>14</v>
      </c>
      <c r="AM892">
        <v>14</v>
      </c>
      <c r="AN892">
        <v>1</v>
      </c>
      <c r="AO892">
        <v>32</v>
      </c>
      <c r="AP892">
        <v>32</v>
      </c>
      <c r="AQ892">
        <v>1</v>
      </c>
      <c r="AR892">
        <v>0</v>
      </c>
      <c r="AS892">
        <v>2</v>
      </c>
      <c r="AT892">
        <v>0</v>
      </c>
    </row>
    <row r="893" spans="1:46">
      <c r="A893">
        <v>20065</v>
      </c>
      <c r="B893" t="s">
        <v>5923</v>
      </c>
      <c r="C893" t="s">
        <v>5924</v>
      </c>
      <c r="D893" t="s">
        <v>5925</v>
      </c>
      <c r="E893" t="s">
        <v>5926</v>
      </c>
      <c r="F893" t="s">
        <v>919</v>
      </c>
      <c r="G893" t="s">
        <v>652</v>
      </c>
      <c r="H893" t="s">
        <v>3942</v>
      </c>
      <c r="J893" t="s">
        <v>3962</v>
      </c>
      <c r="K893" t="s">
        <v>519</v>
      </c>
      <c r="M893" t="s">
        <v>520</v>
      </c>
      <c r="N893" t="s">
        <v>571</v>
      </c>
      <c r="O893" t="s">
        <v>1168</v>
      </c>
      <c r="P893" t="s">
        <v>654</v>
      </c>
      <c r="Q893" t="s">
        <v>638</v>
      </c>
      <c r="R893" t="s">
        <v>639</v>
      </c>
      <c r="S893" t="s">
        <v>739</v>
      </c>
      <c r="T893" t="s">
        <v>527</v>
      </c>
      <c r="U893">
        <v>119201</v>
      </c>
      <c r="V893" t="s">
        <v>919</v>
      </c>
      <c r="W893" t="s">
        <v>657</v>
      </c>
      <c r="X893" t="s">
        <v>5927</v>
      </c>
      <c r="Y893" t="s">
        <v>5926</v>
      </c>
      <c r="Z893" t="s">
        <v>919</v>
      </c>
      <c r="AA893" t="s">
        <v>4391</v>
      </c>
      <c r="AB893" t="s">
        <v>5924</v>
      </c>
      <c r="AE893">
        <v>-36.800258110000001</v>
      </c>
      <c r="AF893">
        <v>174.64569764000001</v>
      </c>
      <c r="AG893">
        <v>25</v>
      </c>
      <c r="AH893">
        <v>0</v>
      </c>
      <c r="AI893">
        <v>0</v>
      </c>
      <c r="AJ893">
        <v>0</v>
      </c>
      <c r="AK893">
        <v>8</v>
      </c>
      <c r="AL893">
        <v>11</v>
      </c>
      <c r="AM893">
        <v>14</v>
      </c>
      <c r="AN893">
        <v>1</v>
      </c>
      <c r="AO893">
        <v>34</v>
      </c>
      <c r="AP893">
        <v>25</v>
      </c>
      <c r="AQ893">
        <v>4</v>
      </c>
      <c r="AR893">
        <v>4</v>
      </c>
      <c r="AS893">
        <v>8</v>
      </c>
      <c r="AT893">
        <v>2</v>
      </c>
    </row>
    <row r="894" spans="1:46">
      <c r="A894">
        <v>20066</v>
      </c>
      <c r="B894" t="s">
        <v>5928</v>
      </c>
      <c r="C894" t="s">
        <v>5929</v>
      </c>
      <c r="D894" t="s">
        <v>5930</v>
      </c>
      <c r="E894" t="s">
        <v>5931</v>
      </c>
      <c r="F894" t="s">
        <v>898</v>
      </c>
      <c r="G894" t="s">
        <v>652</v>
      </c>
      <c r="H894" t="s">
        <v>3942</v>
      </c>
      <c r="I894" t="s">
        <v>4065</v>
      </c>
      <c r="J894" t="s">
        <v>518</v>
      </c>
      <c r="K894" t="s">
        <v>519</v>
      </c>
      <c r="M894" t="s">
        <v>520</v>
      </c>
      <c r="N894" t="s">
        <v>571</v>
      </c>
      <c r="O894" t="s">
        <v>813</v>
      </c>
      <c r="P894" t="s">
        <v>654</v>
      </c>
      <c r="Q894" t="s">
        <v>638</v>
      </c>
      <c r="R894" t="s">
        <v>639</v>
      </c>
      <c r="S894" t="s">
        <v>899</v>
      </c>
      <c r="T894" t="s">
        <v>527</v>
      </c>
      <c r="U894">
        <v>124301</v>
      </c>
      <c r="V894" t="s">
        <v>5932</v>
      </c>
      <c r="W894" t="s">
        <v>815</v>
      </c>
      <c r="X894" t="s">
        <v>3943</v>
      </c>
      <c r="Y894" t="s">
        <v>3944</v>
      </c>
      <c r="Z894" t="s">
        <v>3945</v>
      </c>
      <c r="AA894" t="s">
        <v>3946</v>
      </c>
      <c r="AB894" t="s">
        <v>3947</v>
      </c>
      <c r="AE894">
        <v>-36.859457310000003</v>
      </c>
      <c r="AF894">
        <v>174.61202420999999</v>
      </c>
      <c r="AG894">
        <v>50</v>
      </c>
      <c r="AH894">
        <v>0</v>
      </c>
      <c r="AI894">
        <v>0</v>
      </c>
      <c r="AJ894">
        <v>0</v>
      </c>
      <c r="AK894">
        <v>10</v>
      </c>
      <c r="AL894">
        <v>14</v>
      </c>
      <c r="AM894">
        <v>24</v>
      </c>
      <c r="AN894">
        <v>0</v>
      </c>
      <c r="AO894">
        <v>48</v>
      </c>
      <c r="AP894">
        <v>10</v>
      </c>
      <c r="AQ894">
        <v>4</v>
      </c>
      <c r="AR894">
        <v>11</v>
      </c>
      <c r="AS894">
        <v>34</v>
      </c>
      <c r="AT894">
        <v>1</v>
      </c>
    </row>
    <row r="895" spans="1:46">
      <c r="A895">
        <v>20067</v>
      </c>
      <c r="B895" t="s">
        <v>5933</v>
      </c>
      <c r="C895" t="s">
        <v>5934</v>
      </c>
      <c r="D895" t="s">
        <v>5935</v>
      </c>
      <c r="E895" t="s">
        <v>5936</v>
      </c>
      <c r="G895" t="s">
        <v>4188</v>
      </c>
      <c r="H895" t="s">
        <v>3942</v>
      </c>
      <c r="J895" t="s">
        <v>518</v>
      </c>
      <c r="K895" t="s">
        <v>519</v>
      </c>
      <c r="M895" t="s">
        <v>520</v>
      </c>
      <c r="N895" t="s">
        <v>571</v>
      </c>
      <c r="O895" t="s">
        <v>637</v>
      </c>
      <c r="P895" t="s">
        <v>523</v>
      </c>
      <c r="Q895" t="s">
        <v>638</v>
      </c>
      <c r="R895" t="s">
        <v>639</v>
      </c>
      <c r="S895" t="s">
        <v>640</v>
      </c>
      <c r="T895" t="s">
        <v>527</v>
      </c>
      <c r="U895">
        <v>112401</v>
      </c>
      <c r="V895" t="s">
        <v>4188</v>
      </c>
      <c r="W895" t="s">
        <v>641</v>
      </c>
      <c r="X895" t="s">
        <v>5937</v>
      </c>
      <c r="Y895" t="s">
        <v>5936</v>
      </c>
      <c r="Z895" t="s">
        <v>4188</v>
      </c>
      <c r="AA895" t="s">
        <v>4190</v>
      </c>
      <c r="AE895">
        <v>-36.67394771</v>
      </c>
      <c r="AF895">
        <v>174.45198601999999</v>
      </c>
      <c r="AG895">
        <v>34</v>
      </c>
      <c r="AH895">
        <v>6</v>
      </c>
      <c r="AI895">
        <v>2</v>
      </c>
      <c r="AJ895">
        <v>8</v>
      </c>
      <c r="AK895">
        <v>6</v>
      </c>
      <c r="AL895">
        <v>12</v>
      </c>
      <c r="AM895">
        <v>7</v>
      </c>
      <c r="AN895">
        <v>2</v>
      </c>
      <c r="AO895">
        <v>37</v>
      </c>
      <c r="AP895">
        <v>35</v>
      </c>
      <c r="AQ895">
        <v>13</v>
      </c>
      <c r="AR895">
        <v>3</v>
      </c>
      <c r="AS895">
        <v>1</v>
      </c>
      <c r="AT895">
        <v>0</v>
      </c>
    </row>
    <row r="896" spans="1:46">
      <c r="A896">
        <v>20068</v>
      </c>
      <c r="B896" t="s">
        <v>5938</v>
      </c>
      <c r="C896" t="s">
        <v>5939</v>
      </c>
      <c r="D896" t="s">
        <v>5940</v>
      </c>
      <c r="E896" t="s">
        <v>5941</v>
      </c>
      <c r="G896" t="s">
        <v>4132</v>
      </c>
      <c r="H896" t="s">
        <v>3942</v>
      </c>
      <c r="J896" t="s">
        <v>3962</v>
      </c>
      <c r="K896" t="s">
        <v>519</v>
      </c>
      <c r="M896" t="s">
        <v>520</v>
      </c>
      <c r="N896" t="s">
        <v>571</v>
      </c>
      <c r="O896" t="s">
        <v>653</v>
      </c>
      <c r="P896" t="s">
        <v>584</v>
      </c>
      <c r="Q896" t="s">
        <v>638</v>
      </c>
      <c r="R896" t="s">
        <v>639</v>
      </c>
      <c r="S896" t="s">
        <v>668</v>
      </c>
      <c r="T896" t="s">
        <v>527</v>
      </c>
      <c r="U896">
        <v>114000</v>
      </c>
      <c r="V896" t="s">
        <v>4133</v>
      </c>
      <c r="W896" t="s">
        <v>657</v>
      </c>
      <c r="X896" t="s">
        <v>5942</v>
      </c>
      <c r="Y896" t="s">
        <v>5943</v>
      </c>
      <c r="AA896" t="s">
        <v>5944</v>
      </c>
      <c r="AC896">
        <v>99069</v>
      </c>
      <c r="AD896" t="s">
        <v>670</v>
      </c>
      <c r="AE896">
        <v>-36.603813979999998</v>
      </c>
      <c r="AF896">
        <v>174.69891154000001</v>
      </c>
      <c r="AG896">
        <v>34</v>
      </c>
      <c r="AH896">
        <v>15</v>
      </c>
      <c r="AI896">
        <v>2</v>
      </c>
      <c r="AJ896">
        <v>9</v>
      </c>
      <c r="AK896">
        <v>12</v>
      </c>
      <c r="AL896">
        <v>6</v>
      </c>
      <c r="AM896">
        <v>5</v>
      </c>
      <c r="AN896">
        <v>0</v>
      </c>
      <c r="AO896">
        <v>34</v>
      </c>
      <c r="AP896">
        <v>30</v>
      </c>
      <c r="AQ896">
        <v>7</v>
      </c>
      <c r="AR896">
        <v>0</v>
      </c>
      <c r="AS896">
        <v>4</v>
      </c>
      <c r="AT896">
        <v>0</v>
      </c>
    </row>
    <row r="897" spans="1:46">
      <c r="A897">
        <v>20069</v>
      </c>
      <c r="B897" t="s">
        <v>5945</v>
      </c>
      <c r="C897" t="s">
        <v>5946</v>
      </c>
      <c r="D897" t="s">
        <v>5947</v>
      </c>
      <c r="E897" t="s">
        <v>5948</v>
      </c>
      <c r="F897" t="s">
        <v>763</v>
      </c>
      <c r="G897" t="s">
        <v>652</v>
      </c>
      <c r="H897" t="s">
        <v>3942</v>
      </c>
      <c r="J897" t="s">
        <v>518</v>
      </c>
      <c r="K897" t="s">
        <v>519</v>
      </c>
      <c r="M897" t="s">
        <v>520</v>
      </c>
      <c r="N897" t="s">
        <v>571</v>
      </c>
      <c r="O897" t="s">
        <v>738</v>
      </c>
      <c r="P897" t="s">
        <v>654</v>
      </c>
      <c r="Q897" t="s">
        <v>638</v>
      </c>
      <c r="R897" t="s">
        <v>639</v>
      </c>
      <c r="S897" t="s">
        <v>756</v>
      </c>
      <c r="T897" t="s">
        <v>527</v>
      </c>
      <c r="U897">
        <v>127400</v>
      </c>
      <c r="V897" t="s">
        <v>764</v>
      </c>
      <c r="W897" t="s">
        <v>741</v>
      </c>
      <c r="X897" t="s">
        <v>5949</v>
      </c>
      <c r="Y897" t="s">
        <v>5948</v>
      </c>
      <c r="Z897" t="s">
        <v>763</v>
      </c>
      <c r="AA897" t="s">
        <v>5752</v>
      </c>
      <c r="AB897" t="s">
        <v>5950</v>
      </c>
      <c r="AE897">
        <v>-36.816524909999998</v>
      </c>
      <c r="AF897">
        <v>174.73168738000001</v>
      </c>
      <c r="AG897">
        <v>25</v>
      </c>
      <c r="AH897">
        <v>10</v>
      </c>
      <c r="AI897">
        <v>0</v>
      </c>
      <c r="AJ897">
        <v>1</v>
      </c>
      <c r="AK897">
        <v>7</v>
      </c>
      <c r="AL897">
        <v>15</v>
      </c>
      <c r="AM897">
        <v>7</v>
      </c>
      <c r="AN897">
        <v>1</v>
      </c>
      <c r="AO897">
        <v>31</v>
      </c>
      <c r="AP897">
        <v>29</v>
      </c>
      <c r="AQ897">
        <v>4</v>
      </c>
      <c r="AR897">
        <v>0</v>
      </c>
      <c r="AS897">
        <v>4</v>
      </c>
      <c r="AT897">
        <v>2</v>
      </c>
    </row>
    <row r="898" spans="1:46">
      <c r="A898">
        <v>20071</v>
      </c>
      <c r="B898" t="s">
        <v>5951</v>
      </c>
      <c r="C898" t="s">
        <v>5952</v>
      </c>
      <c r="E898" t="s">
        <v>5953</v>
      </c>
      <c r="F898" t="s">
        <v>872</v>
      </c>
      <c r="G898" t="s">
        <v>652</v>
      </c>
      <c r="H898" t="s">
        <v>343</v>
      </c>
      <c r="J898" t="s">
        <v>518</v>
      </c>
      <c r="K898" t="s">
        <v>519</v>
      </c>
      <c r="L898" t="s">
        <v>4205</v>
      </c>
      <c r="M898" t="s">
        <v>520</v>
      </c>
      <c r="N898" t="s">
        <v>557</v>
      </c>
      <c r="O898" t="s">
        <v>873</v>
      </c>
      <c r="P898" t="s">
        <v>654</v>
      </c>
      <c r="Q898" t="s">
        <v>638</v>
      </c>
      <c r="R898" t="s">
        <v>639</v>
      </c>
      <c r="S898" t="s">
        <v>719</v>
      </c>
      <c r="T898" t="s">
        <v>709</v>
      </c>
      <c r="U898">
        <v>129000</v>
      </c>
      <c r="V898" t="s">
        <v>5954</v>
      </c>
      <c r="W898" t="s">
        <v>815</v>
      </c>
      <c r="X898" t="s">
        <v>4207</v>
      </c>
      <c r="Y898" t="s">
        <v>4208</v>
      </c>
      <c r="Z898" t="s">
        <v>4209</v>
      </c>
      <c r="AA898" t="s">
        <v>4210</v>
      </c>
      <c r="AE898">
        <v>-36.908038089999998</v>
      </c>
      <c r="AF898">
        <v>174.62977695000001</v>
      </c>
      <c r="AG898">
        <v>65</v>
      </c>
      <c r="AH898">
        <v>15</v>
      </c>
      <c r="AI898">
        <v>1</v>
      </c>
      <c r="AJ898">
        <v>11</v>
      </c>
      <c r="AK898">
        <v>14</v>
      </c>
      <c r="AL898">
        <v>15</v>
      </c>
      <c r="AM898">
        <v>14</v>
      </c>
      <c r="AN898">
        <v>0</v>
      </c>
      <c r="AO898">
        <v>55</v>
      </c>
      <c r="AP898">
        <v>0</v>
      </c>
      <c r="AQ898">
        <v>55</v>
      </c>
      <c r="AR898">
        <v>0</v>
      </c>
      <c r="AS898">
        <v>0</v>
      </c>
      <c r="AT898">
        <v>0</v>
      </c>
    </row>
    <row r="899" spans="1:46">
      <c r="A899">
        <v>20074</v>
      </c>
      <c r="B899" t="s">
        <v>5955</v>
      </c>
      <c r="C899" t="s">
        <v>5956</v>
      </c>
      <c r="D899" t="s">
        <v>5957</v>
      </c>
      <c r="E899" t="s">
        <v>5958</v>
      </c>
      <c r="F899" t="s">
        <v>855</v>
      </c>
      <c r="G899" t="s">
        <v>652</v>
      </c>
      <c r="H899" t="s">
        <v>3942</v>
      </c>
      <c r="J899" t="s">
        <v>3962</v>
      </c>
      <c r="K899" t="s">
        <v>519</v>
      </c>
      <c r="M899" t="s">
        <v>520</v>
      </c>
      <c r="N899" t="s">
        <v>4519</v>
      </c>
      <c r="O899" t="s">
        <v>857</v>
      </c>
      <c r="P899" t="s">
        <v>654</v>
      </c>
      <c r="Q899" t="s">
        <v>638</v>
      </c>
      <c r="R899" t="s">
        <v>708</v>
      </c>
      <c r="S899" t="s">
        <v>858</v>
      </c>
      <c r="T899" t="s">
        <v>709</v>
      </c>
      <c r="U899">
        <v>135500</v>
      </c>
      <c r="V899" t="s">
        <v>1080</v>
      </c>
      <c r="W899" t="s">
        <v>860</v>
      </c>
      <c r="X899" t="s">
        <v>5959</v>
      </c>
      <c r="Y899" t="s">
        <v>5958</v>
      </c>
      <c r="Z899" t="s">
        <v>855</v>
      </c>
      <c r="AA899" t="s">
        <v>4876</v>
      </c>
      <c r="AB899" t="s">
        <v>5956</v>
      </c>
      <c r="AE899">
        <v>-36.894166380000001</v>
      </c>
      <c r="AF899">
        <v>174.71287447</v>
      </c>
      <c r="AG899">
        <v>23</v>
      </c>
      <c r="AH899">
        <v>0</v>
      </c>
      <c r="AI899">
        <v>0</v>
      </c>
      <c r="AJ899">
        <v>0</v>
      </c>
      <c r="AK899">
        <v>10</v>
      </c>
      <c r="AL899">
        <v>6</v>
      </c>
      <c r="AM899">
        <v>9</v>
      </c>
      <c r="AN899">
        <v>1</v>
      </c>
      <c r="AO899">
        <v>26</v>
      </c>
      <c r="AP899">
        <v>2</v>
      </c>
      <c r="AQ899">
        <v>2</v>
      </c>
      <c r="AR899">
        <v>4</v>
      </c>
      <c r="AS899">
        <v>13</v>
      </c>
      <c r="AT899">
        <v>7</v>
      </c>
    </row>
    <row r="900" spans="1:46">
      <c r="A900">
        <v>20075</v>
      </c>
      <c r="B900" t="s">
        <v>5960</v>
      </c>
      <c r="C900" t="s">
        <v>5961</v>
      </c>
      <c r="D900" t="s">
        <v>5962</v>
      </c>
      <c r="E900" t="s">
        <v>5963</v>
      </c>
      <c r="F900" t="s">
        <v>4747</v>
      </c>
      <c r="G900" t="s">
        <v>652</v>
      </c>
      <c r="H900" t="s">
        <v>3942</v>
      </c>
      <c r="J900" t="s">
        <v>518</v>
      </c>
      <c r="K900" t="s">
        <v>519</v>
      </c>
      <c r="M900" t="s">
        <v>520</v>
      </c>
      <c r="N900" t="s">
        <v>571</v>
      </c>
      <c r="O900" t="s">
        <v>873</v>
      </c>
      <c r="P900" t="s">
        <v>654</v>
      </c>
      <c r="Q900" t="s">
        <v>638</v>
      </c>
      <c r="R900" t="s">
        <v>639</v>
      </c>
      <c r="S900" t="s">
        <v>719</v>
      </c>
      <c r="T900" t="s">
        <v>709</v>
      </c>
      <c r="U900">
        <v>134700</v>
      </c>
      <c r="V900" t="s">
        <v>4748</v>
      </c>
      <c r="W900" t="s">
        <v>815</v>
      </c>
      <c r="X900" t="s">
        <v>5964</v>
      </c>
      <c r="Y900" t="s">
        <v>5965</v>
      </c>
      <c r="Z900" t="s">
        <v>4747</v>
      </c>
      <c r="AA900" t="s">
        <v>4320</v>
      </c>
      <c r="AE900">
        <v>-36.924156379999999</v>
      </c>
      <c r="AF900">
        <v>174.65539774000001</v>
      </c>
      <c r="AG900">
        <v>40</v>
      </c>
      <c r="AH900">
        <v>0</v>
      </c>
      <c r="AI900">
        <v>0</v>
      </c>
      <c r="AJ900">
        <v>0</v>
      </c>
      <c r="AK900">
        <v>3</v>
      </c>
      <c r="AL900">
        <v>26</v>
      </c>
      <c r="AM900">
        <v>33</v>
      </c>
      <c r="AN900">
        <v>1</v>
      </c>
      <c r="AO900">
        <v>63</v>
      </c>
      <c r="AP900">
        <v>58</v>
      </c>
      <c r="AQ900">
        <v>9</v>
      </c>
      <c r="AR900">
        <v>9</v>
      </c>
      <c r="AS900">
        <v>13</v>
      </c>
      <c r="AT900">
        <v>5</v>
      </c>
    </row>
    <row r="901" spans="1:46">
      <c r="A901">
        <v>20079</v>
      </c>
      <c r="B901" t="s">
        <v>5966</v>
      </c>
      <c r="C901" t="s">
        <v>5967</v>
      </c>
      <c r="D901" t="s">
        <v>5968</v>
      </c>
      <c r="E901" t="s">
        <v>5969</v>
      </c>
      <c r="F901" t="s">
        <v>1177</v>
      </c>
      <c r="G901" t="s">
        <v>652</v>
      </c>
      <c r="H901" t="s">
        <v>3942</v>
      </c>
      <c r="J901" t="s">
        <v>3962</v>
      </c>
      <c r="K901" t="s">
        <v>519</v>
      </c>
      <c r="M901" t="s">
        <v>520</v>
      </c>
      <c r="N901" t="s">
        <v>571</v>
      </c>
      <c r="O901" t="s">
        <v>748</v>
      </c>
      <c r="P901" t="s">
        <v>654</v>
      </c>
      <c r="Q901" t="s">
        <v>638</v>
      </c>
      <c r="R901" t="s">
        <v>639</v>
      </c>
      <c r="S901" t="s">
        <v>682</v>
      </c>
      <c r="T901" t="s">
        <v>527</v>
      </c>
      <c r="U901">
        <v>128601</v>
      </c>
      <c r="V901" t="s">
        <v>5970</v>
      </c>
      <c r="W901" t="s">
        <v>741</v>
      </c>
      <c r="X901" t="s">
        <v>5971</v>
      </c>
      <c r="Y901" t="s">
        <v>4689</v>
      </c>
      <c r="Z901" t="s">
        <v>4690</v>
      </c>
      <c r="AA901" t="s">
        <v>4691</v>
      </c>
      <c r="AB901" t="s">
        <v>5972</v>
      </c>
      <c r="AC901">
        <v>99188</v>
      </c>
      <c r="AD901" t="s">
        <v>786</v>
      </c>
      <c r="AE901">
        <v>-36.792756560000001</v>
      </c>
      <c r="AF901">
        <v>174.77431946999999</v>
      </c>
      <c r="AG901">
        <v>50</v>
      </c>
      <c r="AH901">
        <v>15</v>
      </c>
      <c r="AI901">
        <v>2</v>
      </c>
      <c r="AJ901">
        <v>10</v>
      </c>
      <c r="AK901">
        <v>15</v>
      </c>
      <c r="AL901">
        <v>14</v>
      </c>
      <c r="AM901">
        <v>9</v>
      </c>
      <c r="AN901">
        <v>0</v>
      </c>
      <c r="AO901">
        <v>50</v>
      </c>
      <c r="AP901">
        <v>47</v>
      </c>
      <c r="AQ901">
        <v>2</v>
      </c>
      <c r="AR901">
        <v>1</v>
      </c>
      <c r="AS901">
        <v>8</v>
      </c>
      <c r="AT901">
        <v>0</v>
      </c>
    </row>
    <row r="902" spans="1:46">
      <c r="A902">
        <v>20080</v>
      </c>
      <c r="B902" t="s">
        <v>5973</v>
      </c>
      <c r="C902" t="s">
        <v>5974</v>
      </c>
      <c r="E902" t="s">
        <v>5975</v>
      </c>
      <c r="F902" t="s">
        <v>5976</v>
      </c>
      <c r="G902" t="s">
        <v>652</v>
      </c>
      <c r="H902" t="s">
        <v>3942</v>
      </c>
      <c r="J902" t="s">
        <v>3962</v>
      </c>
      <c r="K902" t="s">
        <v>519</v>
      </c>
      <c r="M902" t="s">
        <v>520</v>
      </c>
      <c r="N902" t="s">
        <v>571</v>
      </c>
      <c r="O902" t="s">
        <v>857</v>
      </c>
      <c r="P902" t="s">
        <v>654</v>
      </c>
      <c r="Q902" t="s">
        <v>638</v>
      </c>
      <c r="R902" t="s">
        <v>708</v>
      </c>
      <c r="S902" t="s">
        <v>858</v>
      </c>
      <c r="T902" t="s">
        <v>709</v>
      </c>
      <c r="U902">
        <v>129201</v>
      </c>
      <c r="V902" t="s">
        <v>5977</v>
      </c>
      <c r="W902" t="s">
        <v>860</v>
      </c>
      <c r="X902" t="s">
        <v>5978</v>
      </c>
      <c r="Y902" t="s">
        <v>5979</v>
      </c>
      <c r="Z902" t="s">
        <v>755</v>
      </c>
      <c r="AA902" t="s">
        <v>4365</v>
      </c>
      <c r="AB902" t="s">
        <v>5980</v>
      </c>
      <c r="AE902">
        <v>-36.868616080000002</v>
      </c>
      <c r="AF902">
        <v>174.70868479000001</v>
      </c>
      <c r="AG902">
        <v>26</v>
      </c>
      <c r="AH902">
        <v>8</v>
      </c>
      <c r="AI902">
        <v>2</v>
      </c>
      <c r="AJ902">
        <v>5</v>
      </c>
      <c r="AK902">
        <v>3</v>
      </c>
      <c r="AL902">
        <v>4</v>
      </c>
      <c r="AM902">
        <v>12</v>
      </c>
      <c r="AN902">
        <v>0</v>
      </c>
      <c r="AO902">
        <v>26</v>
      </c>
      <c r="AP902">
        <v>15</v>
      </c>
      <c r="AQ902">
        <v>2</v>
      </c>
      <c r="AR902">
        <v>7</v>
      </c>
      <c r="AS902">
        <v>6</v>
      </c>
      <c r="AT902">
        <v>1</v>
      </c>
    </row>
    <row r="903" spans="1:46">
      <c r="A903">
        <v>20082</v>
      </c>
      <c r="B903" t="s">
        <v>5981</v>
      </c>
      <c r="C903" t="s">
        <v>5982</v>
      </c>
      <c r="D903" t="s">
        <v>5983</v>
      </c>
      <c r="E903" t="s">
        <v>5984</v>
      </c>
      <c r="F903" t="s">
        <v>1017</v>
      </c>
      <c r="G903" t="s">
        <v>652</v>
      </c>
      <c r="H903" t="s">
        <v>3942</v>
      </c>
      <c r="J903" t="s">
        <v>3962</v>
      </c>
      <c r="K903" t="s">
        <v>519</v>
      </c>
      <c r="M903" t="s">
        <v>520</v>
      </c>
      <c r="N903" t="s">
        <v>4519</v>
      </c>
      <c r="O903" t="s">
        <v>857</v>
      </c>
      <c r="P903" t="s">
        <v>654</v>
      </c>
      <c r="Q903" t="s">
        <v>638</v>
      </c>
      <c r="R903" t="s">
        <v>708</v>
      </c>
      <c r="S903" t="s">
        <v>913</v>
      </c>
      <c r="T903" t="s">
        <v>709</v>
      </c>
      <c r="U903">
        <v>139900</v>
      </c>
      <c r="V903" t="s">
        <v>5985</v>
      </c>
      <c r="W903" t="s">
        <v>860</v>
      </c>
      <c r="X903" t="s">
        <v>5986</v>
      </c>
      <c r="Y903" t="s">
        <v>5987</v>
      </c>
      <c r="Z903" t="s">
        <v>1017</v>
      </c>
      <c r="AA903" t="s">
        <v>5824</v>
      </c>
      <c r="AB903" t="s">
        <v>5982</v>
      </c>
      <c r="AE903">
        <v>-36.895873979999998</v>
      </c>
      <c r="AF903">
        <v>174.75209165000001</v>
      </c>
      <c r="AG903">
        <v>75</v>
      </c>
      <c r="AH903">
        <v>25</v>
      </c>
      <c r="AI903">
        <v>1</v>
      </c>
      <c r="AJ903">
        <v>15</v>
      </c>
      <c r="AK903">
        <v>20</v>
      </c>
      <c r="AL903">
        <v>15</v>
      </c>
      <c r="AM903">
        <v>16</v>
      </c>
      <c r="AN903">
        <v>0</v>
      </c>
      <c r="AO903">
        <v>67</v>
      </c>
      <c r="AP903">
        <v>54</v>
      </c>
      <c r="AQ903">
        <v>4</v>
      </c>
      <c r="AR903">
        <v>8</v>
      </c>
      <c r="AS903">
        <v>15</v>
      </c>
      <c r="AT903">
        <v>4</v>
      </c>
    </row>
    <row r="904" spans="1:46">
      <c r="A904">
        <v>20083</v>
      </c>
      <c r="B904" t="s">
        <v>5988</v>
      </c>
      <c r="C904" t="s">
        <v>5989</v>
      </c>
      <c r="D904" t="s">
        <v>5990</v>
      </c>
      <c r="E904" t="s">
        <v>5991</v>
      </c>
      <c r="F904" t="s">
        <v>5992</v>
      </c>
      <c r="G904" t="s">
        <v>652</v>
      </c>
      <c r="H904" t="s">
        <v>3942</v>
      </c>
      <c r="J904" t="s">
        <v>3962</v>
      </c>
      <c r="K904" t="s">
        <v>519</v>
      </c>
      <c r="M904" t="s">
        <v>520</v>
      </c>
      <c r="N904" t="s">
        <v>571</v>
      </c>
      <c r="O904" t="s">
        <v>748</v>
      </c>
      <c r="P904" t="s">
        <v>654</v>
      </c>
      <c r="Q904" t="s">
        <v>638</v>
      </c>
      <c r="R904" t="s">
        <v>639</v>
      </c>
      <c r="S904" t="s">
        <v>682</v>
      </c>
      <c r="T904" t="s">
        <v>527</v>
      </c>
      <c r="U904">
        <v>129300</v>
      </c>
      <c r="V904" t="s">
        <v>5993</v>
      </c>
      <c r="W904" t="s">
        <v>741</v>
      </c>
      <c r="X904" t="s">
        <v>4096</v>
      </c>
      <c r="Y904" t="s">
        <v>4097</v>
      </c>
      <c r="Z904" t="s">
        <v>4098</v>
      </c>
      <c r="AA904" t="s">
        <v>4099</v>
      </c>
      <c r="AB904" t="s">
        <v>4100</v>
      </c>
      <c r="AE904">
        <v>-36.80838249</v>
      </c>
      <c r="AF904">
        <v>174.78955152</v>
      </c>
      <c r="AG904">
        <v>72</v>
      </c>
      <c r="AH904">
        <v>25</v>
      </c>
      <c r="AI904">
        <v>1</v>
      </c>
      <c r="AJ904">
        <v>15</v>
      </c>
      <c r="AK904">
        <v>18</v>
      </c>
      <c r="AL904">
        <v>19</v>
      </c>
      <c r="AM904">
        <v>17</v>
      </c>
      <c r="AN904">
        <v>1</v>
      </c>
      <c r="AO904">
        <v>71</v>
      </c>
      <c r="AP904">
        <v>56</v>
      </c>
      <c r="AQ904">
        <v>10</v>
      </c>
      <c r="AR904">
        <v>3</v>
      </c>
      <c r="AS904">
        <v>19</v>
      </c>
      <c r="AT904">
        <v>3</v>
      </c>
    </row>
    <row r="905" spans="1:46">
      <c r="A905">
        <v>20084</v>
      </c>
      <c r="B905" t="s">
        <v>5994</v>
      </c>
      <c r="C905" t="s">
        <v>5995</v>
      </c>
      <c r="D905" t="s">
        <v>5996</v>
      </c>
      <c r="E905" t="s">
        <v>5997</v>
      </c>
      <c r="F905" t="s">
        <v>1146</v>
      </c>
      <c r="G905" t="s">
        <v>652</v>
      </c>
      <c r="H905" t="s">
        <v>3942</v>
      </c>
      <c r="J905" t="s">
        <v>3962</v>
      </c>
      <c r="K905" t="s">
        <v>519</v>
      </c>
      <c r="M905" t="s">
        <v>520</v>
      </c>
      <c r="N905" t="s">
        <v>571</v>
      </c>
      <c r="O905" t="s">
        <v>957</v>
      </c>
      <c r="P905" t="s">
        <v>654</v>
      </c>
      <c r="Q905" t="s">
        <v>638</v>
      </c>
      <c r="R905" t="s">
        <v>708</v>
      </c>
      <c r="S905" t="s">
        <v>858</v>
      </c>
      <c r="T905" t="s">
        <v>709</v>
      </c>
      <c r="U905">
        <v>133500</v>
      </c>
      <c r="V905" t="s">
        <v>1147</v>
      </c>
      <c r="W905" t="s">
        <v>959</v>
      </c>
      <c r="X905" t="s">
        <v>4096</v>
      </c>
      <c r="Y905" t="s">
        <v>4097</v>
      </c>
      <c r="Z905" t="s">
        <v>4098</v>
      </c>
      <c r="AA905" t="s">
        <v>4099</v>
      </c>
      <c r="AB905" t="s">
        <v>4100</v>
      </c>
      <c r="AE905">
        <v>-36.86559338</v>
      </c>
      <c r="AF905">
        <v>174.74656121000001</v>
      </c>
      <c r="AG905">
        <v>50</v>
      </c>
      <c r="AH905">
        <v>20</v>
      </c>
      <c r="AI905">
        <v>2</v>
      </c>
      <c r="AJ905">
        <v>11</v>
      </c>
      <c r="AK905">
        <v>14</v>
      </c>
      <c r="AL905">
        <v>14</v>
      </c>
      <c r="AM905">
        <v>11</v>
      </c>
      <c r="AN905">
        <v>0</v>
      </c>
      <c r="AO905">
        <v>52</v>
      </c>
      <c r="AP905">
        <v>46</v>
      </c>
      <c r="AQ905">
        <v>7</v>
      </c>
      <c r="AR905">
        <v>3</v>
      </c>
      <c r="AS905">
        <v>4</v>
      </c>
      <c r="AT905">
        <v>4</v>
      </c>
    </row>
    <row r="906" spans="1:46">
      <c r="A906">
        <v>20085</v>
      </c>
      <c r="B906" t="s">
        <v>5998</v>
      </c>
      <c r="C906" t="s">
        <v>5999</v>
      </c>
      <c r="D906" t="s">
        <v>6000</v>
      </c>
      <c r="E906" t="s">
        <v>6001</v>
      </c>
      <c r="F906" t="s">
        <v>1001</v>
      </c>
      <c r="G906" t="s">
        <v>652</v>
      </c>
      <c r="H906" t="s">
        <v>3942</v>
      </c>
      <c r="J906" t="s">
        <v>3962</v>
      </c>
      <c r="K906" t="s">
        <v>519</v>
      </c>
      <c r="M906" t="s">
        <v>520</v>
      </c>
      <c r="N906" t="s">
        <v>571</v>
      </c>
      <c r="O906" t="s">
        <v>748</v>
      </c>
      <c r="P906" t="s">
        <v>654</v>
      </c>
      <c r="Q906" t="s">
        <v>638</v>
      </c>
      <c r="R906" t="s">
        <v>639</v>
      </c>
      <c r="S906" t="s">
        <v>682</v>
      </c>
      <c r="T906" t="s">
        <v>527</v>
      </c>
      <c r="U906">
        <v>125400</v>
      </c>
      <c r="V906" t="s">
        <v>6002</v>
      </c>
      <c r="W906" t="s">
        <v>741</v>
      </c>
      <c r="X906" t="s">
        <v>4096</v>
      </c>
      <c r="Y906" t="s">
        <v>4097</v>
      </c>
      <c r="Z906" t="s">
        <v>4098</v>
      </c>
      <c r="AA906" t="s">
        <v>4099</v>
      </c>
      <c r="AB906" t="s">
        <v>4100</v>
      </c>
      <c r="AC906">
        <v>99188</v>
      </c>
      <c r="AD906" t="s">
        <v>786</v>
      </c>
      <c r="AE906">
        <v>-36.775624870000001</v>
      </c>
      <c r="AF906">
        <v>174.75980100999999</v>
      </c>
      <c r="AG906">
        <v>50</v>
      </c>
      <c r="AH906">
        <v>40</v>
      </c>
      <c r="AI906">
        <v>4</v>
      </c>
      <c r="AJ906">
        <v>19</v>
      </c>
      <c r="AK906">
        <v>18</v>
      </c>
      <c r="AL906">
        <v>15</v>
      </c>
      <c r="AM906">
        <v>0</v>
      </c>
      <c r="AN906">
        <v>0</v>
      </c>
      <c r="AO906">
        <v>56</v>
      </c>
      <c r="AP906">
        <v>34</v>
      </c>
      <c r="AQ906">
        <v>4</v>
      </c>
      <c r="AR906">
        <v>2</v>
      </c>
      <c r="AS906">
        <v>22</v>
      </c>
      <c r="AT906">
        <v>3</v>
      </c>
    </row>
    <row r="907" spans="1:46">
      <c r="A907">
        <v>20086</v>
      </c>
      <c r="B907" t="s">
        <v>6003</v>
      </c>
      <c r="C907" t="s">
        <v>6004</v>
      </c>
      <c r="E907" t="s">
        <v>6005</v>
      </c>
      <c r="F907" t="s">
        <v>1001</v>
      </c>
      <c r="G907" t="s">
        <v>652</v>
      </c>
      <c r="H907" t="s">
        <v>3942</v>
      </c>
      <c r="J907" t="s">
        <v>3962</v>
      </c>
      <c r="K907" t="s">
        <v>519</v>
      </c>
      <c r="M907" t="s">
        <v>520</v>
      </c>
      <c r="N907" t="s">
        <v>571</v>
      </c>
      <c r="O907" t="s">
        <v>748</v>
      </c>
      <c r="P907" t="s">
        <v>654</v>
      </c>
      <c r="Q907" t="s">
        <v>638</v>
      </c>
      <c r="R907" t="s">
        <v>639</v>
      </c>
      <c r="S907" t="s">
        <v>682</v>
      </c>
      <c r="T907" t="s">
        <v>527</v>
      </c>
      <c r="U907">
        <v>125400</v>
      </c>
      <c r="V907" t="s">
        <v>6002</v>
      </c>
      <c r="W907" t="s">
        <v>741</v>
      </c>
      <c r="X907" t="s">
        <v>4096</v>
      </c>
      <c r="Y907" t="s">
        <v>4097</v>
      </c>
      <c r="Z907" t="s">
        <v>4098</v>
      </c>
      <c r="AA907" t="s">
        <v>4099</v>
      </c>
      <c r="AB907" t="s">
        <v>4100</v>
      </c>
      <c r="AC907">
        <v>99188</v>
      </c>
      <c r="AD907" t="s">
        <v>786</v>
      </c>
      <c r="AE907">
        <v>-36.775400019999999</v>
      </c>
      <c r="AF907">
        <v>174.76009364000001</v>
      </c>
      <c r="AG907">
        <v>50</v>
      </c>
      <c r="AH907">
        <v>0</v>
      </c>
      <c r="AI907">
        <v>0</v>
      </c>
      <c r="AJ907">
        <v>0</v>
      </c>
      <c r="AK907">
        <v>0</v>
      </c>
      <c r="AL907">
        <v>16</v>
      </c>
      <c r="AM907">
        <v>35</v>
      </c>
      <c r="AN907">
        <v>0</v>
      </c>
      <c r="AO907">
        <v>51</v>
      </c>
      <c r="AP907">
        <v>28</v>
      </c>
      <c r="AQ907">
        <v>0</v>
      </c>
      <c r="AR907">
        <v>1</v>
      </c>
      <c r="AS907">
        <v>26</v>
      </c>
      <c r="AT907">
        <v>3</v>
      </c>
    </row>
    <row r="908" spans="1:46">
      <c r="A908">
        <v>20087</v>
      </c>
      <c r="B908" t="s">
        <v>6006</v>
      </c>
      <c r="C908" t="s">
        <v>6007</v>
      </c>
      <c r="D908" t="s">
        <v>6008</v>
      </c>
      <c r="E908" t="s">
        <v>6009</v>
      </c>
      <c r="F908" t="s">
        <v>706</v>
      </c>
      <c r="G908" t="s">
        <v>652</v>
      </c>
      <c r="H908" t="s">
        <v>3942</v>
      </c>
      <c r="J908" t="s">
        <v>3962</v>
      </c>
      <c r="K908" t="s">
        <v>519</v>
      </c>
      <c r="M908" t="s">
        <v>520</v>
      </c>
      <c r="N908" t="s">
        <v>571</v>
      </c>
      <c r="O908" t="s">
        <v>707</v>
      </c>
      <c r="P908" t="s">
        <v>654</v>
      </c>
      <c r="Q908" t="s">
        <v>638</v>
      </c>
      <c r="R908" t="s">
        <v>708</v>
      </c>
      <c r="S908" t="s">
        <v>706</v>
      </c>
      <c r="T908" t="s">
        <v>709</v>
      </c>
      <c r="U908">
        <v>149300</v>
      </c>
      <c r="V908" t="s">
        <v>4561</v>
      </c>
      <c r="W908" t="s">
        <v>711</v>
      </c>
      <c r="X908" t="s">
        <v>4096</v>
      </c>
      <c r="Y908" t="s">
        <v>4097</v>
      </c>
      <c r="Z908" t="s">
        <v>4098</v>
      </c>
      <c r="AA908" t="s">
        <v>4099</v>
      </c>
      <c r="AB908" t="s">
        <v>4100</v>
      </c>
      <c r="AC908">
        <v>99149</v>
      </c>
      <c r="AD908" t="s">
        <v>798</v>
      </c>
      <c r="AE908">
        <v>-36.89575447</v>
      </c>
      <c r="AF908">
        <v>174.89959350000001</v>
      </c>
      <c r="AG908">
        <v>100</v>
      </c>
      <c r="AH908">
        <v>25</v>
      </c>
      <c r="AI908">
        <v>2</v>
      </c>
      <c r="AJ908">
        <v>20</v>
      </c>
      <c r="AK908">
        <v>23</v>
      </c>
      <c r="AL908">
        <v>21</v>
      </c>
      <c r="AM908">
        <v>31</v>
      </c>
      <c r="AN908">
        <v>2</v>
      </c>
      <c r="AO908">
        <v>99</v>
      </c>
      <c r="AP908">
        <v>50</v>
      </c>
      <c r="AQ908">
        <v>6</v>
      </c>
      <c r="AR908">
        <v>8</v>
      </c>
      <c r="AS908">
        <v>46</v>
      </c>
      <c r="AT908">
        <v>7</v>
      </c>
    </row>
    <row r="909" spans="1:46">
      <c r="A909">
        <v>20089</v>
      </c>
      <c r="B909" t="s">
        <v>6010</v>
      </c>
      <c r="C909" t="s">
        <v>6011</v>
      </c>
      <c r="D909" t="s">
        <v>6012</v>
      </c>
      <c r="E909" t="s">
        <v>6013</v>
      </c>
      <c r="F909" t="s">
        <v>6014</v>
      </c>
      <c r="G909" t="s">
        <v>652</v>
      </c>
      <c r="H909" t="s">
        <v>3942</v>
      </c>
      <c r="J909" t="s">
        <v>518</v>
      </c>
      <c r="K909" t="s">
        <v>519</v>
      </c>
      <c r="M909" t="s">
        <v>520</v>
      </c>
      <c r="N909" t="s">
        <v>557</v>
      </c>
      <c r="O909" t="s">
        <v>1268</v>
      </c>
      <c r="P909" t="s">
        <v>654</v>
      </c>
      <c r="Q909" t="s">
        <v>638</v>
      </c>
      <c r="R909" t="s">
        <v>729</v>
      </c>
      <c r="S909" t="s">
        <v>1234</v>
      </c>
      <c r="T909" t="s">
        <v>1235</v>
      </c>
      <c r="U909">
        <v>164100</v>
      </c>
      <c r="V909" t="s">
        <v>6015</v>
      </c>
      <c r="W909" t="s">
        <v>1219</v>
      </c>
      <c r="X909" t="s">
        <v>6016</v>
      </c>
      <c r="Y909" t="s">
        <v>6017</v>
      </c>
      <c r="Z909" t="s">
        <v>1234</v>
      </c>
      <c r="AA909" t="s">
        <v>6018</v>
      </c>
      <c r="AB909" t="s">
        <v>6019</v>
      </c>
      <c r="AE909">
        <v>-37.069773840000003</v>
      </c>
      <c r="AF909">
        <v>174.9668738</v>
      </c>
      <c r="AG909">
        <v>30</v>
      </c>
      <c r="AH909">
        <v>0</v>
      </c>
      <c r="AI909">
        <v>0</v>
      </c>
      <c r="AJ909">
        <v>0</v>
      </c>
      <c r="AK909">
        <v>5</v>
      </c>
      <c r="AL909">
        <v>11</v>
      </c>
      <c r="AM909">
        <v>13</v>
      </c>
      <c r="AN909">
        <v>1</v>
      </c>
      <c r="AO909">
        <v>30</v>
      </c>
      <c r="AP909">
        <v>16</v>
      </c>
      <c r="AQ909">
        <v>8</v>
      </c>
      <c r="AR909">
        <v>10</v>
      </c>
      <c r="AS909">
        <v>7</v>
      </c>
      <c r="AT909">
        <v>0</v>
      </c>
    </row>
    <row r="910" spans="1:46">
      <c r="A910">
        <v>20090</v>
      </c>
      <c r="B910" t="s">
        <v>6020</v>
      </c>
      <c r="C910" t="s">
        <v>6021</v>
      </c>
      <c r="D910" t="s">
        <v>6022</v>
      </c>
      <c r="E910" t="s">
        <v>6023</v>
      </c>
      <c r="F910" t="s">
        <v>1017</v>
      </c>
      <c r="G910" t="s">
        <v>652</v>
      </c>
      <c r="H910" t="s">
        <v>3942</v>
      </c>
      <c r="J910" t="s">
        <v>3962</v>
      </c>
      <c r="K910" t="s">
        <v>519</v>
      </c>
      <c r="M910" t="s">
        <v>520</v>
      </c>
      <c r="N910" t="s">
        <v>571</v>
      </c>
      <c r="O910" t="s">
        <v>857</v>
      </c>
      <c r="P910" t="s">
        <v>654</v>
      </c>
      <c r="Q910" t="s">
        <v>638</v>
      </c>
      <c r="R910" t="s">
        <v>708</v>
      </c>
      <c r="S910" t="s">
        <v>913</v>
      </c>
      <c r="T910" t="s">
        <v>709</v>
      </c>
      <c r="U910">
        <v>139900</v>
      </c>
      <c r="V910" t="s">
        <v>5985</v>
      </c>
      <c r="W910" t="s">
        <v>860</v>
      </c>
      <c r="X910" t="s">
        <v>4096</v>
      </c>
      <c r="Y910" t="s">
        <v>4097</v>
      </c>
      <c r="Z910" t="s">
        <v>4098</v>
      </c>
      <c r="AA910" t="s">
        <v>4099</v>
      </c>
      <c r="AB910" t="s">
        <v>4100</v>
      </c>
      <c r="AE910">
        <v>-36.896908160000002</v>
      </c>
      <c r="AF910">
        <v>174.75702054999999</v>
      </c>
      <c r="AG910">
        <v>50</v>
      </c>
      <c r="AH910">
        <v>16</v>
      </c>
      <c r="AI910">
        <v>0</v>
      </c>
      <c r="AJ910">
        <v>11</v>
      </c>
      <c r="AK910">
        <v>15</v>
      </c>
      <c r="AL910">
        <v>11</v>
      </c>
      <c r="AM910">
        <v>13</v>
      </c>
      <c r="AN910">
        <v>0</v>
      </c>
      <c r="AO910">
        <v>50</v>
      </c>
      <c r="AP910">
        <v>20</v>
      </c>
      <c r="AQ910">
        <v>2</v>
      </c>
      <c r="AR910">
        <v>4</v>
      </c>
      <c r="AS910">
        <v>33</v>
      </c>
      <c r="AT910">
        <v>2</v>
      </c>
    </row>
    <row r="911" spans="1:46">
      <c r="A911">
        <v>20096</v>
      </c>
      <c r="B911" t="s">
        <v>6024</v>
      </c>
      <c r="C911" t="s">
        <v>6025</v>
      </c>
      <c r="D911" t="s">
        <v>6026</v>
      </c>
      <c r="E911" t="s">
        <v>6027</v>
      </c>
      <c r="F911" t="s">
        <v>5176</v>
      </c>
      <c r="G911" t="s">
        <v>652</v>
      </c>
      <c r="H911" t="s">
        <v>3942</v>
      </c>
      <c r="I911" t="s">
        <v>4065</v>
      </c>
      <c r="J911" t="s">
        <v>3962</v>
      </c>
      <c r="K911" t="s">
        <v>519</v>
      </c>
      <c r="M911" t="s">
        <v>520</v>
      </c>
      <c r="N911" t="s">
        <v>571</v>
      </c>
      <c r="O911" t="s">
        <v>804</v>
      </c>
      <c r="P911" t="s">
        <v>654</v>
      </c>
      <c r="Q911" t="s">
        <v>638</v>
      </c>
      <c r="R911" t="s">
        <v>708</v>
      </c>
      <c r="S911" t="s">
        <v>880</v>
      </c>
      <c r="T911" t="s">
        <v>709</v>
      </c>
      <c r="U911">
        <v>142700</v>
      </c>
      <c r="V911" t="s">
        <v>6028</v>
      </c>
      <c r="W911" t="s">
        <v>824</v>
      </c>
      <c r="X911" t="s">
        <v>6029</v>
      </c>
      <c r="Y911" t="s">
        <v>6030</v>
      </c>
      <c r="Z911" t="s">
        <v>4534</v>
      </c>
      <c r="AA911" t="s">
        <v>3964</v>
      </c>
      <c r="AB911" t="s">
        <v>6031</v>
      </c>
      <c r="AE911">
        <v>-36.857262929999997</v>
      </c>
      <c r="AF911">
        <v>174.84643417000001</v>
      </c>
      <c r="AG911">
        <v>30</v>
      </c>
      <c r="AH911">
        <v>0</v>
      </c>
      <c r="AI911">
        <v>0</v>
      </c>
      <c r="AJ911">
        <v>0</v>
      </c>
      <c r="AK911">
        <v>5</v>
      </c>
      <c r="AL911">
        <v>9</v>
      </c>
      <c r="AM911">
        <v>6</v>
      </c>
      <c r="AN911">
        <v>2</v>
      </c>
      <c r="AO911">
        <v>22</v>
      </c>
      <c r="AP911">
        <v>15</v>
      </c>
      <c r="AQ911">
        <v>0</v>
      </c>
      <c r="AR911">
        <v>0</v>
      </c>
      <c r="AS911">
        <v>8</v>
      </c>
      <c r="AT911">
        <v>1</v>
      </c>
    </row>
    <row r="912" spans="1:46">
      <c r="A912">
        <v>20097</v>
      </c>
      <c r="B912" t="s">
        <v>6032</v>
      </c>
      <c r="C912" t="s">
        <v>6033</v>
      </c>
      <c r="D912" t="s">
        <v>6034</v>
      </c>
      <c r="E912" t="s">
        <v>6035</v>
      </c>
      <c r="F912" t="s">
        <v>1177</v>
      </c>
      <c r="G912" t="s">
        <v>652</v>
      </c>
      <c r="H912" t="s">
        <v>3942</v>
      </c>
      <c r="J912" t="s">
        <v>3962</v>
      </c>
      <c r="K912" t="s">
        <v>519</v>
      </c>
      <c r="M912" t="s">
        <v>520</v>
      </c>
      <c r="N912" t="s">
        <v>4519</v>
      </c>
      <c r="O912" t="s">
        <v>748</v>
      </c>
      <c r="P912" t="s">
        <v>654</v>
      </c>
      <c r="Q912" t="s">
        <v>638</v>
      </c>
      <c r="R912" t="s">
        <v>639</v>
      </c>
      <c r="S912" t="s">
        <v>682</v>
      </c>
      <c r="T912" t="s">
        <v>527</v>
      </c>
      <c r="U912">
        <v>126801</v>
      </c>
      <c r="V912" t="s">
        <v>1178</v>
      </c>
      <c r="W912" t="s">
        <v>741</v>
      </c>
      <c r="X912" t="s">
        <v>5087</v>
      </c>
      <c r="Y912" t="s">
        <v>6036</v>
      </c>
      <c r="Z912" t="s">
        <v>6037</v>
      </c>
      <c r="AA912" t="s">
        <v>6038</v>
      </c>
      <c r="AC912">
        <v>99188</v>
      </c>
      <c r="AD912" t="s">
        <v>786</v>
      </c>
      <c r="AE912">
        <v>-36.783297730000001</v>
      </c>
      <c r="AF912">
        <v>174.77190125999999</v>
      </c>
      <c r="AG912">
        <v>45</v>
      </c>
      <c r="AH912">
        <v>9</v>
      </c>
      <c r="AI912">
        <v>2</v>
      </c>
      <c r="AJ912">
        <v>7</v>
      </c>
      <c r="AK912">
        <v>7</v>
      </c>
      <c r="AL912">
        <v>13</v>
      </c>
      <c r="AM912">
        <v>9</v>
      </c>
      <c r="AN912">
        <v>2</v>
      </c>
      <c r="AO912">
        <v>40</v>
      </c>
      <c r="AP912">
        <v>26</v>
      </c>
      <c r="AQ912">
        <v>0</v>
      </c>
      <c r="AR912">
        <v>2</v>
      </c>
      <c r="AS912">
        <v>13</v>
      </c>
      <c r="AT912">
        <v>4</v>
      </c>
    </row>
    <row r="913" spans="1:46">
      <c r="A913">
        <v>20098</v>
      </c>
      <c r="B913" t="s">
        <v>6039</v>
      </c>
      <c r="C913" t="s">
        <v>6040</v>
      </c>
      <c r="D913" t="s">
        <v>6041</v>
      </c>
      <c r="E913" t="s">
        <v>6042</v>
      </c>
      <c r="F913" t="s">
        <v>855</v>
      </c>
      <c r="G913" t="s">
        <v>652</v>
      </c>
      <c r="H913" t="s">
        <v>3942</v>
      </c>
      <c r="J913" t="s">
        <v>3962</v>
      </c>
      <c r="K913" t="s">
        <v>519</v>
      </c>
      <c r="M913" t="s">
        <v>520</v>
      </c>
      <c r="N913" t="s">
        <v>571</v>
      </c>
      <c r="O913" t="s">
        <v>857</v>
      </c>
      <c r="P913" t="s">
        <v>654</v>
      </c>
      <c r="Q913" t="s">
        <v>638</v>
      </c>
      <c r="R913" t="s">
        <v>708</v>
      </c>
      <c r="S913" t="s">
        <v>858</v>
      </c>
      <c r="T913" t="s">
        <v>709</v>
      </c>
      <c r="U913">
        <v>132200</v>
      </c>
      <c r="V913" t="s">
        <v>6043</v>
      </c>
      <c r="W913" t="s">
        <v>860</v>
      </c>
      <c r="X913" t="s">
        <v>4460</v>
      </c>
      <c r="Y913" t="s">
        <v>6042</v>
      </c>
      <c r="Z913" t="s">
        <v>855</v>
      </c>
      <c r="AA913" t="s">
        <v>4876</v>
      </c>
      <c r="AB913" t="s">
        <v>4462</v>
      </c>
      <c r="AE913">
        <v>-36.883266030000001</v>
      </c>
      <c r="AF913">
        <v>174.71482162999999</v>
      </c>
      <c r="AG913">
        <v>69</v>
      </c>
      <c r="AH913">
        <v>16</v>
      </c>
      <c r="AI913">
        <v>2</v>
      </c>
      <c r="AJ913">
        <v>8</v>
      </c>
      <c r="AK913">
        <v>8</v>
      </c>
      <c r="AL913">
        <v>12</v>
      </c>
      <c r="AM913">
        <v>13</v>
      </c>
      <c r="AN913">
        <v>0</v>
      </c>
      <c r="AO913">
        <v>43</v>
      </c>
      <c r="AP913">
        <v>1</v>
      </c>
      <c r="AQ913">
        <v>1</v>
      </c>
      <c r="AR913">
        <v>7</v>
      </c>
      <c r="AS913">
        <v>35</v>
      </c>
      <c r="AT913">
        <v>1</v>
      </c>
    </row>
    <row r="914" spans="1:46">
      <c r="A914">
        <v>20099</v>
      </c>
      <c r="B914" t="s">
        <v>6044</v>
      </c>
      <c r="C914" t="s">
        <v>6045</v>
      </c>
      <c r="D914" t="s">
        <v>6046</v>
      </c>
      <c r="E914" t="s">
        <v>6047</v>
      </c>
      <c r="F914" t="s">
        <v>5687</v>
      </c>
      <c r="G914" t="s">
        <v>652</v>
      </c>
      <c r="H914" t="s">
        <v>3942</v>
      </c>
      <c r="J914" t="s">
        <v>3962</v>
      </c>
      <c r="K914" t="s">
        <v>519</v>
      </c>
      <c r="M914" t="s">
        <v>520</v>
      </c>
      <c r="N914" t="s">
        <v>571</v>
      </c>
      <c r="O914" t="s">
        <v>748</v>
      </c>
      <c r="P914" t="s">
        <v>654</v>
      </c>
      <c r="Q914" t="s">
        <v>638</v>
      </c>
      <c r="R914" t="s">
        <v>639</v>
      </c>
      <c r="S914" t="s">
        <v>682</v>
      </c>
      <c r="T914" t="s">
        <v>527</v>
      </c>
      <c r="U914">
        <v>130700</v>
      </c>
      <c r="V914" t="s">
        <v>5687</v>
      </c>
      <c r="W914" t="s">
        <v>741</v>
      </c>
      <c r="X914" t="s">
        <v>6048</v>
      </c>
      <c r="Y914" t="s">
        <v>6049</v>
      </c>
      <c r="Z914" t="s">
        <v>4929</v>
      </c>
      <c r="AA914" t="s">
        <v>6050</v>
      </c>
      <c r="AB914" t="s">
        <v>6051</v>
      </c>
      <c r="AE914">
        <v>-36.812634809999999</v>
      </c>
      <c r="AF914">
        <v>174.79650591999999</v>
      </c>
      <c r="AG914">
        <v>35</v>
      </c>
      <c r="AH914">
        <v>10</v>
      </c>
      <c r="AI914">
        <v>1</v>
      </c>
      <c r="AJ914">
        <v>8</v>
      </c>
      <c r="AK914">
        <v>5</v>
      </c>
      <c r="AL914">
        <v>9</v>
      </c>
      <c r="AM914">
        <v>3</v>
      </c>
      <c r="AN914">
        <v>0</v>
      </c>
      <c r="AO914">
        <v>26</v>
      </c>
      <c r="AP914">
        <v>26</v>
      </c>
      <c r="AQ914">
        <v>2</v>
      </c>
      <c r="AR914">
        <v>0</v>
      </c>
      <c r="AS914">
        <v>1</v>
      </c>
      <c r="AT914">
        <v>0</v>
      </c>
    </row>
    <row r="915" spans="1:46">
      <c r="A915">
        <v>20100</v>
      </c>
      <c r="B915" t="s">
        <v>6052</v>
      </c>
      <c r="C915" t="s">
        <v>6053</v>
      </c>
      <c r="D915" t="s">
        <v>6054</v>
      </c>
      <c r="E915" t="s">
        <v>6055</v>
      </c>
      <c r="F915" t="s">
        <v>898</v>
      </c>
      <c r="G915" t="s">
        <v>652</v>
      </c>
      <c r="H915" t="s">
        <v>3942</v>
      </c>
      <c r="I915" t="s">
        <v>3953</v>
      </c>
      <c r="J915" t="s">
        <v>3962</v>
      </c>
      <c r="K915" t="s">
        <v>519</v>
      </c>
      <c r="M915" t="s">
        <v>520</v>
      </c>
      <c r="N915" t="s">
        <v>539</v>
      </c>
      <c r="O915" t="s">
        <v>813</v>
      </c>
      <c r="P915" t="s">
        <v>654</v>
      </c>
      <c r="Q915" t="s">
        <v>638</v>
      </c>
      <c r="R915" t="s">
        <v>639</v>
      </c>
      <c r="S915" t="s">
        <v>899</v>
      </c>
      <c r="T915" t="s">
        <v>527</v>
      </c>
      <c r="U915">
        <v>125701</v>
      </c>
      <c r="V915" t="s">
        <v>5792</v>
      </c>
      <c r="W915" t="s">
        <v>815</v>
      </c>
      <c r="X915" t="s">
        <v>6056</v>
      </c>
      <c r="Y915" t="s">
        <v>6057</v>
      </c>
      <c r="Z915" t="s">
        <v>898</v>
      </c>
      <c r="AA915" t="s">
        <v>4169</v>
      </c>
      <c r="AE915">
        <v>-36.8685543</v>
      </c>
      <c r="AF915">
        <v>174.62805090000001</v>
      </c>
      <c r="AG915">
        <v>32</v>
      </c>
      <c r="AH915">
        <v>0</v>
      </c>
      <c r="AI915">
        <v>0</v>
      </c>
      <c r="AJ915">
        <v>0</v>
      </c>
      <c r="AK915">
        <v>8</v>
      </c>
      <c r="AL915">
        <v>7</v>
      </c>
      <c r="AM915">
        <v>12</v>
      </c>
      <c r="AN915">
        <v>3</v>
      </c>
      <c r="AO915">
        <v>30</v>
      </c>
      <c r="AP915">
        <v>2</v>
      </c>
      <c r="AQ915">
        <v>2</v>
      </c>
      <c r="AR915">
        <v>7</v>
      </c>
      <c r="AS915">
        <v>23</v>
      </c>
      <c r="AT915">
        <v>1</v>
      </c>
    </row>
    <row r="916" spans="1:46">
      <c r="A916">
        <v>20102</v>
      </c>
      <c r="B916" t="s">
        <v>6058</v>
      </c>
      <c r="C916" t="s">
        <v>6059</v>
      </c>
      <c r="D916" t="s">
        <v>6060</v>
      </c>
      <c r="E916" t="s">
        <v>6061</v>
      </c>
      <c r="F916" t="s">
        <v>769</v>
      </c>
      <c r="G916" t="s">
        <v>652</v>
      </c>
      <c r="H916" t="s">
        <v>3942</v>
      </c>
      <c r="J916" t="s">
        <v>518</v>
      </c>
      <c r="K916" t="s">
        <v>519</v>
      </c>
      <c r="M916" t="s">
        <v>520</v>
      </c>
      <c r="N916" t="s">
        <v>571</v>
      </c>
      <c r="O916" t="s">
        <v>912</v>
      </c>
      <c r="P916" t="s">
        <v>654</v>
      </c>
      <c r="Q916" t="s">
        <v>638</v>
      </c>
      <c r="R916" t="s">
        <v>708</v>
      </c>
      <c r="S916" t="s">
        <v>913</v>
      </c>
      <c r="T916" t="s">
        <v>709</v>
      </c>
      <c r="U916">
        <v>139601</v>
      </c>
      <c r="V916" t="s">
        <v>4489</v>
      </c>
      <c r="W916" t="s">
        <v>860</v>
      </c>
      <c r="X916" t="s">
        <v>6062</v>
      </c>
      <c r="Y916" t="s">
        <v>6063</v>
      </c>
      <c r="Z916" t="s">
        <v>1023</v>
      </c>
      <c r="AA916" t="s">
        <v>6064</v>
      </c>
      <c r="AB916" t="s">
        <v>6065</v>
      </c>
      <c r="AC916">
        <v>99012</v>
      </c>
      <c r="AD916" t="s">
        <v>772</v>
      </c>
      <c r="AE916">
        <v>-36.917754129999999</v>
      </c>
      <c r="AF916">
        <v>174.71498133</v>
      </c>
      <c r="AG916">
        <v>30</v>
      </c>
      <c r="AH916">
        <v>6</v>
      </c>
      <c r="AI916">
        <v>2</v>
      </c>
      <c r="AJ916">
        <v>4</v>
      </c>
      <c r="AK916">
        <v>16</v>
      </c>
      <c r="AL916">
        <v>10</v>
      </c>
      <c r="AM916">
        <v>6</v>
      </c>
      <c r="AN916">
        <v>0</v>
      </c>
      <c r="AO916">
        <v>38</v>
      </c>
      <c r="AP916">
        <v>12</v>
      </c>
      <c r="AQ916">
        <v>1</v>
      </c>
      <c r="AR916">
        <v>11</v>
      </c>
      <c r="AS916">
        <v>23</v>
      </c>
      <c r="AT916">
        <v>2</v>
      </c>
    </row>
    <row r="917" spans="1:46">
      <c r="A917">
        <v>20104</v>
      </c>
      <c r="B917" t="s">
        <v>6066</v>
      </c>
      <c r="C917" t="s">
        <v>6067</v>
      </c>
      <c r="D917" t="s">
        <v>6068</v>
      </c>
      <c r="E917" t="s">
        <v>6069</v>
      </c>
      <c r="F917" t="s">
        <v>1102</v>
      </c>
      <c r="G917" t="s">
        <v>652</v>
      </c>
      <c r="H917" t="s">
        <v>3942</v>
      </c>
      <c r="J917" t="s">
        <v>518</v>
      </c>
      <c r="K917" t="s">
        <v>519</v>
      </c>
      <c r="M917" t="s">
        <v>520</v>
      </c>
      <c r="N917" t="s">
        <v>571</v>
      </c>
      <c r="O917" t="s">
        <v>957</v>
      </c>
      <c r="P917" t="s">
        <v>654</v>
      </c>
      <c r="Q917" t="s">
        <v>638</v>
      </c>
      <c r="R917" t="s">
        <v>708</v>
      </c>
      <c r="S917" t="s">
        <v>958</v>
      </c>
      <c r="T917" t="s">
        <v>709</v>
      </c>
      <c r="U917">
        <v>131200</v>
      </c>
      <c r="V917" t="s">
        <v>1103</v>
      </c>
      <c r="W917" t="s">
        <v>959</v>
      </c>
      <c r="X917" t="s">
        <v>3943</v>
      </c>
      <c r="Y917" t="s">
        <v>3944</v>
      </c>
      <c r="Z917" t="s">
        <v>3945</v>
      </c>
      <c r="AA917" t="s">
        <v>3946</v>
      </c>
      <c r="AB917" t="s">
        <v>3947</v>
      </c>
      <c r="AE917">
        <v>-36.853480849999997</v>
      </c>
      <c r="AF917">
        <v>174.74166799</v>
      </c>
      <c r="AG917">
        <v>53</v>
      </c>
      <c r="AH917">
        <v>10</v>
      </c>
      <c r="AI917">
        <v>3</v>
      </c>
      <c r="AJ917">
        <v>23</v>
      </c>
      <c r="AK917">
        <v>15</v>
      </c>
      <c r="AL917">
        <v>24</v>
      </c>
      <c r="AM917">
        <v>13</v>
      </c>
      <c r="AN917">
        <v>1</v>
      </c>
      <c r="AO917">
        <v>79</v>
      </c>
      <c r="AP917">
        <v>73</v>
      </c>
      <c r="AQ917">
        <v>8</v>
      </c>
      <c r="AR917">
        <v>6</v>
      </c>
      <c r="AS917">
        <v>4</v>
      </c>
      <c r="AT917">
        <v>7</v>
      </c>
    </row>
    <row r="918" spans="1:46">
      <c r="A918">
        <v>20107</v>
      </c>
      <c r="B918" t="s">
        <v>6070</v>
      </c>
      <c r="C918" t="s">
        <v>6071</v>
      </c>
      <c r="D918" t="s">
        <v>6072</v>
      </c>
      <c r="E918" t="s">
        <v>6073</v>
      </c>
      <c r="F918" t="s">
        <v>1001</v>
      </c>
      <c r="G918" t="s">
        <v>652</v>
      </c>
      <c r="H918" t="s">
        <v>3942</v>
      </c>
      <c r="I918" t="s">
        <v>5772</v>
      </c>
      <c r="J918" t="s">
        <v>518</v>
      </c>
      <c r="K918" t="s">
        <v>519</v>
      </c>
      <c r="M918" t="s">
        <v>520</v>
      </c>
      <c r="N918" t="s">
        <v>571</v>
      </c>
      <c r="O918" t="s">
        <v>748</v>
      </c>
      <c r="P918" t="s">
        <v>654</v>
      </c>
      <c r="Q918" t="s">
        <v>638</v>
      </c>
      <c r="R918" t="s">
        <v>639</v>
      </c>
      <c r="S918" t="s">
        <v>682</v>
      </c>
      <c r="T918" t="s">
        <v>527</v>
      </c>
      <c r="U918">
        <v>125900</v>
      </c>
      <c r="V918" t="s">
        <v>1002</v>
      </c>
      <c r="W918" t="s">
        <v>741</v>
      </c>
      <c r="X918" t="s">
        <v>6074</v>
      </c>
      <c r="Y918" t="s">
        <v>6075</v>
      </c>
      <c r="Z918" t="s">
        <v>1001</v>
      </c>
      <c r="AA918" t="s">
        <v>6076</v>
      </c>
      <c r="AB918" t="s">
        <v>6077</v>
      </c>
      <c r="AC918">
        <v>99188</v>
      </c>
      <c r="AD918" t="s">
        <v>786</v>
      </c>
      <c r="AE918">
        <v>-36.773820919999999</v>
      </c>
      <c r="AF918">
        <v>174.7659161</v>
      </c>
      <c r="AG918">
        <v>58</v>
      </c>
      <c r="AH918">
        <v>0</v>
      </c>
      <c r="AI918">
        <v>0</v>
      </c>
      <c r="AJ918">
        <v>0</v>
      </c>
      <c r="AK918">
        <v>12</v>
      </c>
      <c r="AL918">
        <v>24</v>
      </c>
      <c r="AM918">
        <v>22</v>
      </c>
      <c r="AN918">
        <v>0</v>
      </c>
      <c r="AO918">
        <v>58</v>
      </c>
      <c r="AP918">
        <v>37</v>
      </c>
      <c r="AQ918">
        <v>7</v>
      </c>
      <c r="AR918">
        <v>1</v>
      </c>
      <c r="AS918">
        <v>18</v>
      </c>
      <c r="AT918">
        <v>8</v>
      </c>
    </row>
    <row r="919" spans="1:46">
      <c r="A919">
        <v>20110</v>
      </c>
      <c r="B919" t="s">
        <v>6078</v>
      </c>
      <c r="C919" t="s">
        <v>6079</v>
      </c>
      <c r="D919" t="s">
        <v>6080</v>
      </c>
      <c r="E919" t="s">
        <v>6081</v>
      </c>
      <c r="G919" t="s">
        <v>4509</v>
      </c>
      <c r="H919" t="s">
        <v>517</v>
      </c>
      <c r="J919" t="s">
        <v>518</v>
      </c>
      <c r="K919" t="s">
        <v>519</v>
      </c>
      <c r="M919" t="s">
        <v>520</v>
      </c>
      <c r="N919" t="s">
        <v>571</v>
      </c>
      <c r="O919" t="s">
        <v>653</v>
      </c>
      <c r="P919" t="s">
        <v>584</v>
      </c>
      <c r="Q919" t="s">
        <v>638</v>
      </c>
      <c r="R919" t="s">
        <v>639</v>
      </c>
      <c r="S919" t="s">
        <v>668</v>
      </c>
      <c r="T919" t="s">
        <v>527</v>
      </c>
      <c r="U919">
        <v>113300</v>
      </c>
      <c r="V919" t="s">
        <v>6082</v>
      </c>
      <c r="W919" t="s">
        <v>657</v>
      </c>
      <c r="X919" t="s">
        <v>658</v>
      </c>
      <c r="Y919" t="s">
        <v>659</v>
      </c>
      <c r="Z919" t="s">
        <v>660</v>
      </c>
      <c r="AA919" t="s">
        <v>661</v>
      </c>
      <c r="AC919">
        <v>99069</v>
      </c>
      <c r="AD919" t="s">
        <v>670</v>
      </c>
      <c r="AE919">
        <v>-36.605465170000002</v>
      </c>
      <c r="AF919">
        <v>174.67891693999999</v>
      </c>
      <c r="AG919">
        <v>40</v>
      </c>
      <c r="AH919">
        <v>0</v>
      </c>
      <c r="AI919">
        <v>0</v>
      </c>
      <c r="AJ919">
        <v>0</v>
      </c>
      <c r="AK919">
        <v>7</v>
      </c>
      <c r="AL919">
        <v>21</v>
      </c>
      <c r="AM919">
        <v>26</v>
      </c>
      <c r="AN919">
        <v>2</v>
      </c>
      <c r="AO919">
        <v>56</v>
      </c>
      <c r="AP919">
        <v>48</v>
      </c>
      <c r="AQ919">
        <v>18</v>
      </c>
      <c r="AR919">
        <v>3</v>
      </c>
      <c r="AS919">
        <v>8</v>
      </c>
      <c r="AT919">
        <v>0</v>
      </c>
    </row>
    <row r="920" spans="1:46">
      <c r="A920">
        <v>20111</v>
      </c>
      <c r="B920" t="s">
        <v>6083</v>
      </c>
      <c r="C920" t="s">
        <v>6084</v>
      </c>
      <c r="E920" t="s">
        <v>6085</v>
      </c>
      <c r="F920" t="s">
        <v>1023</v>
      </c>
      <c r="G920" t="s">
        <v>652</v>
      </c>
      <c r="H920" t="s">
        <v>3942</v>
      </c>
      <c r="I920" t="s">
        <v>5772</v>
      </c>
      <c r="J920" t="s">
        <v>518</v>
      </c>
      <c r="K920" t="s">
        <v>519</v>
      </c>
      <c r="M920" t="s">
        <v>520</v>
      </c>
      <c r="N920" t="s">
        <v>557</v>
      </c>
      <c r="O920" t="s">
        <v>912</v>
      </c>
      <c r="P920" t="s">
        <v>654</v>
      </c>
      <c r="Q920" t="s">
        <v>638</v>
      </c>
      <c r="R920" t="s">
        <v>708</v>
      </c>
      <c r="S920" t="s">
        <v>913</v>
      </c>
      <c r="T920" t="s">
        <v>709</v>
      </c>
      <c r="U920">
        <v>139801</v>
      </c>
      <c r="V920" t="s">
        <v>6086</v>
      </c>
      <c r="W920" t="s">
        <v>860</v>
      </c>
      <c r="X920" t="s">
        <v>6087</v>
      </c>
      <c r="Y920" t="s">
        <v>6088</v>
      </c>
      <c r="Z920" t="s">
        <v>1023</v>
      </c>
      <c r="AA920" t="s">
        <v>6064</v>
      </c>
      <c r="AB920" t="s">
        <v>6089</v>
      </c>
      <c r="AC920">
        <v>99032</v>
      </c>
      <c r="AD920" t="s">
        <v>6090</v>
      </c>
      <c r="AE920">
        <v>-36.91535021</v>
      </c>
      <c r="AF920">
        <v>174.73017166</v>
      </c>
      <c r="AG920">
        <v>25</v>
      </c>
      <c r="AH920">
        <v>0</v>
      </c>
      <c r="AI920">
        <v>0</v>
      </c>
      <c r="AJ920">
        <v>0</v>
      </c>
      <c r="AK920">
        <v>0</v>
      </c>
      <c r="AL920">
        <v>9</v>
      </c>
      <c r="AM920">
        <v>15</v>
      </c>
      <c r="AN920">
        <v>0</v>
      </c>
      <c r="AO920">
        <v>24</v>
      </c>
      <c r="AP920">
        <v>1</v>
      </c>
      <c r="AQ920">
        <v>0</v>
      </c>
      <c r="AR920">
        <v>5</v>
      </c>
      <c r="AS920">
        <v>17</v>
      </c>
      <c r="AT920">
        <v>2</v>
      </c>
    </row>
    <row r="921" spans="1:46">
      <c r="A921">
        <v>20112</v>
      </c>
      <c r="B921" t="s">
        <v>6091</v>
      </c>
      <c r="C921" t="s">
        <v>6092</v>
      </c>
      <c r="D921" t="s">
        <v>6093</v>
      </c>
      <c r="E921" t="s">
        <v>6094</v>
      </c>
      <c r="F921" t="s">
        <v>4863</v>
      </c>
      <c r="G921" t="s">
        <v>652</v>
      </c>
      <c r="H921" t="s">
        <v>3942</v>
      </c>
      <c r="J921" t="s">
        <v>3962</v>
      </c>
      <c r="K921" t="s">
        <v>519</v>
      </c>
      <c r="M921" t="s">
        <v>520</v>
      </c>
      <c r="N921" t="s">
        <v>571</v>
      </c>
      <c r="O921" t="s">
        <v>653</v>
      </c>
      <c r="P921" t="s">
        <v>654</v>
      </c>
      <c r="Q921" t="s">
        <v>638</v>
      </c>
      <c r="R921" t="s">
        <v>639</v>
      </c>
      <c r="S921" t="s">
        <v>655</v>
      </c>
      <c r="T921" t="s">
        <v>527</v>
      </c>
      <c r="U921">
        <v>120000</v>
      </c>
      <c r="V921" t="s">
        <v>6095</v>
      </c>
      <c r="W921" t="s">
        <v>657</v>
      </c>
      <c r="X921" t="s">
        <v>6096</v>
      </c>
      <c r="Y921" t="s">
        <v>6097</v>
      </c>
      <c r="Z921" t="s">
        <v>1102</v>
      </c>
      <c r="AA921" t="s">
        <v>4247</v>
      </c>
      <c r="AB921" t="s">
        <v>6092</v>
      </c>
      <c r="AC921">
        <v>99000</v>
      </c>
      <c r="AD921" t="s">
        <v>684</v>
      </c>
      <c r="AE921">
        <v>-36.729523890000003</v>
      </c>
      <c r="AF921">
        <v>174.74919109999999</v>
      </c>
      <c r="AG921">
        <v>40</v>
      </c>
      <c r="AH921">
        <v>1</v>
      </c>
      <c r="AI921">
        <v>0</v>
      </c>
      <c r="AJ921">
        <v>0</v>
      </c>
      <c r="AK921">
        <v>7</v>
      </c>
      <c r="AL921">
        <v>15</v>
      </c>
      <c r="AM921">
        <v>20</v>
      </c>
      <c r="AN921">
        <v>0</v>
      </c>
      <c r="AO921">
        <v>42</v>
      </c>
      <c r="AP921">
        <v>35</v>
      </c>
      <c r="AQ921">
        <v>3</v>
      </c>
      <c r="AR921">
        <v>3</v>
      </c>
      <c r="AS921">
        <v>4</v>
      </c>
      <c r="AT921">
        <v>2</v>
      </c>
    </row>
    <row r="922" spans="1:46">
      <c r="A922">
        <v>20115</v>
      </c>
      <c r="B922" t="s">
        <v>6098</v>
      </c>
      <c r="C922" t="s">
        <v>6099</v>
      </c>
      <c r="D922" t="s">
        <v>6100</v>
      </c>
      <c r="E922" t="s">
        <v>6101</v>
      </c>
      <c r="F922" t="s">
        <v>756</v>
      </c>
      <c r="G922" t="s">
        <v>652</v>
      </c>
      <c r="H922" t="s">
        <v>3942</v>
      </c>
      <c r="I922" t="s">
        <v>4065</v>
      </c>
      <c r="J922" t="s">
        <v>3962</v>
      </c>
      <c r="K922" t="s">
        <v>519</v>
      </c>
      <c r="M922" t="s">
        <v>520</v>
      </c>
      <c r="N922" t="s">
        <v>571</v>
      </c>
      <c r="O922" t="s">
        <v>738</v>
      </c>
      <c r="P922" t="s">
        <v>654</v>
      </c>
      <c r="Q922" t="s">
        <v>638</v>
      </c>
      <c r="R922" t="s">
        <v>639</v>
      </c>
      <c r="S922" t="s">
        <v>756</v>
      </c>
      <c r="T922" t="s">
        <v>527</v>
      </c>
      <c r="U922">
        <v>127300</v>
      </c>
      <c r="V922" t="s">
        <v>1049</v>
      </c>
      <c r="W922" t="s">
        <v>741</v>
      </c>
      <c r="X922" t="s">
        <v>6102</v>
      </c>
      <c r="Y922" t="s">
        <v>6103</v>
      </c>
      <c r="Z922" t="s">
        <v>667</v>
      </c>
      <c r="AA922" t="s">
        <v>6104</v>
      </c>
      <c r="AB922" t="s">
        <v>6105</v>
      </c>
      <c r="AE922">
        <v>-36.809659310000001</v>
      </c>
      <c r="AF922">
        <v>174.73730402999999</v>
      </c>
      <c r="AG922">
        <v>45</v>
      </c>
      <c r="AH922">
        <v>15</v>
      </c>
      <c r="AI922">
        <v>1</v>
      </c>
      <c r="AJ922">
        <v>2</v>
      </c>
      <c r="AK922">
        <v>7</v>
      </c>
      <c r="AL922">
        <v>2</v>
      </c>
      <c r="AM922">
        <v>4</v>
      </c>
      <c r="AN922">
        <v>0</v>
      </c>
      <c r="AO922">
        <v>16</v>
      </c>
      <c r="AP922">
        <v>3</v>
      </c>
      <c r="AQ922">
        <v>7</v>
      </c>
      <c r="AR922">
        <v>2</v>
      </c>
      <c r="AS922">
        <v>8</v>
      </c>
      <c r="AT922">
        <v>0</v>
      </c>
    </row>
    <row r="923" spans="1:46">
      <c r="A923">
        <v>20116</v>
      </c>
      <c r="B923" t="s">
        <v>6106</v>
      </c>
      <c r="C923" t="s">
        <v>4283</v>
      </c>
      <c r="D923" t="s">
        <v>4277</v>
      </c>
      <c r="E923" t="s">
        <v>4281</v>
      </c>
      <c r="F923" t="s">
        <v>836</v>
      </c>
      <c r="G923" t="s">
        <v>652</v>
      </c>
      <c r="H923" t="s">
        <v>3942</v>
      </c>
      <c r="J923" t="s">
        <v>518</v>
      </c>
      <c r="K923" t="s">
        <v>519</v>
      </c>
      <c r="M923" t="s">
        <v>520</v>
      </c>
      <c r="N923" t="s">
        <v>571</v>
      </c>
      <c r="O923" t="s">
        <v>748</v>
      </c>
      <c r="P923" t="s">
        <v>654</v>
      </c>
      <c r="Q923" t="s">
        <v>638</v>
      </c>
      <c r="R923" t="s">
        <v>639</v>
      </c>
      <c r="S923" t="s">
        <v>682</v>
      </c>
      <c r="T923" t="s">
        <v>527</v>
      </c>
      <c r="U923">
        <v>131400</v>
      </c>
      <c r="V923" t="s">
        <v>4279</v>
      </c>
      <c r="W923" t="s">
        <v>741</v>
      </c>
      <c r="X923" t="s">
        <v>4280</v>
      </c>
      <c r="Y923" t="s">
        <v>4281</v>
      </c>
      <c r="Z923" t="s">
        <v>836</v>
      </c>
      <c r="AA923" t="s">
        <v>4282</v>
      </c>
      <c r="AB923" t="s">
        <v>4283</v>
      </c>
      <c r="AC923">
        <v>99048</v>
      </c>
      <c r="AD923" t="s">
        <v>750</v>
      </c>
      <c r="AE923">
        <v>-36.829065919999998</v>
      </c>
      <c r="AF923">
        <v>174.78953013</v>
      </c>
      <c r="AG923">
        <v>50</v>
      </c>
      <c r="AH923">
        <v>0</v>
      </c>
      <c r="AI923">
        <v>0</v>
      </c>
      <c r="AJ923">
        <v>0</v>
      </c>
      <c r="AK923">
        <v>18</v>
      </c>
      <c r="AL923">
        <v>9</v>
      </c>
      <c r="AM923">
        <v>17</v>
      </c>
      <c r="AN923">
        <v>0</v>
      </c>
      <c r="AO923">
        <v>44</v>
      </c>
      <c r="AP923">
        <v>32</v>
      </c>
      <c r="AQ923">
        <v>20</v>
      </c>
      <c r="AR923">
        <v>12</v>
      </c>
      <c r="AS923">
        <v>4</v>
      </c>
      <c r="AT923">
        <v>2</v>
      </c>
    </row>
    <row r="924" spans="1:46">
      <c r="A924">
        <v>20118</v>
      </c>
      <c r="B924" t="s">
        <v>6107</v>
      </c>
      <c r="C924" t="s">
        <v>6108</v>
      </c>
      <c r="D924" t="s">
        <v>6109</v>
      </c>
      <c r="E924" t="s">
        <v>6110</v>
      </c>
      <c r="F924" t="s">
        <v>756</v>
      </c>
      <c r="G924" t="s">
        <v>652</v>
      </c>
      <c r="H924" t="s">
        <v>3942</v>
      </c>
      <c r="I924" t="s">
        <v>5772</v>
      </c>
      <c r="J924" t="s">
        <v>518</v>
      </c>
      <c r="K924" t="s">
        <v>519</v>
      </c>
      <c r="M924" t="s">
        <v>520</v>
      </c>
      <c r="N924" t="s">
        <v>571</v>
      </c>
      <c r="O924" t="s">
        <v>738</v>
      </c>
      <c r="P924" t="s">
        <v>654</v>
      </c>
      <c r="Q924" t="s">
        <v>638</v>
      </c>
      <c r="R924" t="s">
        <v>639</v>
      </c>
      <c r="S924" t="s">
        <v>756</v>
      </c>
      <c r="T924" t="s">
        <v>527</v>
      </c>
      <c r="U924">
        <v>126200</v>
      </c>
      <c r="V924" t="s">
        <v>6111</v>
      </c>
      <c r="W924" t="s">
        <v>741</v>
      </c>
      <c r="X924" t="s">
        <v>6112</v>
      </c>
      <c r="Y924" t="s">
        <v>6110</v>
      </c>
      <c r="Z924" t="s">
        <v>1366</v>
      </c>
      <c r="AA924" t="s">
        <v>5899</v>
      </c>
      <c r="AB924" t="s">
        <v>6113</v>
      </c>
      <c r="AC924">
        <v>99067</v>
      </c>
      <c r="AD924" t="s">
        <v>6114</v>
      </c>
      <c r="AE924">
        <v>-36.795410750000002</v>
      </c>
      <c r="AF924">
        <v>174.73572128000001</v>
      </c>
      <c r="AG924">
        <v>50</v>
      </c>
      <c r="AH924">
        <v>8</v>
      </c>
      <c r="AI924">
        <v>0</v>
      </c>
      <c r="AJ924">
        <v>3</v>
      </c>
      <c r="AK924">
        <v>14</v>
      </c>
      <c r="AL924">
        <v>13</v>
      </c>
      <c r="AM924">
        <v>14</v>
      </c>
      <c r="AN924">
        <v>0</v>
      </c>
      <c r="AO924">
        <v>44</v>
      </c>
      <c r="AP924">
        <v>14</v>
      </c>
      <c r="AQ924">
        <v>2</v>
      </c>
      <c r="AR924">
        <v>1</v>
      </c>
      <c r="AS924">
        <v>32</v>
      </c>
      <c r="AT924">
        <v>0</v>
      </c>
    </row>
    <row r="925" spans="1:46">
      <c r="A925">
        <v>20119</v>
      </c>
      <c r="B925" t="s">
        <v>6115</v>
      </c>
      <c r="C925" t="s">
        <v>6116</v>
      </c>
      <c r="D925" t="s">
        <v>6117</v>
      </c>
      <c r="E925" t="s">
        <v>6118</v>
      </c>
      <c r="F925" t="s">
        <v>4370</v>
      </c>
      <c r="G925" t="s">
        <v>652</v>
      </c>
      <c r="H925" t="s">
        <v>3942</v>
      </c>
      <c r="J925" t="s">
        <v>518</v>
      </c>
      <c r="K925" t="s">
        <v>519</v>
      </c>
      <c r="M925" t="s">
        <v>520</v>
      </c>
      <c r="N925" t="s">
        <v>571</v>
      </c>
      <c r="O925" t="s">
        <v>738</v>
      </c>
      <c r="P925" t="s">
        <v>654</v>
      </c>
      <c r="Q925" t="s">
        <v>638</v>
      </c>
      <c r="R925" t="s">
        <v>639</v>
      </c>
      <c r="S925" t="s">
        <v>756</v>
      </c>
      <c r="T925" t="s">
        <v>527</v>
      </c>
      <c r="U925">
        <v>128200</v>
      </c>
      <c r="V925" t="s">
        <v>4371</v>
      </c>
      <c r="W925" t="s">
        <v>741</v>
      </c>
      <c r="X925" t="s">
        <v>6119</v>
      </c>
      <c r="Y925" t="s">
        <v>6118</v>
      </c>
      <c r="Z925" t="s">
        <v>4370</v>
      </c>
      <c r="AA925" t="s">
        <v>6120</v>
      </c>
      <c r="AB925" t="s">
        <v>6116</v>
      </c>
      <c r="AE925">
        <v>-36.815948169999999</v>
      </c>
      <c r="AF925">
        <v>174.74529335</v>
      </c>
      <c r="AG925">
        <v>26</v>
      </c>
      <c r="AH925">
        <v>10</v>
      </c>
      <c r="AI925">
        <v>0</v>
      </c>
      <c r="AJ925">
        <v>3</v>
      </c>
      <c r="AK925">
        <v>14</v>
      </c>
      <c r="AL925">
        <v>12</v>
      </c>
      <c r="AM925">
        <v>1</v>
      </c>
      <c r="AN925">
        <v>0</v>
      </c>
      <c r="AO925">
        <v>30</v>
      </c>
      <c r="AP925">
        <v>29</v>
      </c>
      <c r="AQ925">
        <v>4</v>
      </c>
      <c r="AR925">
        <v>1</v>
      </c>
      <c r="AS925">
        <v>3</v>
      </c>
      <c r="AT925">
        <v>1</v>
      </c>
    </row>
    <row r="926" spans="1:46">
      <c r="A926">
        <v>20120</v>
      </c>
      <c r="B926" t="s">
        <v>6121</v>
      </c>
      <c r="C926" t="s">
        <v>6122</v>
      </c>
      <c r="E926" t="s">
        <v>6123</v>
      </c>
      <c r="F926" t="s">
        <v>756</v>
      </c>
      <c r="G926" t="s">
        <v>652</v>
      </c>
      <c r="H926" t="s">
        <v>3942</v>
      </c>
      <c r="J926" t="s">
        <v>518</v>
      </c>
      <c r="K926" t="s">
        <v>519</v>
      </c>
      <c r="M926" t="s">
        <v>520</v>
      </c>
      <c r="N926" t="s">
        <v>571</v>
      </c>
      <c r="O926" t="s">
        <v>738</v>
      </c>
      <c r="P926" t="s">
        <v>654</v>
      </c>
      <c r="Q926" t="s">
        <v>638</v>
      </c>
      <c r="R926" t="s">
        <v>639</v>
      </c>
      <c r="S926" t="s">
        <v>756</v>
      </c>
      <c r="T926" t="s">
        <v>527</v>
      </c>
      <c r="U926">
        <v>127100</v>
      </c>
      <c r="V926" t="s">
        <v>1044</v>
      </c>
      <c r="W926" t="s">
        <v>741</v>
      </c>
      <c r="X926" t="s">
        <v>5807</v>
      </c>
      <c r="Y926" t="s">
        <v>6124</v>
      </c>
      <c r="Z926" t="s">
        <v>660</v>
      </c>
      <c r="AA926" t="s">
        <v>6125</v>
      </c>
      <c r="AB926" t="s">
        <v>5809</v>
      </c>
      <c r="AE926">
        <v>-36.795144989999997</v>
      </c>
      <c r="AF926">
        <v>174.74577432000001</v>
      </c>
      <c r="AG926">
        <v>30</v>
      </c>
      <c r="AH926">
        <v>0</v>
      </c>
      <c r="AI926">
        <v>0</v>
      </c>
      <c r="AJ926">
        <v>0</v>
      </c>
      <c r="AK926">
        <v>9</v>
      </c>
      <c r="AL926">
        <v>9</v>
      </c>
      <c r="AM926">
        <v>8</v>
      </c>
      <c r="AN926">
        <v>0</v>
      </c>
      <c r="AO926">
        <v>26</v>
      </c>
      <c r="AP926">
        <v>5</v>
      </c>
      <c r="AQ926">
        <v>5</v>
      </c>
      <c r="AR926">
        <v>8</v>
      </c>
      <c r="AS926">
        <v>9</v>
      </c>
      <c r="AT926">
        <v>5</v>
      </c>
    </row>
    <row r="927" spans="1:46">
      <c r="A927">
        <v>20121</v>
      </c>
      <c r="B927" t="s">
        <v>6126</v>
      </c>
      <c r="C927" t="s">
        <v>6127</v>
      </c>
      <c r="D927" t="s">
        <v>6128</v>
      </c>
      <c r="E927" t="s">
        <v>6129</v>
      </c>
      <c r="F927" t="s">
        <v>1001</v>
      </c>
      <c r="G927" t="s">
        <v>652</v>
      </c>
      <c r="H927" t="s">
        <v>3942</v>
      </c>
      <c r="J927" t="s">
        <v>3962</v>
      </c>
      <c r="K927" t="s">
        <v>519</v>
      </c>
      <c r="M927" t="s">
        <v>520</v>
      </c>
      <c r="N927" t="s">
        <v>571</v>
      </c>
      <c r="O927" t="s">
        <v>748</v>
      </c>
      <c r="P927" t="s">
        <v>654</v>
      </c>
      <c r="Q927" t="s">
        <v>638</v>
      </c>
      <c r="R927" t="s">
        <v>639</v>
      </c>
      <c r="S927" t="s">
        <v>682</v>
      </c>
      <c r="T927" t="s">
        <v>527</v>
      </c>
      <c r="U927">
        <v>126601</v>
      </c>
      <c r="V927" t="s">
        <v>6130</v>
      </c>
      <c r="W927" t="s">
        <v>741</v>
      </c>
      <c r="X927" t="s">
        <v>6131</v>
      </c>
      <c r="Y927" t="s">
        <v>6132</v>
      </c>
      <c r="Z927" t="s">
        <v>1177</v>
      </c>
      <c r="AA927" t="s">
        <v>4289</v>
      </c>
      <c r="AB927" t="s">
        <v>6133</v>
      </c>
      <c r="AE927">
        <v>-36.78074977</v>
      </c>
      <c r="AF927">
        <v>174.75533569999999</v>
      </c>
      <c r="AG927">
        <v>60</v>
      </c>
      <c r="AH927">
        <v>24</v>
      </c>
      <c r="AI927">
        <v>3</v>
      </c>
      <c r="AJ927">
        <v>14</v>
      </c>
      <c r="AK927">
        <v>15</v>
      </c>
      <c r="AL927">
        <v>15</v>
      </c>
      <c r="AM927">
        <v>9</v>
      </c>
      <c r="AN927">
        <v>1</v>
      </c>
      <c r="AO927">
        <v>57</v>
      </c>
      <c r="AP927">
        <v>40</v>
      </c>
      <c r="AQ927">
        <v>5</v>
      </c>
      <c r="AR927">
        <v>2</v>
      </c>
      <c r="AS927">
        <v>19</v>
      </c>
      <c r="AT927">
        <v>6</v>
      </c>
    </row>
    <row r="928" spans="1:46">
      <c r="A928">
        <v>20122</v>
      </c>
      <c r="B928" t="s">
        <v>6134</v>
      </c>
      <c r="C928" t="s">
        <v>6135</v>
      </c>
      <c r="E928" t="s">
        <v>6136</v>
      </c>
      <c r="F928" t="s">
        <v>5766</v>
      </c>
      <c r="G928" t="s">
        <v>652</v>
      </c>
      <c r="H928" t="s">
        <v>3942</v>
      </c>
      <c r="J928" t="s">
        <v>3962</v>
      </c>
      <c r="K928" t="s">
        <v>519</v>
      </c>
      <c r="M928" t="s">
        <v>520</v>
      </c>
      <c r="N928" t="s">
        <v>571</v>
      </c>
      <c r="O928" t="s">
        <v>738</v>
      </c>
      <c r="P928" t="s">
        <v>654</v>
      </c>
      <c r="Q928" t="s">
        <v>638</v>
      </c>
      <c r="R928" t="s">
        <v>639</v>
      </c>
      <c r="S928" t="s">
        <v>756</v>
      </c>
      <c r="T928" t="s">
        <v>527</v>
      </c>
      <c r="U928">
        <v>122801</v>
      </c>
      <c r="V928" t="s">
        <v>6137</v>
      </c>
      <c r="W928" t="s">
        <v>741</v>
      </c>
      <c r="X928" t="s">
        <v>6138</v>
      </c>
      <c r="Y928" t="s">
        <v>6139</v>
      </c>
      <c r="Z928" t="s">
        <v>822</v>
      </c>
      <c r="AA928" t="s">
        <v>4382</v>
      </c>
      <c r="AB928" t="s">
        <v>6140</v>
      </c>
      <c r="AC928">
        <v>99214</v>
      </c>
      <c r="AD928" t="s">
        <v>758</v>
      </c>
      <c r="AE928">
        <v>-36.790619</v>
      </c>
      <c r="AF928">
        <v>174.70037002999999</v>
      </c>
      <c r="AG928">
        <v>45</v>
      </c>
      <c r="AH928">
        <v>10</v>
      </c>
      <c r="AI928">
        <v>1</v>
      </c>
      <c r="AJ928">
        <v>7</v>
      </c>
      <c r="AK928">
        <v>12</v>
      </c>
      <c r="AL928">
        <v>14</v>
      </c>
      <c r="AM928">
        <v>11</v>
      </c>
      <c r="AN928">
        <v>1</v>
      </c>
      <c r="AO928">
        <v>46</v>
      </c>
      <c r="AP928">
        <v>45</v>
      </c>
      <c r="AQ928">
        <v>3</v>
      </c>
      <c r="AR928">
        <v>8</v>
      </c>
      <c r="AS928">
        <v>3</v>
      </c>
      <c r="AT928">
        <v>1</v>
      </c>
    </row>
    <row r="929" spans="1:46">
      <c r="A929">
        <v>20125</v>
      </c>
      <c r="B929" t="s">
        <v>6141</v>
      </c>
      <c r="C929" t="s">
        <v>6142</v>
      </c>
      <c r="D929" t="s">
        <v>6143</v>
      </c>
      <c r="E929" t="s">
        <v>6144</v>
      </c>
      <c r="F929" t="s">
        <v>6145</v>
      </c>
      <c r="G929" t="s">
        <v>652</v>
      </c>
      <c r="H929" t="s">
        <v>3942</v>
      </c>
      <c r="J929" t="s">
        <v>518</v>
      </c>
      <c r="K929" t="s">
        <v>519</v>
      </c>
      <c r="M929" t="s">
        <v>520</v>
      </c>
      <c r="N929" t="s">
        <v>571</v>
      </c>
      <c r="O929" t="s">
        <v>829</v>
      </c>
      <c r="P929" t="s">
        <v>654</v>
      </c>
      <c r="Q929" t="s">
        <v>638</v>
      </c>
      <c r="R929" t="s">
        <v>708</v>
      </c>
      <c r="S929" t="s">
        <v>805</v>
      </c>
      <c r="T929" t="s">
        <v>709</v>
      </c>
      <c r="U929">
        <v>143800</v>
      </c>
      <c r="V929" t="s">
        <v>6146</v>
      </c>
      <c r="W929" t="s">
        <v>807</v>
      </c>
      <c r="X929" t="s">
        <v>6147</v>
      </c>
      <c r="Y929" t="s">
        <v>6148</v>
      </c>
      <c r="Z929" t="s">
        <v>4765</v>
      </c>
      <c r="AA929" t="s">
        <v>6149</v>
      </c>
      <c r="AB929" t="s">
        <v>6150</v>
      </c>
      <c r="AE929">
        <v>-36.89820623</v>
      </c>
      <c r="AF929">
        <v>174.79817523</v>
      </c>
      <c r="AG929">
        <v>40</v>
      </c>
      <c r="AH929">
        <v>0</v>
      </c>
      <c r="AI929">
        <v>0</v>
      </c>
      <c r="AJ929">
        <v>0</v>
      </c>
      <c r="AK929">
        <v>9</v>
      </c>
      <c r="AL929">
        <v>16</v>
      </c>
      <c r="AM929">
        <v>22</v>
      </c>
      <c r="AN929">
        <v>1</v>
      </c>
      <c r="AO929">
        <v>48</v>
      </c>
      <c r="AP929">
        <v>38</v>
      </c>
      <c r="AQ929">
        <v>4</v>
      </c>
      <c r="AR929">
        <v>0</v>
      </c>
      <c r="AS929">
        <v>16</v>
      </c>
      <c r="AT929">
        <v>1</v>
      </c>
    </row>
    <row r="930" spans="1:46">
      <c r="A930">
        <v>20131</v>
      </c>
      <c r="B930" t="s">
        <v>6151</v>
      </c>
      <c r="C930" t="s">
        <v>6152</v>
      </c>
      <c r="D930" t="s">
        <v>6153</v>
      </c>
      <c r="E930" t="s">
        <v>6154</v>
      </c>
      <c r="F930" t="s">
        <v>1157</v>
      </c>
      <c r="G930" t="s">
        <v>652</v>
      </c>
      <c r="H930" t="s">
        <v>3942</v>
      </c>
      <c r="J930" t="s">
        <v>518</v>
      </c>
      <c r="K930" t="s">
        <v>519</v>
      </c>
      <c r="M930" t="s">
        <v>520</v>
      </c>
      <c r="N930" t="s">
        <v>571</v>
      </c>
      <c r="O930" t="s">
        <v>857</v>
      </c>
      <c r="P930" t="s">
        <v>654</v>
      </c>
      <c r="Q930" t="s">
        <v>638</v>
      </c>
      <c r="R930" t="s">
        <v>708</v>
      </c>
      <c r="S930" t="s">
        <v>858</v>
      </c>
      <c r="T930" t="s">
        <v>709</v>
      </c>
      <c r="U930">
        <v>136200</v>
      </c>
      <c r="V930" t="s">
        <v>6155</v>
      </c>
      <c r="W930" t="s">
        <v>860</v>
      </c>
      <c r="X930" t="s">
        <v>3943</v>
      </c>
      <c r="Y930" t="s">
        <v>3944</v>
      </c>
      <c r="Z930" t="s">
        <v>3945</v>
      </c>
      <c r="AA930" t="s">
        <v>3946</v>
      </c>
      <c r="AB930" t="s">
        <v>3947</v>
      </c>
      <c r="AE930">
        <v>-36.873850140000002</v>
      </c>
      <c r="AF930">
        <v>174.74656995999999</v>
      </c>
      <c r="AG930">
        <v>56</v>
      </c>
      <c r="AH930">
        <v>18</v>
      </c>
      <c r="AI930">
        <v>3</v>
      </c>
      <c r="AJ930">
        <v>15</v>
      </c>
      <c r="AK930">
        <v>18</v>
      </c>
      <c r="AL930">
        <v>13</v>
      </c>
      <c r="AM930">
        <v>13</v>
      </c>
      <c r="AN930">
        <v>0</v>
      </c>
      <c r="AO930">
        <v>62</v>
      </c>
      <c r="AP930">
        <v>49</v>
      </c>
      <c r="AQ930">
        <v>2</v>
      </c>
      <c r="AR930">
        <v>3</v>
      </c>
      <c r="AS930">
        <v>13</v>
      </c>
      <c r="AT930">
        <v>14</v>
      </c>
    </row>
    <row r="931" spans="1:46">
      <c r="A931">
        <v>20134</v>
      </c>
      <c r="B931" t="s">
        <v>6156</v>
      </c>
      <c r="C931" t="s">
        <v>6157</v>
      </c>
      <c r="E931" t="s">
        <v>6158</v>
      </c>
      <c r="F931" t="s">
        <v>5176</v>
      </c>
      <c r="G931" t="s">
        <v>652</v>
      </c>
      <c r="H931" t="s">
        <v>3942</v>
      </c>
      <c r="J931" t="s">
        <v>518</v>
      </c>
      <c r="K931" t="s">
        <v>519</v>
      </c>
      <c r="M931" t="s">
        <v>520</v>
      </c>
      <c r="N931" t="s">
        <v>571</v>
      </c>
      <c r="O931" t="s">
        <v>804</v>
      </c>
      <c r="P931" t="s">
        <v>654</v>
      </c>
      <c r="Q931" t="s">
        <v>638</v>
      </c>
      <c r="R931" t="s">
        <v>708</v>
      </c>
      <c r="S931" t="s">
        <v>880</v>
      </c>
      <c r="T931" t="s">
        <v>709</v>
      </c>
      <c r="U931">
        <v>141802</v>
      </c>
      <c r="V931" t="s">
        <v>5177</v>
      </c>
      <c r="W931" t="s">
        <v>824</v>
      </c>
      <c r="X931" t="s">
        <v>6159</v>
      </c>
      <c r="Y931" t="s">
        <v>6160</v>
      </c>
      <c r="Z931" t="s">
        <v>6161</v>
      </c>
      <c r="AA931" t="s">
        <v>6162</v>
      </c>
      <c r="AB931" t="s">
        <v>6163</v>
      </c>
      <c r="AE931">
        <v>-36.862974440000002</v>
      </c>
      <c r="AF931">
        <v>174.83858685000001</v>
      </c>
      <c r="AG931">
        <v>38</v>
      </c>
      <c r="AH931">
        <v>8</v>
      </c>
      <c r="AI931">
        <v>0</v>
      </c>
      <c r="AJ931">
        <v>5</v>
      </c>
      <c r="AK931">
        <v>6</v>
      </c>
      <c r="AL931">
        <v>12</v>
      </c>
      <c r="AM931">
        <v>20</v>
      </c>
      <c r="AN931">
        <v>1</v>
      </c>
      <c r="AO931">
        <v>44</v>
      </c>
      <c r="AP931">
        <v>41</v>
      </c>
      <c r="AQ931">
        <v>5</v>
      </c>
      <c r="AR931">
        <v>1</v>
      </c>
      <c r="AS931">
        <v>6</v>
      </c>
      <c r="AT931">
        <v>3</v>
      </c>
    </row>
    <row r="932" spans="1:46">
      <c r="A932">
        <v>20135</v>
      </c>
      <c r="B932" t="s">
        <v>6164</v>
      </c>
      <c r="C932" t="s">
        <v>6165</v>
      </c>
      <c r="D932" t="s">
        <v>6166</v>
      </c>
      <c r="E932" t="s">
        <v>6167</v>
      </c>
      <c r="F932" t="s">
        <v>821</v>
      </c>
      <c r="G932" t="s">
        <v>652</v>
      </c>
      <c r="H932" t="s">
        <v>3942</v>
      </c>
      <c r="J932" t="s">
        <v>3962</v>
      </c>
      <c r="K932" t="s">
        <v>519</v>
      </c>
      <c r="M932" t="s">
        <v>520</v>
      </c>
      <c r="N932" t="s">
        <v>571</v>
      </c>
      <c r="O932" t="s">
        <v>804</v>
      </c>
      <c r="P932" t="s">
        <v>654</v>
      </c>
      <c r="Q932" t="s">
        <v>638</v>
      </c>
      <c r="R932" t="s">
        <v>708</v>
      </c>
      <c r="S932" t="s">
        <v>822</v>
      </c>
      <c r="T932" t="s">
        <v>709</v>
      </c>
      <c r="U932">
        <v>139400</v>
      </c>
      <c r="V932" t="s">
        <v>4397</v>
      </c>
      <c r="W932" t="s">
        <v>824</v>
      </c>
      <c r="X932" t="s">
        <v>6168</v>
      </c>
      <c r="Y932" t="s">
        <v>6169</v>
      </c>
      <c r="Z932" t="s">
        <v>821</v>
      </c>
      <c r="AA932" t="s">
        <v>4069</v>
      </c>
      <c r="AB932" t="s">
        <v>6170</v>
      </c>
      <c r="AE932">
        <v>-36.865576070000003</v>
      </c>
      <c r="AF932">
        <v>174.78927325000001</v>
      </c>
      <c r="AG932">
        <v>40</v>
      </c>
      <c r="AH932">
        <v>0</v>
      </c>
      <c r="AI932">
        <v>0</v>
      </c>
      <c r="AJ932">
        <v>0</v>
      </c>
      <c r="AK932">
        <v>11</v>
      </c>
      <c r="AL932">
        <v>18</v>
      </c>
      <c r="AM932">
        <v>12</v>
      </c>
      <c r="AN932">
        <v>0</v>
      </c>
      <c r="AO932">
        <v>41</v>
      </c>
      <c r="AP932">
        <v>22</v>
      </c>
      <c r="AQ932">
        <v>3</v>
      </c>
      <c r="AR932">
        <v>1</v>
      </c>
      <c r="AS932">
        <v>21</v>
      </c>
      <c r="AT932">
        <v>1</v>
      </c>
    </row>
    <row r="933" spans="1:46">
      <c r="A933">
        <v>20140</v>
      </c>
      <c r="B933" t="s">
        <v>6171</v>
      </c>
      <c r="C933" t="s">
        <v>6172</v>
      </c>
      <c r="D933" t="s">
        <v>6173</v>
      </c>
      <c r="E933" t="s">
        <v>6174</v>
      </c>
      <c r="F933" t="s">
        <v>770</v>
      </c>
      <c r="G933" t="s">
        <v>652</v>
      </c>
      <c r="H933" t="s">
        <v>3942</v>
      </c>
      <c r="J933" t="s">
        <v>3962</v>
      </c>
      <c r="K933" t="s">
        <v>519</v>
      </c>
      <c r="M933" t="s">
        <v>520</v>
      </c>
      <c r="N933" t="s">
        <v>571</v>
      </c>
      <c r="O933" t="s">
        <v>718</v>
      </c>
      <c r="P933" t="s">
        <v>654</v>
      </c>
      <c r="Q933" t="s">
        <v>638</v>
      </c>
      <c r="R933" t="s">
        <v>639</v>
      </c>
      <c r="S933" t="s">
        <v>770</v>
      </c>
      <c r="T933" t="s">
        <v>709</v>
      </c>
      <c r="U933">
        <v>134900</v>
      </c>
      <c r="V933" t="s">
        <v>6175</v>
      </c>
      <c r="W933" t="s">
        <v>721</v>
      </c>
      <c r="X933" t="s">
        <v>6176</v>
      </c>
      <c r="Y933" t="s">
        <v>6177</v>
      </c>
      <c r="Z933" t="s">
        <v>4747</v>
      </c>
      <c r="AA933" t="s">
        <v>4320</v>
      </c>
      <c r="AB933" t="s">
        <v>6178</v>
      </c>
      <c r="AC933">
        <v>99062</v>
      </c>
      <c r="AD933" t="s">
        <v>893</v>
      </c>
      <c r="AE933">
        <v>-36.915822060000004</v>
      </c>
      <c r="AF933">
        <v>174.67562523000001</v>
      </c>
      <c r="AG933">
        <v>25</v>
      </c>
      <c r="AH933">
        <v>0</v>
      </c>
      <c r="AI933">
        <v>0</v>
      </c>
      <c r="AJ933">
        <v>0</v>
      </c>
      <c r="AK933">
        <v>9</v>
      </c>
      <c r="AL933">
        <v>13</v>
      </c>
      <c r="AM933">
        <v>11</v>
      </c>
      <c r="AN933">
        <v>0</v>
      </c>
      <c r="AO933">
        <v>33</v>
      </c>
      <c r="AP933">
        <v>25</v>
      </c>
      <c r="AQ933">
        <v>2</v>
      </c>
      <c r="AR933">
        <v>8</v>
      </c>
      <c r="AS933">
        <v>5</v>
      </c>
      <c r="AT933">
        <v>1</v>
      </c>
    </row>
    <row r="934" spans="1:46">
      <c r="A934">
        <v>20141</v>
      </c>
      <c r="B934" t="s">
        <v>6179</v>
      </c>
      <c r="C934" t="s">
        <v>6180</v>
      </c>
      <c r="D934" t="s">
        <v>6181</v>
      </c>
      <c r="E934" t="s">
        <v>6182</v>
      </c>
      <c r="G934" t="s">
        <v>667</v>
      </c>
      <c r="H934" t="s">
        <v>3942</v>
      </c>
      <c r="I934" t="s">
        <v>6183</v>
      </c>
      <c r="J934" t="s">
        <v>518</v>
      </c>
      <c r="K934" t="s">
        <v>519</v>
      </c>
      <c r="M934" t="s">
        <v>520</v>
      </c>
      <c r="N934" t="s">
        <v>571</v>
      </c>
      <c r="O934" t="s">
        <v>653</v>
      </c>
      <c r="P934" t="s">
        <v>584</v>
      </c>
      <c r="Q934" t="s">
        <v>638</v>
      </c>
      <c r="R934" t="s">
        <v>639</v>
      </c>
      <c r="S934" t="s">
        <v>668</v>
      </c>
      <c r="T934" t="s">
        <v>527</v>
      </c>
      <c r="U934">
        <v>114000</v>
      </c>
      <c r="V934" t="s">
        <v>4133</v>
      </c>
      <c r="W934" t="s">
        <v>657</v>
      </c>
      <c r="X934" t="s">
        <v>6184</v>
      </c>
      <c r="Y934" t="s">
        <v>6185</v>
      </c>
      <c r="AA934" t="s">
        <v>4513</v>
      </c>
      <c r="AC934">
        <v>99210</v>
      </c>
      <c r="AD934" t="s">
        <v>3957</v>
      </c>
      <c r="AE934">
        <v>-36.607269780000003</v>
      </c>
      <c r="AF934">
        <v>174.69842130000001</v>
      </c>
      <c r="AG934">
        <v>30</v>
      </c>
      <c r="AH934">
        <v>0</v>
      </c>
      <c r="AI934">
        <v>0</v>
      </c>
      <c r="AJ934">
        <v>0</v>
      </c>
      <c r="AK934">
        <v>7</v>
      </c>
      <c r="AL934">
        <v>4</v>
      </c>
      <c r="AM934">
        <v>14</v>
      </c>
      <c r="AN934">
        <v>1</v>
      </c>
      <c r="AO934">
        <v>26</v>
      </c>
      <c r="AP934">
        <v>23</v>
      </c>
      <c r="AQ934">
        <v>2</v>
      </c>
      <c r="AR934">
        <v>0</v>
      </c>
      <c r="AS934">
        <v>4</v>
      </c>
      <c r="AT934">
        <v>1</v>
      </c>
    </row>
    <row r="935" spans="1:46">
      <c r="A935">
        <v>20142</v>
      </c>
      <c r="B935" t="s">
        <v>6186</v>
      </c>
      <c r="C935" t="s">
        <v>6187</v>
      </c>
      <c r="E935" t="s">
        <v>6188</v>
      </c>
      <c r="F935" t="s">
        <v>812</v>
      </c>
      <c r="G935" t="s">
        <v>652</v>
      </c>
      <c r="H935" t="s">
        <v>3942</v>
      </c>
      <c r="J935" t="s">
        <v>518</v>
      </c>
      <c r="K935" t="s">
        <v>519</v>
      </c>
      <c r="M935" t="s">
        <v>520</v>
      </c>
      <c r="N935" t="s">
        <v>557</v>
      </c>
      <c r="O935" t="s">
        <v>813</v>
      </c>
      <c r="P935" t="s">
        <v>654</v>
      </c>
      <c r="Q935" t="s">
        <v>638</v>
      </c>
      <c r="R935" t="s">
        <v>639</v>
      </c>
      <c r="S935" t="s">
        <v>739</v>
      </c>
      <c r="T935" t="s">
        <v>527</v>
      </c>
      <c r="U935">
        <v>121701</v>
      </c>
      <c r="V935" t="s">
        <v>842</v>
      </c>
      <c r="W935" t="s">
        <v>815</v>
      </c>
      <c r="X935" t="s">
        <v>6189</v>
      </c>
      <c r="Y935" t="s">
        <v>6190</v>
      </c>
      <c r="Z935" t="s">
        <v>4929</v>
      </c>
      <c r="AA935" t="s">
        <v>6191</v>
      </c>
      <c r="AB935" t="s">
        <v>6192</v>
      </c>
      <c r="AC935">
        <v>99125</v>
      </c>
      <c r="AD935" t="s">
        <v>816</v>
      </c>
      <c r="AE935">
        <v>-36.837092589999997</v>
      </c>
      <c r="AF935">
        <v>174.60084327000001</v>
      </c>
      <c r="AG935">
        <v>35</v>
      </c>
      <c r="AH935">
        <v>0</v>
      </c>
      <c r="AI935">
        <v>0</v>
      </c>
      <c r="AJ935">
        <v>0</v>
      </c>
      <c r="AK935">
        <v>5</v>
      </c>
      <c r="AL935">
        <v>10</v>
      </c>
      <c r="AM935">
        <v>14</v>
      </c>
      <c r="AN935">
        <v>0</v>
      </c>
      <c r="AO935">
        <v>29</v>
      </c>
      <c r="AP935">
        <v>5</v>
      </c>
      <c r="AQ935">
        <v>12</v>
      </c>
      <c r="AR935">
        <v>9</v>
      </c>
      <c r="AS935">
        <v>5</v>
      </c>
      <c r="AT935">
        <v>4</v>
      </c>
    </row>
    <row r="936" spans="1:46">
      <c r="A936">
        <v>20143</v>
      </c>
      <c r="B936" t="s">
        <v>6193</v>
      </c>
      <c r="C936" t="s">
        <v>6194</v>
      </c>
      <c r="E936" t="s">
        <v>6195</v>
      </c>
      <c r="F936" t="s">
        <v>821</v>
      </c>
      <c r="G936" t="s">
        <v>652</v>
      </c>
      <c r="H936" t="s">
        <v>3942</v>
      </c>
      <c r="I936" t="s">
        <v>5772</v>
      </c>
      <c r="J936" t="s">
        <v>518</v>
      </c>
      <c r="K936" t="s">
        <v>519</v>
      </c>
      <c r="M936" t="s">
        <v>520</v>
      </c>
      <c r="N936" t="s">
        <v>571</v>
      </c>
      <c r="O936" t="s">
        <v>804</v>
      </c>
      <c r="P936" t="s">
        <v>654</v>
      </c>
      <c r="Q936" t="s">
        <v>638</v>
      </c>
      <c r="R936" t="s">
        <v>708</v>
      </c>
      <c r="S936" t="s">
        <v>880</v>
      </c>
      <c r="T936" t="s">
        <v>709</v>
      </c>
      <c r="U936">
        <v>143100</v>
      </c>
      <c r="V936" t="s">
        <v>6196</v>
      </c>
      <c r="W936" t="s">
        <v>824</v>
      </c>
      <c r="X936" t="s">
        <v>6197</v>
      </c>
      <c r="Y936" t="s">
        <v>6195</v>
      </c>
      <c r="Z936" t="s">
        <v>821</v>
      </c>
      <c r="AA936" t="s">
        <v>4069</v>
      </c>
      <c r="AE936">
        <v>-36.88036623</v>
      </c>
      <c r="AF936">
        <v>174.81593097999999</v>
      </c>
      <c r="AG936">
        <v>55</v>
      </c>
      <c r="AH936">
        <v>0</v>
      </c>
      <c r="AI936">
        <v>0</v>
      </c>
      <c r="AJ936">
        <v>0</v>
      </c>
      <c r="AK936">
        <v>11</v>
      </c>
      <c r="AL936">
        <v>26</v>
      </c>
      <c r="AM936">
        <v>15</v>
      </c>
      <c r="AN936">
        <v>1</v>
      </c>
      <c r="AO936">
        <v>53</v>
      </c>
      <c r="AP936">
        <v>42</v>
      </c>
      <c r="AQ936">
        <v>2</v>
      </c>
      <c r="AR936">
        <v>2</v>
      </c>
      <c r="AS936">
        <v>18</v>
      </c>
      <c r="AT936">
        <v>0</v>
      </c>
    </row>
    <row r="937" spans="1:46">
      <c r="A937">
        <v>20144</v>
      </c>
      <c r="B937" t="s">
        <v>6198</v>
      </c>
      <c r="C937" t="s">
        <v>6199</v>
      </c>
      <c r="E937" t="s">
        <v>6200</v>
      </c>
      <c r="F937" t="s">
        <v>821</v>
      </c>
      <c r="G937" t="s">
        <v>652</v>
      </c>
      <c r="H937" t="s">
        <v>3942</v>
      </c>
      <c r="I937" t="s">
        <v>4065</v>
      </c>
      <c r="J937" t="s">
        <v>3962</v>
      </c>
      <c r="K937" t="s">
        <v>519</v>
      </c>
      <c r="M937" t="s">
        <v>520</v>
      </c>
      <c r="N937" t="s">
        <v>571</v>
      </c>
      <c r="O937" t="s">
        <v>804</v>
      </c>
      <c r="P937" t="s">
        <v>654</v>
      </c>
      <c r="Q937" t="s">
        <v>638</v>
      </c>
      <c r="R937" t="s">
        <v>708</v>
      </c>
      <c r="S937" t="s">
        <v>822</v>
      </c>
      <c r="T937" t="s">
        <v>709</v>
      </c>
      <c r="U937">
        <v>141000</v>
      </c>
      <c r="V937" t="s">
        <v>823</v>
      </c>
      <c r="W937" t="s">
        <v>824</v>
      </c>
      <c r="X937" t="s">
        <v>6201</v>
      </c>
      <c r="Y937" t="s">
        <v>6202</v>
      </c>
      <c r="Z937" t="s">
        <v>6203</v>
      </c>
      <c r="AA937" t="s">
        <v>4356</v>
      </c>
      <c r="AB937" t="s">
        <v>6204</v>
      </c>
      <c r="AE937">
        <v>-36.881061180000003</v>
      </c>
      <c r="AF937">
        <v>174.79486295999999</v>
      </c>
      <c r="AG937">
        <v>45</v>
      </c>
      <c r="AH937">
        <v>0</v>
      </c>
      <c r="AI937">
        <v>0</v>
      </c>
      <c r="AJ937">
        <v>0</v>
      </c>
      <c r="AK937">
        <v>4</v>
      </c>
      <c r="AL937">
        <v>18</v>
      </c>
      <c r="AM937">
        <v>21</v>
      </c>
      <c r="AN937">
        <v>4</v>
      </c>
      <c r="AO937">
        <v>47</v>
      </c>
      <c r="AP937">
        <v>20</v>
      </c>
      <c r="AQ937">
        <v>0</v>
      </c>
      <c r="AR937">
        <v>0</v>
      </c>
      <c r="AS937">
        <v>29</v>
      </c>
      <c r="AT937">
        <v>5</v>
      </c>
    </row>
    <row r="938" spans="1:46">
      <c r="A938">
        <v>20145</v>
      </c>
      <c r="B938" t="s">
        <v>6205</v>
      </c>
      <c r="C938" t="s">
        <v>6206</v>
      </c>
      <c r="D938" t="s">
        <v>6207</v>
      </c>
      <c r="E938" t="s">
        <v>6208</v>
      </c>
      <c r="G938" t="s">
        <v>4188</v>
      </c>
      <c r="H938" t="s">
        <v>3942</v>
      </c>
      <c r="J938" t="s">
        <v>3962</v>
      </c>
      <c r="K938" t="s">
        <v>519</v>
      </c>
      <c r="M938" t="s">
        <v>520</v>
      </c>
      <c r="N938" t="s">
        <v>571</v>
      </c>
      <c r="O938" t="s">
        <v>637</v>
      </c>
      <c r="P938" t="s">
        <v>572</v>
      </c>
      <c r="Q938" t="s">
        <v>638</v>
      </c>
      <c r="R938" t="s">
        <v>639</v>
      </c>
      <c r="S938" t="s">
        <v>640</v>
      </c>
      <c r="T938" t="s">
        <v>527</v>
      </c>
      <c r="U938">
        <v>112600</v>
      </c>
      <c r="V938" t="s">
        <v>6209</v>
      </c>
      <c r="W938" t="s">
        <v>641</v>
      </c>
      <c r="X938" t="s">
        <v>6210</v>
      </c>
      <c r="Y938" t="s">
        <v>6211</v>
      </c>
      <c r="AA938" t="s">
        <v>6212</v>
      </c>
      <c r="AB938" t="s">
        <v>6206</v>
      </c>
      <c r="AC938">
        <v>99097</v>
      </c>
      <c r="AD938" t="s">
        <v>6213</v>
      </c>
      <c r="AE938">
        <v>-36.71568139</v>
      </c>
      <c r="AF938">
        <v>174.50598726999999</v>
      </c>
      <c r="AG938">
        <v>70</v>
      </c>
      <c r="AH938">
        <v>22</v>
      </c>
      <c r="AI938">
        <v>1</v>
      </c>
      <c r="AJ938">
        <v>11</v>
      </c>
      <c r="AK938">
        <v>31</v>
      </c>
      <c r="AL938">
        <v>18</v>
      </c>
      <c r="AM938">
        <v>20</v>
      </c>
      <c r="AN938">
        <v>0</v>
      </c>
      <c r="AO938">
        <v>81</v>
      </c>
      <c r="AP938">
        <v>80</v>
      </c>
      <c r="AQ938">
        <v>17</v>
      </c>
      <c r="AR938">
        <v>3</v>
      </c>
      <c r="AS938">
        <v>4</v>
      </c>
      <c r="AT938">
        <v>4</v>
      </c>
    </row>
    <row r="939" spans="1:46">
      <c r="A939">
        <v>20146</v>
      </c>
      <c r="B939" t="s">
        <v>6214</v>
      </c>
      <c r="C939" t="s">
        <v>6215</v>
      </c>
      <c r="D939" t="s">
        <v>6216</v>
      </c>
      <c r="E939" t="s">
        <v>6217</v>
      </c>
      <c r="F939" t="s">
        <v>1102</v>
      </c>
      <c r="G939" t="s">
        <v>652</v>
      </c>
      <c r="H939" t="s">
        <v>6218</v>
      </c>
      <c r="I939" t="s">
        <v>6218</v>
      </c>
      <c r="J939" t="s">
        <v>518</v>
      </c>
      <c r="K939" t="s">
        <v>519</v>
      </c>
      <c r="M939" t="s">
        <v>520</v>
      </c>
      <c r="N939" t="s">
        <v>571</v>
      </c>
      <c r="O939" t="s">
        <v>957</v>
      </c>
      <c r="P939" t="s">
        <v>654</v>
      </c>
      <c r="Q939" t="s">
        <v>638</v>
      </c>
      <c r="R939" t="s">
        <v>708</v>
      </c>
      <c r="S939" t="s">
        <v>958</v>
      </c>
      <c r="T939" t="s">
        <v>709</v>
      </c>
      <c r="U939">
        <v>131200</v>
      </c>
      <c r="V939" t="s">
        <v>1103</v>
      </c>
      <c r="W939" t="s">
        <v>959</v>
      </c>
      <c r="X939" t="s">
        <v>6219</v>
      </c>
      <c r="Y939" t="s">
        <v>6220</v>
      </c>
      <c r="Z939" t="s">
        <v>1146</v>
      </c>
      <c r="AA939" t="s">
        <v>4414</v>
      </c>
      <c r="AB939" t="s">
        <v>6215</v>
      </c>
      <c r="AE939">
        <v>-36.85619269</v>
      </c>
      <c r="AF939">
        <v>174.73975082999999</v>
      </c>
      <c r="AG939">
        <v>30</v>
      </c>
      <c r="AH939">
        <v>0</v>
      </c>
      <c r="AI939">
        <v>0</v>
      </c>
      <c r="AJ939">
        <v>0</v>
      </c>
      <c r="AK939">
        <v>10</v>
      </c>
      <c r="AL939">
        <v>2</v>
      </c>
      <c r="AM939">
        <v>16</v>
      </c>
      <c r="AN939">
        <v>1</v>
      </c>
      <c r="AO939">
        <v>29</v>
      </c>
      <c r="AP939">
        <v>0</v>
      </c>
      <c r="AQ939">
        <v>29</v>
      </c>
      <c r="AR939">
        <v>2</v>
      </c>
      <c r="AS939">
        <v>0</v>
      </c>
      <c r="AT939">
        <v>1</v>
      </c>
    </row>
    <row r="940" spans="1:46">
      <c r="A940">
        <v>20148</v>
      </c>
      <c r="B940" t="s">
        <v>6221</v>
      </c>
      <c r="C940" t="s">
        <v>6222</v>
      </c>
      <c r="D940" t="s">
        <v>6223</v>
      </c>
      <c r="E940" t="s">
        <v>6224</v>
      </c>
      <c r="F940" t="s">
        <v>1183</v>
      </c>
      <c r="G940" t="s">
        <v>652</v>
      </c>
      <c r="H940" t="s">
        <v>3942</v>
      </c>
      <c r="J940" t="s">
        <v>518</v>
      </c>
      <c r="K940" t="s">
        <v>519</v>
      </c>
      <c r="M940" t="s">
        <v>520</v>
      </c>
      <c r="N940" t="s">
        <v>571</v>
      </c>
      <c r="O940" t="s">
        <v>813</v>
      </c>
      <c r="P940" t="s">
        <v>654</v>
      </c>
      <c r="Q940" t="s">
        <v>638</v>
      </c>
      <c r="R940" t="s">
        <v>639</v>
      </c>
      <c r="S940" t="s">
        <v>899</v>
      </c>
      <c r="T940" t="s">
        <v>527</v>
      </c>
      <c r="U940">
        <v>124800</v>
      </c>
      <c r="V940" t="s">
        <v>6225</v>
      </c>
      <c r="W940" t="s">
        <v>815</v>
      </c>
      <c r="X940" t="s">
        <v>6226</v>
      </c>
      <c r="Y940" t="s">
        <v>6224</v>
      </c>
      <c r="Z940" t="s">
        <v>1183</v>
      </c>
      <c r="AA940" t="s">
        <v>4307</v>
      </c>
      <c r="AC940">
        <v>99013</v>
      </c>
      <c r="AD940" t="s">
        <v>1191</v>
      </c>
      <c r="AE940">
        <v>-36.850857050000002</v>
      </c>
      <c r="AF940">
        <v>174.64637411000001</v>
      </c>
      <c r="AG940">
        <v>40</v>
      </c>
      <c r="AH940">
        <v>10</v>
      </c>
      <c r="AI940">
        <v>1</v>
      </c>
      <c r="AJ940">
        <v>9</v>
      </c>
      <c r="AK940">
        <v>12</v>
      </c>
      <c r="AL940">
        <v>12</v>
      </c>
      <c r="AM940">
        <v>12</v>
      </c>
      <c r="AN940">
        <v>0</v>
      </c>
      <c r="AO940">
        <v>46</v>
      </c>
      <c r="AP940">
        <v>37</v>
      </c>
      <c r="AQ940">
        <v>13</v>
      </c>
      <c r="AR940">
        <v>10</v>
      </c>
      <c r="AS940">
        <v>9</v>
      </c>
      <c r="AT940">
        <v>6</v>
      </c>
    </row>
    <row r="941" spans="1:46">
      <c r="A941">
        <v>20152</v>
      </c>
      <c r="B941" t="s">
        <v>6227</v>
      </c>
      <c r="C941" t="s">
        <v>6228</v>
      </c>
      <c r="D941" t="s">
        <v>6229</v>
      </c>
      <c r="E941" t="s">
        <v>6230</v>
      </c>
      <c r="F941" t="s">
        <v>812</v>
      </c>
      <c r="G941" t="s">
        <v>652</v>
      </c>
      <c r="H941" t="s">
        <v>3942</v>
      </c>
      <c r="I941" t="s">
        <v>6231</v>
      </c>
      <c r="J941" t="s">
        <v>518</v>
      </c>
      <c r="K941" t="s">
        <v>519</v>
      </c>
      <c r="M941" t="s">
        <v>520</v>
      </c>
      <c r="N941" t="s">
        <v>571</v>
      </c>
      <c r="O941" t="s">
        <v>813</v>
      </c>
      <c r="P941" t="s">
        <v>654</v>
      </c>
      <c r="Q941" t="s">
        <v>638</v>
      </c>
      <c r="R941" t="s">
        <v>639</v>
      </c>
      <c r="S941" t="s">
        <v>739</v>
      </c>
      <c r="T941" t="s">
        <v>527</v>
      </c>
      <c r="U941">
        <v>121701</v>
      </c>
      <c r="V941" t="s">
        <v>842</v>
      </c>
      <c r="W941" t="s">
        <v>815</v>
      </c>
      <c r="X941" t="s">
        <v>6232</v>
      </c>
      <c r="Y941" t="s">
        <v>6233</v>
      </c>
      <c r="Z941" t="s">
        <v>812</v>
      </c>
      <c r="AA941" t="s">
        <v>3975</v>
      </c>
      <c r="AB941" t="s">
        <v>6234</v>
      </c>
      <c r="AC941">
        <v>99125</v>
      </c>
      <c r="AD941" t="s">
        <v>816</v>
      </c>
      <c r="AE941">
        <v>-36.845257410000002</v>
      </c>
      <c r="AF941">
        <v>174.61212355999999</v>
      </c>
      <c r="AG941">
        <v>50</v>
      </c>
      <c r="AH941">
        <v>0</v>
      </c>
      <c r="AI941">
        <v>0</v>
      </c>
      <c r="AJ941">
        <v>0</v>
      </c>
      <c r="AK941">
        <v>0</v>
      </c>
      <c r="AL941">
        <v>18</v>
      </c>
      <c r="AM941">
        <v>16</v>
      </c>
      <c r="AN941">
        <v>3</v>
      </c>
      <c r="AO941">
        <v>37</v>
      </c>
      <c r="AP941">
        <v>7</v>
      </c>
      <c r="AQ941">
        <v>6</v>
      </c>
      <c r="AR941">
        <v>11</v>
      </c>
      <c r="AS941">
        <v>16</v>
      </c>
      <c r="AT941">
        <v>3</v>
      </c>
    </row>
    <row r="942" spans="1:46">
      <c r="A942">
        <v>20153</v>
      </c>
      <c r="B942" t="s">
        <v>6235</v>
      </c>
      <c r="C942" t="s">
        <v>6236</v>
      </c>
      <c r="D942" t="s">
        <v>6237</v>
      </c>
      <c r="E942" t="s">
        <v>6238</v>
      </c>
      <c r="F942" t="s">
        <v>821</v>
      </c>
      <c r="G942" t="s">
        <v>652</v>
      </c>
      <c r="H942" t="s">
        <v>3942</v>
      </c>
      <c r="J942" t="s">
        <v>3962</v>
      </c>
      <c r="K942" t="s">
        <v>519</v>
      </c>
      <c r="M942" t="s">
        <v>520</v>
      </c>
      <c r="N942" t="s">
        <v>571</v>
      </c>
      <c r="O942" t="s">
        <v>804</v>
      </c>
      <c r="P942" t="s">
        <v>654</v>
      </c>
      <c r="Q942" t="s">
        <v>638</v>
      </c>
      <c r="R942" t="s">
        <v>708</v>
      </c>
      <c r="S942" t="s">
        <v>822</v>
      </c>
      <c r="T942" t="s">
        <v>709</v>
      </c>
      <c r="U942">
        <v>139400</v>
      </c>
      <c r="V942" t="s">
        <v>4397</v>
      </c>
      <c r="W942" t="s">
        <v>824</v>
      </c>
      <c r="X942" t="s">
        <v>6239</v>
      </c>
      <c r="Y942" t="s">
        <v>6240</v>
      </c>
      <c r="Z942" t="s">
        <v>4428</v>
      </c>
      <c r="AA942" t="s">
        <v>4431</v>
      </c>
      <c r="AB942" t="s">
        <v>6241</v>
      </c>
      <c r="AE942">
        <v>-36.874563160000001</v>
      </c>
      <c r="AF942">
        <v>174.78435063000001</v>
      </c>
      <c r="AG942">
        <v>40</v>
      </c>
      <c r="AH942">
        <v>0</v>
      </c>
      <c r="AI942">
        <v>0</v>
      </c>
      <c r="AJ942">
        <v>0</v>
      </c>
      <c r="AK942">
        <v>15</v>
      </c>
      <c r="AL942">
        <v>19</v>
      </c>
      <c r="AM942">
        <v>13</v>
      </c>
      <c r="AN942">
        <v>1</v>
      </c>
      <c r="AO942">
        <v>48</v>
      </c>
      <c r="AP942">
        <v>38</v>
      </c>
      <c r="AQ942">
        <v>3</v>
      </c>
      <c r="AR942">
        <v>2</v>
      </c>
      <c r="AS942">
        <v>13</v>
      </c>
      <c r="AT942">
        <v>1</v>
      </c>
    </row>
    <row r="943" spans="1:46">
      <c r="A943">
        <v>20156</v>
      </c>
      <c r="B943" t="s">
        <v>6242</v>
      </c>
      <c r="C943" t="s">
        <v>6243</v>
      </c>
      <c r="D943" t="s">
        <v>6244</v>
      </c>
      <c r="E943" t="s">
        <v>6245</v>
      </c>
      <c r="F943" t="s">
        <v>872</v>
      </c>
      <c r="G943" t="s">
        <v>652</v>
      </c>
      <c r="H943" t="s">
        <v>3942</v>
      </c>
      <c r="J943" t="s">
        <v>3962</v>
      </c>
      <c r="K943" t="s">
        <v>519</v>
      </c>
      <c r="M943" t="s">
        <v>520</v>
      </c>
      <c r="N943" t="s">
        <v>571</v>
      </c>
      <c r="O943" t="s">
        <v>873</v>
      </c>
      <c r="P943" t="s">
        <v>654</v>
      </c>
      <c r="Q943" t="s">
        <v>638</v>
      </c>
      <c r="R943" t="s">
        <v>639</v>
      </c>
      <c r="S943" t="s">
        <v>719</v>
      </c>
      <c r="T943" t="s">
        <v>709</v>
      </c>
      <c r="U943">
        <v>131500</v>
      </c>
      <c r="V943" t="s">
        <v>6246</v>
      </c>
      <c r="W943" t="s">
        <v>815</v>
      </c>
      <c r="X943" t="s">
        <v>6247</v>
      </c>
      <c r="Y943" t="s">
        <v>6248</v>
      </c>
      <c r="Z943" t="s">
        <v>872</v>
      </c>
      <c r="AA943" t="s">
        <v>6249</v>
      </c>
      <c r="AE943">
        <v>-36.911906799999997</v>
      </c>
      <c r="AF943">
        <v>174.65368179999999</v>
      </c>
      <c r="AG943">
        <v>140</v>
      </c>
      <c r="AH943">
        <v>40</v>
      </c>
      <c r="AI943">
        <v>6</v>
      </c>
      <c r="AJ943">
        <v>35</v>
      </c>
      <c r="AK943">
        <v>40</v>
      </c>
      <c r="AL943">
        <v>35</v>
      </c>
      <c r="AM943">
        <v>33</v>
      </c>
      <c r="AN943">
        <v>1</v>
      </c>
      <c r="AO943">
        <v>150</v>
      </c>
      <c r="AP943">
        <v>119</v>
      </c>
      <c r="AQ943">
        <v>19</v>
      </c>
      <c r="AR943">
        <v>11</v>
      </c>
      <c r="AS943">
        <v>30</v>
      </c>
      <c r="AT943">
        <v>15</v>
      </c>
    </row>
    <row r="944" spans="1:46">
      <c r="A944">
        <v>20158</v>
      </c>
      <c r="B944" t="s">
        <v>6250</v>
      </c>
      <c r="C944" t="s">
        <v>6251</v>
      </c>
      <c r="E944" t="s">
        <v>6252</v>
      </c>
      <c r="F944" t="s">
        <v>763</v>
      </c>
      <c r="G944" t="s">
        <v>652</v>
      </c>
      <c r="H944" t="s">
        <v>3942</v>
      </c>
      <c r="J944" t="s">
        <v>3962</v>
      </c>
      <c r="K944" t="s">
        <v>519</v>
      </c>
      <c r="M944" t="s">
        <v>520</v>
      </c>
      <c r="N944" t="s">
        <v>571</v>
      </c>
      <c r="O944" t="s">
        <v>738</v>
      </c>
      <c r="P944" t="s">
        <v>654</v>
      </c>
      <c r="Q944" t="s">
        <v>638</v>
      </c>
      <c r="R944" t="s">
        <v>639</v>
      </c>
      <c r="S944" t="s">
        <v>756</v>
      </c>
      <c r="T944" t="s">
        <v>527</v>
      </c>
      <c r="U944">
        <v>125202</v>
      </c>
      <c r="V944" t="s">
        <v>5896</v>
      </c>
      <c r="W944" t="s">
        <v>741</v>
      </c>
      <c r="X944" t="s">
        <v>6253</v>
      </c>
      <c r="Y944" t="s">
        <v>4658</v>
      </c>
      <c r="Z944" t="s">
        <v>958</v>
      </c>
      <c r="AA944" t="s">
        <v>4659</v>
      </c>
      <c r="AE944">
        <v>-36.80490331</v>
      </c>
      <c r="AF944">
        <v>174.71596840999999</v>
      </c>
      <c r="AG944">
        <v>60</v>
      </c>
      <c r="AH944">
        <v>16</v>
      </c>
      <c r="AI944">
        <v>3</v>
      </c>
      <c r="AJ944">
        <v>10</v>
      </c>
      <c r="AK944">
        <v>17</v>
      </c>
      <c r="AL944">
        <v>12</v>
      </c>
      <c r="AM944">
        <v>8</v>
      </c>
      <c r="AN944">
        <v>0</v>
      </c>
      <c r="AO944">
        <v>50</v>
      </c>
      <c r="AP944">
        <v>31</v>
      </c>
      <c r="AQ944">
        <v>4</v>
      </c>
      <c r="AR944">
        <v>1</v>
      </c>
      <c r="AS944">
        <v>17</v>
      </c>
      <c r="AT944">
        <v>5</v>
      </c>
    </row>
    <row r="945" spans="1:46">
      <c r="A945">
        <v>20159</v>
      </c>
      <c r="B945" t="s">
        <v>6254</v>
      </c>
      <c r="C945" t="s">
        <v>6255</v>
      </c>
      <c r="D945" t="s">
        <v>6256</v>
      </c>
      <c r="E945" t="s">
        <v>6257</v>
      </c>
      <c r="F945" t="s">
        <v>821</v>
      </c>
      <c r="G945" t="s">
        <v>652</v>
      </c>
      <c r="H945" t="s">
        <v>3942</v>
      </c>
      <c r="J945" t="s">
        <v>518</v>
      </c>
      <c r="K945" t="s">
        <v>519</v>
      </c>
      <c r="M945" t="s">
        <v>520</v>
      </c>
      <c r="N945" t="s">
        <v>571</v>
      </c>
      <c r="O945" t="s">
        <v>804</v>
      </c>
      <c r="P945" t="s">
        <v>654</v>
      </c>
      <c r="Q945" t="s">
        <v>638</v>
      </c>
      <c r="R945" t="s">
        <v>708</v>
      </c>
      <c r="S945" t="s">
        <v>822</v>
      </c>
      <c r="T945" t="s">
        <v>709</v>
      </c>
      <c r="U945">
        <v>141000</v>
      </c>
      <c r="V945" t="s">
        <v>823</v>
      </c>
      <c r="W945" t="s">
        <v>824</v>
      </c>
      <c r="X945" t="s">
        <v>3943</v>
      </c>
      <c r="Y945" t="s">
        <v>3944</v>
      </c>
      <c r="Z945" t="s">
        <v>3945</v>
      </c>
      <c r="AA945" t="s">
        <v>3946</v>
      </c>
      <c r="AB945" t="s">
        <v>3947</v>
      </c>
      <c r="AE945">
        <v>-36.884441150000001</v>
      </c>
      <c r="AF945">
        <v>174.80208213</v>
      </c>
      <c r="AG945">
        <v>50</v>
      </c>
      <c r="AH945">
        <v>16</v>
      </c>
      <c r="AI945">
        <v>1</v>
      </c>
      <c r="AJ945">
        <v>5</v>
      </c>
      <c r="AK945">
        <v>13</v>
      </c>
      <c r="AL945">
        <v>12</v>
      </c>
      <c r="AM945">
        <v>12</v>
      </c>
      <c r="AN945">
        <v>1</v>
      </c>
      <c r="AO945">
        <v>44</v>
      </c>
      <c r="AP945">
        <v>28</v>
      </c>
      <c r="AQ945">
        <v>3</v>
      </c>
      <c r="AR945">
        <v>0</v>
      </c>
      <c r="AS945">
        <v>15</v>
      </c>
      <c r="AT945">
        <v>6</v>
      </c>
    </row>
    <row r="946" spans="1:46">
      <c r="A946">
        <v>20162</v>
      </c>
      <c r="B946" t="s">
        <v>6258</v>
      </c>
      <c r="C946" t="s">
        <v>6259</v>
      </c>
      <c r="D946" t="s">
        <v>6260</v>
      </c>
      <c r="E946" t="s">
        <v>6261</v>
      </c>
      <c r="F946" t="s">
        <v>737</v>
      </c>
      <c r="G946" t="s">
        <v>652</v>
      </c>
      <c r="H946" t="s">
        <v>3942</v>
      </c>
      <c r="J946" t="s">
        <v>3962</v>
      </c>
      <c r="K946" t="s">
        <v>519</v>
      </c>
      <c r="M946" t="s">
        <v>520</v>
      </c>
      <c r="N946" t="s">
        <v>571</v>
      </c>
      <c r="O946" t="s">
        <v>748</v>
      </c>
      <c r="P946" t="s">
        <v>654</v>
      </c>
      <c r="Q946" t="s">
        <v>638</v>
      </c>
      <c r="R946" t="s">
        <v>639</v>
      </c>
      <c r="S946" t="s">
        <v>682</v>
      </c>
      <c r="T946" t="s">
        <v>527</v>
      </c>
      <c r="U946">
        <v>121300</v>
      </c>
      <c r="V946" t="s">
        <v>785</v>
      </c>
      <c r="W946" t="s">
        <v>741</v>
      </c>
      <c r="X946" t="s">
        <v>6262</v>
      </c>
      <c r="Y946" t="s">
        <v>6263</v>
      </c>
      <c r="Z946" t="s">
        <v>879</v>
      </c>
      <c r="AA946" t="s">
        <v>4774</v>
      </c>
      <c r="AB946" t="s">
        <v>6264</v>
      </c>
      <c r="AE946">
        <v>-36.754507920000002</v>
      </c>
      <c r="AF946">
        <v>174.74021805999999</v>
      </c>
      <c r="AG946">
        <v>35</v>
      </c>
      <c r="AH946">
        <v>0</v>
      </c>
      <c r="AI946">
        <v>0</v>
      </c>
      <c r="AJ946">
        <v>0</v>
      </c>
      <c r="AK946">
        <v>0</v>
      </c>
      <c r="AL946">
        <v>3</v>
      </c>
      <c r="AM946">
        <v>22</v>
      </c>
      <c r="AN946">
        <v>0</v>
      </c>
      <c r="AO946">
        <v>25</v>
      </c>
      <c r="AP946">
        <v>2</v>
      </c>
      <c r="AQ946">
        <v>0</v>
      </c>
      <c r="AR946">
        <v>0</v>
      </c>
      <c r="AS946">
        <v>21</v>
      </c>
      <c r="AT946">
        <v>3</v>
      </c>
    </row>
    <row r="947" spans="1:46">
      <c r="A947">
        <v>20165</v>
      </c>
      <c r="B947" t="s">
        <v>6265</v>
      </c>
      <c r="C947" t="s">
        <v>6266</v>
      </c>
      <c r="E947" t="s">
        <v>6267</v>
      </c>
      <c r="F947" t="s">
        <v>3706</v>
      </c>
      <c r="G947" t="s">
        <v>652</v>
      </c>
      <c r="H947" t="s">
        <v>4716</v>
      </c>
      <c r="J947" t="s">
        <v>3962</v>
      </c>
      <c r="K947" t="s">
        <v>519</v>
      </c>
      <c r="M947" t="s">
        <v>520</v>
      </c>
      <c r="N947" t="s">
        <v>571</v>
      </c>
      <c r="O947" t="s">
        <v>1168</v>
      </c>
      <c r="P947" t="s">
        <v>654</v>
      </c>
      <c r="Q947" t="s">
        <v>638</v>
      </c>
      <c r="R947" t="s">
        <v>639</v>
      </c>
      <c r="S947" t="s">
        <v>655</v>
      </c>
      <c r="T947" t="s">
        <v>527</v>
      </c>
      <c r="U947">
        <v>117300</v>
      </c>
      <c r="V947" t="s">
        <v>5703</v>
      </c>
      <c r="W947" t="s">
        <v>657</v>
      </c>
      <c r="X947" t="s">
        <v>6268</v>
      </c>
      <c r="Y947" t="s">
        <v>6269</v>
      </c>
      <c r="Z947" t="s">
        <v>3706</v>
      </c>
      <c r="AA947" t="s">
        <v>6270</v>
      </c>
      <c r="AB947" t="s">
        <v>6271</v>
      </c>
      <c r="AC947">
        <v>99095</v>
      </c>
      <c r="AD947" t="s">
        <v>701</v>
      </c>
      <c r="AE947">
        <v>-36.733572909999999</v>
      </c>
      <c r="AF947">
        <v>174.71022905000001</v>
      </c>
      <c r="AG947">
        <v>60</v>
      </c>
      <c r="AH947">
        <v>60</v>
      </c>
      <c r="AI947">
        <v>8</v>
      </c>
      <c r="AJ947">
        <v>7</v>
      </c>
      <c r="AK947">
        <v>6</v>
      </c>
      <c r="AL947">
        <v>12</v>
      </c>
      <c r="AM947">
        <v>6</v>
      </c>
      <c r="AN947">
        <v>1</v>
      </c>
      <c r="AO947">
        <v>40</v>
      </c>
      <c r="AP947">
        <v>9</v>
      </c>
      <c r="AQ947">
        <v>0</v>
      </c>
      <c r="AR947">
        <v>28</v>
      </c>
      <c r="AS947">
        <v>3</v>
      </c>
      <c r="AT947">
        <v>5</v>
      </c>
    </row>
    <row r="948" spans="1:46">
      <c r="A948">
        <v>20167</v>
      </c>
      <c r="B948" t="s">
        <v>6272</v>
      </c>
      <c r="C948" t="s">
        <v>6273</v>
      </c>
      <c r="D948" t="s">
        <v>6274</v>
      </c>
      <c r="E948" t="s">
        <v>6275</v>
      </c>
      <c r="F948" t="s">
        <v>717</v>
      </c>
      <c r="G948" t="s">
        <v>652</v>
      </c>
      <c r="H948" t="s">
        <v>3942</v>
      </c>
      <c r="J948" t="s">
        <v>3962</v>
      </c>
      <c r="K948" t="s">
        <v>519</v>
      </c>
      <c r="M948" t="s">
        <v>520</v>
      </c>
      <c r="N948" t="s">
        <v>571</v>
      </c>
      <c r="O948" t="s">
        <v>718</v>
      </c>
      <c r="P948" t="s">
        <v>654</v>
      </c>
      <c r="Q948" t="s">
        <v>638</v>
      </c>
      <c r="R948" t="s">
        <v>708</v>
      </c>
      <c r="S948" t="s">
        <v>770</v>
      </c>
      <c r="T948" t="s">
        <v>709</v>
      </c>
      <c r="U948">
        <v>132002</v>
      </c>
      <c r="V948" t="s">
        <v>6276</v>
      </c>
      <c r="W948" t="s">
        <v>721</v>
      </c>
      <c r="X948" t="s">
        <v>6277</v>
      </c>
      <c r="Y948" t="s">
        <v>6278</v>
      </c>
      <c r="Z948" t="s">
        <v>822</v>
      </c>
      <c r="AA948" t="s">
        <v>4382</v>
      </c>
      <c r="AE948">
        <v>-36.888279420000003</v>
      </c>
      <c r="AF948">
        <v>174.70082807</v>
      </c>
      <c r="AG948">
        <v>50</v>
      </c>
      <c r="AH948">
        <v>16</v>
      </c>
      <c r="AI948">
        <v>3</v>
      </c>
      <c r="AJ948">
        <v>13</v>
      </c>
      <c r="AK948">
        <v>17</v>
      </c>
      <c r="AL948">
        <v>14</v>
      </c>
      <c r="AM948">
        <v>12</v>
      </c>
      <c r="AN948">
        <v>0</v>
      </c>
      <c r="AO948">
        <v>59</v>
      </c>
      <c r="AP948">
        <v>51</v>
      </c>
      <c r="AQ948">
        <v>6</v>
      </c>
      <c r="AR948">
        <v>4</v>
      </c>
      <c r="AS948">
        <v>13</v>
      </c>
      <c r="AT948">
        <v>1</v>
      </c>
    </row>
    <row r="949" spans="1:46">
      <c r="A949">
        <v>20169</v>
      </c>
      <c r="B949" t="s">
        <v>6279</v>
      </c>
      <c r="C949" t="s">
        <v>6280</v>
      </c>
      <c r="D949" t="s">
        <v>6281</v>
      </c>
      <c r="E949" t="s">
        <v>6282</v>
      </c>
      <c r="F949" t="s">
        <v>737</v>
      </c>
      <c r="G949" t="s">
        <v>652</v>
      </c>
      <c r="H949" t="s">
        <v>3942</v>
      </c>
      <c r="J949" t="s">
        <v>3962</v>
      </c>
      <c r="K949" t="s">
        <v>519</v>
      </c>
      <c r="M949" t="s">
        <v>520</v>
      </c>
      <c r="N949" t="s">
        <v>571</v>
      </c>
      <c r="O949" t="s">
        <v>738</v>
      </c>
      <c r="P949" t="s">
        <v>654</v>
      </c>
      <c r="Q949" t="s">
        <v>638</v>
      </c>
      <c r="R949" t="s">
        <v>639</v>
      </c>
      <c r="S949" t="s">
        <v>739</v>
      </c>
      <c r="T949" t="s">
        <v>527</v>
      </c>
      <c r="U949">
        <v>121001</v>
      </c>
      <c r="V949" t="s">
        <v>6283</v>
      </c>
      <c r="W949" t="s">
        <v>741</v>
      </c>
      <c r="X949" t="s">
        <v>6284</v>
      </c>
      <c r="Y949" t="s">
        <v>6285</v>
      </c>
      <c r="Z949" t="s">
        <v>737</v>
      </c>
      <c r="AA949" t="s">
        <v>4537</v>
      </c>
      <c r="AE949">
        <v>-36.768935810000002</v>
      </c>
      <c r="AF949">
        <v>174.71978178000001</v>
      </c>
      <c r="AG949">
        <v>50</v>
      </c>
      <c r="AH949">
        <v>12</v>
      </c>
      <c r="AI949">
        <v>1</v>
      </c>
      <c r="AJ949">
        <v>3</v>
      </c>
      <c r="AK949">
        <v>7</v>
      </c>
      <c r="AL949">
        <v>7</v>
      </c>
      <c r="AM949">
        <v>8</v>
      </c>
      <c r="AN949">
        <v>0</v>
      </c>
      <c r="AO949">
        <v>26</v>
      </c>
      <c r="AP949">
        <v>16</v>
      </c>
      <c r="AQ949">
        <v>7</v>
      </c>
      <c r="AR949">
        <v>2</v>
      </c>
      <c r="AS949">
        <v>9</v>
      </c>
      <c r="AT949">
        <v>0</v>
      </c>
    </row>
    <row r="950" spans="1:46">
      <c r="A950">
        <v>20172</v>
      </c>
      <c r="B950" t="s">
        <v>6286</v>
      </c>
      <c r="C950" t="s">
        <v>6287</v>
      </c>
      <c r="D950" t="s">
        <v>6288</v>
      </c>
      <c r="E950" t="s">
        <v>6289</v>
      </c>
      <c r="F950" t="s">
        <v>770</v>
      </c>
      <c r="G950" t="s">
        <v>652</v>
      </c>
      <c r="H950" t="s">
        <v>3942</v>
      </c>
      <c r="J950" t="s">
        <v>3962</v>
      </c>
      <c r="K950" t="s">
        <v>519</v>
      </c>
      <c r="M950" t="s">
        <v>520</v>
      </c>
      <c r="N950" t="s">
        <v>571</v>
      </c>
      <c r="O950" t="s">
        <v>718</v>
      </c>
      <c r="P950" t="s">
        <v>654</v>
      </c>
      <c r="Q950" t="s">
        <v>638</v>
      </c>
      <c r="R950" t="s">
        <v>639</v>
      </c>
      <c r="S950" t="s">
        <v>770</v>
      </c>
      <c r="T950" t="s">
        <v>709</v>
      </c>
      <c r="U950">
        <v>134900</v>
      </c>
      <c r="V950" t="s">
        <v>6175</v>
      </c>
      <c r="W950" t="s">
        <v>721</v>
      </c>
      <c r="X950" t="s">
        <v>6290</v>
      </c>
      <c r="Y950" t="s">
        <v>6289</v>
      </c>
      <c r="Z950" t="s">
        <v>770</v>
      </c>
      <c r="AA950" t="s">
        <v>4333</v>
      </c>
      <c r="AE950">
        <v>-36.913312779999998</v>
      </c>
      <c r="AF950">
        <v>174.67423747999999</v>
      </c>
      <c r="AG950">
        <v>40</v>
      </c>
      <c r="AH950">
        <v>18</v>
      </c>
      <c r="AI950">
        <v>0</v>
      </c>
      <c r="AJ950">
        <v>6</v>
      </c>
      <c r="AK950">
        <v>13</v>
      </c>
      <c r="AL950">
        <v>8</v>
      </c>
      <c r="AM950">
        <v>15</v>
      </c>
      <c r="AN950">
        <v>0</v>
      </c>
      <c r="AO950">
        <v>42</v>
      </c>
      <c r="AP950">
        <v>16</v>
      </c>
      <c r="AQ950">
        <v>8</v>
      </c>
      <c r="AR950">
        <v>5</v>
      </c>
      <c r="AS950">
        <v>21</v>
      </c>
      <c r="AT950">
        <v>3</v>
      </c>
    </row>
    <row r="951" spans="1:46">
      <c r="A951">
        <v>20173</v>
      </c>
      <c r="B951" t="s">
        <v>6291</v>
      </c>
      <c r="C951" t="s">
        <v>6292</v>
      </c>
      <c r="D951" t="s">
        <v>6293</v>
      </c>
      <c r="E951" t="s">
        <v>6294</v>
      </c>
      <c r="F951" t="s">
        <v>651</v>
      </c>
      <c r="G951" t="s">
        <v>652</v>
      </c>
      <c r="H951" t="s">
        <v>3942</v>
      </c>
      <c r="I951" t="s">
        <v>4065</v>
      </c>
      <c r="J951" t="s">
        <v>518</v>
      </c>
      <c r="K951" t="s">
        <v>519</v>
      </c>
      <c r="M951" t="s">
        <v>520</v>
      </c>
      <c r="N951" t="s">
        <v>571</v>
      </c>
      <c r="O951" t="s">
        <v>653</v>
      </c>
      <c r="P951" t="s">
        <v>654</v>
      </c>
      <c r="Q951" t="s">
        <v>638</v>
      </c>
      <c r="R951" t="s">
        <v>639</v>
      </c>
      <c r="S951" t="s">
        <v>655</v>
      </c>
      <c r="T951" t="s">
        <v>527</v>
      </c>
      <c r="U951">
        <v>117500</v>
      </c>
      <c r="V951" t="s">
        <v>656</v>
      </c>
      <c r="W951" t="s">
        <v>657</v>
      </c>
      <c r="X951" t="s">
        <v>6295</v>
      </c>
      <c r="Y951" t="s">
        <v>6296</v>
      </c>
      <c r="Z951" t="s">
        <v>651</v>
      </c>
      <c r="AA951" t="s">
        <v>6297</v>
      </c>
      <c r="AB951" t="s">
        <v>6292</v>
      </c>
      <c r="AE951">
        <v>-36.699550180000003</v>
      </c>
      <c r="AF951">
        <v>174.73288600000001</v>
      </c>
      <c r="AG951">
        <v>35</v>
      </c>
      <c r="AH951">
        <v>0</v>
      </c>
      <c r="AI951">
        <v>0</v>
      </c>
      <c r="AJ951">
        <v>0</v>
      </c>
      <c r="AK951">
        <v>0</v>
      </c>
      <c r="AL951">
        <v>4</v>
      </c>
      <c r="AM951">
        <v>6</v>
      </c>
      <c r="AN951">
        <v>7</v>
      </c>
      <c r="AO951">
        <v>17</v>
      </c>
      <c r="AP951">
        <v>7</v>
      </c>
      <c r="AQ951">
        <v>0</v>
      </c>
      <c r="AR951">
        <v>0</v>
      </c>
      <c r="AS951">
        <v>9</v>
      </c>
      <c r="AT951">
        <v>3</v>
      </c>
    </row>
    <row r="952" spans="1:46">
      <c r="A952">
        <v>20176</v>
      </c>
      <c r="B952" t="s">
        <v>6298</v>
      </c>
      <c r="C952" t="s">
        <v>6299</v>
      </c>
      <c r="D952" t="s">
        <v>6300</v>
      </c>
      <c r="E952" t="s">
        <v>6301</v>
      </c>
      <c r="F952" t="s">
        <v>4747</v>
      </c>
      <c r="G952" t="s">
        <v>652</v>
      </c>
      <c r="H952" t="s">
        <v>3942</v>
      </c>
      <c r="J952" t="s">
        <v>3962</v>
      </c>
      <c r="K952" t="s">
        <v>519</v>
      </c>
      <c r="M952" t="s">
        <v>520</v>
      </c>
      <c r="N952" t="s">
        <v>4519</v>
      </c>
      <c r="O952" t="s">
        <v>718</v>
      </c>
      <c r="P952" t="s">
        <v>654</v>
      </c>
      <c r="Q952" t="s">
        <v>638</v>
      </c>
      <c r="R952" t="s">
        <v>639</v>
      </c>
      <c r="S952" t="s">
        <v>770</v>
      </c>
      <c r="T952" t="s">
        <v>709</v>
      </c>
      <c r="U952">
        <v>135401</v>
      </c>
      <c r="V952" t="s">
        <v>6302</v>
      </c>
      <c r="W952" t="s">
        <v>721</v>
      </c>
      <c r="X952" t="s">
        <v>6303</v>
      </c>
      <c r="Y952" t="s">
        <v>6301</v>
      </c>
      <c r="Z952" t="s">
        <v>4747</v>
      </c>
      <c r="AA952" t="s">
        <v>6304</v>
      </c>
      <c r="AB952" t="s">
        <v>6299</v>
      </c>
      <c r="AC952">
        <v>99062</v>
      </c>
      <c r="AD952" t="s">
        <v>893</v>
      </c>
      <c r="AE952">
        <v>-36.92760277</v>
      </c>
      <c r="AF952">
        <v>174.66773918000001</v>
      </c>
      <c r="AG952">
        <v>39</v>
      </c>
      <c r="AH952">
        <v>0</v>
      </c>
      <c r="AI952">
        <v>0</v>
      </c>
      <c r="AJ952">
        <v>0</v>
      </c>
      <c r="AK952">
        <v>4</v>
      </c>
      <c r="AL952">
        <v>15</v>
      </c>
      <c r="AM952">
        <v>10</v>
      </c>
      <c r="AN952">
        <v>0</v>
      </c>
      <c r="AO952">
        <v>29</v>
      </c>
      <c r="AP952">
        <v>22</v>
      </c>
      <c r="AQ952">
        <v>5</v>
      </c>
      <c r="AR952">
        <v>3</v>
      </c>
      <c r="AS952">
        <v>8</v>
      </c>
      <c r="AT952">
        <v>1</v>
      </c>
    </row>
    <row r="953" spans="1:46">
      <c r="A953">
        <v>20178</v>
      </c>
      <c r="B953" t="s">
        <v>6305</v>
      </c>
      <c r="C953" t="s">
        <v>6306</v>
      </c>
      <c r="E953" t="s">
        <v>6307</v>
      </c>
      <c r="F953" t="s">
        <v>821</v>
      </c>
      <c r="G953" t="s">
        <v>652</v>
      </c>
      <c r="H953" t="s">
        <v>3942</v>
      </c>
      <c r="J953" t="s">
        <v>518</v>
      </c>
      <c r="K953" t="s">
        <v>519</v>
      </c>
      <c r="M953" t="s">
        <v>520</v>
      </c>
      <c r="N953" t="s">
        <v>571</v>
      </c>
      <c r="O953" t="s">
        <v>804</v>
      </c>
      <c r="P953" t="s">
        <v>654</v>
      </c>
      <c r="Q953" t="s">
        <v>638</v>
      </c>
      <c r="R953" t="s">
        <v>708</v>
      </c>
      <c r="S953" t="s">
        <v>822</v>
      </c>
      <c r="T953" t="s">
        <v>709</v>
      </c>
      <c r="U953">
        <v>141000</v>
      </c>
      <c r="V953" t="s">
        <v>823</v>
      </c>
      <c r="W953" t="s">
        <v>824</v>
      </c>
      <c r="X953" t="s">
        <v>6308</v>
      </c>
      <c r="Y953" t="s">
        <v>6307</v>
      </c>
      <c r="Z953" t="s">
        <v>821</v>
      </c>
      <c r="AA953" t="s">
        <v>4069</v>
      </c>
      <c r="AB953" t="s">
        <v>6309</v>
      </c>
      <c r="AE953">
        <v>-36.882380609999998</v>
      </c>
      <c r="AF953">
        <v>174.80733617000001</v>
      </c>
      <c r="AG953">
        <v>43</v>
      </c>
      <c r="AH953">
        <v>0</v>
      </c>
      <c r="AI953">
        <v>0</v>
      </c>
      <c r="AJ953">
        <v>0</v>
      </c>
      <c r="AK953">
        <v>6</v>
      </c>
      <c r="AL953">
        <v>18</v>
      </c>
      <c r="AM953">
        <v>12</v>
      </c>
      <c r="AN953">
        <v>1</v>
      </c>
      <c r="AO953">
        <v>37</v>
      </c>
      <c r="AP953">
        <v>20</v>
      </c>
      <c r="AQ953">
        <v>1</v>
      </c>
      <c r="AR953">
        <v>1</v>
      </c>
      <c r="AS953">
        <v>18</v>
      </c>
      <c r="AT953">
        <v>0</v>
      </c>
    </row>
    <row r="954" spans="1:46">
      <c r="A954">
        <v>20180</v>
      </c>
      <c r="B954" t="s">
        <v>6310</v>
      </c>
      <c r="C954" t="s">
        <v>6311</v>
      </c>
      <c r="D954" t="s">
        <v>6312</v>
      </c>
      <c r="E954" t="s">
        <v>6313</v>
      </c>
      <c r="F954" t="s">
        <v>3762</v>
      </c>
      <c r="G954" t="s">
        <v>3763</v>
      </c>
      <c r="H954" t="s">
        <v>3942</v>
      </c>
      <c r="J954" t="s">
        <v>518</v>
      </c>
      <c r="K954" t="s">
        <v>519</v>
      </c>
      <c r="M954" t="s">
        <v>520</v>
      </c>
      <c r="N954" t="s">
        <v>571</v>
      </c>
      <c r="O954" t="s">
        <v>3764</v>
      </c>
      <c r="P954" t="s">
        <v>523</v>
      </c>
      <c r="Q954" t="s">
        <v>638</v>
      </c>
      <c r="R954" t="s">
        <v>708</v>
      </c>
      <c r="S954" t="s">
        <v>958</v>
      </c>
      <c r="T954" t="s">
        <v>709</v>
      </c>
      <c r="U954">
        <v>147600</v>
      </c>
      <c r="V954" t="s">
        <v>3762</v>
      </c>
      <c r="W954" t="s">
        <v>959</v>
      </c>
      <c r="X954" t="s">
        <v>6314</v>
      </c>
      <c r="Y954" t="s">
        <v>6313</v>
      </c>
      <c r="Z954" t="s">
        <v>3762</v>
      </c>
      <c r="AA954" t="s">
        <v>6315</v>
      </c>
      <c r="AB954" t="s">
        <v>6316</v>
      </c>
      <c r="AC954">
        <v>99088</v>
      </c>
      <c r="AD954" t="s">
        <v>3765</v>
      </c>
      <c r="AE954">
        <v>-36.796517940000001</v>
      </c>
      <c r="AF954">
        <v>175.03143424999999</v>
      </c>
      <c r="AG954">
        <v>30</v>
      </c>
      <c r="AH954">
        <v>8</v>
      </c>
      <c r="AI954">
        <v>0</v>
      </c>
      <c r="AJ954">
        <v>1</v>
      </c>
      <c r="AK954">
        <v>12</v>
      </c>
      <c r="AL954">
        <v>17</v>
      </c>
      <c r="AM954">
        <v>9</v>
      </c>
      <c r="AN954">
        <v>0</v>
      </c>
      <c r="AO954">
        <v>39</v>
      </c>
      <c r="AP954">
        <v>38</v>
      </c>
      <c r="AQ954">
        <v>8</v>
      </c>
      <c r="AR954">
        <v>0</v>
      </c>
      <c r="AS954">
        <v>2</v>
      </c>
      <c r="AT954">
        <v>2</v>
      </c>
    </row>
    <row r="955" spans="1:46">
      <c r="A955">
        <v>20181</v>
      </c>
      <c r="B955" t="s">
        <v>6317</v>
      </c>
      <c r="C955" t="s">
        <v>6318</v>
      </c>
      <c r="D955" t="s">
        <v>6319</v>
      </c>
      <c r="E955" t="s">
        <v>6320</v>
      </c>
      <c r="F955" t="s">
        <v>756</v>
      </c>
      <c r="G955" t="s">
        <v>652</v>
      </c>
      <c r="H955" t="s">
        <v>3942</v>
      </c>
      <c r="J955" t="s">
        <v>3962</v>
      </c>
      <c r="K955" t="s">
        <v>519</v>
      </c>
      <c r="M955" t="s">
        <v>520</v>
      </c>
      <c r="N955" t="s">
        <v>4519</v>
      </c>
      <c r="O955" t="s">
        <v>738</v>
      </c>
      <c r="P955" t="s">
        <v>654</v>
      </c>
      <c r="Q955" t="s">
        <v>638</v>
      </c>
      <c r="R955" t="s">
        <v>639</v>
      </c>
      <c r="S955" t="s">
        <v>756</v>
      </c>
      <c r="T955" t="s">
        <v>527</v>
      </c>
      <c r="U955">
        <v>127300</v>
      </c>
      <c r="V955" t="s">
        <v>1049</v>
      </c>
      <c r="W955" t="s">
        <v>741</v>
      </c>
      <c r="X955" t="s">
        <v>6321</v>
      </c>
      <c r="Y955" t="s">
        <v>6320</v>
      </c>
      <c r="Z955" t="s">
        <v>756</v>
      </c>
      <c r="AA955" t="s">
        <v>5899</v>
      </c>
      <c r="AB955" t="s">
        <v>6318</v>
      </c>
      <c r="AE955">
        <v>-36.80258748</v>
      </c>
      <c r="AF955">
        <v>174.74209475000001</v>
      </c>
      <c r="AG955">
        <v>50</v>
      </c>
      <c r="AH955">
        <v>12</v>
      </c>
      <c r="AI955">
        <v>2</v>
      </c>
      <c r="AJ955">
        <v>11</v>
      </c>
      <c r="AK955">
        <v>22</v>
      </c>
      <c r="AL955">
        <v>16</v>
      </c>
      <c r="AM955">
        <v>11</v>
      </c>
      <c r="AN955">
        <v>2</v>
      </c>
      <c r="AO955">
        <v>64</v>
      </c>
      <c r="AP955">
        <v>60</v>
      </c>
      <c r="AQ955">
        <v>7</v>
      </c>
      <c r="AR955">
        <v>2</v>
      </c>
      <c r="AS955">
        <v>5</v>
      </c>
      <c r="AT955">
        <v>1</v>
      </c>
    </row>
    <row r="956" spans="1:46">
      <c r="A956">
        <v>20183</v>
      </c>
      <c r="B956" t="s">
        <v>6322</v>
      </c>
      <c r="C956" t="s">
        <v>6323</v>
      </c>
      <c r="D956" t="s">
        <v>6324</v>
      </c>
      <c r="E956" t="s">
        <v>6325</v>
      </c>
      <c r="F956" t="s">
        <v>6326</v>
      </c>
      <c r="G956" t="s">
        <v>3623</v>
      </c>
      <c r="H956" t="s">
        <v>3942</v>
      </c>
      <c r="J956" t="s">
        <v>3962</v>
      </c>
      <c r="K956" t="s">
        <v>519</v>
      </c>
      <c r="M956" t="s">
        <v>520</v>
      </c>
      <c r="N956" t="s">
        <v>571</v>
      </c>
      <c r="O956" t="s">
        <v>653</v>
      </c>
      <c r="P956" t="s">
        <v>584</v>
      </c>
      <c r="Q956" t="s">
        <v>638</v>
      </c>
      <c r="R956" t="s">
        <v>639</v>
      </c>
      <c r="S956" t="s">
        <v>668</v>
      </c>
      <c r="T956" t="s">
        <v>527</v>
      </c>
      <c r="U956">
        <v>115800</v>
      </c>
      <c r="V956" t="s">
        <v>3624</v>
      </c>
      <c r="W956" t="s">
        <v>657</v>
      </c>
      <c r="X956" t="s">
        <v>6327</v>
      </c>
      <c r="Y956" t="s">
        <v>6325</v>
      </c>
      <c r="Z956" t="s">
        <v>6326</v>
      </c>
      <c r="AA956" t="s">
        <v>4461</v>
      </c>
      <c r="AB956" t="s">
        <v>6323</v>
      </c>
      <c r="AC956">
        <v>99095</v>
      </c>
      <c r="AD956" t="s">
        <v>701</v>
      </c>
      <c r="AE956">
        <v>-36.631175769999999</v>
      </c>
      <c r="AF956">
        <v>174.76763765999999</v>
      </c>
      <c r="AG956">
        <v>48</v>
      </c>
      <c r="AH956">
        <v>10</v>
      </c>
      <c r="AI956">
        <v>4</v>
      </c>
      <c r="AJ956">
        <v>3</v>
      </c>
      <c r="AK956">
        <v>16</v>
      </c>
      <c r="AL956">
        <v>15</v>
      </c>
      <c r="AM956">
        <v>10</v>
      </c>
      <c r="AN956">
        <v>0</v>
      </c>
      <c r="AO956">
        <v>48</v>
      </c>
      <c r="AP956">
        <v>40</v>
      </c>
      <c r="AQ956">
        <v>5</v>
      </c>
      <c r="AR956">
        <v>3</v>
      </c>
      <c r="AS956">
        <v>7</v>
      </c>
      <c r="AT956">
        <v>1</v>
      </c>
    </row>
    <row r="957" spans="1:46">
      <c r="A957">
        <v>20184</v>
      </c>
      <c r="B957" t="s">
        <v>6328</v>
      </c>
      <c r="D957" t="s">
        <v>6329</v>
      </c>
      <c r="E957" t="s">
        <v>6330</v>
      </c>
      <c r="G957" t="s">
        <v>675</v>
      </c>
      <c r="H957" t="s">
        <v>3942</v>
      </c>
      <c r="J957" t="s">
        <v>3962</v>
      </c>
      <c r="K957" t="s">
        <v>519</v>
      </c>
      <c r="M957" t="s">
        <v>520</v>
      </c>
      <c r="N957" t="s">
        <v>571</v>
      </c>
      <c r="O957" t="s">
        <v>637</v>
      </c>
      <c r="P957" t="s">
        <v>523</v>
      </c>
      <c r="Q957" t="s">
        <v>638</v>
      </c>
      <c r="R957" t="s">
        <v>639</v>
      </c>
      <c r="S957" t="s">
        <v>640</v>
      </c>
      <c r="T957" t="s">
        <v>527</v>
      </c>
      <c r="U957">
        <v>111100</v>
      </c>
      <c r="V957" t="s">
        <v>676</v>
      </c>
      <c r="W957" t="s">
        <v>641</v>
      </c>
      <c r="X957" t="s">
        <v>6331</v>
      </c>
      <c r="Y957" t="s">
        <v>6332</v>
      </c>
      <c r="Z957" t="s">
        <v>5766</v>
      </c>
      <c r="AA957" t="s">
        <v>4537</v>
      </c>
      <c r="AB957" t="s">
        <v>6333</v>
      </c>
      <c r="AE957">
        <v>-36.408230359999997</v>
      </c>
      <c r="AF957">
        <v>174.65820011</v>
      </c>
      <c r="AG957">
        <v>50</v>
      </c>
      <c r="AH957">
        <v>15</v>
      </c>
      <c r="AI957">
        <v>2</v>
      </c>
      <c r="AJ957">
        <v>3</v>
      </c>
      <c r="AK957">
        <v>6</v>
      </c>
      <c r="AL957">
        <v>5</v>
      </c>
      <c r="AM957">
        <v>4</v>
      </c>
      <c r="AN957">
        <v>0</v>
      </c>
      <c r="AO957">
        <v>20</v>
      </c>
      <c r="AP957">
        <v>15</v>
      </c>
      <c r="AQ957">
        <v>3</v>
      </c>
      <c r="AR957">
        <v>3</v>
      </c>
      <c r="AS957">
        <v>1</v>
      </c>
      <c r="AT957">
        <v>0</v>
      </c>
    </row>
    <row r="958" spans="1:46">
      <c r="A958">
        <v>20185</v>
      </c>
      <c r="B958" t="s">
        <v>6334</v>
      </c>
      <c r="C958" t="s">
        <v>6335</v>
      </c>
      <c r="D958" t="s">
        <v>6336</v>
      </c>
      <c r="E958" t="s">
        <v>6337</v>
      </c>
      <c r="F958" t="s">
        <v>872</v>
      </c>
      <c r="G958" t="s">
        <v>652</v>
      </c>
      <c r="H958" t="s">
        <v>3942</v>
      </c>
      <c r="J958" t="s">
        <v>3962</v>
      </c>
      <c r="K958" t="s">
        <v>519</v>
      </c>
      <c r="M958" t="s">
        <v>520</v>
      </c>
      <c r="N958" t="s">
        <v>571</v>
      </c>
      <c r="O958" t="s">
        <v>873</v>
      </c>
      <c r="P958" t="s">
        <v>654</v>
      </c>
      <c r="Q958" t="s">
        <v>638</v>
      </c>
      <c r="R958" t="s">
        <v>639</v>
      </c>
      <c r="S958" t="s">
        <v>719</v>
      </c>
      <c r="T958" t="s">
        <v>709</v>
      </c>
      <c r="U958">
        <v>131500</v>
      </c>
      <c r="V958" t="s">
        <v>6246</v>
      </c>
      <c r="W958" t="s">
        <v>815</v>
      </c>
      <c r="X958" t="s">
        <v>5881</v>
      </c>
      <c r="Y958" t="s">
        <v>5882</v>
      </c>
      <c r="Z958" t="s">
        <v>1183</v>
      </c>
      <c r="AA958" t="s">
        <v>4307</v>
      </c>
      <c r="AB958" t="s">
        <v>5883</v>
      </c>
      <c r="AE958">
        <v>-36.911293739999998</v>
      </c>
      <c r="AF958">
        <v>174.64886877999999</v>
      </c>
      <c r="AG958">
        <v>32</v>
      </c>
      <c r="AH958">
        <v>10</v>
      </c>
      <c r="AI958">
        <v>0</v>
      </c>
      <c r="AJ958">
        <v>3</v>
      </c>
      <c r="AK958">
        <v>12</v>
      </c>
      <c r="AL958">
        <v>9</v>
      </c>
      <c r="AM958">
        <v>10</v>
      </c>
      <c r="AN958">
        <v>0</v>
      </c>
      <c r="AO958">
        <v>34</v>
      </c>
      <c r="AP958">
        <v>28</v>
      </c>
      <c r="AQ958">
        <v>6</v>
      </c>
      <c r="AR958">
        <v>5</v>
      </c>
      <c r="AS958">
        <v>3</v>
      </c>
      <c r="AT958">
        <v>2</v>
      </c>
    </row>
    <row r="959" spans="1:46">
      <c r="A959">
        <v>20186</v>
      </c>
      <c r="B959" t="s">
        <v>6338</v>
      </c>
      <c r="C959" t="s">
        <v>6339</v>
      </c>
      <c r="D959" t="s">
        <v>6340</v>
      </c>
      <c r="E959" t="s">
        <v>6341</v>
      </c>
      <c r="F959" t="s">
        <v>755</v>
      </c>
      <c r="G959" t="s">
        <v>652</v>
      </c>
      <c r="H959" t="s">
        <v>3942</v>
      </c>
      <c r="J959" t="s">
        <v>3962</v>
      </c>
      <c r="K959" t="s">
        <v>519</v>
      </c>
      <c r="M959" t="s">
        <v>520</v>
      </c>
      <c r="N959" t="s">
        <v>571</v>
      </c>
      <c r="O959" t="s">
        <v>738</v>
      </c>
      <c r="P959" t="s">
        <v>654</v>
      </c>
      <c r="Q959" t="s">
        <v>638</v>
      </c>
      <c r="R959" t="s">
        <v>639</v>
      </c>
      <c r="S959" t="s">
        <v>756</v>
      </c>
      <c r="T959" t="s">
        <v>527</v>
      </c>
      <c r="U959">
        <v>121800</v>
      </c>
      <c r="V959" t="s">
        <v>5746</v>
      </c>
      <c r="W959" t="s">
        <v>741</v>
      </c>
      <c r="X959" t="s">
        <v>6342</v>
      </c>
      <c r="Y959" t="s">
        <v>6343</v>
      </c>
      <c r="AA959" t="s">
        <v>6344</v>
      </c>
      <c r="AB959" t="s">
        <v>6345</v>
      </c>
      <c r="AC959">
        <v>99214</v>
      </c>
      <c r="AD959" t="s">
        <v>758</v>
      </c>
      <c r="AE959">
        <v>-36.798996170000002</v>
      </c>
      <c r="AF959">
        <v>174.68701414</v>
      </c>
      <c r="AG959">
        <v>60</v>
      </c>
      <c r="AH959">
        <v>15</v>
      </c>
      <c r="AI959">
        <v>1</v>
      </c>
      <c r="AJ959">
        <v>15</v>
      </c>
      <c r="AK959">
        <v>15</v>
      </c>
      <c r="AL959">
        <v>13</v>
      </c>
      <c r="AM959">
        <v>15</v>
      </c>
      <c r="AN959">
        <v>0</v>
      </c>
      <c r="AO959">
        <v>59</v>
      </c>
      <c r="AP959">
        <v>56</v>
      </c>
      <c r="AQ959">
        <v>11</v>
      </c>
      <c r="AR959">
        <v>1</v>
      </c>
      <c r="AS959">
        <v>7</v>
      </c>
      <c r="AT959">
        <v>3</v>
      </c>
    </row>
    <row r="960" spans="1:46">
      <c r="A960">
        <v>20187</v>
      </c>
      <c r="B960" t="s">
        <v>6346</v>
      </c>
      <c r="C960" t="s">
        <v>6347</v>
      </c>
      <c r="E960" t="s">
        <v>6348</v>
      </c>
      <c r="F960" t="s">
        <v>1017</v>
      </c>
      <c r="G960" t="s">
        <v>652</v>
      </c>
      <c r="H960" t="s">
        <v>3942</v>
      </c>
      <c r="J960" t="s">
        <v>518</v>
      </c>
      <c r="K960" t="s">
        <v>519</v>
      </c>
      <c r="M960" t="s">
        <v>520</v>
      </c>
      <c r="N960" t="s">
        <v>571</v>
      </c>
      <c r="O960" t="s">
        <v>857</v>
      </c>
      <c r="P960" t="s">
        <v>654</v>
      </c>
      <c r="Q960" t="s">
        <v>638</v>
      </c>
      <c r="R960" t="s">
        <v>708</v>
      </c>
      <c r="S960" t="s">
        <v>858</v>
      </c>
      <c r="T960" t="s">
        <v>709</v>
      </c>
      <c r="U960">
        <v>136900</v>
      </c>
      <c r="V960" t="s">
        <v>5822</v>
      </c>
      <c r="W960" t="s">
        <v>860</v>
      </c>
      <c r="X960" t="s">
        <v>6349</v>
      </c>
      <c r="Y960" t="s">
        <v>6348</v>
      </c>
      <c r="Z960" t="s">
        <v>1017</v>
      </c>
      <c r="AA960" t="s">
        <v>5824</v>
      </c>
      <c r="AB960" t="s">
        <v>6347</v>
      </c>
      <c r="AE960">
        <v>-36.877305450000001</v>
      </c>
      <c r="AF960">
        <v>174.74975519</v>
      </c>
      <c r="AG960">
        <v>42</v>
      </c>
      <c r="AH960">
        <v>12</v>
      </c>
      <c r="AI960">
        <v>2</v>
      </c>
      <c r="AJ960">
        <v>10</v>
      </c>
      <c r="AK960">
        <v>13</v>
      </c>
      <c r="AL960">
        <v>10</v>
      </c>
      <c r="AM960">
        <v>12</v>
      </c>
      <c r="AN960">
        <v>0</v>
      </c>
      <c r="AO960">
        <v>47</v>
      </c>
      <c r="AP960">
        <v>37</v>
      </c>
      <c r="AQ960">
        <v>3</v>
      </c>
      <c r="AR960">
        <v>6</v>
      </c>
      <c r="AS960">
        <v>13</v>
      </c>
      <c r="AT960">
        <v>1</v>
      </c>
    </row>
    <row r="961" spans="1:46">
      <c r="A961">
        <v>20188</v>
      </c>
      <c r="B961" t="s">
        <v>6350</v>
      </c>
      <c r="C961" t="s">
        <v>6351</v>
      </c>
      <c r="D961" t="s">
        <v>6352</v>
      </c>
      <c r="E961" t="s">
        <v>6353</v>
      </c>
      <c r="G961" t="s">
        <v>3623</v>
      </c>
      <c r="H961" t="s">
        <v>3942</v>
      </c>
      <c r="I961" t="s">
        <v>5772</v>
      </c>
      <c r="J961" t="s">
        <v>518</v>
      </c>
      <c r="K961" t="s">
        <v>519</v>
      </c>
      <c r="M961" t="s">
        <v>520</v>
      </c>
      <c r="N961" t="s">
        <v>571</v>
      </c>
      <c r="O961" t="s">
        <v>653</v>
      </c>
      <c r="P961" t="s">
        <v>584</v>
      </c>
      <c r="Q961" t="s">
        <v>638</v>
      </c>
      <c r="R961" t="s">
        <v>639</v>
      </c>
      <c r="S961" t="s">
        <v>668</v>
      </c>
      <c r="T961" t="s">
        <v>527</v>
      </c>
      <c r="U961">
        <v>114902</v>
      </c>
      <c r="V961" t="s">
        <v>6354</v>
      </c>
      <c r="W961" t="s">
        <v>657</v>
      </c>
      <c r="X961" t="s">
        <v>6355</v>
      </c>
      <c r="Y961" t="s">
        <v>6356</v>
      </c>
      <c r="Z961" t="s">
        <v>3623</v>
      </c>
      <c r="AA961" t="s">
        <v>5071</v>
      </c>
      <c r="AC961">
        <v>99095</v>
      </c>
      <c r="AD961" t="s">
        <v>701</v>
      </c>
      <c r="AE961">
        <v>-36.636922939999998</v>
      </c>
      <c r="AF961">
        <v>174.74884180999999</v>
      </c>
      <c r="AG961">
        <v>30</v>
      </c>
      <c r="AH961">
        <v>0</v>
      </c>
      <c r="AI961">
        <v>0</v>
      </c>
      <c r="AJ961">
        <v>0</v>
      </c>
      <c r="AK961">
        <v>5</v>
      </c>
      <c r="AL961">
        <v>10</v>
      </c>
      <c r="AM961">
        <v>16</v>
      </c>
      <c r="AN961">
        <v>3</v>
      </c>
      <c r="AO961">
        <v>34</v>
      </c>
      <c r="AP961">
        <v>31</v>
      </c>
      <c r="AQ961">
        <v>5</v>
      </c>
      <c r="AR961">
        <v>2</v>
      </c>
      <c r="AS961">
        <v>2</v>
      </c>
      <c r="AT961">
        <v>2</v>
      </c>
    </row>
    <row r="962" spans="1:46">
      <c r="A962">
        <v>20191</v>
      </c>
      <c r="B962" t="s">
        <v>6357</v>
      </c>
      <c r="C962" t="s">
        <v>6358</v>
      </c>
      <c r="D962" t="s">
        <v>6359</v>
      </c>
      <c r="E962" t="s">
        <v>6360</v>
      </c>
      <c r="F962" t="s">
        <v>4747</v>
      </c>
      <c r="G962" t="s">
        <v>652</v>
      </c>
      <c r="H962" t="s">
        <v>3942</v>
      </c>
      <c r="J962" t="s">
        <v>518</v>
      </c>
      <c r="K962" t="s">
        <v>519</v>
      </c>
      <c r="M962" t="s">
        <v>520</v>
      </c>
      <c r="N962" t="s">
        <v>571</v>
      </c>
      <c r="O962" t="s">
        <v>873</v>
      </c>
      <c r="P962" t="s">
        <v>654</v>
      </c>
      <c r="Q962" t="s">
        <v>638</v>
      </c>
      <c r="R962" t="s">
        <v>639</v>
      </c>
      <c r="S962" t="s">
        <v>770</v>
      </c>
      <c r="T962" t="s">
        <v>709</v>
      </c>
      <c r="U962">
        <v>134600</v>
      </c>
      <c r="V962" t="s">
        <v>6361</v>
      </c>
      <c r="W962" t="s">
        <v>815</v>
      </c>
      <c r="X962" t="s">
        <v>6362</v>
      </c>
      <c r="Y962" t="s">
        <v>6363</v>
      </c>
      <c r="Z962" t="s">
        <v>4747</v>
      </c>
      <c r="AA962" t="s">
        <v>4320</v>
      </c>
      <c r="AC962">
        <v>99062</v>
      </c>
      <c r="AD962" t="s">
        <v>893</v>
      </c>
      <c r="AE962">
        <v>-36.951613700000003</v>
      </c>
      <c r="AF962">
        <v>174.63131910999999</v>
      </c>
      <c r="AG962">
        <v>30</v>
      </c>
      <c r="AH962">
        <v>0</v>
      </c>
      <c r="AI962">
        <v>0</v>
      </c>
      <c r="AJ962">
        <v>0</v>
      </c>
      <c r="AK962">
        <v>6</v>
      </c>
      <c r="AL962">
        <v>17</v>
      </c>
      <c r="AM962">
        <v>12</v>
      </c>
      <c r="AN962">
        <v>3</v>
      </c>
      <c r="AO962">
        <v>38</v>
      </c>
      <c r="AP962">
        <v>34</v>
      </c>
      <c r="AQ962">
        <v>4</v>
      </c>
      <c r="AR962">
        <v>3</v>
      </c>
      <c r="AS962">
        <v>4</v>
      </c>
      <c r="AT962">
        <v>3</v>
      </c>
    </row>
    <row r="963" spans="1:46">
      <c r="A963">
        <v>20195</v>
      </c>
      <c r="B963" t="s">
        <v>6364</v>
      </c>
      <c r="C963" t="s">
        <v>6365</v>
      </c>
      <c r="D963" t="s">
        <v>6366</v>
      </c>
      <c r="E963" t="s">
        <v>6367</v>
      </c>
      <c r="F963" t="s">
        <v>847</v>
      </c>
      <c r="G963" t="s">
        <v>652</v>
      </c>
      <c r="H963" t="s">
        <v>4716</v>
      </c>
      <c r="J963" t="s">
        <v>518</v>
      </c>
      <c r="K963" t="s">
        <v>519</v>
      </c>
      <c r="M963" t="s">
        <v>520</v>
      </c>
      <c r="N963" t="s">
        <v>571</v>
      </c>
      <c r="O963" t="s">
        <v>848</v>
      </c>
      <c r="P963" t="s">
        <v>654</v>
      </c>
      <c r="Q963" t="s">
        <v>638</v>
      </c>
      <c r="R963" t="s">
        <v>729</v>
      </c>
      <c r="S963" t="s">
        <v>849</v>
      </c>
      <c r="T963" t="s">
        <v>709</v>
      </c>
      <c r="U963">
        <v>150200</v>
      </c>
      <c r="V963" t="s">
        <v>940</v>
      </c>
      <c r="W963" t="s">
        <v>732</v>
      </c>
      <c r="X963" t="s">
        <v>6368</v>
      </c>
      <c r="Y963" t="s">
        <v>6369</v>
      </c>
      <c r="Z963" t="s">
        <v>4555</v>
      </c>
      <c r="AA963" t="s">
        <v>4556</v>
      </c>
      <c r="AB963" t="s">
        <v>6370</v>
      </c>
      <c r="AE963">
        <v>-36.970943439999999</v>
      </c>
      <c r="AF963">
        <v>174.79636905999999</v>
      </c>
      <c r="AG963">
        <v>60</v>
      </c>
      <c r="AH963">
        <v>60</v>
      </c>
      <c r="AI963">
        <v>3</v>
      </c>
      <c r="AJ963">
        <v>7</v>
      </c>
      <c r="AK963">
        <v>12</v>
      </c>
      <c r="AL963">
        <v>6</v>
      </c>
      <c r="AM963">
        <v>9</v>
      </c>
      <c r="AN963">
        <v>0</v>
      </c>
      <c r="AO963">
        <v>37</v>
      </c>
      <c r="AP963">
        <v>32</v>
      </c>
      <c r="AQ963">
        <v>7</v>
      </c>
      <c r="AR963">
        <v>5</v>
      </c>
      <c r="AS963">
        <v>8</v>
      </c>
      <c r="AT963">
        <v>2</v>
      </c>
    </row>
    <row r="964" spans="1:46">
      <c r="A964">
        <v>20197</v>
      </c>
      <c r="B964" t="s">
        <v>6371</v>
      </c>
      <c r="C964" t="s">
        <v>6372</v>
      </c>
      <c r="D964" t="s">
        <v>6373</v>
      </c>
      <c r="E964" t="s">
        <v>6374</v>
      </c>
      <c r="F964" t="s">
        <v>1102</v>
      </c>
      <c r="G964" t="s">
        <v>652</v>
      </c>
      <c r="H964" t="s">
        <v>3942</v>
      </c>
      <c r="I964" t="s">
        <v>4165</v>
      </c>
      <c r="J964" t="s">
        <v>518</v>
      </c>
      <c r="K964" t="s">
        <v>519</v>
      </c>
      <c r="M964" t="s">
        <v>520</v>
      </c>
      <c r="N964" t="s">
        <v>571</v>
      </c>
      <c r="O964" t="s">
        <v>957</v>
      </c>
      <c r="P964" t="s">
        <v>654</v>
      </c>
      <c r="Q964" t="s">
        <v>638</v>
      </c>
      <c r="R964" t="s">
        <v>708</v>
      </c>
      <c r="S964" t="s">
        <v>958</v>
      </c>
      <c r="T964" t="s">
        <v>709</v>
      </c>
      <c r="U964">
        <v>131200</v>
      </c>
      <c r="V964" t="s">
        <v>1103</v>
      </c>
      <c r="W964" t="s">
        <v>959</v>
      </c>
      <c r="X964" t="s">
        <v>6375</v>
      </c>
      <c r="Y964" t="s">
        <v>6220</v>
      </c>
      <c r="Z964" t="s">
        <v>1102</v>
      </c>
      <c r="AA964" t="s">
        <v>4414</v>
      </c>
      <c r="AB964" t="s">
        <v>6372</v>
      </c>
      <c r="AE964">
        <v>-36.85625847</v>
      </c>
      <c r="AF964">
        <v>174.73980069999999</v>
      </c>
      <c r="AG964">
        <v>50</v>
      </c>
      <c r="AH964">
        <v>16</v>
      </c>
      <c r="AI964">
        <v>0</v>
      </c>
      <c r="AJ964">
        <v>13</v>
      </c>
      <c r="AK964">
        <v>10</v>
      </c>
      <c r="AL964">
        <v>11</v>
      </c>
      <c r="AM964">
        <v>15</v>
      </c>
      <c r="AN964">
        <v>0</v>
      </c>
      <c r="AO964">
        <v>49</v>
      </c>
      <c r="AP964">
        <v>16</v>
      </c>
      <c r="AQ964">
        <v>17</v>
      </c>
      <c r="AR964">
        <v>49</v>
      </c>
      <c r="AS964">
        <v>4</v>
      </c>
      <c r="AT964">
        <v>1</v>
      </c>
    </row>
    <row r="965" spans="1:46">
      <c r="A965">
        <v>20198</v>
      </c>
      <c r="B965" t="s">
        <v>6376</v>
      </c>
      <c r="C965" t="s">
        <v>6377</v>
      </c>
      <c r="D965" t="s">
        <v>6378</v>
      </c>
      <c r="E965" t="s">
        <v>6379</v>
      </c>
      <c r="F965" t="s">
        <v>3902</v>
      </c>
      <c r="G965" t="s">
        <v>652</v>
      </c>
      <c r="H965" t="s">
        <v>3942</v>
      </c>
      <c r="J965" t="s">
        <v>3962</v>
      </c>
      <c r="K965" t="s">
        <v>519</v>
      </c>
      <c r="M965" t="s">
        <v>520</v>
      </c>
      <c r="N965" t="s">
        <v>571</v>
      </c>
      <c r="O965" t="s">
        <v>1168</v>
      </c>
      <c r="P965" t="s">
        <v>654</v>
      </c>
      <c r="Q965" t="s">
        <v>638</v>
      </c>
      <c r="R965" t="s">
        <v>639</v>
      </c>
      <c r="S965" t="s">
        <v>739</v>
      </c>
      <c r="T965" t="s">
        <v>527</v>
      </c>
      <c r="U965">
        <v>118900</v>
      </c>
      <c r="V965" t="s">
        <v>3903</v>
      </c>
      <c r="W965" t="s">
        <v>657</v>
      </c>
      <c r="X965" t="s">
        <v>4096</v>
      </c>
      <c r="Y965" t="s">
        <v>4097</v>
      </c>
      <c r="Z965" t="s">
        <v>4098</v>
      </c>
      <c r="AA965" t="s">
        <v>4099</v>
      </c>
      <c r="AB965" t="s">
        <v>6380</v>
      </c>
      <c r="AE965">
        <v>-36.776252650000004</v>
      </c>
      <c r="AF965">
        <v>174.66998960999999</v>
      </c>
      <c r="AG965">
        <v>80</v>
      </c>
      <c r="AH965">
        <v>25</v>
      </c>
      <c r="AI965">
        <v>1</v>
      </c>
      <c r="AJ965">
        <v>14</v>
      </c>
      <c r="AK965">
        <v>15</v>
      </c>
      <c r="AL965">
        <v>13</v>
      </c>
      <c r="AM965">
        <v>10</v>
      </c>
      <c r="AN965">
        <v>0</v>
      </c>
      <c r="AO965">
        <v>53</v>
      </c>
      <c r="AP965">
        <v>44</v>
      </c>
      <c r="AQ965">
        <v>9</v>
      </c>
      <c r="AR965">
        <v>2</v>
      </c>
      <c r="AS965">
        <v>8</v>
      </c>
      <c r="AT965">
        <v>5</v>
      </c>
    </row>
    <row r="966" spans="1:46">
      <c r="A966">
        <v>20199</v>
      </c>
      <c r="B966" t="s">
        <v>6381</v>
      </c>
      <c r="C966" t="s">
        <v>6382</v>
      </c>
      <c r="D966" t="s">
        <v>6383</v>
      </c>
      <c r="E966" t="s">
        <v>6384</v>
      </c>
      <c r="G966" t="s">
        <v>6385</v>
      </c>
      <c r="H966" t="s">
        <v>3942</v>
      </c>
      <c r="I966" t="s">
        <v>4065</v>
      </c>
      <c r="J966" t="s">
        <v>3962</v>
      </c>
      <c r="K966" t="s">
        <v>519</v>
      </c>
      <c r="M966" t="s">
        <v>520</v>
      </c>
      <c r="N966" t="s">
        <v>571</v>
      </c>
      <c r="O966" t="s">
        <v>637</v>
      </c>
      <c r="P966" t="s">
        <v>572</v>
      </c>
      <c r="Q966" t="s">
        <v>638</v>
      </c>
      <c r="R966" t="s">
        <v>639</v>
      </c>
      <c r="S966" t="s">
        <v>640</v>
      </c>
      <c r="T966" t="s">
        <v>527</v>
      </c>
      <c r="U966">
        <v>116101</v>
      </c>
      <c r="V966" t="s">
        <v>4388</v>
      </c>
      <c r="W966" t="s">
        <v>641</v>
      </c>
      <c r="X966" t="s">
        <v>6386</v>
      </c>
      <c r="Y966" t="s">
        <v>6387</v>
      </c>
      <c r="Z966" t="s">
        <v>6385</v>
      </c>
      <c r="AA966" t="s">
        <v>6388</v>
      </c>
      <c r="AB966" t="s">
        <v>6389</v>
      </c>
      <c r="AE966">
        <v>-36.762891320000001</v>
      </c>
      <c r="AF966">
        <v>174.57999627999999</v>
      </c>
      <c r="AG966">
        <v>49</v>
      </c>
      <c r="AH966">
        <v>10</v>
      </c>
      <c r="AI966">
        <v>0</v>
      </c>
      <c r="AJ966">
        <v>4</v>
      </c>
      <c r="AK966">
        <v>8</v>
      </c>
      <c r="AL966">
        <v>7</v>
      </c>
      <c r="AM966">
        <v>16</v>
      </c>
      <c r="AN966">
        <v>3</v>
      </c>
      <c r="AO966">
        <v>38</v>
      </c>
      <c r="AP966">
        <v>28</v>
      </c>
      <c r="AQ966">
        <v>8</v>
      </c>
      <c r="AR966">
        <v>3</v>
      </c>
      <c r="AS966">
        <v>13</v>
      </c>
      <c r="AT966">
        <v>0</v>
      </c>
    </row>
    <row r="967" spans="1:46">
      <c r="A967">
        <v>20204</v>
      </c>
      <c r="B967" t="s">
        <v>6390</v>
      </c>
      <c r="C967" t="s">
        <v>6391</v>
      </c>
      <c r="D967" t="s">
        <v>6392</v>
      </c>
      <c r="E967" t="s">
        <v>6393</v>
      </c>
      <c r="F967" t="s">
        <v>1029</v>
      </c>
      <c r="G967" t="s">
        <v>652</v>
      </c>
      <c r="H967" t="s">
        <v>3942</v>
      </c>
      <c r="J967" t="s">
        <v>3962</v>
      </c>
      <c r="K967" t="s">
        <v>519</v>
      </c>
      <c r="M967" t="s">
        <v>520</v>
      </c>
      <c r="N967" t="s">
        <v>571</v>
      </c>
      <c r="O967" t="s">
        <v>829</v>
      </c>
      <c r="P967" t="s">
        <v>654</v>
      </c>
      <c r="Q967" t="s">
        <v>638</v>
      </c>
      <c r="R967" t="s">
        <v>708</v>
      </c>
      <c r="S967" t="s">
        <v>805</v>
      </c>
      <c r="T967" t="s">
        <v>709</v>
      </c>
      <c r="U967">
        <v>146600</v>
      </c>
      <c r="V967" t="s">
        <v>4270</v>
      </c>
      <c r="W967" t="s">
        <v>807</v>
      </c>
      <c r="X967" t="s">
        <v>4096</v>
      </c>
      <c r="Y967" t="s">
        <v>4097</v>
      </c>
      <c r="Z967" t="s">
        <v>4098</v>
      </c>
      <c r="AA967" t="s">
        <v>4099</v>
      </c>
      <c r="AB967" t="s">
        <v>4100</v>
      </c>
      <c r="AE967">
        <v>-36.912706010000001</v>
      </c>
      <c r="AF967">
        <v>174.82532305000001</v>
      </c>
      <c r="AG967">
        <v>70</v>
      </c>
      <c r="AH967">
        <v>25</v>
      </c>
      <c r="AI967">
        <v>2</v>
      </c>
      <c r="AJ967">
        <v>14</v>
      </c>
      <c r="AK967">
        <v>15</v>
      </c>
      <c r="AL967">
        <v>9</v>
      </c>
      <c r="AM967">
        <v>14</v>
      </c>
      <c r="AN967">
        <v>0</v>
      </c>
      <c r="AO967">
        <v>54</v>
      </c>
      <c r="AP967">
        <v>28</v>
      </c>
      <c r="AQ967">
        <v>7</v>
      </c>
      <c r="AR967">
        <v>11</v>
      </c>
      <c r="AS967">
        <v>23</v>
      </c>
      <c r="AT967">
        <v>3</v>
      </c>
    </row>
    <row r="968" spans="1:46">
      <c r="A968">
        <v>20206</v>
      </c>
      <c r="B968" t="s">
        <v>6394</v>
      </c>
      <c r="C968" t="s">
        <v>4248</v>
      </c>
      <c r="D968" t="s">
        <v>6395</v>
      </c>
      <c r="E968" t="s">
        <v>6396</v>
      </c>
      <c r="F968" t="s">
        <v>5207</v>
      </c>
      <c r="G968" t="s">
        <v>652</v>
      </c>
      <c r="H968" t="s">
        <v>3942</v>
      </c>
      <c r="J968" t="s">
        <v>3962</v>
      </c>
      <c r="K968" t="s">
        <v>519</v>
      </c>
      <c r="M968" t="s">
        <v>520</v>
      </c>
      <c r="N968" t="s">
        <v>571</v>
      </c>
      <c r="O968" t="s">
        <v>957</v>
      </c>
      <c r="P968" t="s">
        <v>654</v>
      </c>
      <c r="Q968" t="s">
        <v>638</v>
      </c>
      <c r="R968" t="s">
        <v>708</v>
      </c>
      <c r="S968" t="s">
        <v>958</v>
      </c>
      <c r="T968" t="s">
        <v>709</v>
      </c>
      <c r="U968">
        <v>131801</v>
      </c>
      <c r="V968" t="s">
        <v>956</v>
      </c>
      <c r="W968" t="s">
        <v>959</v>
      </c>
      <c r="X968" t="s">
        <v>6397</v>
      </c>
      <c r="Y968" t="s">
        <v>6398</v>
      </c>
      <c r="Z968" t="s">
        <v>5104</v>
      </c>
      <c r="AA968" t="s">
        <v>5000</v>
      </c>
      <c r="AB968" t="s">
        <v>6399</v>
      </c>
      <c r="AE968">
        <v>-36.857167089999997</v>
      </c>
      <c r="AF968">
        <v>174.75365705999999</v>
      </c>
      <c r="AG968">
        <v>32</v>
      </c>
      <c r="AH968">
        <v>12</v>
      </c>
      <c r="AI968">
        <v>0</v>
      </c>
      <c r="AJ968">
        <v>0</v>
      </c>
      <c r="AK968">
        <v>9</v>
      </c>
      <c r="AL968">
        <v>6</v>
      </c>
      <c r="AM968">
        <v>1</v>
      </c>
      <c r="AN968">
        <v>0</v>
      </c>
      <c r="AO968">
        <v>16</v>
      </c>
      <c r="AP968">
        <v>11</v>
      </c>
      <c r="AQ968">
        <v>3</v>
      </c>
      <c r="AR968">
        <v>3</v>
      </c>
      <c r="AS968">
        <v>4</v>
      </c>
      <c r="AT968">
        <v>2</v>
      </c>
    </row>
    <row r="969" spans="1:46">
      <c r="A969">
        <v>20213</v>
      </c>
      <c r="B969" t="s">
        <v>6400</v>
      </c>
      <c r="C969" t="s">
        <v>6401</v>
      </c>
      <c r="D969" t="s">
        <v>6402</v>
      </c>
      <c r="E969" t="s">
        <v>6367</v>
      </c>
      <c r="F969" t="s">
        <v>847</v>
      </c>
      <c r="G969" t="s">
        <v>652</v>
      </c>
      <c r="H969" t="s">
        <v>4716</v>
      </c>
      <c r="J969" t="s">
        <v>518</v>
      </c>
      <c r="K969" t="s">
        <v>519</v>
      </c>
      <c r="M969" t="s">
        <v>520</v>
      </c>
      <c r="N969" t="s">
        <v>571</v>
      </c>
      <c r="O969" t="s">
        <v>848</v>
      </c>
      <c r="P969" t="s">
        <v>654</v>
      </c>
      <c r="Q969" t="s">
        <v>638</v>
      </c>
      <c r="R969" t="s">
        <v>729</v>
      </c>
      <c r="S969" t="s">
        <v>849</v>
      </c>
      <c r="T969" t="s">
        <v>709</v>
      </c>
      <c r="U969">
        <v>150200</v>
      </c>
      <c r="V969" t="s">
        <v>940</v>
      </c>
      <c r="W969" t="s">
        <v>732</v>
      </c>
      <c r="X969" t="s">
        <v>6368</v>
      </c>
      <c r="Y969" t="s">
        <v>6369</v>
      </c>
      <c r="Z969" t="s">
        <v>4555</v>
      </c>
      <c r="AA969" t="s">
        <v>4556</v>
      </c>
      <c r="AB969" t="s">
        <v>6370</v>
      </c>
      <c r="AE969">
        <v>-36.970943439999999</v>
      </c>
      <c r="AF969">
        <v>174.79636908000001</v>
      </c>
      <c r="AG969">
        <v>0</v>
      </c>
      <c r="AH969">
        <v>0</v>
      </c>
      <c r="AI969">
        <v>3</v>
      </c>
      <c r="AJ969">
        <v>10</v>
      </c>
      <c r="AK969">
        <v>12</v>
      </c>
      <c r="AL969">
        <v>5</v>
      </c>
      <c r="AM969">
        <v>2</v>
      </c>
      <c r="AN969">
        <v>0</v>
      </c>
      <c r="AO969">
        <v>32</v>
      </c>
      <c r="AP969">
        <v>22</v>
      </c>
      <c r="AQ969">
        <v>5</v>
      </c>
      <c r="AR969">
        <v>2</v>
      </c>
      <c r="AS969">
        <v>9</v>
      </c>
      <c r="AT969">
        <v>1</v>
      </c>
    </row>
    <row r="970" spans="1:46">
      <c r="A970">
        <v>20222</v>
      </c>
      <c r="B970" t="s">
        <v>6403</v>
      </c>
      <c r="C970" t="s">
        <v>6404</v>
      </c>
      <c r="D970" t="s">
        <v>4789</v>
      </c>
      <c r="E970" t="s">
        <v>6405</v>
      </c>
      <c r="F970" t="s">
        <v>778</v>
      </c>
      <c r="G970" t="s">
        <v>652</v>
      </c>
      <c r="H970" t="s">
        <v>3942</v>
      </c>
      <c r="J970" t="s">
        <v>3962</v>
      </c>
      <c r="K970" t="s">
        <v>519</v>
      </c>
      <c r="M970" t="s">
        <v>520</v>
      </c>
      <c r="N970" t="s">
        <v>571</v>
      </c>
      <c r="O970" t="s">
        <v>707</v>
      </c>
      <c r="P970" t="s">
        <v>654</v>
      </c>
      <c r="Q970" t="s">
        <v>638</v>
      </c>
      <c r="R970" t="s">
        <v>729</v>
      </c>
      <c r="S970" t="s">
        <v>778</v>
      </c>
      <c r="T970" t="s">
        <v>709</v>
      </c>
      <c r="U970">
        <v>157500</v>
      </c>
      <c r="V970" t="s">
        <v>6406</v>
      </c>
      <c r="W970" t="s">
        <v>711</v>
      </c>
      <c r="X970" t="s">
        <v>4792</v>
      </c>
      <c r="Y970" t="s">
        <v>6407</v>
      </c>
      <c r="Z970" t="s">
        <v>6408</v>
      </c>
      <c r="AA970" t="s">
        <v>6409</v>
      </c>
      <c r="AB970" t="s">
        <v>4796</v>
      </c>
      <c r="AC970">
        <v>99189</v>
      </c>
      <c r="AD970" t="s">
        <v>4447</v>
      </c>
      <c r="AE970">
        <v>-36.965232790000002</v>
      </c>
      <c r="AF970">
        <v>174.90230941999999</v>
      </c>
      <c r="AG970">
        <v>75</v>
      </c>
      <c r="AH970">
        <v>35</v>
      </c>
      <c r="AI970">
        <v>2</v>
      </c>
      <c r="AJ970">
        <v>9</v>
      </c>
      <c r="AK970">
        <v>17</v>
      </c>
      <c r="AL970">
        <v>10</v>
      </c>
      <c r="AM970">
        <v>27</v>
      </c>
      <c r="AN970">
        <v>3</v>
      </c>
      <c r="AO970">
        <v>68</v>
      </c>
      <c r="AP970">
        <v>19</v>
      </c>
      <c r="AQ970">
        <v>5</v>
      </c>
      <c r="AR970">
        <v>11</v>
      </c>
      <c r="AS970">
        <v>51</v>
      </c>
      <c r="AT970">
        <v>0</v>
      </c>
    </row>
    <row r="971" spans="1:46">
      <c r="A971">
        <v>20223</v>
      </c>
      <c r="B971" t="s">
        <v>6410</v>
      </c>
      <c r="C971" t="s">
        <v>6411</v>
      </c>
      <c r="E971" t="s">
        <v>6412</v>
      </c>
      <c r="G971" t="s">
        <v>5542</v>
      </c>
      <c r="H971" t="s">
        <v>3942</v>
      </c>
      <c r="J971" t="s">
        <v>3962</v>
      </c>
      <c r="K971" t="s">
        <v>519</v>
      </c>
      <c r="M971" t="s">
        <v>520</v>
      </c>
      <c r="N971" t="s">
        <v>571</v>
      </c>
      <c r="O971" t="s">
        <v>583</v>
      </c>
      <c r="P971" t="s">
        <v>523</v>
      </c>
      <c r="Q971" t="s">
        <v>524</v>
      </c>
      <c r="R971" t="s">
        <v>525</v>
      </c>
      <c r="S971" t="s">
        <v>585</v>
      </c>
      <c r="T971" t="s">
        <v>527</v>
      </c>
      <c r="U971">
        <v>108800</v>
      </c>
      <c r="V971" t="s">
        <v>3741</v>
      </c>
      <c r="W971" t="s">
        <v>618</v>
      </c>
      <c r="X971" t="s">
        <v>6413</v>
      </c>
      <c r="Y971" t="s">
        <v>4107</v>
      </c>
      <c r="AA971" t="s">
        <v>3982</v>
      </c>
      <c r="AB971" t="s">
        <v>6414</v>
      </c>
      <c r="AC971">
        <v>99184</v>
      </c>
      <c r="AD971" t="s">
        <v>3742</v>
      </c>
      <c r="AE971">
        <v>-35.904101969999999</v>
      </c>
      <c r="AF971">
        <v>174.4492377</v>
      </c>
      <c r="AG971">
        <v>58</v>
      </c>
      <c r="AH971">
        <v>25</v>
      </c>
      <c r="AI971">
        <v>1</v>
      </c>
      <c r="AJ971">
        <v>6</v>
      </c>
      <c r="AK971">
        <v>11</v>
      </c>
      <c r="AL971">
        <v>11</v>
      </c>
      <c r="AM971">
        <v>19</v>
      </c>
      <c r="AN971">
        <v>0</v>
      </c>
      <c r="AO971">
        <v>48</v>
      </c>
      <c r="AP971">
        <v>36</v>
      </c>
      <c r="AQ971">
        <v>11</v>
      </c>
      <c r="AR971">
        <v>3</v>
      </c>
      <c r="AS971">
        <v>3</v>
      </c>
      <c r="AT971">
        <v>3</v>
      </c>
    </row>
    <row r="972" spans="1:46">
      <c r="A972">
        <v>20225</v>
      </c>
      <c r="B972" t="s">
        <v>6415</v>
      </c>
      <c r="C972" t="s">
        <v>6416</v>
      </c>
      <c r="D972" t="s">
        <v>6417</v>
      </c>
      <c r="E972" t="s">
        <v>6418</v>
      </c>
      <c r="F972" t="s">
        <v>1366</v>
      </c>
      <c r="G972" t="s">
        <v>652</v>
      </c>
      <c r="H972" t="s">
        <v>3942</v>
      </c>
      <c r="J972" t="s">
        <v>3962</v>
      </c>
      <c r="K972" t="s">
        <v>519</v>
      </c>
      <c r="M972" t="s">
        <v>520</v>
      </c>
      <c r="N972" t="s">
        <v>571</v>
      </c>
      <c r="O972" t="s">
        <v>738</v>
      </c>
      <c r="P972" t="s">
        <v>654</v>
      </c>
      <c r="Q972" t="s">
        <v>638</v>
      </c>
      <c r="R972" t="s">
        <v>639</v>
      </c>
      <c r="S972" t="s">
        <v>756</v>
      </c>
      <c r="T972" t="s">
        <v>527</v>
      </c>
      <c r="U972">
        <v>125600</v>
      </c>
      <c r="V972" t="s">
        <v>6419</v>
      </c>
      <c r="W972" t="s">
        <v>741</v>
      </c>
      <c r="X972" t="s">
        <v>6420</v>
      </c>
      <c r="Y972" t="s">
        <v>6421</v>
      </c>
      <c r="Z972" t="s">
        <v>717</v>
      </c>
      <c r="AA972" t="s">
        <v>4333</v>
      </c>
      <c r="AB972" t="s">
        <v>6422</v>
      </c>
      <c r="AE972">
        <v>-36.790813900000003</v>
      </c>
      <c r="AF972">
        <v>174.72920350000001</v>
      </c>
      <c r="AG972">
        <v>45</v>
      </c>
      <c r="AH972">
        <v>16</v>
      </c>
      <c r="AI972">
        <v>5</v>
      </c>
      <c r="AJ972">
        <v>12</v>
      </c>
      <c r="AK972">
        <v>13</v>
      </c>
      <c r="AL972">
        <v>15</v>
      </c>
      <c r="AM972">
        <v>9</v>
      </c>
      <c r="AN972">
        <v>0</v>
      </c>
      <c r="AO972">
        <v>54</v>
      </c>
      <c r="AP972">
        <v>43</v>
      </c>
      <c r="AQ972">
        <v>10</v>
      </c>
      <c r="AR972">
        <v>2</v>
      </c>
      <c r="AS972">
        <v>15</v>
      </c>
      <c r="AT972">
        <v>1</v>
      </c>
    </row>
    <row r="973" spans="1:46">
      <c r="A973">
        <v>20226</v>
      </c>
      <c r="B973" t="s">
        <v>6423</v>
      </c>
      <c r="C973" t="s">
        <v>6424</v>
      </c>
      <c r="D973" t="s">
        <v>6425</v>
      </c>
      <c r="E973" t="s">
        <v>6426</v>
      </c>
      <c r="F973" t="s">
        <v>681</v>
      </c>
      <c r="G973" t="s">
        <v>652</v>
      </c>
      <c r="H973" t="s">
        <v>3942</v>
      </c>
      <c r="J973" t="s">
        <v>3962</v>
      </c>
      <c r="K973" t="s">
        <v>519</v>
      </c>
      <c r="M973" t="s">
        <v>520</v>
      </c>
      <c r="N973" t="s">
        <v>571</v>
      </c>
      <c r="O973" t="s">
        <v>653</v>
      </c>
      <c r="P973" t="s">
        <v>654</v>
      </c>
      <c r="Q973" t="s">
        <v>638</v>
      </c>
      <c r="R973" t="s">
        <v>639</v>
      </c>
      <c r="S973" t="s">
        <v>682</v>
      </c>
      <c r="T973" t="s">
        <v>527</v>
      </c>
      <c r="U973">
        <v>120000</v>
      </c>
      <c r="V973" t="s">
        <v>6095</v>
      </c>
      <c r="W973" t="s">
        <v>657</v>
      </c>
      <c r="X973" t="s">
        <v>6427</v>
      </c>
      <c r="Y973" t="s">
        <v>6428</v>
      </c>
      <c r="Z973" t="s">
        <v>6037</v>
      </c>
      <c r="AA973" t="s">
        <v>6038</v>
      </c>
      <c r="AB973" t="s">
        <v>6429</v>
      </c>
      <c r="AC973">
        <v>99000</v>
      </c>
      <c r="AD973" t="s">
        <v>684</v>
      </c>
      <c r="AE973">
        <v>-36.735345340000002</v>
      </c>
      <c r="AF973">
        <v>174.75010415</v>
      </c>
      <c r="AG973">
        <v>30</v>
      </c>
      <c r="AH973">
        <v>25</v>
      </c>
      <c r="AI973">
        <v>4</v>
      </c>
      <c r="AJ973">
        <v>18</v>
      </c>
      <c r="AK973">
        <v>17</v>
      </c>
      <c r="AL973">
        <v>1</v>
      </c>
      <c r="AM973">
        <v>0</v>
      </c>
      <c r="AN973">
        <v>0</v>
      </c>
      <c r="AO973">
        <v>40</v>
      </c>
      <c r="AP973">
        <v>37</v>
      </c>
      <c r="AQ973">
        <v>4</v>
      </c>
      <c r="AR973">
        <v>1</v>
      </c>
      <c r="AS973">
        <v>3</v>
      </c>
      <c r="AT973">
        <v>3</v>
      </c>
    </row>
    <row r="974" spans="1:46">
      <c r="A974">
        <v>20228</v>
      </c>
      <c r="B974" t="s">
        <v>6430</v>
      </c>
      <c r="E974" t="s">
        <v>6431</v>
      </c>
      <c r="F974" t="s">
        <v>4031</v>
      </c>
      <c r="G974" t="s">
        <v>652</v>
      </c>
      <c r="H974" t="s">
        <v>4032</v>
      </c>
      <c r="I974" t="s">
        <v>4033</v>
      </c>
      <c r="J974" t="s">
        <v>518</v>
      </c>
      <c r="K974" t="s">
        <v>519</v>
      </c>
      <c r="M974" t="s">
        <v>520</v>
      </c>
      <c r="N974" t="s">
        <v>727</v>
      </c>
      <c r="O974" t="s">
        <v>957</v>
      </c>
      <c r="P974" t="s">
        <v>654</v>
      </c>
      <c r="Q974" t="s">
        <v>638</v>
      </c>
      <c r="R974" t="s">
        <v>708</v>
      </c>
      <c r="S974" t="s">
        <v>958</v>
      </c>
      <c r="T974" t="s">
        <v>709</v>
      </c>
      <c r="U974">
        <v>136100</v>
      </c>
      <c r="V974" t="s">
        <v>4031</v>
      </c>
      <c r="W974" t="s">
        <v>824</v>
      </c>
      <c r="X974" t="s">
        <v>4034</v>
      </c>
      <c r="Y974" t="s">
        <v>4035</v>
      </c>
      <c r="Z974" t="s">
        <v>4036</v>
      </c>
      <c r="AA974" t="s">
        <v>4037</v>
      </c>
      <c r="AB974" t="s">
        <v>4038</v>
      </c>
      <c r="AC974">
        <v>99188</v>
      </c>
      <c r="AD974" t="s">
        <v>786</v>
      </c>
      <c r="AE974">
        <v>-36.860652289999997</v>
      </c>
      <c r="AF974">
        <v>174.76956178</v>
      </c>
      <c r="AG974">
        <v>25</v>
      </c>
      <c r="AH974">
        <v>25</v>
      </c>
    </row>
    <row r="975" spans="1:46">
      <c r="A975">
        <v>20229</v>
      </c>
      <c r="B975" t="s">
        <v>6432</v>
      </c>
      <c r="C975" t="s">
        <v>6266</v>
      </c>
      <c r="E975" t="s">
        <v>6267</v>
      </c>
      <c r="F975" t="s">
        <v>3706</v>
      </c>
      <c r="G975" t="s">
        <v>652</v>
      </c>
      <c r="H975" t="s">
        <v>4716</v>
      </c>
      <c r="J975" t="s">
        <v>3962</v>
      </c>
      <c r="K975" t="s">
        <v>519</v>
      </c>
      <c r="M975" t="s">
        <v>520</v>
      </c>
      <c r="N975" t="s">
        <v>571</v>
      </c>
      <c r="O975" t="s">
        <v>1168</v>
      </c>
      <c r="P975" t="s">
        <v>654</v>
      </c>
      <c r="Q975" t="s">
        <v>638</v>
      </c>
      <c r="R975" t="s">
        <v>639</v>
      </c>
      <c r="S975" t="s">
        <v>655</v>
      </c>
      <c r="T975" t="s">
        <v>527</v>
      </c>
      <c r="U975">
        <v>117300</v>
      </c>
      <c r="V975" t="s">
        <v>5703</v>
      </c>
      <c r="W975" t="s">
        <v>657</v>
      </c>
      <c r="X975" t="s">
        <v>6268</v>
      </c>
      <c r="Y975" t="s">
        <v>6269</v>
      </c>
      <c r="Z975" t="s">
        <v>3706</v>
      </c>
      <c r="AA975" t="s">
        <v>6270</v>
      </c>
      <c r="AB975" t="s">
        <v>6271</v>
      </c>
      <c r="AE975">
        <v>-36.733572909999999</v>
      </c>
      <c r="AF975">
        <v>174.71022905000001</v>
      </c>
      <c r="AG975">
        <v>80</v>
      </c>
      <c r="AH975">
        <v>80</v>
      </c>
      <c r="AI975">
        <v>2</v>
      </c>
      <c r="AJ975">
        <v>22</v>
      </c>
      <c r="AK975">
        <v>14</v>
      </c>
      <c r="AL975">
        <v>15</v>
      </c>
      <c r="AM975">
        <v>10</v>
      </c>
      <c r="AN975">
        <v>1</v>
      </c>
      <c r="AO975">
        <v>64</v>
      </c>
      <c r="AP975">
        <v>44</v>
      </c>
      <c r="AQ975">
        <v>6</v>
      </c>
      <c r="AR975">
        <v>15</v>
      </c>
      <c r="AS975">
        <v>8</v>
      </c>
      <c r="AT975">
        <v>2</v>
      </c>
    </row>
    <row r="976" spans="1:46">
      <c r="A976">
        <v>20231</v>
      </c>
      <c r="B976" t="s">
        <v>6433</v>
      </c>
      <c r="C976" t="s">
        <v>6434</v>
      </c>
      <c r="D976" t="s">
        <v>6435</v>
      </c>
      <c r="E976" t="s">
        <v>6436</v>
      </c>
      <c r="F976" t="s">
        <v>737</v>
      </c>
      <c r="G976" t="s">
        <v>652</v>
      </c>
      <c r="H976" t="s">
        <v>3942</v>
      </c>
      <c r="J976" t="s">
        <v>3962</v>
      </c>
      <c r="K976" t="s">
        <v>519</v>
      </c>
      <c r="M976" t="s">
        <v>520</v>
      </c>
      <c r="N976" t="s">
        <v>571</v>
      </c>
      <c r="O976" t="s">
        <v>738</v>
      </c>
      <c r="P976" t="s">
        <v>654</v>
      </c>
      <c r="Q976" t="s">
        <v>638</v>
      </c>
      <c r="R976" t="s">
        <v>639</v>
      </c>
      <c r="S976" t="s">
        <v>739</v>
      </c>
      <c r="T976" t="s">
        <v>527</v>
      </c>
      <c r="U976">
        <v>121901</v>
      </c>
      <c r="V976" t="s">
        <v>6437</v>
      </c>
      <c r="W976" t="s">
        <v>741</v>
      </c>
      <c r="X976" t="s">
        <v>6438</v>
      </c>
      <c r="Y976" t="s">
        <v>4658</v>
      </c>
      <c r="Z976" t="s">
        <v>958</v>
      </c>
      <c r="AA976" t="s">
        <v>4659</v>
      </c>
      <c r="AB976" t="s">
        <v>6439</v>
      </c>
      <c r="AE976">
        <v>-36.766028249999998</v>
      </c>
      <c r="AF976">
        <v>174.72794535</v>
      </c>
      <c r="AG976">
        <v>53</v>
      </c>
      <c r="AH976">
        <v>23</v>
      </c>
      <c r="AI976">
        <v>2</v>
      </c>
      <c r="AJ976">
        <v>11</v>
      </c>
      <c r="AK976">
        <v>26</v>
      </c>
      <c r="AL976">
        <v>7</v>
      </c>
      <c r="AM976">
        <v>0</v>
      </c>
      <c r="AN976">
        <v>0</v>
      </c>
      <c r="AO976">
        <v>46</v>
      </c>
      <c r="AP976">
        <v>33</v>
      </c>
      <c r="AQ976">
        <v>8</v>
      </c>
      <c r="AR976">
        <v>3</v>
      </c>
      <c r="AS976">
        <v>16</v>
      </c>
      <c r="AT976">
        <v>4</v>
      </c>
    </row>
    <row r="977" spans="1:46">
      <c r="A977">
        <v>20233</v>
      </c>
      <c r="B977" t="s">
        <v>6440</v>
      </c>
      <c r="C977" t="s">
        <v>6441</v>
      </c>
      <c r="E977" t="s">
        <v>6442</v>
      </c>
      <c r="F977" t="s">
        <v>3706</v>
      </c>
      <c r="G977" t="s">
        <v>4326</v>
      </c>
      <c r="H977" t="s">
        <v>3942</v>
      </c>
      <c r="J977" t="s">
        <v>518</v>
      </c>
      <c r="K977" t="s">
        <v>519</v>
      </c>
      <c r="M977" t="s">
        <v>520</v>
      </c>
      <c r="N977" t="s">
        <v>571</v>
      </c>
      <c r="O977" t="s">
        <v>1168</v>
      </c>
      <c r="P977" t="s">
        <v>654</v>
      </c>
      <c r="Q977" t="s">
        <v>638</v>
      </c>
      <c r="R977" t="s">
        <v>639</v>
      </c>
      <c r="S977" t="s">
        <v>655</v>
      </c>
      <c r="T977" t="s">
        <v>527</v>
      </c>
      <c r="U977">
        <v>117300</v>
      </c>
      <c r="V977" t="s">
        <v>5703</v>
      </c>
      <c r="W977" t="s">
        <v>657</v>
      </c>
      <c r="X977" t="s">
        <v>3943</v>
      </c>
      <c r="Y977" t="s">
        <v>3944</v>
      </c>
      <c r="Z977" t="s">
        <v>3945</v>
      </c>
      <c r="AA977" t="s">
        <v>3946</v>
      </c>
      <c r="AB977" t="s">
        <v>3947</v>
      </c>
      <c r="AC977">
        <v>99121</v>
      </c>
      <c r="AD977" t="s">
        <v>662</v>
      </c>
      <c r="AE977">
        <v>-36.728310870000001</v>
      </c>
      <c r="AF977">
        <v>174.70844919999999</v>
      </c>
      <c r="AG977">
        <v>58</v>
      </c>
      <c r="AH977">
        <v>20</v>
      </c>
      <c r="AI977">
        <v>4</v>
      </c>
      <c r="AJ977">
        <v>10</v>
      </c>
      <c r="AK977">
        <v>16</v>
      </c>
      <c r="AL977">
        <v>18</v>
      </c>
      <c r="AM977">
        <v>8</v>
      </c>
      <c r="AN977">
        <v>1</v>
      </c>
      <c r="AO977">
        <v>57</v>
      </c>
      <c r="AP977">
        <v>20</v>
      </c>
      <c r="AQ977">
        <v>4</v>
      </c>
      <c r="AR977">
        <v>2</v>
      </c>
      <c r="AS977">
        <v>30</v>
      </c>
      <c r="AT977">
        <v>14</v>
      </c>
    </row>
    <row r="978" spans="1:46">
      <c r="A978">
        <v>20236</v>
      </c>
      <c r="B978" t="s">
        <v>6443</v>
      </c>
      <c r="C978" t="s">
        <v>6444</v>
      </c>
      <c r="D978" t="s">
        <v>6445</v>
      </c>
      <c r="E978" t="s">
        <v>6446</v>
      </c>
      <c r="F978" t="s">
        <v>737</v>
      </c>
      <c r="G978" t="s">
        <v>652</v>
      </c>
      <c r="H978" t="s">
        <v>3942</v>
      </c>
      <c r="J978" t="s">
        <v>518</v>
      </c>
      <c r="K978" t="s">
        <v>519</v>
      </c>
      <c r="M978" t="s">
        <v>520</v>
      </c>
      <c r="N978" t="s">
        <v>571</v>
      </c>
      <c r="O978" t="s">
        <v>738</v>
      </c>
      <c r="P978" t="s">
        <v>654</v>
      </c>
      <c r="Q978" t="s">
        <v>638</v>
      </c>
      <c r="R978" t="s">
        <v>639</v>
      </c>
      <c r="S978" t="s">
        <v>739</v>
      </c>
      <c r="T978" t="s">
        <v>527</v>
      </c>
      <c r="U978">
        <v>122101</v>
      </c>
      <c r="V978" t="s">
        <v>6447</v>
      </c>
      <c r="W978" t="s">
        <v>741</v>
      </c>
      <c r="X978" t="s">
        <v>3943</v>
      </c>
      <c r="Y978" t="s">
        <v>3944</v>
      </c>
      <c r="Z978" t="s">
        <v>3945</v>
      </c>
      <c r="AA978" t="s">
        <v>3946</v>
      </c>
      <c r="AB978" t="s">
        <v>3947</v>
      </c>
      <c r="AE978">
        <v>-36.774867999999998</v>
      </c>
      <c r="AF978">
        <v>174.71809135000001</v>
      </c>
      <c r="AG978">
        <v>100</v>
      </c>
      <c r="AH978">
        <v>25</v>
      </c>
      <c r="AI978">
        <v>4</v>
      </c>
      <c r="AJ978">
        <v>22</v>
      </c>
      <c r="AK978">
        <v>31</v>
      </c>
      <c r="AL978">
        <v>26</v>
      </c>
      <c r="AM978">
        <v>31</v>
      </c>
      <c r="AN978">
        <v>1</v>
      </c>
      <c r="AO978">
        <v>115</v>
      </c>
      <c r="AP978">
        <v>55</v>
      </c>
      <c r="AQ978">
        <v>16</v>
      </c>
      <c r="AR978">
        <v>7</v>
      </c>
      <c r="AS978">
        <v>54</v>
      </c>
      <c r="AT978">
        <v>13</v>
      </c>
    </row>
    <row r="979" spans="1:46">
      <c r="A979">
        <v>20238</v>
      </c>
      <c r="B979" t="s">
        <v>6448</v>
      </c>
      <c r="C979" t="s">
        <v>6449</v>
      </c>
      <c r="D979" t="s">
        <v>6450</v>
      </c>
      <c r="E979" t="s">
        <v>6451</v>
      </c>
      <c r="F979" t="s">
        <v>3952</v>
      </c>
      <c r="G979" t="s">
        <v>652</v>
      </c>
      <c r="H979" t="s">
        <v>3942</v>
      </c>
      <c r="J979" t="s">
        <v>3962</v>
      </c>
      <c r="K979" t="s">
        <v>519</v>
      </c>
      <c r="M979" t="s">
        <v>520</v>
      </c>
      <c r="N979" t="s">
        <v>4519</v>
      </c>
      <c r="O979" t="s">
        <v>1168</v>
      </c>
      <c r="P979" t="s">
        <v>654</v>
      </c>
      <c r="Q979" t="s">
        <v>638</v>
      </c>
      <c r="R979" t="s">
        <v>639</v>
      </c>
      <c r="S979" t="s">
        <v>739</v>
      </c>
      <c r="T979" t="s">
        <v>527</v>
      </c>
      <c r="U979">
        <v>120400</v>
      </c>
      <c r="V979" t="s">
        <v>4260</v>
      </c>
      <c r="W979" t="s">
        <v>657</v>
      </c>
      <c r="X979" t="s">
        <v>6452</v>
      </c>
      <c r="Y979" t="s">
        <v>6453</v>
      </c>
      <c r="Z979" t="s">
        <v>4181</v>
      </c>
      <c r="AA979" t="s">
        <v>4099</v>
      </c>
      <c r="AB979" t="s">
        <v>6454</v>
      </c>
      <c r="AE979">
        <v>-36.755927380000003</v>
      </c>
      <c r="AF979">
        <v>174.72040441999999</v>
      </c>
      <c r="AG979">
        <v>34</v>
      </c>
      <c r="AH979">
        <v>5</v>
      </c>
      <c r="AI979">
        <v>2</v>
      </c>
      <c r="AJ979">
        <v>2</v>
      </c>
      <c r="AK979">
        <v>6</v>
      </c>
      <c r="AL979">
        <v>7</v>
      </c>
      <c r="AM979">
        <v>5</v>
      </c>
      <c r="AN979">
        <v>1</v>
      </c>
      <c r="AO979">
        <v>23</v>
      </c>
      <c r="AP979">
        <v>5</v>
      </c>
      <c r="AQ979">
        <v>2</v>
      </c>
      <c r="AR979">
        <v>1</v>
      </c>
      <c r="AS979">
        <v>18</v>
      </c>
      <c r="AT979">
        <v>1</v>
      </c>
    </row>
    <row r="980" spans="1:46">
      <c r="A980">
        <v>20242</v>
      </c>
      <c r="B980" t="s">
        <v>6455</v>
      </c>
      <c r="C980" t="s">
        <v>6456</v>
      </c>
      <c r="D980" t="s">
        <v>6457</v>
      </c>
      <c r="E980" t="s">
        <v>6458</v>
      </c>
      <c r="F980" t="s">
        <v>4012</v>
      </c>
      <c r="G980" t="s">
        <v>652</v>
      </c>
      <c r="H980" t="s">
        <v>3942</v>
      </c>
      <c r="J980" t="s">
        <v>3962</v>
      </c>
      <c r="K980" t="s">
        <v>519</v>
      </c>
      <c r="M980" t="s">
        <v>520</v>
      </c>
      <c r="N980" t="s">
        <v>571</v>
      </c>
      <c r="O980" t="s">
        <v>1168</v>
      </c>
      <c r="P980" t="s">
        <v>654</v>
      </c>
      <c r="Q980" t="s">
        <v>638</v>
      </c>
      <c r="R980" t="s">
        <v>639</v>
      </c>
      <c r="S980" t="s">
        <v>655</v>
      </c>
      <c r="T980" t="s">
        <v>527</v>
      </c>
      <c r="U980">
        <v>118600</v>
      </c>
      <c r="V980" t="s">
        <v>4012</v>
      </c>
      <c r="W980" t="s">
        <v>657</v>
      </c>
      <c r="X980" t="s">
        <v>6459</v>
      </c>
      <c r="Y980" t="s">
        <v>4658</v>
      </c>
      <c r="Z980" t="s">
        <v>958</v>
      </c>
      <c r="AA980" t="s">
        <v>4659</v>
      </c>
      <c r="AB980" t="s">
        <v>6456</v>
      </c>
      <c r="AE980">
        <v>-36.743099440000002</v>
      </c>
      <c r="AF980">
        <v>174.69347010000001</v>
      </c>
      <c r="AG980">
        <v>95</v>
      </c>
      <c r="AH980">
        <v>25</v>
      </c>
      <c r="AI980">
        <v>1</v>
      </c>
      <c r="AJ980">
        <v>10</v>
      </c>
      <c r="AK980">
        <v>10</v>
      </c>
      <c r="AL980">
        <v>16</v>
      </c>
      <c r="AM980">
        <v>19</v>
      </c>
      <c r="AN980">
        <v>1</v>
      </c>
      <c r="AO980">
        <v>57</v>
      </c>
      <c r="AP980">
        <v>16</v>
      </c>
      <c r="AQ980">
        <v>3</v>
      </c>
      <c r="AR980">
        <v>4</v>
      </c>
      <c r="AS980">
        <v>37</v>
      </c>
      <c r="AT980">
        <v>4</v>
      </c>
    </row>
    <row r="981" spans="1:46">
      <c r="A981">
        <v>20243</v>
      </c>
      <c r="B981" t="s">
        <v>6460</v>
      </c>
      <c r="C981" t="s">
        <v>6461</v>
      </c>
      <c r="D981" t="s">
        <v>6462</v>
      </c>
      <c r="E981" t="s">
        <v>6463</v>
      </c>
      <c r="F981" t="s">
        <v>681</v>
      </c>
      <c r="G981" t="s">
        <v>652</v>
      </c>
      <c r="H981" t="s">
        <v>3942</v>
      </c>
      <c r="J981" t="s">
        <v>3962</v>
      </c>
      <c r="K981" t="s">
        <v>519</v>
      </c>
      <c r="M981" t="s">
        <v>520</v>
      </c>
      <c r="N981" t="s">
        <v>571</v>
      </c>
      <c r="O981" t="s">
        <v>1168</v>
      </c>
      <c r="P981" t="s">
        <v>654</v>
      </c>
      <c r="Q981" t="s">
        <v>638</v>
      </c>
      <c r="R981" t="s">
        <v>639</v>
      </c>
      <c r="S981" t="s">
        <v>655</v>
      </c>
      <c r="T981" t="s">
        <v>527</v>
      </c>
      <c r="U981">
        <v>118600</v>
      </c>
      <c r="V981" t="s">
        <v>4012</v>
      </c>
      <c r="W981" t="s">
        <v>657</v>
      </c>
      <c r="X981" t="s">
        <v>6464</v>
      </c>
      <c r="Y981" t="s">
        <v>6463</v>
      </c>
      <c r="Z981" t="s">
        <v>681</v>
      </c>
      <c r="AA981" t="s">
        <v>4099</v>
      </c>
      <c r="AB981" t="s">
        <v>6461</v>
      </c>
      <c r="AC981">
        <v>99000</v>
      </c>
      <c r="AD981" t="s">
        <v>684</v>
      </c>
      <c r="AE981">
        <v>-36.740810119999999</v>
      </c>
      <c r="AF981">
        <v>174.7248262</v>
      </c>
      <c r="AG981">
        <v>85</v>
      </c>
      <c r="AH981">
        <v>25</v>
      </c>
      <c r="AI981">
        <v>4</v>
      </c>
      <c r="AJ981">
        <v>11</v>
      </c>
      <c r="AK981">
        <v>17</v>
      </c>
      <c r="AL981">
        <v>20</v>
      </c>
      <c r="AM981">
        <v>23</v>
      </c>
      <c r="AN981">
        <v>0</v>
      </c>
      <c r="AO981">
        <v>75</v>
      </c>
      <c r="AP981">
        <v>23</v>
      </c>
      <c r="AQ981">
        <v>6</v>
      </c>
      <c r="AR981">
        <v>4</v>
      </c>
      <c r="AS981">
        <v>55</v>
      </c>
      <c r="AT981">
        <v>1</v>
      </c>
    </row>
    <row r="982" spans="1:46">
      <c r="A982">
        <v>20245</v>
      </c>
      <c r="B982" t="s">
        <v>6465</v>
      </c>
      <c r="C982" t="s">
        <v>6180</v>
      </c>
      <c r="E982" t="s">
        <v>6466</v>
      </c>
      <c r="G982" t="s">
        <v>4509</v>
      </c>
      <c r="H982" t="s">
        <v>3942</v>
      </c>
      <c r="J982" t="s">
        <v>518</v>
      </c>
      <c r="K982" t="s">
        <v>519</v>
      </c>
      <c r="M982" t="s">
        <v>520</v>
      </c>
      <c r="N982" t="s">
        <v>4519</v>
      </c>
      <c r="O982" t="s">
        <v>653</v>
      </c>
      <c r="P982" t="s">
        <v>584</v>
      </c>
      <c r="Q982" t="s">
        <v>638</v>
      </c>
      <c r="R982" t="s">
        <v>639</v>
      </c>
      <c r="S982" t="s">
        <v>668</v>
      </c>
      <c r="T982" t="s">
        <v>527</v>
      </c>
      <c r="U982">
        <v>113300</v>
      </c>
      <c r="V982" t="s">
        <v>6082</v>
      </c>
      <c r="W982" t="s">
        <v>657</v>
      </c>
      <c r="X982" t="s">
        <v>6184</v>
      </c>
      <c r="Y982" t="s">
        <v>6185</v>
      </c>
      <c r="AA982" t="s">
        <v>4513</v>
      </c>
      <c r="AC982">
        <v>99210</v>
      </c>
      <c r="AD982" t="s">
        <v>3957</v>
      </c>
      <c r="AE982">
        <v>-36.606998519999998</v>
      </c>
      <c r="AF982">
        <v>174.67778810999999</v>
      </c>
      <c r="AG982">
        <v>60</v>
      </c>
      <c r="AH982">
        <v>0</v>
      </c>
      <c r="AI982">
        <v>0</v>
      </c>
      <c r="AJ982">
        <v>0</v>
      </c>
      <c r="AK982">
        <v>18</v>
      </c>
      <c r="AL982">
        <v>25</v>
      </c>
      <c r="AM982">
        <v>37</v>
      </c>
      <c r="AN982">
        <v>2</v>
      </c>
      <c r="AO982">
        <v>82</v>
      </c>
      <c r="AP982">
        <v>59</v>
      </c>
      <c r="AQ982">
        <v>2</v>
      </c>
      <c r="AR982">
        <v>2</v>
      </c>
      <c r="AS982">
        <v>29</v>
      </c>
      <c r="AT982">
        <v>0</v>
      </c>
    </row>
    <row r="983" spans="1:46">
      <c r="A983">
        <v>20247</v>
      </c>
      <c r="B983" t="s">
        <v>6467</v>
      </c>
      <c r="C983" t="s">
        <v>6468</v>
      </c>
      <c r="D983" t="s">
        <v>6469</v>
      </c>
      <c r="E983" t="s">
        <v>6470</v>
      </c>
      <c r="F983" t="s">
        <v>898</v>
      </c>
      <c r="G983" t="s">
        <v>652</v>
      </c>
      <c r="H983" t="s">
        <v>3942</v>
      </c>
      <c r="J983" t="s">
        <v>3962</v>
      </c>
      <c r="K983" t="s">
        <v>519</v>
      </c>
      <c r="M983" t="s">
        <v>520</v>
      </c>
      <c r="N983" t="s">
        <v>557</v>
      </c>
      <c r="O983" t="s">
        <v>813</v>
      </c>
      <c r="P983" t="s">
        <v>654</v>
      </c>
      <c r="Q983" t="s">
        <v>638</v>
      </c>
      <c r="R983" t="s">
        <v>639</v>
      </c>
      <c r="S983" t="s">
        <v>899</v>
      </c>
      <c r="T983" t="s">
        <v>527</v>
      </c>
      <c r="U983">
        <v>125701</v>
      </c>
      <c r="V983" t="s">
        <v>5792</v>
      </c>
      <c r="W983" t="s">
        <v>815</v>
      </c>
      <c r="X983" t="s">
        <v>6471</v>
      </c>
      <c r="Y983" t="s">
        <v>4658</v>
      </c>
      <c r="Z983" t="s">
        <v>958</v>
      </c>
      <c r="AA983" t="s">
        <v>4659</v>
      </c>
      <c r="AB983" t="s">
        <v>6472</v>
      </c>
      <c r="AE983">
        <v>-36.865131650000002</v>
      </c>
      <c r="AF983">
        <v>174.6150461</v>
      </c>
      <c r="AG983">
        <v>125</v>
      </c>
      <c r="AH983">
        <v>35</v>
      </c>
      <c r="AI983">
        <v>3</v>
      </c>
      <c r="AJ983">
        <v>11</v>
      </c>
      <c r="AK983">
        <v>19</v>
      </c>
      <c r="AL983">
        <v>20</v>
      </c>
      <c r="AM983">
        <v>23</v>
      </c>
      <c r="AN983">
        <v>1</v>
      </c>
      <c r="AO983">
        <v>77</v>
      </c>
      <c r="AP983">
        <v>38</v>
      </c>
      <c r="AQ983">
        <v>35</v>
      </c>
      <c r="AR983">
        <v>26</v>
      </c>
      <c r="AS983">
        <v>14</v>
      </c>
      <c r="AT983">
        <v>9</v>
      </c>
    </row>
    <row r="984" spans="1:46">
      <c r="A984">
        <v>20249</v>
      </c>
      <c r="B984" t="s">
        <v>6473</v>
      </c>
      <c r="C984" t="s">
        <v>6474</v>
      </c>
      <c r="E984" t="s">
        <v>6475</v>
      </c>
      <c r="F984" t="s">
        <v>763</v>
      </c>
      <c r="G984" t="s">
        <v>652</v>
      </c>
      <c r="H984" t="s">
        <v>3942</v>
      </c>
      <c r="I984" t="s">
        <v>4065</v>
      </c>
      <c r="J984" t="s">
        <v>3962</v>
      </c>
      <c r="K984" t="s">
        <v>519</v>
      </c>
      <c r="M984" t="s">
        <v>520</v>
      </c>
      <c r="N984" t="s">
        <v>4519</v>
      </c>
      <c r="O984" t="s">
        <v>738</v>
      </c>
      <c r="P984" t="s">
        <v>654</v>
      </c>
      <c r="Q984" t="s">
        <v>638</v>
      </c>
      <c r="R984" t="s">
        <v>639</v>
      </c>
      <c r="S984" t="s">
        <v>756</v>
      </c>
      <c r="T984" t="s">
        <v>527</v>
      </c>
      <c r="U984">
        <v>127400</v>
      </c>
      <c r="V984" t="s">
        <v>764</v>
      </c>
      <c r="W984" t="s">
        <v>741</v>
      </c>
      <c r="X984" t="s">
        <v>6476</v>
      </c>
      <c r="Y984" t="s">
        <v>6475</v>
      </c>
      <c r="Z984" t="s">
        <v>763</v>
      </c>
      <c r="AA984" t="s">
        <v>4365</v>
      </c>
      <c r="AE984">
        <v>-36.816562500000003</v>
      </c>
      <c r="AF984">
        <v>174.73151139999999</v>
      </c>
      <c r="AG984">
        <v>30</v>
      </c>
      <c r="AH984">
        <v>0</v>
      </c>
      <c r="AI984">
        <v>0</v>
      </c>
      <c r="AJ984">
        <v>0</v>
      </c>
      <c r="AK984">
        <v>10</v>
      </c>
      <c r="AL984">
        <v>12</v>
      </c>
      <c r="AM984">
        <v>10</v>
      </c>
      <c r="AN984">
        <v>0</v>
      </c>
      <c r="AO984">
        <v>32</v>
      </c>
      <c r="AP984">
        <v>28</v>
      </c>
      <c r="AQ984">
        <v>3</v>
      </c>
      <c r="AR984">
        <v>3</v>
      </c>
      <c r="AS984">
        <v>6</v>
      </c>
      <c r="AT984">
        <v>0</v>
      </c>
    </row>
    <row r="985" spans="1:46">
      <c r="A985">
        <v>20250</v>
      </c>
      <c r="B985" t="s">
        <v>6477</v>
      </c>
      <c r="C985" t="s">
        <v>6478</v>
      </c>
      <c r="D985" t="s">
        <v>6479</v>
      </c>
      <c r="E985" t="s">
        <v>6480</v>
      </c>
      <c r="F985" t="s">
        <v>898</v>
      </c>
      <c r="G985" t="s">
        <v>652</v>
      </c>
      <c r="H985" t="s">
        <v>3942</v>
      </c>
      <c r="J985" t="s">
        <v>3962</v>
      </c>
      <c r="K985" t="s">
        <v>519</v>
      </c>
      <c r="M985" t="s">
        <v>520</v>
      </c>
      <c r="N985" t="s">
        <v>557</v>
      </c>
      <c r="O985" t="s">
        <v>813</v>
      </c>
      <c r="P985" t="s">
        <v>654</v>
      </c>
      <c r="Q985" t="s">
        <v>638</v>
      </c>
      <c r="R985" t="s">
        <v>639</v>
      </c>
      <c r="S985" t="s">
        <v>899</v>
      </c>
      <c r="T985" t="s">
        <v>527</v>
      </c>
      <c r="U985">
        <v>123800</v>
      </c>
      <c r="V985" t="s">
        <v>1115</v>
      </c>
      <c r="W985" t="s">
        <v>815</v>
      </c>
      <c r="X985" t="s">
        <v>6481</v>
      </c>
      <c r="Y985" t="s">
        <v>6480</v>
      </c>
      <c r="Z985" t="s">
        <v>898</v>
      </c>
      <c r="AA985" t="s">
        <v>3964</v>
      </c>
      <c r="AB985" t="s">
        <v>6478</v>
      </c>
      <c r="AE985">
        <v>-36.86248509</v>
      </c>
      <c r="AF985">
        <v>174.61167297</v>
      </c>
      <c r="AG985">
        <v>27</v>
      </c>
      <c r="AH985">
        <v>8</v>
      </c>
      <c r="AI985">
        <v>0</v>
      </c>
      <c r="AJ985">
        <v>2</v>
      </c>
      <c r="AK985">
        <v>10</v>
      </c>
      <c r="AL985">
        <v>4</v>
      </c>
      <c r="AM985">
        <v>8</v>
      </c>
      <c r="AN985">
        <v>1</v>
      </c>
      <c r="AO985">
        <v>25</v>
      </c>
      <c r="AP985">
        <v>11</v>
      </c>
      <c r="AQ985">
        <v>13</v>
      </c>
      <c r="AR985">
        <v>12</v>
      </c>
      <c r="AS985">
        <v>2</v>
      </c>
      <c r="AT985">
        <v>1</v>
      </c>
    </row>
    <row r="986" spans="1:46">
      <c r="A986">
        <v>20251</v>
      </c>
      <c r="B986" t="s">
        <v>6482</v>
      </c>
      <c r="C986" t="s">
        <v>6483</v>
      </c>
      <c r="D986" t="s">
        <v>6484</v>
      </c>
      <c r="E986" t="s">
        <v>6485</v>
      </c>
      <c r="F986" t="s">
        <v>1177</v>
      </c>
      <c r="G986" t="s">
        <v>652</v>
      </c>
      <c r="H986" t="s">
        <v>3942</v>
      </c>
      <c r="J986" t="s">
        <v>3962</v>
      </c>
      <c r="K986" t="s">
        <v>519</v>
      </c>
      <c r="M986" t="s">
        <v>520</v>
      </c>
      <c r="N986" t="s">
        <v>571</v>
      </c>
      <c r="O986" t="s">
        <v>748</v>
      </c>
      <c r="P986" t="s">
        <v>654</v>
      </c>
      <c r="Q986" t="s">
        <v>638</v>
      </c>
      <c r="R986" t="s">
        <v>639</v>
      </c>
      <c r="S986" t="s">
        <v>682</v>
      </c>
      <c r="T986" t="s">
        <v>527</v>
      </c>
      <c r="U986">
        <v>126601</v>
      </c>
      <c r="V986" t="s">
        <v>6130</v>
      </c>
      <c r="W986" t="s">
        <v>741</v>
      </c>
      <c r="X986" t="s">
        <v>6486</v>
      </c>
      <c r="Y986" t="s">
        <v>6487</v>
      </c>
      <c r="Z986" t="s">
        <v>6161</v>
      </c>
      <c r="AA986" t="s">
        <v>6162</v>
      </c>
      <c r="AB986" t="s">
        <v>6488</v>
      </c>
      <c r="AE986">
        <v>-36.7884812</v>
      </c>
      <c r="AF986">
        <v>174.76309552000001</v>
      </c>
      <c r="AG986">
        <v>70</v>
      </c>
      <c r="AH986">
        <v>6</v>
      </c>
      <c r="AI986">
        <v>0</v>
      </c>
      <c r="AJ986">
        <v>4</v>
      </c>
      <c r="AK986">
        <v>13</v>
      </c>
      <c r="AL986">
        <v>23</v>
      </c>
      <c r="AM986">
        <v>16</v>
      </c>
      <c r="AN986">
        <v>3</v>
      </c>
      <c r="AO986">
        <v>59</v>
      </c>
      <c r="AP986">
        <v>21</v>
      </c>
      <c r="AQ986">
        <v>2</v>
      </c>
      <c r="AR986">
        <v>2</v>
      </c>
      <c r="AS986">
        <v>46</v>
      </c>
      <c r="AT986">
        <v>1</v>
      </c>
    </row>
    <row r="987" spans="1:46">
      <c r="A987">
        <v>20256</v>
      </c>
      <c r="B987" t="s">
        <v>6489</v>
      </c>
      <c r="C987" t="s">
        <v>6490</v>
      </c>
      <c r="D987" t="s">
        <v>6491</v>
      </c>
      <c r="E987" t="s">
        <v>6492</v>
      </c>
      <c r="F987" t="s">
        <v>1177</v>
      </c>
      <c r="G987" t="s">
        <v>652</v>
      </c>
      <c r="H987" t="s">
        <v>3942</v>
      </c>
      <c r="J987" t="s">
        <v>3962</v>
      </c>
      <c r="K987" t="s">
        <v>519</v>
      </c>
      <c r="M987" t="s">
        <v>520</v>
      </c>
      <c r="N987" t="s">
        <v>571</v>
      </c>
      <c r="O987" t="s">
        <v>748</v>
      </c>
      <c r="P987" t="s">
        <v>654</v>
      </c>
      <c r="Q987" t="s">
        <v>638</v>
      </c>
      <c r="R987" t="s">
        <v>639</v>
      </c>
      <c r="S987" t="s">
        <v>682</v>
      </c>
      <c r="T987" t="s">
        <v>527</v>
      </c>
      <c r="U987">
        <v>126801</v>
      </c>
      <c r="V987" t="s">
        <v>1178</v>
      </c>
      <c r="W987" t="s">
        <v>741</v>
      </c>
      <c r="X987" t="s">
        <v>6493</v>
      </c>
      <c r="Y987" t="s">
        <v>4180</v>
      </c>
      <c r="Z987" t="s">
        <v>4181</v>
      </c>
      <c r="AA987" t="s">
        <v>4182</v>
      </c>
      <c r="AB987" t="s">
        <v>6494</v>
      </c>
      <c r="AC987">
        <v>99188</v>
      </c>
      <c r="AD987" t="s">
        <v>786</v>
      </c>
      <c r="AE987">
        <v>-36.787454279999999</v>
      </c>
      <c r="AF987">
        <v>174.76898363999999</v>
      </c>
      <c r="AG987">
        <v>70</v>
      </c>
      <c r="AH987">
        <v>25</v>
      </c>
      <c r="AI987">
        <v>2</v>
      </c>
      <c r="AJ987">
        <v>10</v>
      </c>
      <c r="AK987">
        <v>11</v>
      </c>
      <c r="AL987">
        <v>11</v>
      </c>
      <c r="AM987">
        <v>16</v>
      </c>
      <c r="AN987">
        <v>0</v>
      </c>
      <c r="AO987">
        <v>50</v>
      </c>
      <c r="AP987">
        <v>23</v>
      </c>
      <c r="AQ987">
        <v>8</v>
      </c>
      <c r="AR987">
        <v>0</v>
      </c>
      <c r="AS987">
        <v>23</v>
      </c>
      <c r="AT987">
        <v>7</v>
      </c>
    </row>
    <row r="988" spans="1:46">
      <c r="A988">
        <v>20259</v>
      </c>
      <c r="B988" t="s">
        <v>6495</v>
      </c>
      <c r="C988" t="s">
        <v>6496</v>
      </c>
      <c r="E988" t="s">
        <v>6497</v>
      </c>
      <c r="G988" t="s">
        <v>699</v>
      </c>
      <c r="H988" t="s">
        <v>3942</v>
      </c>
      <c r="J988" t="s">
        <v>3962</v>
      </c>
      <c r="K988" t="s">
        <v>519</v>
      </c>
      <c r="M988" t="s">
        <v>520</v>
      </c>
      <c r="N988" t="s">
        <v>571</v>
      </c>
      <c r="O988" t="s">
        <v>653</v>
      </c>
      <c r="P988" t="s">
        <v>584</v>
      </c>
      <c r="Q988" t="s">
        <v>638</v>
      </c>
      <c r="R988" t="s">
        <v>639</v>
      </c>
      <c r="S988" t="s">
        <v>668</v>
      </c>
      <c r="T988" t="s">
        <v>527</v>
      </c>
      <c r="U988">
        <v>114400</v>
      </c>
      <c r="V988" t="s">
        <v>5120</v>
      </c>
      <c r="W988" t="s">
        <v>657</v>
      </c>
      <c r="X988" t="s">
        <v>6498</v>
      </c>
      <c r="Y988" t="s">
        <v>6499</v>
      </c>
      <c r="AA988" t="s">
        <v>6500</v>
      </c>
      <c r="AC988">
        <v>99095</v>
      </c>
      <c r="AD988" t="s">
        <v>701</v>
      </c>
      <c r="AE988">
        <v>-36.617537419999998</v>
      </c>
      <c r="AF988">
        <v>174.71360227</v>
      </c>
      <c r="AG988">
        <v>70</v>
      </c>
      <c r="AH988">
        <v>25</v>
      </c>
      <c r="AI988">
        <v>4</v>
      </c>
      <c r="AJ988">
        <v>11</v>
      </c>
      <c r="AK988">
        <v>19</v>
      </c>
      <c r="AL988">
        <v>16</v>
      </c>
      <c r="AM988">
        <v>9</v>
      </c>
      <c r="AN988">
        <v>2</v>
      </c>
      <c r="AO988">
        <v>61</v>
      </c>
      <c r="AP988">
        <v>56</v>
      </c>
      <c r="AQ988">
        <v>19</v>
      </c>
      <c r="AR988">
        <v>8</v>
      </c>
      <c r="AS988">
        <v>4</v>
      </c>
      <c r="AT988">
        <v>0</v>
      </c>
    </row>
    <row r="989" spans="1:46">
      <c r="A989">
        <v>20260</v>
      </c>
      <c r="B989" t="s">
        <v>6501</v>
      </c>
      <c r="C989" t="s">
        <v>6502</v>
      </c>
      <c r="D989" t="s">
        <v>6503</v>
      </c>
      <c r="E989" t="s">
        <v>6504</v>
      </c>
      <c r="F989" t="s">
        <v>5176</v>
      </c>
      <c r="G989" t="s">
        <v>652</v>
      </c>
      <c r="H989" t="s">
        <v>3942</v>
      </c>
      <c r="J989" t="s">
        <v>3962</v>
      </c>
      <c r="K989" t="s">
        <v>519</v>
      </c>
      <c r="M989" t="s">
        <v>520</v>
      </c>
      <c r="N989" t="s">
        <v>571</v>
      </c>
      <c r="O989" t="s">
        <v>804</v>
      </c>
      <c r="P989" t="s">
        <v>654</v>
      </c>
      <c r="Q989" t="s">
        <v>638</v>
      </c>
      <c r="R989" t="s">
        <v>708</v>
      </c>
      <c r="S989" t="s">
        <v>880</v>
      </c>
      <c r="T989" t="s">
        <v>709</v>
      </c>
      <c r="U989">
        <v>141801</v>
      </c>
      <c r="V989" t="s">
        <v>6505</v>
      </c>
      <c r="W989" t="s">
        <v>824</v>
      </c>
      <c r="X989" t="s">
        <v>4096</v>
      </c>
      <c r="Y989" t="s">
        <v>4097</v>
      </c>
      <c r="Z989" t="s">
        <v>4098</v>
      </c>
      <c r="AA989" t="s">
        <v>4099</v>
      </c>
      <c r="AB989" t="s">
        <v>4100</v>
      </c>
      <c r="AC989">
        <v>99100</v>
      </c>
      <c r="AD989" t="s">
        <v>1061</v>
      </c>
      <c r="AE989">
        <v>-36.852742839999998</v>
      </c>
      <c r="AF989">
        <v>174.84307989999999</v>
      </c>
      <c r="AG989">
        <v>50</v>
      </c>
      <c r="AH989">
        <v>20</v>
      </c>
      <c r="AI989">
        <v>0</v>
      </c>
      <c r="AJ989">
        <v>11</v>
      </c>
      <c r="AK989">
        <v>15</v>
      </c>
      <c r="AL989">
        <v>16</v>
      </c>
      <c r="AM989">
        <v>15</v>
      </c>
      <c r="AN989">
        <v>0</v>
      </c>
      <c r="AO989">
        <v>57</v>
      </c>
      <c r="AP989">
        <v>53</v>
      </c>
      <c r="AQ989">
        <v>5</v>
      </c>
      <c r="AR989">
        <v>3</v>
      </c>
      <c r="AS989">
        <v>5</v>
      </c>
      <c r="AT989">
        <v>3</v>
      </c>
    </row>
    <row r="990" spans="1:46">
      <c r="A990">
        <v>20262</v>
      </c>
      <c r="B990" t="s">
        <v>6506</v>
      </c>
      <c r="C990" t="s">
        <v>6507</v>
      </c>
      <c r="D990" t="s">
        <v>6508</v>
      </c>
      <c r="E990" t="s">
        <v>6509</v>
      </c>
      <c r="G990" t="s">
        <v>6510</v>
      </c>
      <c r="H990" t="s">
        <v>517</v>
      </c>
      <c r="J990" t="s">
        <v>518</v>
      </c>
      <c r="K990" t="s">
        <v>519</v>
      </c>
      <c r="M990" t="s">
        <v>520</v>
      </c>
      <c r="N990" t="s">
        <v>571</v>
      </c>
      <c r="O990" t="s">
        <v>637</v>
      </c>
      <c r="P990" t="s">
        <v>523</v>
      </c>
      <c r="Q990" t="s">
        <v>638</v>
      </c>
      <c r="R990" t="s">
        <v>639</v>
      </c>
      <c r="S990" t="s">
        <v>640</v>
      </c>
      <c r="T990" t="s">
        <v>527</v>
      </c>
      <c r="U990">
        <v>111700</v>
      </c>
      <c r="V990" t="s">
        <v>6510</v>
      </c>
      <c r="W990" t="s">
        <v>641</v>
      </c>
      <c r="X990" t="s">
        <v>642</v>
      </c>
      <c r="Y990" t="s">
        <v>643</v>
      </c>
      <c r="Z990" t="s">
        <v>644</v>
      </c>
      <c r="AA990" t="s">
        <v>645</v>
      </c>
      <c r="AB990" t="s">
        <v>646</v>
      </c>
      <c r="AE990">
        <v>-36.421222030000003</v>
      </c>
      <c r="AF990">
        <v>174.72323157</v>
      </c>
      <c r="AG990">
        <v>30</v>
      </c>
      <c r="AH990">
        <v>0</v>
      </c>
      <c r="AI990">
        <v>0</v>
      </c>
      <c r="AJ990">
        <v>0</v>
      </c>
      <c r="AK990">
        <v>7</v>
      </c>
      <c r="AL990">
        <v>17</v>
      </c>
      <c r="AM990">
        <v>18</v>
      </c>
      <c r="AN990">
        <v>1</v>
      </c>
      <c r="AO990">
        <v>43</v>
      </c>
      <c r="AP990">
        <v>41</v>
      </c>
      <c r="AQ990">
        <v>7</v>
      </c>
      <c r="AR990">
        <v>1</v>
      </c>
      <c r="AS990">
        <v>2</v>
      </c>
      <c r="AT990">
        <v>1</v>
      </c>
    </row>
    <row r="991" spans="1:46">
      <c r="A991">
        <v>20263</v>
      </c>
      <c r="B991" t="s">
        <v>6511</v>
      </c>
      <c r="C991" t="s">
        <v>6512</v>
      </c>
      <c r="D991" t="s">
        <v>6513</v>
      </c>
      <c r="E991" t="s">
        <v>6514</v>
      </c>
      <c r="F991" t="s">
        <v>822</v>
      </c>
      <c r="G991" t="s">
        <v>652</v>
      </c>
      <c r="H991" t="s">
        <v>3942</v>
      </c>
      <c r="J991" t="s">
        <v>518</v>
      </c>
      <c r="K991" t="s">
        <v>519</v>
      </c>
      <c r="M991" t="s">
        <v>520</v>
      </c>
      <c r="N991" t="s">
        <v>571</v>
      </c>
      <c r="O991" t="s">
        <v>857</v>
      </c>
      <c r="P991" t="s">
        <v>654</v>
      </c>
      <c r="Q991" t="s">
        <v>638</v>
      </c>
      <c r="R991" t="s">
        <v>708</v>
      </c>
      <c r="S991" t="s">
        <v>822</v>
      </c>
      <c r="T991" t="s">
        <v>709</v>
      </c>
      <c r="U991">
        <v>138700</v>
      </c>
      <c r="V991" t="s">
        <v>6515</v>
      </c>
      <c r="W991" t="s">
        <v>860</v>
      </c>
      <c r="X991" t="s">
        <v>3943</v>
      </c>
      <c r="Y991" t="s">
        <v>3944</v>
      </c>
      <c r="Z991" t="s">
        <v>3945</v>
      </c>
      <c r="AA991" t="s">
        <v>3946</v>
      </c>
      <c r="AB991" t="s">
        <v>3947</v>
      </c>
      <c r="AE991">
        <v>-36.881287380000003</v>
      </c>
      <c r="AF991">
        <v>174.77161622</v>
      </c>
      <c r="AG991">
        <v>65</v>
      </c>
      <c r="AH991">
        <v>20</v>
      </c>
      <c r="AI991">
        <v>3</v>
      </c>
      <c r="AJ991">
        <v>17</v>
      </c>
      <c r="AK991">
        <v>12</v>
      </c>
      <c r="AL991">
        <v>14</v>
      </c>
      <c r="AM991">
        <v>17</v>
      </c>
      <c r="AN991">
        <v>1</v>
      </c>
      <c r="AO991">
        <v>64</v>
      </c>
      <c r="AP991">
        <v>24</v>
      </c>
      <c r="AQ991">
        <v>3</v>
      </c>
      <c r="AR991">
        <v>8</v>
      </c>
      <c r="AS991">
        <v>34</v>
      </c>
      <c r="AT991">
        <v>12</v>
      </c>
    </row>
    <row r="992" spans="1:46">
      <c r="A992">
        <v>20264</v>
      </c>
      <c r="B992" t="s">
        <v>6516</v>
      </c>
      <c r="C992" t="s">
        <v>6517</v>
      </c>
      <c r="D992" t="s">
        <v>6518</v>
      </c>
      <c r="E992" t="s">
        <v>6519</v>
      </c>
      <c r="F992" t="s">
        <v>5976</v>
      </c>
      <c r="G992" t="s">
        <v>652</v>
      </c>
      <c r="H992" t="s">
        <v>3942</v>
      </c>
      <c r="J992" t="s">
        <v>518</v>
      </c>
      <c r="K992" t="s">
        <v>519</v>
      </c>
      <c r="M992" t="s">
        <v>520</v>
      </c>
      <c r="N992" t="s">
        <v>571</v>
      </c>
      <c r="O992" t="s">
        <v>857</v>
      </c>
      <c r="P992" t="s">
        <v>654</v>
      </c>
      <c r="Q992" t="s">
        <v>638</v>
      </c>
      <c r="R992" t="s">
        <v>708</v>
      </c>
      <c r="S992" t="s">
        <v>858</v>
      </c>
      <c r="T992" t="s">
        <v>709</v>
      </c>
      <c r="U992">
        <v>129902</v>
      </c>
      <c r="V992" t="s">
        <v>6520</v>
      </c>
      <c r="W992" t="s">
        <v>860</v>
      </c>
      <c r="X992" t="s">
        <v>6521</v>
      </c>
      <c r="Y992" t="s">
        <v>6519</v>
      </c>
      <c r="Z992" t="s">
        <v>5976</v>
      </c>
      <c r="AA992" t="s">
        <v>6522</v>
      </c>
      <c r="AB992" t="s">
        <v>6517</v>
      </c>
      <c r="AE992">
        <v>-36.86898017</v>
      </c>
      <c r="AF992">
        <v>174.71035577000001</v>
      </c>
      <c r="AG992">
        <v>22</v>
      </c>
      <c r="AH992">
        <v>0</v>
      </c>
      <c r="AI992">
        <v>0</v>
      </c>
      <c r="AJ992">
        <v>0</v>
      </c>
      <c r="AK992">
        <v>6</v>
      </c>
      <c r="AL992">
        <v>17</v>
      </c>
      <c r="AM992">
        <v>10</v>
      </c>
      <c r="AN992">
        <v>0</v>
      </c>
      <c r="AO992">
        <v>33</v>
      </c>
      <c r="AP992">
        <v>30</v>
      </c>
      <c r="AQ992">
        <v>2</v>
      </c>
      <c r="AR992">
        <v>2</v>
      </c>
      <c r="AS992">
        <v>2</v>
      </c>
      <c r="AT992">
        <v>2</v>
      </c>
    </row>
    <row r="993" spans="1:46">
      <c r="A993">
        <v>20265</v>
      </c>
      <c r="B993" t="s">
        <v>6523</v>
      </c>
      <c r="C993" t="s">
        <v>6524</v>
      </c>
      <c r="D993" t="s">
        <v>6525</v>
      </c>
      <c r="E993" t="s">
        <v>6526</v>
      </c>
      <c r="F993" t="s">
        <v>855</v>
      </c>
      <c r="G993" t="s">
        <v>652</v>
      </c>
      <c r="H993" t="s">
        <v>3942</v>
      </c>
      <c r="J993" t="s">
        <v>518</v>
      </c>
      <c r="K993" t="s">
        <v>519</v>
      </c>
      <c r="M993" t="s">
        <v>520</v>
      </c>
      <c r="N993" t="s">
        <v>571</v>
      </c>
      <c r="O993" t="s">
        <v>857</v>
      </c>
      <c r="P993" t="s">
        <v>654</v>
      </c>
      <c r="Q993" t="s">
        <v>638</v>
      </c>
      <c r="R993" t="s">
        <v>708</v>
      </c>
      <c r="S993" t="s">
        <v>858</v>
      </c>
      <c r="T993" t="s">
        <v>709</v>
      </c>
      <c r="U993">
        <v>134200</v>
      </c>
      <c r="V993" t="s">
        <v>859</v>
      </c>
      <c r="W993" t="s">
        <v>860</v>
      </c>
      <c r="X993" t="s">
        <v>6527</v>
      </c>
      <c r="Y993" t="s">
        <v>6526</v>
      </c>
      <c r="Z993" t="s">
        <v>4522</v>
      </c>
      <c r="AA993" t="s">
        <v>4876</v>
      </c>
      <c r="AB993" t="s">
        <v>6524</v>
      </c>
      <c r="AC993">
        <v>99150</v>
      </c>
      <c r="AD993" t="s">
        <v>861</v>
      </c>
      <c r="AE993">
        <v>-36.891613810000003</v>
      </c>
      <c r="AF993">
        <v>174.72506995000001</v>
      </c>
      <c r="AG993">
        <v>60</v>
      </c>
      <c r="AH993">
        <v>30</v>
      </c>
      <c r="AI993">
        <v>2</v>
      </c>
      <c r="AJ993">
        <v>16</v>
      </c>
      <c r="AK993">
        <v>21</v>
      </c>
      <c r="AL993">
        <v>10</v>
      </c>
      <c r="AM993">
        <v>10</v>
      </c>
      <c r="AN993">
        <v>1</v>
      </c>
      <c r="AO993">
        <v>60</v>
      </c>
      <c r="AP993">
        <v>47</v>
      </c>
      <c r="AQ993">
        <v>4</v>
      </c>
      <c r="AR993">
        <v>2</v>
      </c>
      <c r="AS993">
        <v>20</v>
      </c>
      <c r="AT993">
        <v>4</v>
      </c>
    </row>
    <row r="994" spans="1:46">
      <c r="A994">
        <v>20267</v>
      </c>
      <c r="B994" t="s">
        <v>6528</v>
      </c>
      <c r="E994" t="s">
        <v>4030</v>
      </c>
      <c r="F994" t="s">
        <v>4031</v>
      </c>
      <c r="G994" t="s">
        <v>652</v>
      </c>
      <c r="H994" t="s">
        <v>4032</v>
      </c>
      <c r="I994" t="s">
        <v>4033</v>
      </c>
      <c r="J994" t="s">
        <v>518</v>
      </c>
      <c r="K994" t="s">
        <v>519</v>
      </c>
      <c r="M994" t="s">
        <v>520</v>
      </c>
      <c r="N994" t="s">
        <v>727</v>
      </c>
      <c r="O994" t="s">
        <v>957</v>
      </c>
      <c r="P994" t="s">
        <v>654</v>
      </c>
      <c r="Q994" t="s">
        <v>638</v>
      </c>
      <c r="R994" t="s">
        <v>708</v>
      </c>
      <c r="S994" t="s">
        <v>958</v>
      </c>
      <c r="T994" t="s">
        <v>709</v>
      </c>
      <c r="U994">
        <v>136100</v>
      </c>
      <c r="V994" t="s">
        <v>4031</v>
      </c>
      <c r="W994" t="s">
        <v>824</v>
      </c>
      <c r="X994" t="s">
        <v>4034</v>
      </c>
      <c r="Y994" t="s">
        <v>4035</v>
      </c>
      <c r="Z994" t="s">
        <v>4036</v>
      </c>
      <c r="AA994" t="s">
        <v>4037</v>
      </c>
      <c r="AB994" t="s">
        <v>4038</v>
      </c>
      <c r="AE994">
        <v>-36.860656560000002</v>
      </c>
      <c r="AF994">
        <v>174.76947483999999</v>
      </c>
      <c r="AG994">
        <v>32</v>
      </c>
      <c r="AH994">
        <v>32</v>
      </c>
    </row>
    <row r="995" spans="1:46">
      <c r="A995">
        <v>20268</v>
      </c>
      <c r="B995" t="s">
        <v>6529</v>
      </c>
      <c r="C995" t="s">
        <v>6530</v>
      </c>
      <c r="D995" t="s">
        <v>6531</v>
      </c>
      <c r="E995" t="s">
        <v>6532</v>
      </c>
      <c r="F995" t="s">
        <v>872</v>
      </c>
      <c r="G995" t="s">
        <v>652</v>
      </c>
      <c r="H995" t="s">
        <v>4164</v>
      </c>
      <c r="I995" t="s">
        <v>4165</v>
      </c>
      <c r="J995" t="s">
        <v>518</v>
      </c>
      <c r="K995" t="s">
        <v>519</v>
      </c>
      <c r="M995" t="s">
        <v>520</v>
      </c>
      <c r="N995" t="s">
        <v>539</v>
      </c>
      <c r="O995" t="s">
        <v>873</v>
      </c>
      <c r="P995" t="s">
        <v>654</v>
      </c>
      <c r="Q995" t="s">
        <v>638</v>
      </c>
      <c r="R995" t="s">
        <v>639</v>
      </c>
      <c r="S995" t="s">
        <v>719</v>
      </c>
      <c r="T995" t="s">
        <v>709</v>
      </c>
      <c r="U995">
        <v>130801</v>
      </c>
      <c r="V995" t="s">
        <v>874</v>
      </c>
      <c r="W995" t="s">
        <v>815</v>
      </c>
      <c r="X995" t="s">
        <v>6533</v>
      </c>
      <c r="Y995" t="s">
        <v>6534</v>
      </c>
      <c r="Z995" t="s">
        <v>770</v>
      </c>
      <c r="AA995" t="s">
        <v>4333</v>
      </c>
      <c r="AB995" t="s">
        <v>6535</v>
      </c>
      <c r="AE995">
        <v>-36.909310580000003</v>
      </c>
      <c r="AF995">
        <v>174.65230278999999</v>
      </c>
      <c r="AG995">
        <v>35</v>
      </c>
      <c r="AH995">
        <v>10</v>
      </c>
      <c r="AI995">
        <v>0</v>
      </c>
      <c r="AJ995">
        <v>4</v>
      </c>
      <c r="AK995">
        <v>4</v>
      </c>
      <c r="AL995">
        <v>9</v>
      </c>
      <c r="AM995">
        <v>3</v>
      </c>
      <c r="AN995">
        <v>0</v>
      </c>
      <c r="AO995">
        <v>20</v>
      </c>
      <c r="AP995">
        <v>2</v>
      </c>
      <c r="AQ995">
        <v>4</v>
      </c>
      <c r="AR995">
        <v>20</v>
      </c>
      <c r="AS995">
        <v>0</v>
      </c>
      <c r="AT995">
        <v>0</v>
      </c>
    </row>
    <row r="996" spans="1:46">
      <c r="A996">
        <v>20280</v>
      </c>
      <c r="B996" t="s">
        <v>6536</v>
      </c>
      <c r="C996" t="s">
        <v>6537</v>
      </c>
      <c r="D996" t="s">
        <v>6538</v>
      </c>
      <c r="E996" t="s">
        <v>6539</v>
      </c>
      <c r="F996" t="s">
        <v>717</v>
      </c>
      <c r="G996" t="s">
        <v>652</v>
      </c>
      <c r="H996" t="s">
        <v>3942</v>
      </c>
      <c r="J996" t="s">
        <v>518</v>
      </c>
      <c r="K996" t="s">
        <v>519</v>
      </c>
      <c r="M996" t="s">
        <v>520</v>
      </c>
      <c r="N996" t="s">
        <v>571</v>
      </c>
      <c r="O996" t="s">
        <v>718</v>
      </c>
      <c r="P996" t="s">
        <v>654</v>
      </c>
      <c r="Q996" t="s">
        <v>638</v>
      </c>
      <c r="R996" t="s">
        <v>708</v>
      </c>
      <c r="S996" t="s">
        <v>770</v>
      </c>
      <c r="T996" t="s">
        <v>709</v>
      </c>
      <c r="U996">
        <v>137100</v>
      </c>
      <c r="V996" t="s">
        <v>6540</v>
      </c>
      <c r="W996" t="s">
        <v>721</v>
      </c>
      <c r="X996" t="s">
        <v>3943</v>
      </c>
      <c r="Y996" t="s">
        <v>3944</v>
      </c>
      <c r="Z996" t="s">
        <v>3945</v>
      </c>
      <c r="AA996" t="s">
        <v>3946</v>
      </c>
      <c r="AB996" t="s">
        <v>3947</v>
      </c>
      <c r="AE996">
        <v>-36.907028109999999</v>
      </c>
      <c r="AF996">
        <v>174.70013627</v>
      </c>
      <c r="AG996">
        <v>95</v>
      </c>
      <c r="AH996">
        <v>25</v>
      </c>
      <c r="AI996">
        <v>1</v>
      </c>
      <c r="AJ996">
        <v>15</v>
      </c>
      <c r="AK996">
        <v>24</v>
      </c>
      <c r="AL996">
        <v>24</v>
      </c>
      <c r="AM996">
        <v>27</v>
      </c>
      <c r="AN996">
        <v>0</v>
      </c>
      <c r="AO996">
        <v>91</v>
      </c>
      <c r="AP996">
        <v>4</v>
      </c>
      <c r="AQ996">
        <v>3</v>
      </c>
      <c r="AR996">
        <v>8</v>
      </c>
      <c r="AS996">
        <v>76</v>
      </c>
      <c r="AT996">
        <v>5</v>
      </c>
    </row>
    <row r="997" spans="1:46">
      <c r="A997">
        <v>20286</v>
      </c>
      <c r="B997" t="s">
        <v>6541</v>
      </c>
      <c r="C997" t="s">
        <v>6542</v>
      </c>
      <c r="D997" t="s">
        <v>6543</v>
      </c>
      <c r="E997" t="s">
        <v>6544</v>
      </c>
      <c r="F997" t="s">
        <v>717</v>
      </c>
      <c r="G997" t="s">
        <v>652</v>
      </c>
      <c r="H997" t="s">
        <v>3942</v>
      </c>
      <c r="J997" t="s">
        <v>3962</v>
      </c>
      <c r="K997" t="s">
        <v>519</v>
      </c>
      <c r="M997" t="s">
        <v>520</v>
      </c>
      <c r="N997" t="s">
        <v>557</v>
      </c>
      <c r="O997" t="s">
        <v>718</v>
      </c>
      <c r="P997" t="s">
        <v>654</v>
      </c>
      <c r="Q997" t="s">
        <v>638</v>
      </c>
      <c r="R997" t="s">
        <v>708</v>
      </c>
      <c r="S997" t="s">
        <v>719</v>
      </c>
      <c r="T997" t="s">
        <v>709</v>
      </c>
      <c r="U997">
        <v>131700</v>
      </c>
      <c r="V997" t="s">
        <v>4632</v>
      </c>
      <c r="W997" t="s">
        <v>721</v>
      </c>
      <c r="X997" t="s">
        <v>6545</v>
      </c>
      <c r="Y997" t="s">
        <v>6546</v>
      </c>
      <c r="Z997" t="s">
        <v>3970</v>
      </c>
      <c r="AA997" t="s">
        <v>3975</v>
      </c>
      <c r="AB997" t="s">
        <v>6547</v>
      </c>
      <c r="AE997">
        <v>-36.895913589999999</v>
      </c>
      <c r="AF997">
        <v>174.68254357999999</v>
      </c>
      <c r="AG997">
        <v>33</v>
      </c>
      <c r="AH997">
        <v>8</v>
      </c>
      <c r="AI997">
        <v>2</v>
      </c>
      <c r="AJ997">
        <v>6</v>
      </c>
      <c r="AK997">
        <v>10</v>
      </c>
      <c r="AL997">
        <v>8</v>
      </c>
      <c r="AM997">
        <v>6</v>
      </c>
      <c r="AN997">
        <v>0</v>
      </c>
      <c r="AO997">
        <v>32</v>
      </c>
      <c r="AP997">
        <v>12</v>
      </c>
      <c r="AQ997">
        <v>10</v>
      </c>
      <c r="AR997">
        <v>12</v>
      </c>
      <c r="AS997">
        <v>11</v>
      </c>
      <c r="AT997">
        <v>0</v>
      </c>
    </row>
    <row r="998" spans="1:46">
      <c r="A998">
        <v>20287</v>
      </c>
      <c r="B998" t="s">
        <v>6548</v>
      </c>
      <c r="C998" t="s">
        <v>6549</v>
      </c>
      <c r="D998" t="s">
        <v>6550</v>
      </c>
      <c r="E998" t="s">
        <v>6551</v>
      </c>
      <c r="F998" t="s">
        <v>1189</v>
      </c>
      <c r="G998" t="s">
        <v>652</v>
      </c>
      <c r="H998" t="s">
        <v>3942</v>
      </c>
      <c r="J998" t="s">
        <v>518</v>
      </c>
      <c r="K998" t="s">
        <v>519</v>
      </c>
      <c r="M998" t="s">
        <v>520</v>
      </c>
      <c r="N998" t="s">
        <v>571</v>
      </c>
      <c r="O998" t="s">
        <v>813</v>
      </c>
      <c r="P998" t="s">
        <v>654</v>
      </c>
      <c r="Q998" t="s">
        <v>638</v>
      </c>
      <c r="R998" t="s">
        <v>639</v>
      </c>
      <c r="S998" t="s">
        <v>899</v>
      </c>
      <c r="T998" t="s">
        <v>709</v>
      </c>
      <c r="U998">
        <v>127701</v>
      </c>
      <c r="V998" t="s">
        <v>6552</v>
      </c>
      <c r="W998" t="s">
        <v>815</v>
      </c>
      <c r="X998" t="s">
        <v>6553</v>
      </c>
      <c r="Y998" t="s">
        <v>6551</v>
      </c>
      <c r="Z998" t="s">
        <v>6554</v>
      </c>
      <c r="AA998" t="s">
        <v>4307</v>
      </c>
      <c r="AB998" t="s">
        <v>6549</v>
      </c>
      <c r="AC998">
        <v>99013</v>
      </c>
      <c r="AD998" t="s">
        <v>1191</v>
      </c>
      <c r="AE998">
        <v>-36.87086394</v>
      </c>
      <c r="AF998">
        <v>174.65081810999999</v>
      </c>
      <c r="AG998">
        <v>30</v>
      </c>
      <c r="AH998">
        <v>0</v>
      </c>
      <c r="AI998">
        <v>0</v>
      </c>
      <c r="AJ998">
        <v>0</v>
      </c>
      <c r="AK998">
        <v>4</v>
      </c>
      <c r="AL998">
        <v>5</v>
      </c>
      <c r="AM998">
        <v>21</v>
      </c>
      <c r="AN998">
        <v>2</v>
      </c>
      <c r="AO998">
        <v>32</v>
      </c>
      <c r="AP998">
        <v>20</v>
      </c>
      <c r="AQ998">
        <v>2</v>
      </c>
      <c r="AR998">
        <v>7</v>
      </c>
      <c r="AS998">
        <v>7</v>
      </c>
      <c r="AT998">
        <v>4</v>
      </c>
    </row>
    <row r="999" spans="1:46">
      <c r="A999">
        <v>20289</v>
      </c>
      <c r="B999" t="s">
        <v>6555</v>
      </c>
      <c r="C999" t="s">
        <v>6556</v>
      </c>
      <c r="D999" t="s">
        <v>6557</v>
      </c>
      <c r="E999" t="s">
        <v>6558</v>
      </c>
      <c r="F999" t="s">
        <v>6559</v>
      </c>
      <c r="G999" t="s">
        <v>652</v>
      </c>
      <c r="H999" t="s">
        <v>3942</v>
      </c>
      <c r="J999" t="s">
        <v>518</v>
      </c>
      <c r="K999" t="s">
        <v>519</v>
      </c>
      <c r="M999" t="s">
        <v>520</v>
      </c>
      <c r="N999" t="s">
        <v>557</v>
      </c>
      <c r="O999" t="s">
        <v>873</v>
      </c>
      <c r="P999" t="s">
        <v>654</v>
      </c>
      <c r="Q999" t="s">
        <v>638</v>
      </c>
      <c r="R999" t="s">
        <v>639</v>
      </c>
      <c r="S999" t="s">
        <v>719</v>
      </c>
      <c r="T999" t="s">
        <v>709</v>
      </c>
      <c r="U999">
        <v>129000</v>
      </c>
      <c r="V999" t="s">
        <v>5954</v>
      </c>
      <c r="W999" t="s">
        <v>815</v>
      </c>
      <c r="X999" t="s">
        <v>3943</v>
      </c>
      <c r="Y999" t="s">
        <v>3944</v>
      </c>
      <c r="Z999" t="s">
        <v>3945</v>
      </c>
      <c r="AA999" t="s">
        <v>3946</v>
      </c>
      <c r="AB999" t="s">
        <v>3947</v>
      </c>
      <c r="AE999">
        <v>-36.901886269999999</v>
      </c>
      <c r="AF999">
        <v>174.63010362</v>
      </c>
      <c r="AG999">
        <v>40</v>
      </c>
      <c r="AH999">
        <v>0</v>
      </c>
      <c r="AI999">
        <v>0</v>
      </c>
      <c r="AJ999">
        <v>0</v>
      </c>
      <c r="AK999">
        <v>15</v>
      </c>
      <c r="AL999">
        <v>10</v>
      </c>
      <c r="AM999">
        <v>20</v>
      </c>
      <c r="AN999">
        <v>1</v>
      </c>
      <c r="AO999">
        <v>46</v>
      </c>
      <c r="AP999">
        <v>15</v>
      </c>
      <c r="AQ999">
        <v>16</v>
      </c>
      <c r="AR999">
        <v>20</v>
      </c>
      <c r="AS999">
        <v>19</v>
      </c>
      <c r="AT999">
        <v>0</v>
      </c>
    </row>
    <row r="1000" spans="1:46">
      <c r="A1000">
        <v>20290</v>
      </c>
      <c r="B1000" t="s">
        <v>6560</v>
      </c>
      <c r="C1000" t="s">
        <v>6561</v>
      </c>
      <c r="D1000" t="s">
        <v>6366</v>
      </c>
      <c r="E1000" t="s">
        <v>6367</v>
      </c>
      <c r="F1000" t="s">
        <v>847</v>
      </c>
      <c r="G1000" t="s">
        <v>652</v>
      </c>
      <c r="H1000" t="s">
        <v>4716</v>
      </c>
      <c r="J1000" t="s">
        <v>518</v>
      </c>
      <c r="K1000" t="s">
        <v>519</v>
      </c>
      <c r="M1000" t="s">
        <v>520</v>
      </c>
      <c r="N1000" t="s">
        <v>571</v>
      </c>
      <c r="O1000" t="s">
        <v>848</v>
      </c>
      <c r="P1000" t="s">
        <v>654</v>
      </c>
      <c r="Q1000" t="s">
        <v>638</v>
      </c>
      <c r="R1000" t="s">
        <v>729</v>
      </c>
      <c r="S1000" t="s">
        <v>849</v>
      </c>
      <c r="T1000" t="s">
        <v>709</v>
      </c>
      <c r="U1000">
        <v>150200</v>
      </c>
      <c r="V1000" t="s">
        <v>940</v>
      </c>
      <c r="W1000" t="s">
        <v>732</v>
      </c>
      <c r="X1000" t="s">
        <v>6368</v>
      </c>
      <c r="Y1000" t="s">
        <v>6369</v>
      </c>
      <c r="Z1000" t="s">
        <v>4555</v>
      </c>
      <c r="AA1000" t="s">
        <v>4556</v>
      </c>
      <c r="AB1000" t="s">
        <v>6370</v>
      </c>
      <c r="AE1000">
        <v>-36.970943439999999</v>
      </c>
      <c r="AF1000">
        <v>174.79636905999999</v>
      </c>
      <c r="AG1000">
        <v>60</v>
      </c>
      <c r="AH1000">
        <v>60</v>
      </c>
      <c r="AI1000">
        <v>5</v>
      </c>
      <c r="AJ1000">
        <v>7</v>
      </c>
      <c r="AK1000">
        <v>10</v>
      </c>
      <c r="AL1000">
        <v>7</v>
      </c>
      <c r="AM1000">
        <v>0</v>
      </c>
      <c r="AN1000">
        <v>0</v>
      </c>
      <c r="AO1000">
        <v>29</v>
      </c>
      <c r="AP1000">
        <v>18</v>
      </c>
      <c r="AQ1000">
        <v>3</v>
      </c>
      <c r="AR1000">
        <v>2</v>
      </c>
      <c r="AS1000">
        <v>11</v>
      </c>
      <c r="AT1000">
        <v>2</v>
      </c>
    </row>
    <row r="1001" spans="1:46">
      <c r="A1001">
        <v>20292</v>
      </c>
      <c r="B1001" t="s">
        <v>6562</v>
      </c>
      <c r="C1001" t="s">
        <v>6563</v>
      </c>
      <c r="D1001" t="s">
        <v>6564</v>
      </c>
      <c r="E1001" t="s">
        <v>6565</v>
      </c>
      <c r="F1001" t="s">
        <v>5992</v>
      </c>
      <c r="G1001" t="s">
        <v>652</v>
      </c>
      <c r="H1001" t="s">
        <v>3942</v>
      </c>
      <c r="J1001" t="s">
        <v>518</v>
      </c>
      <c r="K1001" t="s">
        <v>519</v>
      </c>
      <c r="M1001" t="s">
        <v>520</v>
      </c>
      <c r="N1001" t="s">
        <v>571</v>
      </c>
      <c r="O1001" t="s">
        <v>748</v>
      </c>
      <c r="P1001" t="s">
        <v>654</v>
      </c>
      <c r="Q1001" t="s">
        <v>638</v>
      </c>
      <c r="R1001" t="s">
        <v>639</v>
      </c>
      <c r="S1001" t="s">
        <v>682</v>
      </c>
      <c r="T1001" t="s">
        <v>527</v>
      </c>
      <c r="U1001">
        <v>129300</v>
      </c>
      <c r="V1001" t="s">
        <v>5993</v>
      </c>
      <c r="W1001" t="s">
        <v>741</v>
      </c>
      <c r="X1001" t="s">
        <v>6566</v>
      </c>
      <c r="Y1001" t="s">
        <v>6567</v>
      </c>
      <c r="AA1001" t="s">
        <v>4289</v>
      </c>
      <c r="AB1001" t="s">
        <v>6568</v>
      </c>
      <c r="AC1001">
        <v>99048</v>
      </c>
      <c r="AD1001" t="s">
        <v>750</v>
      </c>
      <c r="AE1001">
        <v>-36.806895969999999</v>
      </c>
      <c r="AF1001">
        <v>174.79091897000001</v>
      </c>
      <c r="AG1001">
        <v>21</v>
      </c>
      <c r="AH1001">
        <v>5</v>
      </c>
      <c r="AI1001">
        <v>0</v>
      </c>
      <c r="AJ1001">
        <v>1</v>
      </c>
      <c r="AK1001">
        <v>7</v>
      </c>
      <c r="AL1001">
        <v>14</v>
      </c>
      <c r="AM1001">
        <v>5</v>
      </c>
      <c r="AN1001">
        <v>3</v>
      </c>
      <c r="AO1001">
        <v>30</v>
      </c>
      <c r="AP1001">
        <v>20</v>
      </c>
      <c r="AQ1001">
        <v>4</v>
      </c>
      <c r="AR1001">
        <v>1</v>
      </c>
      <c r="AS1001">
        <v>7</v>
      </c>
      <c r="AT1001">
        <v>2</v>
      </c>
    </row>
    <row r="1002" spans="1:46">
      <c r="A1002">
        <v>20293</v>
      </c>
      <c r="B1002" t="s">
        <v>6569</v>
      </c>
      <c r="C1002" t="s">
        <v>6570</v>
      </c>
      <c r="D1002" t="s">
        <v>6571</v>
      </c>
      <c r="E1002" t="s">
        <v>6572</v>
      </c>
      <c r="F1002" t="s">
        <v>5860</v>
      </c>
      <c r="G1002" t="s">
        <v>652</v>
      </c>
      <c r="H1002" t="s">
        <v>3942</v>
      </c>
      <c r="I1002" t="s">
        <v>4065</v>
      </c>
      <c r="J1002" t="s">
        <v>3962</v>
      </c>
      <c r="K1002" t="s">
        <v>519</v>
      </c>
      <c r="M1002" t="s">
        <v>520</v>
      </c>
      <c r="N1002" t="s">
        <v>571</v>
      </c>
      <c r="O1002" t="s">
        <v>748</v>
      </c>
      <c r="P1002" t="s">
        <v>654</v>
      </c>
      <c r="Q1002" t="s">
        <v>638</v>
      </c>
      <c r="R1002" t="s">
        <v>639</v>
      </c>
      <c r="S1002" t="s">
        <v>682</v>
      </c>
      <c r="T1002" t="s">
        <v>527</v>
      </c>
      <c r="U1002">
        <v>121200</v>
      </c>
      <c r="V1002" t="s">
        <v>6573</v>
      </c>
      <c r="W1002" t="s">
        <v>741</v>
      </c>
      <c r="X1002" t="s">
        <v>6574</v>
      </c>
      <c r="Y1002" t="s">
        <v>6572</v>
      </c>
      <c r="Z1002" t="s">
        <v>5860</v>
      </c>
      <c r="AA1002" t="s">
        <v>4911</v>
      </c>
      <c r="AC1002">
        <v>99000</v>
      </c>
      <c r="AD1002" t="s">
        <v>684</v>
      </c>
      <c r="AE1002">
        <v>-36.760488690000003</v>
      </c>
      <c r="AF1002">
        <v>174.73795537000001</v>
      </c>
      <c r="AG1002">
        <v>28</v>
      </c>
      <c r="AH1002">
        <v>0</v>
      </c>
      <c r="AI1002">
        <v>0</v>
      </c>
      <c r="AJ1002">
        <v>0</v>
      </c>
      <c r="AK1002">
        <v>2</v>
      </c>
      <c r="AL1002">
        <v>12</v>
      </c>
      <c r="AM1002">
        <v>10</v>
      </c>
      <c r="AN1002">
        <v>1</v>
      </c>
      <c r="AO1002">
        <v>25</v>
      </c>
      <c r="AP1002">
        <v>6</v>
      </c>
      <c r="AQ1002">
        <v>1</v>
      </c>
      <c r="AR1002">
        <v>0</v>
      </c>
      <c r="AS1002">
        <v>20</v>
      </c>
      <c r="AT1002">
        <v>4</v>
      </c>
    </row>
    <row r="1003" spans="1:46">
      <c r="A1003">
        <v>20294</v>
      </c>
      <c r="B1003" t="s">
        <v>6575</v>
      </c>
      <c r="C1003" t="s">
        <v>6576</v>
      </c>
      <c r="D1003" t="s">
        <v>6577</v>
      </c>
      <c r="E1003" t="s">
        <v>6578</v>
      </c>
      <c r="F1003" t="s">
        <v>6326</v>
      </c>
      <c r="G1003" t="s">
        <v>3623</v>
      </c>
      <c r="H1003" t="s">
        <v>3942</v>
      </c>
      <c r="J1003" t="s">
        <v>3962</v>
      </c>
      <c r="K1003" t="s">
        <v>519</v>
      </c>
      <c r="M1003" t="s">
        <v>520</v>
      </c>
      <c r="N1003" t="s">
        <v>571</v>
      </c>
      <c r="O1003" t="s">
        <v>653</v>
      </c>
      <c r="P1003" t="s">
        <v>584</v>
      </c>
      <c r="Q1003" t="s">
        <v>638</v>
      </c>
      <c r="R1003" t="s">
        <v>639</v>
      </c>
      <c r="S1003" t="s">
        <v>668</v>
      </c>
      <c r="T1003" t="s">
        <v>527</v>
      </c>
      <c r="U1003">
        <v>115800</v>
      </c>
      <c r="V1003" t="s">
        <v>3624</v>
      </c>
      <c r="W1003" t="s">
        <v>657</v>
      </c>
      <c r="X1003" t="s">
        <v>6579</v>
      </c>
      <c r="Y1003" t="s">
        <v>6580</v>
      </c>
      <c r="AA1003" t="s">
        <v>6581</v>
      </c>
      <c r="AB1003" t="s">
        <v>6582</v>
      </c>
      <c r="AE1003">
        <v>-36.63292921</v>
      </c>
      <c r="AF1003">
        <v>174.76171409</v>
      </c>
      <c r="AG1003">
        <v>30</v>
      </c>
      <c r="AH1003">
        <v>12</v>
      </c>
      <c r="AI1003">
        <v>1</v>
      </c>
      <c r="AJ1003">
        <v>6</v>
      </c>
      <c r="AK1003">
        <v>10</v>
      </c>
      <c r="AL1003">
        <v>12</v>
      </c>
      <c r="AM1003">
        <v>9</v>
      </c>
      <c r="AN1003">
        <v>0</v>
      </c>
      <c r="AO1003">
        <v>38</v>
      </c>
      <c r="AP1003">
        <v>38</v>
      </c>
      <c r="AQ1003">
        <v>4</v>
      </c>
      <c r="AR1003">
        <v>2</v>
      </c>
      <c r="AS1003">
        <v>3</v>
      </c>
      <c r="AT1003">
        <v>2</v>
      </c>
    </row>
    <row r="1004" spans="1:46">
      <c r="A1004">
        <v>20295</v>
      </c>
      <c r="B1004" t="s">
        <v>6583</v>
      </c>
      <c r="C1004" t="s">
        <v>6584</v>
      </c>
      <c r="D1004" t="s">
        <v>6585</v>
      </c>
      <c r="E1004" t="s">
        <v>6586</v>
      </c>
      <c r="F1004" t="s">
        <v>847</v>
      </c>
      <c r="G1004" t="s">
        <v>652</v>
      </c>
      <c r="H1004" t="s">
        <v>3942</v>
      </c>
      <c r="J1004" t="s">
        <v>518</v>
      </c>
      <c r="K1004" t="s">
        <v>519</v>
      </c>
      <c r="M1004" t="s">
        <v>520</v>
      </c>
      <c r="N1004" t="s">
        <v>521</v>
      </c>
      <c r="O1004" t="s">
        <v>848</v>
      </c>
      <c r="P1004" t="s">
        <v>654</v>
      </c>
      <c r="Q1004" t="s">
        <v>638</v>
      </c>
      <c r="R1004" t="s">
        <v>729</v>
      </c>
      <c r="S1004" t="s">
        <v>849</v>
      </c>
      <c r="T1004" t="s">
        <v>709</v>
      </c>
      <c r="U1004">
        <v>149400</v>
      </c>
      <c r="V1004" t="s">
        <v>6587</v>
      </c>
      <c r="W1004" t="s">
        <v>732</v>
      </c>
      <c r="X1004" t="s">
        <v>6588</v>
      </c>
      <c r="Y1004" t="s">
        <v>4097</v>
      </c>
      <c r="Z1004" t="s">
        <v>4098</v>
      </c>
      <c r="AA1004" t="s">
        <v>3956</v>
      </c>
      <c r="AB1004" t="s">
        <v>4100</v>
      </c>
      <c r="AC1004">
        <v>99124</v>
      </c>
      <c r="AD1004" t="s">
        <v>4579</v>
      </c>
      <c r="AE1004">
        <v>-36.954585799999997</v>
      </c>
      <c r="AF1004">
        <v>174.81531668</v>
      </c>
      <c r="AG1004">
        <v>110</v>
      </c>
      <c r="AH1004">
        <v>35</v>
      </c>
      <c r="AI1004">
        <v>8</v>
      </c>
      <c r="AJ1004">
        <v>17</v>
      </c>
      <c r="AK1004">
        <v>27</v>
      </c>
      <c r="AL1004">
        <v>26</v>
      </c>
      <c r="AM1004">
        <v>22</v>
      </c>
      <c r="AN1004">
        <v>1</v>
      </c>
      <c r="AO1004">
        <v>101</v>
      </c>
      <c r="AP1004">
        <v>19</v>
      </c>
      <c r="AQ1004">
        <v>38</v>
      </c>
      <c r="AR1004">
        <v>78</v>
      </c>
      <c r="AS1004">
        <v>18</v>
      </c>
      <c r="AT1004">
        <v>1</v>
      </c>
    </row>
    <row r="1005" spans="1:46">
      <c r="A1005">
        <v>20300</v>
      </c>
      <c r="B1005" t="s">
        <v>6589</v>
      </c>
      <c r="C1005" t="s">
        <v>6590</v>
      </c>
      <c r="E1005" t="s">
        <v>6591</v>
      </c>
      <c r="F1005" t="s">
        <v>770</v>
      </c>
      <c r="G1005" t="s">
        <v>652</v>
      </c>
      <c r="H1005" t="s">
        <v>3942</v>
      </c>
      <c r="J1005" t="s">
        <v>3962</v>
      </c>
      <c r="K1005" t="s">
        <v>519</v>
      </c>
      <c r="M1005" t="s">
        <v>520</v>
      </c>
      <c r="N1005" t="s">
        <v>571</v>
      </c>
      <c r="O1005" t="s">
        <v>718</v>
      </c>
      <c r="P1005" t="s">
        <v>654</v>
      </c>
      <c r="Q1005" t="s">
        <v>638</v>
      </c>
      <c r="R1005" t="s">
        <v>639</v>
      </c>
      <c r="S1005" t="s">
        <v>770</v>
      </c>
      <c r="T1005" t="s">
        <v>709</v>
      </c>
      <c r="U1005">
        <v>135600</v>
      </c>
      <c r="V1005" t="s">
        <v>6592</v>
      </c>
      <c r="W1005" t="s">
        <v>721</v>
      </c>
      <c r="X1005" t="s">
        <v>6593</v>
      </c>
      <c r="Y1005" t="s">
        <v>6591</v>
      </c>
      <c r="Z1005" t="s">
        <v>770</v>
      </c>
      <c r="AA1005" t="s">
        <v>4333</v>
      </c>
      <c r="AB1005" t="s">
        <v>6590</v>
      </c>
      <c r="AE1005">
        <v>-36.915017509999998</v>
      </c>
      <c r="AF1005">
        <v>174.69057441999999</v>
      </c>
      <c r="AG1005">
        <v>45</v>
      </c>
      <c r="AH1005">
        <v>10</v>
      </c>
      <c r="AI1005">
        <v>1</v>
      </c>
      <c r="AJ1005">
        <v>5</v>
      </c>
      <c r="AK1005">
        <v>12</v>
      </c>
      <c r="AL1005">
        <v>11</v>
      </c>
      <c r="AM1005">
        <v>12</v>
      </c>
      <c r="AN1005">
        <v>1</v>
      </c>
      <c r="AO1005">
        <v>42</v>
      </c>
      <c r="AP1005">
        <v>2</v>
      </c>
      <c r="AQ1005">
        <v>1</v>
      </c>
      <c r="AR1005">
        <v>2</v>
      </c>
      <c r="AS1005">
        <v>32</v>
      </c>
      <c r="AT1005">
        <v>6</v>
      </c>
    </row>
    <row r="1006" spans="1:46">
      <c r="A1006">
        <v>20301</v>
      </c>
      <c r="B1006" t="s">
        <v>6594</v>
      </c>
      <c r="C1006" t="s">
        <v>6595</v>
      </c>
      <c r="D1006" t="s">
        <v>6596</v>
      </c>
      <c r="E1006" t="s">
        <v>6597</v>
      </c>
      <c r="F1006" t="s">
        <v>1189</v>
      </c>
      <c r="G1006" t="s">
        <v>652</v>
      </c>
      <c r="H1006" t="s">
        <v>3942</v>
      </c>
      <c r="J1006" t="s">
        <v>518</v>
      </c>
      <c r="K1006" t="s">
        <v>519</v>
      </c>
      <c r="M1006" t="s">
        <v>520</v>
      </c>
      <c r="N1006" t="s">
        <v>571</v>
      </c>
      <c r="O1006" t="s">
        <v>813</v>
      </c>
      <c r="P1006" t="s">
        <v>654</v>
      </c>
      <c r="Q1006" t="s">
        <v>638</v>
      </c>
      <c r="R1006" t="s">
        <v>639</v>
      </c>
      <c r="S1006" t="s">
        <v>899</v>
      </c>
      <c r="T1006" t="s">
        <v>709</v>
      </c>
      <c r="U1006">
        <v>127001</v>
      </c>
      <c r="V1006" t="s">
        <v>6598</v>
      </c>
      <c r="W1006" t="s">
        <v>815</v>
      </c>
      <c r="X1006" t="s">
        <v>6599</v>
      </c>
      <c r="Y1006" t="s">
        <v>6600</v>
      </c>
      <c r="Z1006" t="s">
        <v>6601</v>
      </c>
      <c r="AA1006" t="s">
        <v>6602</v>
      </c>
      <c r="AB1006" t="s">
        <v>6603</v>
      </c>
      <c r="AE1006">
        <v>-36.861068179999997</v>
      </c>
      <c r="AF1006">
        <v>174.64512528</v>
      </c>
      <c r="AG1006">
        <v>35</v>
      </c>
      <c r="AH1006">
        <v>0</v>
      </c>
      <c r="AI1006">
        <v>0</v>
      </c>
      <c r="AJ1006">
        <v>0</v>
      </c>
      <c r="AK1006">
        <v>0</v>
      </c>
      <c r="AL1006">
        <v>24</v>
      </c>
      <c r="AM1006">
        <v>21</v>
      </c>
      <c r="AN1006">
        <v>0</v>
      </c>
      <c r="AO1006">
        <v>45</v>
      </c>
      <c r="AP1006">
        <v>32</v>
      </c>
      <c r="AQ1006">
        <v>16</v>
      </c>
      <c r="AR1006">
        <v>8</v>
      </c>
      <c r="AS1006">
        <v>10</v>
      </c>
      <c r="AT1006">
        <v>1</v>
      </c>
    </row>
    <row r="1007" spans="1:46">
      <c r="A1007">
        <v>20307</v>
      </c>
      <c r="B1007" t="s">
        <v>6604</v>
      </c>
      <c r="C1007" t="s">
        <v>6605</v>
      </c>
      <c r="E1007" t="s">
        <v>6606</v>
      </c>
      <c r="F1007" t="s">
        <v>747</v>
      </c>
      <c r="G1007" t="s">
        <v>652</v>
      </c>
      <c r="H1007" t="s">
        <v>343</v>
      </c>
      <c r="J1007" t="s">
        <v>518</v>
      </c>
      <c r="K1007" t="s">
        <v>519</v>
      </c>
      <c r="L1007" t="s">
        <v>4205</v>
      </c>
      <c r="M1007" t="s">
        <v>520</v>
      </c>
      <c r="N1007" t="s">
        <v>571</v>
      </c>
      <c r="O1007" t="s">
        <v>748</v>
      </c>
      <c r="P1007" t="s">
        <v>654</v>
      </c>
      <c r="Q1007" t="s">
        <v>638</v>
      </c>
      <c r="R1007" t="s">
        <v>639</v>
      </c>
      <c r="S1007" t="s">
        <v>682</v>
      </c>
      <c r="T1007" t="s">
        <v>527</v>
      </c>
      <c r="U1007">
        <v>129400</v>
      </c>
      <c r="V1007" t="s">
        <v>749</v>
      </c>
      <c r="W1007" t="s">
        <v>741</v>
      </c>
      <c r="X1007" t="s">
        <v>6607</v>
      </c>
      <c r="Y1007" t="s">
        <v>4208</v>
      </c>
      <c r="Z1007" t="s">
        <v>4209</v>
      </c>
      <c r="AA1007" t="s">
        <v>4210</v>
      </c>
      <c r="AB1007" t="s">
        <v>6608</v>
      </c>
      <c r="AE1007">
        <v>-36.810687020000003</v>
      </c>
      <c r="AF1007">
        <v>174.78834863</v>
      </c>
      <c r="AG1007">
        <v>16</v>
      </c>
      <c r="AH1007">
        <v>4</v>
      </c>
      <c r="AI1007">
        <v>0</v>
      </c>
      <c r="AJ1007">
        <v>2</v>
      </c>
      <c r="AK1007">
        <v>1</v>
      </c>
      <c r="AL1007">
        <v>4</v>
      </c>
      <c r="AM1007">
        <v>1</v>
      </c>
      <c r="AN1007">
        <v>0</v>
      </c>
      <c r="AO1007">
        <v>8</v>
      </c>
      <c r="AP1007">
        <v>0</v>
      </c>
      <c r="AQ1007">
        <v>7</v>
      </c>
      <c r="AR1007">
        <v>0</v>
      </c>
      <c r="AS1007">
        <v>0</v>
      </c>
      <c r="AT1007">
        <v>1</v>
      </c>
    </row>
    <row r="1008" spans="1:46">
      <c r="A1008">
        <v>20310</v>
      </c>
      <c r="B1008" t="s">
        <v>6609</v>
      </c>
      <c r="C1008" t="s">
        <v>6610</v>
      </c>
      <c r="D1008" t="s">
        <v>6611</v>
      </c>
      <c r="E1008" t="s">
        <v>6612</v>
      </c>
      <c r="F1008" t="s">
        <v>6559</v>
      </c>
      <c r="G1008" t="s">
        <v>652</v>
      </c>
      <c r="H1008" t="s">
        <v>3942</v>
      </c>
      <c r="J1008" t="s">
        <v>3962</v>
      </c>
      <c r="K1008" t="s">
        <v>519</v>
      </c>
      <c r="M1008" t="s">
        <v>520</v>
      </c>
      <c r="N1008" t="s">
        <v>571</v>
      </c>
      <c r="O1008" t="s">
        <v>813</v>
      </c>
      <c r="P1008" t="s">
        <v>654</v>
      </c>
      <c r="Q1008" t="s">
        <v>638</v>
      </c>
      <c r="R1008" t="s">
        <v>639</v>
      </c>
      <c r="S1008" t="s">
        <v>719</v>
      </c>
      <c r="T1008" t="s">
        <v>709</v>
      </c>
      <c r="U1008">
        <v>129101</v>
      </c>
      <c r="V1008" t="s">
        <v>6613</v>
      </c>
      <c r="W1008" t="s">
        <v>815</v>
      </c>
      <c r="X1008" t="s">
        <v>6614</v>
      </c>
      <c r="Y1008" t="s">
        <v>6615</v>
      </c>
      <c r="Z1008" t="s">
        <v>898</v>
      </c>
      <c r="AA1008" t="s">
        <v>4307</v>
      </c>
      <c r="AB1008" t="s">
        <v>6616</v>
      </c>
      <c r="AE1008">
        <v>-36.89485956</v>
      </c>
      <c r="AF1008">
        <v>174.63927798</v>
      </c>
      <c r="AG1008">
        <v>37</v>
      </c>
      <c r="AH1008">
        <v>8</v>
      </c>
      <c r="AI1008">
        <v>0</v>
      </c>
      <c r="AJ1008">
        <v>10</v>
      </c>
      <c r="AK1008">
        <v>11</v>
      </c>
      <c r="AL1008">
        <v>11</v>
      </c>
      <c r="AM1008">
        <v>9</v>
      </c>
      <c r="AN1008">
        <v>1</v>
      </c>
      <c r="AO1008">
        <v>42</v>
      </c>
      <c r="AP1008">
        <v>32</v>
      </c>
      <c r="AQ1008">
        <v>3</v>
      </c>
      <c r="AR1008">
        <v>3</v>
      </c>
      <c r="AS1008">
        <v>11</v>
      </c>
      <c r="AT1008">
        <v>4</v>
      </c>
    </row>
    <row r="1009" spans="1:46">
      <c r="A1009">
        <v>20318</v>
      </c>
      <c r="B1009" t="s">
        <v>6617</v>
      </c>
      <c r="C1009" t="s">
        <v>6618</v>
      </c>
      <c r="E1009" t="s">
        <v>6619</v>
      </c>
      <c r="F1009" t="s">
        <v>4441</v>
      </c>
      <c r="G1009" t="s">
        <v>652</v>
      </c>
      <c r="H1009" t="s">
        <v>343</v>
      </c>
      <c r="J1009" t="s">
        <v>518</v>
      </c>
      <c r="K1009" t="s">
        <v>519</v>
      </c>
      <c r="L1009" t="s">
        <v>4205</v>
      </c>
      <c r="M1009" t="s">
        <v>520</v>
      </c>
      <c r="N1009" t="s">
        <v>521</v>
      </c>
      <c r="O1009" t="s">
        <v>829</v>
      </c>
      <c r="P1009" t="s">
        <v>654</v>
      </c>
      <c r="Q1009" t="s">
        <v>638</v>
      </c>
      <c r="R1009" t="s">
        <v>708</v>
      </c>
      <c r="S1009" t="s">
        <v>730</v>
      </c>
      <c r="T1009" t="s">
        <v>709</v>
      </c>
      <c r="U1009">
        <v>147001</v>
      </c>
      <c r="V1009" t="s">
        <v>6620</v>
      </c>
      <c r="W1009" t="s">
        <v>807</v>
      </c>
      <c r="X1009" t="s">
        <v>4207</v>
      </c>
      <c r="Y1009" t="s">
        <v>4208</v>
      </c>
      <c r="Z1009" t="s">
        <v>4209</v>
      </c>
      <c r="AA1009" t="s">
        <v>4210</v>
      </c>
      <c r="AE1009">
        <v>-36.89190516</v>
      </c>
      <c r="AF1009">
        <v>174.85909849999999</v>
      </c>
      <c r="AG1009">
        <v>86</v>
      </c>
      <c r="AH1009">
        <v>25</v>
      </c>
      <c r="AI1009">
        <v>6</v>
      </c>
      <c r="AJ1009">
        <v>16</v>
      </c>
      <c r="AK1009">
        <v>23</v>
      </c>
      <c r="AL1009">
        <v>20</v>
      </c>
      <c r="AM1009">
        <v>14</v>
      </c>
      <c r="AN1009">
        <v>0</v>
      </c>
      <c r="AO1009">
        <v>79</v>
      </c>
      <c r="AP1009">
        <v>0</v>
      </c>
      <c r="AQ1009">
        <v>78</v>
      </c>
      <c r="AR1009">
        <v>0</v>
      </c>
      <c r="AS1009">
        <v>0</v>
      </c>
      <c r="AT1009">
        <v>1</v>
      </c>
    </row>
    <row r="1010" spans="1:46">
      <c r="A1010">
        <v>20319</v>
      </c>
      <c r="B1010" t="s">
        <v>6621</v>
      </c>
      <c r="C1010" t="s">
        <v>6622</v>
      </c>
      <c r="E1010" t="s">
        <v>6623</v>
      </c>
      <c r="F1010" t="s">
        <v>737</v>
      </c>
      <c r="G1010" t="s">
        <v>652</v>
      </c>
      <c r="H1010" t="s">
        <v>343</v>
      </c>
      <c r="J1010" t="s">
        <v>518</v>
      </c>
      <c r="K1010" t="s">
        <v>519</v>
      </c>
      <c r="L1010" t="s">
        <v>4205</v>
      </c>
      <c r="M1010" t="s">
        <v>520</v>
      </c>
      <c r="N1010" t="s">
        <v>571</v>
      </c>
      <c r="O1010" t="s">
        <v>738</v>
      </c>
      <c r="P1010" t="s">
        <v>654</v>
      </c>
      <c r="Q1010" t="s">
        <v>638</v>
      </c>
      <c r="R1010" t="s">
        <v>639</v>
      </c>
      <c r="S1010" t="s">
        <v>756</v>
      </c>
      <c r="T1010" t="s">
        <v>527</v>
      </c>
      <c r="U1010">
        <v>124000</v>
      </c>
      <c r="V1010" t="s">
        <v>981</v>
      </c>
      <c r="W1010" t="s">
        <v>741</v>
      </c>
      <c r="X1010" t="s">
        <v>6607</v>
      </c>
      <c r="Y1010" t="s">
        <v>4208</v>
      </c>
      <c r="Z1010" t="s">
        <v>4209</v>
      </c>
      <c r="AA1010" t="s">
        <v>4210</v>
      </c>
      <c r="AB1010" t="s">
        <v>6608</v>
      </c>
      <c r="AE1010">
        <v>-36.780241879999998</v>
      </c>
      <c r="AF1010">
        <v>174.72216069999999</v>
      </c>
      <c r="AG1010">
        <v>30</v>
      </c>
      <c r="AH1010">
        <v>8</v>
      </c>
      <c r="AI1010">
        <v>0</v>
      </c>
      <c r="AJ1010">
        <v>5</v>
      </c>
      <c r="AK1010">
        <v>6</v>
      </c>
      <c r="AL1010">
        <v>8</v>
      </c>
      <c r="AM1010">
        <v>3</v>
      </c>
      <c r="AN1010">
        <v>0</v>
      </c>
      <c r="AO1010">
        <v>22</v>
      </c>
      <c r="AP1010">
        <v>0</v>
      </c>
      <c r="AQ1010">
        <v>22</v>
      </c>
      <c r="AR1010">
        <v>0</v>
      </c>
      <c r="AS1010">
        <v>0</v>
      </c>
      <c r="AT1010">
        <v>0</v>
      </c>
    </row>
    <row r="1011" spans="1:46">
      <c r="A1011">
        <v>20320</v>
      </c>
      <c r="B1011" t="s">
        <v>6624</v>
      </c>
      <c r="C1011" t="s">
        <v>6625</v>
      </c>
      <c r="D1011" t="s">
        <v>6626</v>
      </c>
      <c r="E1011" t="s">
        <v>6627</v>
      </c>
      <c r="F1011" t="s">
        <v>919</v>
      </c>
      <c r="G1011" t="s">
        <v>652</v>
      </c>
      <c r="H1011" t="s">
        <v>3942</v>
      </c>
      <c r="J1011" t="s">
        <v>3962</v>
      </c>
      <c r="K1011" t="s">
        <v>519</v>
      </c>
      <c r="M1011" t="s">
        <v>520</v>
      </c>
      <c r="N1011" t="s">
        <v>571</v>
      </c>
      <c r="O1011" t="s">
        <v>1168</v>
      </c>
      <c r="P1011" t="s">
        <v>654</v>
      </c>
      <c r="Q1011" t="s">
        <v>638</v>
      </c>
      <c r="R1011" t="s">
        <v>639</v>
      </c>
      <c r="S1011" t="s">
        <v>739</v>
      </c>
      <c r="T1011" t="s">
        <v>527</v>
      </c>
      <c r="U1011">
        <v>120301</v>
      </c>
      <c r="V1011" t="s">
        <v>6628</v>
      </c>
      <c r="W1011" t="s">
        <v>657</v>
      </c>
      <c r="X1011" t="s">
        <v>6629</v>
      </c>
      <c r="Y1011" t="s">
        <v>6627</v>
      </c>
      <c r="Z1011" t="s">
        <v>919</v>
      </c>
      <c r="AA1011" t="s">
        <v>4391</v>
      </c>
      <c r="AB1011" t="s">
        <v>6625</v>
      </c>
      <c r="AC1011">
        <v>99129</v>
      </c>
      <c r="AD1011" t="s">
        <v>921</v>
      </c>
      <c r="AE1011">
        <v>-36.811123240000001</v>
      </c>
      <c r="AF1011">
        <v>174.63333879000001</v>
      </c>
      <c r="AG1011">
        <v>43</v>
      </c>
      <c r="AH1011">
        <v>0</v>
      </c>
      <c r="AI1011">
        <v>0</v>
      </c>
      <c r="AJ1011">
        <v>0</v>
      </c>
      <c r="AK1011">
        <v>14</v>
      </c>
      <c r="AL1011">
        <v>8</v>
      </c>
      <c r="AM1011">
        <v>19</v>
      </c>
      <c r="AN1011">
        <v>1</v>
      </c>
      <c r="AO1011">
        <v>42</v>
      </c>
      <c r="AP1011">
        <v>16</v>
      </c>
      <c r="AQ1011">
        <v>2</v>
      </c>
      <c r="AR1011">
        <v>2</v>
      </c>
      <c r="AS1011">
        <v>24</v>
      </c>
      <c r="AT1011">
        <v>4</v>
      </c>
    </row>
    <row r="1012" spans="1:46">
      <c r="A1012">
        <v>20322</v>
      </c>
      <c r="B1012" t="s">
        <v>6630</v>
      </c>
      <c r="C1012" t="s">
        <v>6631</v>
      </c>
      <c r="D1012" t="s">
        <v>6632</v>
      </c>
      <c r="E1012" t="s">
        <v>6633</v>
      </c>
      <c r="F1012" t="s">
        <v>1146</v>
      </c>
      <c r="G1012" t="s">
        <v>652</v>
      </c>
      <c r="H1012" t="s">
        <v>3942</v>
      </c>
      <c r="J1012" t="s">
        <v>3962</v>
      </c>
      <c r="K1012" t="s">
        <v>519</v>
      </c>
      <c r="M1012" t="s">
        <v>520</v>
      </c>
      <c r="N1012" t="s">
        <v>571</v>
      </c>
      <c r="O1012" t="s">
        <v>957</v>
      </c>
      <c r="P1012" t="s">
        <v>654</v>
      </c>
      <c r="Q1012" t="s">
        <v>638</v>
      </c>
      <c r="R1012" t="s">
        <v>708</v>
      </c>
      <c r="S1012" t="s">
        <v>858</v>
      </c>
      <c r="T1012" t="s">
        <v>709</v>
      </c>
      <c r="U1012">
        <v>132100</v>
      </c>
      <c r="V1012" t="s">
        <v>5814</v>
      </c>
      <c r="W1012" t="s">
        <v>959</v>
      </c>
      <c r="X1012" t="s">
        <v>6634</v>
      </c>
      <c r="Y1012" t="s">
        <v>4658</v>
      </c>
      <c r="Z1012" t="s">
        <v>958</v>
      </c>
      <c r="AA1012" t="s">
        <v>4659</v>
      </c>
      <c r="AB1012" t="s">
        <v>6635</v>
      </c>
      <c r="AE1012">
        <v>-36.862428860000001</v>
      </c>
      <c r="AF1012">
        <v>174.73274282</v>
      </c>
      <c r="AG1012">
        <v>68</v>
      </c>
      <c r="AH1012">
        <v>18</v>
      </c>
      <c r="AI1012">
        <v>2</v>
      </c>
      <c r="AJ1012">
        <v>9</v>
      </c>
      <c r="AK1012">
        <v>7</v>
      </c>
      <c r="AL1012">
        <v>6</v>
      </c>
      <c r="AM1012">
        <v>5</v>
      </c>
      <c r="AN1012">
        <v>0</v>
      </c>
      <c r="AO1012">
        <v>29</v>
      </c>
      <c r="AP1012">
        <v>23</v>
      </c>
      <c r="AQ1012">
        <v>4</v>
      </c>
      <c r="AR1012">
        <v>0</v>
      </c>
      <c r="AS1012">
        <v>6</v>
      </c>
      <c r="AT1012">
        <v>4</v>
      </c>
    </row>
    <row r="1013" spans="1:46">
      <c r="A1013">
        <v>20324</v>
      </c>
      <c r="B1013" t="s">
        <v>6636</v>
      </c>
      <c r="C1013" t="s">
        <v>6637</v>
      </c>
      <c r="D1013" t="s">
        <v>6638</v>
      </c>
      <c r="E1013" t="s">
        <v>6639</v>
      </c>
      <c r="F1013" t="s">
        <v>5766</v>
      </c>
      <c r="G1013" t="s">
        <v>652</v>
      </c>
      <c r="H1013" t="s">
        <v>3942</v>
      </c>
      <c r="J1013" t="s">
        <v>3962</v>
      </c>
      <c r="K1013" t="s">
        <v>519</v>
      </c>
      <c r="M1013" t="s">
        <v>520</v>
      </c>
      <c r="N1013" t="s">
        <v>557</v>
      </c>
      <c r="O1013" t="s">
        <v>738</v>
      </c>
      <c r="P1013" t="s">
        <v>654</v>
      </c>
      <c r="Q1013" t="s">
        <v>638</v>
      </c>
      <c r="R1013" t="s">
        <v>639</v>
      </c>
      <c r="S1013" t="s">
        <v>756</v>
      </c>
      <c r="T1013" t="s">
        <v>527</v>
      </c>
      <c r="U1013">
        <v>122801</v>
      </c>
      <c r="V1013" t="s">
        <v>6137</v>
      </c>
      <c r="W1013" t="s">
        <v>741</v>
      </c>
      <c r="X1013" t="s">
        <v>4969</v>
      </c>
      <c r="Y1013" t="s">
        <v>6640</v>
      </c>
      <c r="AA1013" t="s">
        <v>4365</v>
      </c>
      <c r="AB1013" t="s">
        <v>6641</v>
      </c>
      <c r="AC1013">
        <v>99214</v>
      </c>
      <c r="AD1013" t="s">
        <v>758</v>
      </c>
      <c r="AE1013">
        <v>-36.794518060000001</v>
      </c>
      <c r="AF1013">
        <v>174.7011181</v>
      </c>
      <c r="AG1013">
        <v>32</v>
      </c>
      <c r="AH1013">
        <v>10</v>
      </c>
      <c r="AI1013">
        <v>0</v>
      </c>
      <c r="AJ1013">
        <v>8</v>
      </c>
      <c r="AK1013">
        <v>5</v>
      </c>
      <c r="AL1013">
        <v>9</v>
      </c>
      <c r="AM1013">
        <v>14</v>
      </c>
      <c r="AN1013">
        <v>0</v>
      </c>
      <c r="AO1013">
        <v>36</v>
      </c>
      <c r="AP1013">
        <v>23</v>
      </c>
      <c r="AQ1013">
        <v>9</v>
      </c>
      <c r="AR1013">
        <v>6</v>
      </c>
      <c r="AS1013">
        <v>9</v>
      </c>
      <c r="AT1013">
        <v>3</v>
      </c>
    </row>
    <row r="1014" spans="1:46">
      <c r="A1014">
        <v>20327</v>
      </c>
      <c r="B1014" t="s">
        <v>6642</v>
      </c>
      <c r="C1014" t="s">
        <v>6643</v>
      </c>
      <c r="D1014" t="s">
        <v>6644</v>
      </c>
      <c r="E1014" t="s">
        <v>6645</v>
      </c>
      <c r="F1014" t="s">
        <v>898</v>
      </c>
      <c r="G1014" t="s">
        <v>652</v>
      </c>
      <c r="H1014" t="s">
        <v>3942</v>
      </c>
      <c r="I1014" t="s">
        <v>3953</v>
      </c>
      <c r="J1014" t="s">
        <v>518</v>
      </c>
      <c r="K1014" t="s">
        <v>519</v>
      </c>
      <c r="M1014" t="s">
        <v>520</v>
      </c>
      <c r="N1014" t="s">
        <v>571</v>
      </c>
      <c r="O1014" t="s">
        <v>813</v>
      </c>
      <c r="P1014" t="s">
        <v>654</v>
      </c>
      <c r="Q1014" t="s">
        <v>638</v>
      </c>
      <c r="R1014" t="s">
        <v>639</v>
      </c>
      <c r="S1014" t="s">
        <v>899</v>
      </c>
      <c r="T1014" t="s">
        <v>527</v>
      </c>
      <c r="U1014">
        <v>125100</v>
      </c>
      <c r="V1014" t="s">
        <v>4305</v>
      </c>
      <c r="W1014" t="s">
        <v>815</v>
      </c>
      <c r="X1014" t="s">
        <v>6646</v>
      </c>
      <c r="Y1014" t="s">
        <v>6647</v>
      </c>
      <c r="AA1014" t="s">
        <v>4169</v>
      </c>
      <c r="AB1014" t="s">
        <v>6643</v>
      </c>
      <c r="AC1014">
        <v>99210</v>
      </c>
      <c r="AD1014" t="s">
        <v>3957</v>
      </c>
      <c r="AE1014">
        <v>-36.858781039999997</v>
      </c>
      <c r="AF1014">
        <v>174.6345493</v>
      </c>
      <c r="AG1014">
        <v>65</v>
      </c>
      <c r="AH1014">
        <v>20</v>
      </c>
      <c r="AI1014">
        <v>1</v>
      </c>
      <c r="AJ1014">
        <v>10</v>
      </c>
      <c r="AK1014">
        <v>16</v>
      </c>
      <c r="AL1014">
        <v>14</v>
      </c>
      <c r="AM1014">
        <v>25</v>
      </c>
      <c r="AN1014">
        <v>1</v>
      </c>
      <c r="AO1014">
        <v>67</v>
      </c>
      <c r="AP1014">
        <v>39</v>
      </c>
      <c r="AQ1014">
        <v>6</v>
      </c>
      <c r="AR1014">
        <v>15</v>
      </c>
      <c r="AS1014">
        <v>24</v>
      </c>
      <c r="AT1014">
        <v>8</v>
      </c>
    </row>
    <row r="1015" spans="1:46">
      <c r="A1015">
        <v>20328</v>
      </c>
      <c r="B1015" t="s">
        <v>6648</v>
      </c>
      <c r="C1015" t="s">
        <v>6649</v>
      </c>
      <c r="D1015" t="s">
        <v>6650</v>
      </c>
      <c r="E1015" t="s">
        <v>6651</v>
      </c>
      <c r="F1015" t="s">
        <v>836</v>
      </c>
      <c r="G1015" t="s">
        <v>652</v>
      </c>
      <c r="H1015" t="s">
        <v>3942</v>
      </c>
      <c r="J1015" t="s">
        <v>518</v>
      </c>
      <c r="K1015" t="s">
        <v>519</v>
      </c>
      <c r="M1015" t="s">
        <v>520</v>
      </c>
      <c r="N1015" t="s">
        <v>571</v>
      </c>
      <c r="O1015" t="s">
        <v>748</v>
      </c>
      <c r="P1015" t="s">
        <v>654</v>
      </c>
      <c r="Q1015" t="s">
        <v>638</v>
      </c>
      <c r="R1015" t="s">
        <v>639</v>
      </c>
      <c r="S1015" t="s">
        <v>682</v>
      </c>
      <c r="T1015" t="s">
        <v>527</v>
      </c>
      <c r="U1015">
        <v>133000</v>
      </c>
      <c r="V1015" t="s">
        <v>836</v>
      </c>
      <c r="W1015" t="s">
        <v>741</v>
      </c>
      <c r="X1015" t="s">
        <v>6652</v>
      </c>
      <c r="Y1015" t="s">
        <v>6651</v>
      </c>
      <c r="Z1015" t="s">
        <v>836</v>
      </c>
      <c r="AA1015" t="s">
        <v>6653</v>
      </c>
      <c r="AB1015" t="s">
        <v>6649</v>
      </c>
      <c r="AE1015">
        <v>-36.823968950000001</v>
      </c>
      <c r="AF1015">
        <v>174.79773026999999</v>
      </c>
      <c r="AG1015">
        <v>60</v>
      </c>
      <c r="AH1015">
        <v>20</v>
      </c>
      <c r="AI1015">
        <v>1</v>
      </c>
      <c r="AJ1015">
        <v>11</v>
      </c>
      <c r="AK1015">
        <v>16</v>
      </c>
      <c r="AL1015">
        <v>18</v>
      </c>
      <c r="AM1015">
        <v>12</v>
      </c>
      <c r="AN1015">
        <v>0</v>
      </c>
      <c r="AO1015">
        <v>58</v>
      </c>
      <c r="AP1015">
        <v>51</v>
      </c>
      <c r="AQ1015">
        <v>4</v>
      </c>
      <c r="AR1015">
        <v>3</v>
      </c>
      <c r="AS1015">
        <v>7</v>
      </c>
      <c r="AT1015">
        <v>3</v>
      </c>
    </row>
    <row r="1016" spans="1:46">
      <c r="A1016">
        <v>20329</v>
      </c>
      <c r="B1016" t="s">
        <v>6654</v>
      </c>
      <c r="C1016" t="s">
        <v>6655</v>
      </c>
      <c r="D1016" t="s">
        <v>6656</v>
      </c>
      <c r="E1016" t="s">
        <v>6657</v>
      </c>
      <c r="F1016" t="s">
        <v>4747</v>
      </c>
      <c r="G1016" t="s">
        <v>652</v>
      </c>
      <c r="H1016" t="s">
        <v>3942</v>
      </c>
      <c r="J1016" t="s">
        <v>3962</v>
      </c>
      <c r="K1016" t="s">
        <v>519</v>
      </c>
      <c r="M1016" t="s">
        <v>520</v>
      </c>
      <c r="N1016" t="s">
        <v>571</v>
      </c>
      <c r="O1016" t="s">
        <v>873</v>
      </c>
      <c r="P1016" t="s">
        <v>654</v>
      </c>
      <c r="Q1016" t="s">
        <v>638</v>
      </c>
      <c r="R1016" t="s">
        <v>639</v>
      </c>
      <c r="S1016" t="s">
        <v>719</v>
      </c>
      <c r="T1016" t="s">
        <v>709</v>
      </c>
      <c r="U1016">
        <v>134700</v>
      </c>
      <c r="V1016" t="s">
        <v>4748</v>
      </c>
      <c r="W1016" t="s">
        <v>815</v>
      </c>
      <c r="X1016" t="s">
        <v>6658</v>
      </c>
      <c r="Y1016" t="s">
        <v>6659</v>
      </c>
      <c r="Z1016" t="s">
        <v>1114</v>
      </c>
      <c r="AA1016" t="s">
        <v>3964</v>
      </c>
      <c r="AE1016">
        <v>-36.926388160000002</v>
      </c>
      <c r="AF1016">
        <v>174.65436621000001</v>
      </c>
      <c r="AG1016">
        <v>24</v>
      </c>
      <c r="AH1016">
        <v>10</v>
      </c>
      <c r="AI1016">
        <v>2</v>
      </c>
      <c r="AJ1016">
        <v>10</v>
      </c>
      <c r="AK1016">
        <v>11</v>
      </c>
      <c r="AL1016">
        <v>3</v>
      </c>
      <c r="AM1016">
        <v>2</v>
      </c>
      <c r="AN1016">
        <v>0</v>
      </c>
      <c r="AO1016">
        <v>28</v>
      </c>
      <c r="AP1016">
        <v>26</v>
      </c>
      <c r="AQ1016">
        <v>8</v>
      </c>
      <c r="AR1016">
        <v>0</v>
      </c>
      <c r="AS1016">
        <v>3</v>
      </c>
      <c r="AT1016">
        <v>0</v>
      </c>
    </row>
    <row r="1017" spans="1:46">
      <c r="A1017">
        <v>20333</v>
      </c>
      <c r="B1017" t="s">
        <v>6660</v>
      </c>
      <c r="C1017" t="s">
        <v>6661</v>
      </c>
      <c r="D1017" t="s">
        <v>6662</v>
      </c>
      <c r="E1017" t="s">
        <v>6663</v>
      </c>
      <c r="G1017" t="s">
        <v>4387</v>
      </c>
      <c r="H1017" t="s">
        <v>3942</v>
      </c>
      <c r="I1017" t="s">
        <v>3971</v>
      </c>
      <c r="J1017" t="s">
        <v>3962</v>
      </c>
      <c r="K1017" t="s">
        <v>519</v>
      </c>
      <c r="M1017" t="s">
        <v>520</v>
      </c>
      <c r="N1017" t="s">
        <v>571</v>
      </c>
      <c r="O1017" t="s">
        <v>637</v>
      </c>
      <c r="P1017" t="s">
        <v>523</v>
      </c>
      <c r="Q1017" t="s">
        <v>638</v>
      </c>
      <c r="R1017" t="s">
        <v>639</v>
      </c>
      <c r="S1017" t="s">
        <v>640</v>
      </c>
      <c r="T1017" t="s">
        <v>527</v>
      </c>
      <c r="U1017">
        <v>115001</v>
      </c>
      <c r="V1017" t="s">
        <v>6664</v>
      </c>
      <c r="W1017" t="s">
        <v>641</v>
      </c>
      <c r="X1017" t="s">
        <v>6665</v>
      </c>
      <c r="Y1017" t="s">
        <v>6666</v>
      </c>
      <c r="Z1017" t="s">
        <v>4387</v>
      </c>
      <c r="AA1017" t="s">
        <v>6667</v>
      </c>
      <c r="AE1017">
        <v>-36.769168870000001</v>
      </c>
      <c r="AF1017">
        <v>174.5518768</v>
      </c>
      <c r="AG1017">
        <v>70</v>
      </c>
      <c r="AH1017">
        <v>36</v>
      </c>
      <c r="AI1017">
        <v>8</v>
      </c>
      <c r="AJ1017">
        <v>19</v>
      </c>
      <c r="AK1017">
        <v>14</v>
      </c>
      <c r="AL1017">
        <v>29</v>
      </c>
      <c r="AM1017">
        <v>13</v>
      </c>
      <c r="AN1017">
        <v>0</v>
      </c>
      <c r="AO1017">
        <v>83</v>
      </c>
      <c r="AP1017">
        <v>75</v>
      </c>
      <c r="AQ1017">
        <v>8</v>
      </c>
      <c r="AR1017">
        <v>3</v>
      </c>
      <c r="AS1017">
        <v>8</v>
      </c>
      <c r="AT1017">
        <v>2</v>
      </c>
    </row>
    <row r="1018" spans="1:46">
      <c r="A1018">
        <v>20334</v>
      </c>
      <c r="B1018" t="s">
        <v>6668</v>
      </c>
      <c r="C1018" t="s">
        <v>6669</v>
      </c>
      <c r="E1018" t="s">
        <v>6670</v>
      </c>
      <c r="F1018" t="s">
        <v>681</v>
      </c>
      <c r="G1018" t="s">
        <v>652</v>
      </c>
      <c r="H1018" t="s">
        <v>3942</v>
      </c>
      <c r="J1018" t="s">
        <v>3962</v>
      </c>
      <c r="K1018" t="s">
        <v>519</v>
      </c>
      <c r="M1018" t="s">
        <v>520</v>
      </c>
      <c r="N1018" t="s">
        <v>4519</v>
      </c>
      <c r="O1018" t="s">
        <v>1168</v>
      </c>
      <c r="P1018" t="s">
        <v>654</v>
      </c>
      <c r="Q1018" t="s">
        <v>638</v>
      </c>
      <c r="R1018" t="s">
        <v>639</v>
      </c>
      <c r="S1018" t="s">
        <v>655</v>
      </c>
      <c r="T1018" t="s">
        <v>527</v>
      </c>
      <c r="U1018">
        <v>118600</v>
      </c>
      <c r="V1018" t="s">
        <v>4012</v>
      </c>
      <c r="W1018" t="s">
        <v>657</v>
      </c>
      <c r="X1018" t="s">
        <v>6671</v>
      </c>
      <c r="Y1018" t="s">
        <v>6672</v>
      </c>
      <c r="Z1018" t="s">
        <v>4012</v>
      </c>
      <c r="AA1018" t="s">
        <v>6673</v>
      </c>
      <c r="AB1018" t="s">
        <v>6674</v>
      </c>
      <c r="AC1018">
        <v>99000</v>
      </c>
      <c r="AD1018" t="s">
        <v>684</v>
      </c>
      <c r="AE1018">
        <v>-36.745072280000002</v>
      </c>
      <c r="AF1018">
        <v>174.7331647</v>
      </c>
      <c r="AG1018">
        <v>83</v>
      </c>
      <c r="AH1018">
        <v>25</v>
      </c>
      <c r="AI1018">
        <v>2</v>
      </c>
      <c r="AJ1018">
        <v>14</v>
      </c>
      <c r="AK1018">
        <v>16</v>
      </c>
      <c r="AL1018">
        <v>22</v>
      </c>
      <c r="AM1018">
        <v>12</v>
      </c>
      <c r="AN1018">
        <v>1</v>
      </c>
      <c r="AO1018">
        <v>67</v>
      </c>
      <c r="AP1018">
        <v>36</v>
      </c>
      <c r="AQ1018">
        <v>5</v>
      </c>
      <c r="AR1018">
        <v>0</v>
      </c>
      <c r="AS1018">
        <v>34</v>
      </c>
      <c r="AT1018">
        <v>4</v>
      </c>
    </row>
    <row r="1019" spans="1:46">
      <c r="A1019">
        <v>20336</v>
      </c>
      <c r="B1019" t="s">
        <v>6675</v>
      </c>
      <c r="C1019" t="s">
        <v>6676</v>
      </c>
      <c r="D1019" t="s">
        <v>6677</v>
      </c>
      <c r="E1019" t="s">
        <v>6678</v>
      </c>
      <c r="G1019" t="s">
        <v>6679</v>
      </c>
      <c r="H1019" t="s">
        <v>3942</v>
      </c>
      <c r="J1019" t="s">
        <v>518</v>
      </c>
      <c r="K1019" t="s">
        <v>519</v>
      </c>
      <c r="M1019" t="s">
        <v>520</v>
      </c>
      <c r="N1019" t="s">
        <v>571</v>
      </c>
      <c r="O1019" t="s">
        <v>637</v>
      </c>
      <c r="P1019" t="s">
        <v>540</v>
      </c>
      <c r="Q1019" t="s">
        <v>638</v>
      </c>
      <c r="R1019" t="s">
        <v>639</v>
      </c>
      <c r="S1019" t="s">
        <v>640</v>
      </c>
      <c r="T1019" t="s">
        <v>527</v>
      </c>
      <c r="U1019">
        <v>110400</v>
      </c>
      <c r="V1019" t="s">
        <v>6680</v>
      </c>
      <c r="W1019" t="s">
        <v>641</v>
      </c>
      <c r="X1019" t="s">
        <v>6681</v>
      </c>
      <c r="Y1019" t="s">
        <v>6682</v>
      </c>
      <c r="Z1019" t="s">
        <v>6679</v>
      </c>
      <c r="AA1019" t="s">
        <v>6683</v>
      </c>
      <c r="AE1019">
        <v>-36.291209330000001</v>
      </c>
      <c r="AF1019">
        <v>174.80309109000001</v>
      </c>
      <c r="AG1019">
        <v>28</v>
      </c>
      <c r="AH1019">
        <v>8</v>
      </c>
      <c r="AI1019">
        <v>0</v>
      </c>
      <c r="AJ1019">
        <v>2</v>
      </c>
      <c r="AK1019">
        <v>5</v>
      </c>
      <c r="AL1019">
        <v>2</v>
      </c>
      <c r="AM1019">
        <v>14</v>
      </c>
      <c r="AN1019">
        <v>2</v>
      </c>
      <c r="AO1019">
        <v>25</v>
      </c>
      <c r="AP1019">
        <v>24</v>
      </c>
      <c r="AQ1019">
        <v>11</v>
      </c>
      <c r="AR1019">
        <v>2</v>
      </c>
      <c r="AS1019">
        <v>0</v>
      </c>
      <c r="AT1019">
        <v>1</v>
      </c>
    </row>
    <row r="1020" spans="1:46">
      <c r="A1020">
        <v>20337</v>
      </c>
      <c r="B1020" t="s">
        <v>6684</v>
      </c>
      <c r="C1020" t="s">
        <v>6685</v>
      </c>
      <c r="D1020" t="s">
        <v>6686</v>
      </c>
      <c r="E1020" t="s">
        <v>6687</v>
      </c>
      <c r="G1020" t="s">
        <v>6688</v>
      </c>
      <c r="H1020" t="s">
        <v>3942</v>
      </c>
      <c r="J1020" t="s">
        <v>518</v>
      </c>
      <c r="K1020" t="s">
        <v>519</v>
      </c>
      <c r="M1020" t="s">
        <v>520</v>
      </c>
      <c r="N1020" t="s">
        <v>571</v>
      </c>
      <c r="O1020" t="s">
        <v>873</v>
      </c>
      <c r="P1020" t="s">
        <v>540</v>
      </c>
      <c r="Q1020" t="s">
        <v>638</v>
      </c>
      <c r="R1020" t="s">
        <v>639</v>
      </c>
      <c r="S1020" t="s">
        <v>770</v>
      </c>
      <c r="T1020" t="s">
        <v>709</v>
      </c>
      <c r="U1020">
        <v>124100</v>
      </c>
      <c r="V1020" t="s">
        <v>6688</v>
      </c>
      <c r="W1020" t="s">
        <v>815</v>
      </c>
      <c r="X1020" t="s">
        <v>6689</v>
      </c>
      <c r="Y1020" t="s">
        <v>6690</v>
      </c>
      <c r="Z1020" t="s">
        <v>6688</v>
      </c>
      <c r="AA1020" t="s">
        <v>6691</v>
      </c>
      <c r="AB1020" t="s">
        <v>6685</v>
      </c>
      <c r="AE1020">
        <v>-36.942596510000001</v>
      </c>
      <c r="AF1020">
        <v>174.46463489999999</v>
      </c>
      <c r="AG1020">
        <v>27</v>
      </c>
      <c r="AH1020">
        <v>5</v>
      </c>
      <c r="AI1020">
        <v>0</v>
      </c>
      <c r="AJ1020">
        <v>3</v>
      </c>
      <c r="AK1020">
        <v>6</v>
      </c>
      <c r="AL1020">
        <v>2</v>
      </c>
      <c r="AM1020">
        <v>9</v>
      </c>
      <c r="AN1020">
        <v>0</v>
      </c>
      <c r="AO1020">
        <v>20</v>
      </c>
      <c r="AP1020">
        <v>16</v>
      </c>
      <c r="AQ1020">
        <v>9</v>
      </c>
      <c r="AR1020">
        <v>0</v>
      </c>
      <c r="AS1020">
        <v>1</v>
      </c>
      <c r="AT1020">
        <v>7</v>
      </c>
    </row>
    <row r="1021" spans="1:46">
      <c r="A1021">
        <v>20348</v>
      </c>
      <c r="B1021" t="s">
        <v>6692</v>
      </c>
      <c r="C1021" t="s">
        <v>6365</v>
      </c>
      <c r="D1021" t="s">
        <v>6366</v>
      </c>
      <c r="E1021" t="s">
        <v>6367</v>
      </c>
      <c r="F1021" t="s">
        <v>847</v>
      </c>
      <c r="G1021" t="s">
        <v>652</v>
      </c>
      <c r="H1021" t="s">
        <v>4716</v>
      </c>
      <c r="J1021" t="s">
        <v>518</v>
      </c>
      <c r="K1021" t="s">
        <v>519</v>
      </c>
      <c r="M1021" t="s">
        <v>520</v>
      </c>
      <c r="N1021" t="s">
        <v>571</v>
      </c>
      <c r="O1021" t="s">
        <v>848</v>
      </c>
      <c r="P1021" t="s">
        <v>654</v>
      </c>
      <c r="Q1021" t="s">
        <v>638</v>
      </c>
      <c r="R1021" t="s">
        <v>729</v>
      </c>
      <c r="S1021" t="s">
        <v>849</v>
      </c>
      <c r="T1021" t="s">
        <v>709</v>
      </c>
      <c r="U1021">
        <v>150200</v>
      </c>
      <c r="V1021" t="s">
        <v>940</v>
      </c>
      <c r="W1021" t="s">
        <v>732</v>
      </c>
      <c r="X1021" t="s">
        <v>6368</v>
      </c>
      <c r="Y1021" t="s">
        <v>6369</v>
      </c>
      <c r="Z1021" t="s">
        <v>4555</v>
      </c>
      <c r="AA1021" t="s">
        <v>4556</v>
      </c>
      <c r="AB1021" t="s">
        <v>6370</v>
      </c>
      <c r="AE1021">
        <v>-36.970943400000003</v>
      </c>
      <c r="AF1021">
        <v>174.79636905999999</v>
      </c>
      <c r="AG1021">
        <v>60</v>
      </c>
      <c r="AH1021">
        <v>60</v>
      </c>
      <c r="AI1021">
        <v>4</v>
      </c>
      <c r="AJ1021">
        <v>9</v>
      </c>
      <c r="AK1021">
        <v>14</v>
      </c>
      <c r="AL1021">
        <v>5</v>
      </c>
      <c r="AM1021">
        <v>5</v>
      </c>
      <c r="AN1021">
        <v>0</v>
      </c>
      <c r="AO1021">
        <v>37</v>
      </c>
      <c r="AP1021">
        <v>16</v>
      </c>
      <c r="AQ1021">
        <v>4</v>
      </c>
      <c r="AR1021">
        <v>5</v>
      </c>
      <c r="AS1021">
        <v>17</v>
      </c>
      <c r="AT1021">
        <v>5</v>
      </c>
    </row>
    <row r="1022" spans="1:46">
      <c r="A1022">
        <v>20349</v>
      </c>
      <c r="B1022" t="s">
        <v>6693</v>
      </c>
      <c r="C1022" t="s">
        <v>6694</v>
      </c>
      <c r="E1022" t="s">
        <v>6695</v>
      </c>
      <c r="F1022" t="s">
        <v>1183</v>
      </c>
      <c r="G1022" t="s">
        <v>652</v>
      </c>
      <c r="H1022" t="s">
        <v>343</v>
      </c>
      <c r="J1022" t="s">
        <v>518</v>
      </c>
      <c r="K1022" t="s">
        <v>519</v>
      </c>
      <c r="L1022" t="s">
        <v>4205</v>
      </c>
      <c r="M1022" t="s">
        <v>520</v>
      </c>
      <c r="N1022" t="s">
        <v>557</v>
      </c>
      <c r="O1022" t="s">
        <v>813</v>
      </c>
      <c r="P1022" t="s">
        <v>654</v>
      </c>
      <c r="Q1022" t="s">
        <v>638</v>
      </c>
      <c r="R1022" t="s">
        <v>639</v>
      </c>
      <c r="S1022" t="s">
        <v>899</v>
      </c>
      <c r="T1022" t="s">
        <v>527</v>
      </c>
      <c r="U1022">
        <v>124800</v>
      </c>
      <c r="V1022" t="s">
        <v>6225</v>
      </c>
      <c r="W1022" t="s">
        <v>815</v>
      </c>
      <c r="X1022" t="s">
        <v>6607</v>
      </c>
      <c r="Y1022" t="s">
        <v>4208</v>
      </c>
      <c r="Z1022" t="s">
        <v>4209</v>
      </c>
      <c r="AA1022" t="s">
        <v>4210</v>
      </c>
      <c r="AB1022" t="s">
        <v>6608</v>
      </c>
      <c r="AE1022">
        <v>-36.850878530000003</v>
      </c>
      <c r="AF1022">
        <v>174.64637855000001</v>
      </c>
      <c r="AG1022">
        <v>30</v>
      </c>
      <c r="AH1022">
        <v>5</v>
      </c>
      <c r="AI1022">
        <v>0</v>
      </c>
      <c r="AJ1022">
        <v>2</v>
      </c>
      <c r="AK1022">
        <v>5</v>
      </c>
      <c r="AL1022">
        <v>5</v>
      </c>
      <c r="AM1022">
        <v>3</v>
      </c>
      <c r="AN1022">
        <v>0</v>
      </c>
      <c r="AO1022">
        <v>15</v>
      </c>
      <c r="AP1022">
        <v>0</v>
      </c>
      <c r="AQ1022">
        <v>15</v>
      </c>
      <c r="AR1022">
        <v>0</v>
      </c>
      <c r="AS1022">
        <v>0</v>
      </c>
      <c r="AT1022">
        <v>0</v>
      </c>
    </row>
    <row r="1023" spans="1:46">
      <c r="A1023">
        <v>20362</v>
      </c>
      <c r="B1023" t="s">
        <v>6696</v>
      </c>
      <c r="C1023" t="s">
        <v>6697</v>
      </c>
      <c r="D1023" t="s">
        <v>6698</v>
      </c>
      <c r="E1023" t="s">
        <v>6699</v>
      </c>
      <c r="F1023" t="s">
        <v>1017</v>
      </c>
      <c r="G1023" t="s">
        <v>652</v>
      </c>
      <c r="H1023" t="s">
        <v>3942</v>
      </c>
      <c r="I1023" t="s">
        <v>4065</v>
      </c>
      <c r="J1023" t="s">
        <v>3962</v>
      </c>
      <c r="K1023" t="s">
        <v>519</v>
      </c>
      <c r="M1023" t="s">
        <v>520</v>
      </c>
      <c r="N1023" t="s">
        <v>571</v>
      </c>
      <c r="O1023" t="s">
        <v>857</v>
      </c>
      <c r="P1023" t="s">
        <v>654</v>
      </c>
      <c r="Q1023" t="s">
        <v>638</v>
      </c>
      <c r="R1023" t="s">
        <v>708</v>
      </c>
      <c r="S1023" t="s">
        <v>822</v>
      </c>
      <c r="T1023" t="s">
        <v>709</v>
      </c>
      <c r="U1023">
        <v>136900</v>
      </c>
      <c r="V1023" t="s">
        <v>5822</v>
      </c>
      <c r="W1023" t="s">
        <v>860</v>
      </c>
      <c r="X1023" t="s">
        <v>6700</v>
      </c>
      <c r="Y1023" t="s">
        <v>6699</v>
      </c>
      <c r="Z1023" t="s">
        <v>1017</v>
      </c>
      <c r="AA1023" t="s">
        <v>5824</v>
      </c>
      <c r="AB1023" t="s">
        <v>6701</v>
      </c>
      <c r="AE1023">
        <v>-36.880885960000001</v>
      </c>
      <c r="AF1023">
        <v>174.75185131000001</v>
      </c>
      <c r="AG1023">
        <v>40</v>
      </c>
      <c r="AH1023">
        <v>0</v>
      </c>
      <c r="AI1023">
        <v>0</v>
      </c>
      <c r="AJ1023">
        <v>0</v>
      </c>
      <c r="AK1023">
        <v>5</v>
      </c>
      <c r="AL1023">
        <v>10</v>
      </c>
      <c r="AM1023">
        <v>27</v>
      </c>
      <c r="AN1023">
        <v>2</v>
      </c>
      <c r="AO1023">
        <v>44</v>
      </c>
      <c r="AP1023">
        <v>17</v>
      </c>
      <c r="AQ1023">
        <v>2</v>
      </c>
      <c r="AR1023">
        <v>1</v>
      </c>
      <c r="AS1023">
        <v>34</v>
      </c>
      <c r="AT1023">
        <v>0</v>
      </c>
    </row>
    <row r="1024" spans="1:46">
      <c r="A1024">
        <v>20365</v>
      </c>
      <c r="B1024" t="s">
        <v>6702</v>
      </c>
      <c r="C1024" t="s">
        <v>6703</v>
      </c>
      <c r="D1024" t="s">
        <v>4148</v>
      </c>
      <c r="E1024" t="s">
        <v>6704</v>
      </c>
      <c r="F1024" t="s">
        <v>763</v>
      </c>
      <c r="G1024" t="s">
        <v>652</v>
      </c>
      <c r="H1024" t="s">
        <v>3942</v>
      </c>
      <c r="J1024" t="s">
        <v>3962</v>
      </c>
      <c r="K1024" t="s">
        <v>519</v>
      </c>
      <c r="M1024" t="s">
        <v>520</v>
      </c>
      <c r="N1024" t="s">
        <v>571</v>
      </c>
      <c r="O1024" t="s">
        <v>738</v>
      </c>
      <c r="P1024" t="s">
        <v>654</v>
      </c>
      <c r="Q1024" t="s">
        <v>638</v>
      </c>
      <c r="R1024" t="s">
        <v>639</v>
      </c>
      <c r="S1024" t="s">
        <v>756</v>
      </c>
      <c r="T1024" t="s">
        <v>527</v>
      </c>
      <c r="U1024">
        <v>124401</v>
      </c>
      <c r="V1024" t="s">
        <v>6705</v>
      </c>
      <c r="W1024" t="s">
        <v>741</v>
      </c>
      <c r="X1024" t="s">
        <v>4151</v>
      </c>
      <c r="Y1024" t="s">
        <v>4152</v>
      </c>
      <c r="Z1024" t="s">
        <v>4153</v>
      </c>
      <c r="AA1024" t="s">
        <v>4154</v>
      </c>
      <c r="AE1024">
        <v>-36.803881199999999</v>
      </c>
      <c r="AF1024">
        <v>174.70203766</v>
      </c>
      <c r="AG1024">
        <v>30</v>
      </c>
      <c r="AH1024">
        <v>0</v>
      </c>
      <c r="AI1024">
        <v>0</v>
      </c>
      <c r="AJ1024">
        <v>0</v>
      </c>
      <c r="AK1024">
        <v>0</v>
      </c>
      <c r="AL1024">
        <v>8</v>
      </c>
      <c r="AM1024">
        <v>14</v>
      </c>
      <c r="AN1024">
        <v>2</v>
      </c>
      <c r="AO1024">
        <v>24</v>
      </c>
      <c r="AP1024">
        <v>13</v>
      </c>
      <c r="AQ1024">
        <v>3</v>
      </c>
      <c r="AR1024">
        <v>0</v>
      </c>
      <c r="AS1024">
        <v>7</v>
      </c>
      <c r="AT1024">
        <v>6</v>
      </c>
    </row>
    <row r="1025" spans="1:46">
      <c r="A1025">
        <v>20371</v>
      </c>
      <c r="B1025" t="s">
        <v>6706</v>
      </c>
      <c r="C1025" t="s">
        <v>6707</v>
      </c>
      <c r="E1025" t="s">
        <v>6708</v>
      </c>
      <c r="F1025" t="s">
        <v>5860</v>
      </c>
      <c r="G1025" t="s">
        <v>652</v>
      </c>
      <c r="H1025" t="s">
        <v>3942</v>
      </c>
      <c r="J1025" t="s">
        <v>3962</v>
      </c>
      <c r="K1025" t="s">
        <v>519</v>
      </c>
      <c r="M1025" t="s">
        <v>520</v>
      </c>
      <c r="N1025" t="s">
        <v>571</v>
      </c>
      <c r="O1025" t="s">
        <v>748</v>
      </c>
      <c r="P1025" t="s">
        <v>654</v>
      </c>
      <c r="Q1025" t="s">
        <v>638</v>
      </c>
      <c r="R1025" t="s">
        <v>639</v>
      </c>
      <c r="S1025" t="s">
        <v>682</v>
      </c>
      <c r="T1025" t="s">
        <v>527</v>
      </c>
      <c r="U1025">
        <v>121200</v>
      </c>
      <c r="V1025" t="s">
        <v>6573</v>
      </c>
      <c r="W1025" t="s">
        <v>741</v>
      </c>
      <c r="X1025" t="s">
        <v>6709</v>
      </c>
      <c r="Y1025" t="s">
        <v>6710</v>
      </c>
      <c r="AA1025" t="s">
        <v>4537</v>
      </c>
      <c r="AB1025" t="s">
        <v>6711</v>
      </c>
      <c r="AE1025">
        <v>-36.75332409</v>
      </c>
      <c r="AF1025">
        <v>174.73268970000001</v>
      </c>
      <c r="AG1025">
        <v>35</v>
      </c>
      <c r="AH1025">
        <v>15</v>
      </c>
      <c r="AI1025">
        <v>2</v>
      </c>
      <c r="AJ1025">
        <v>6</v>
      </c>
      <c r="AK1025">
        <v>4</v>
      </c>
      <c r="AL1025">
        <v>7</v>
      </c>
      <c r="AM1025">
        <v>1</v>
      </c>
      <c r="AN1025">
        <v>0</v>
      </c>
      <c r="AO1025">
        <v>20</v>
      </c>
      <c r="AP1025">
        <v>15</v>
      </c>
      <c r="AQ1025">
        <v>1</v>
      </c>
      <c r="AR1025">
        <v>1</v>
      </c>
      <c r="AS1025">
        <v>6</v>
      </c>
      <c r="AT1025">
        <v>0</v>
      </c>
    </row>
    <row r="1026" spans="1:46">
      <c r="A1026">
        <v>20382</v>
      </c>
      <c r="B1026" t="s">
        <v>6712</v>
      </c>
      <c r="C1026" t="s">
        <v>6713</v>
      </c>
      <c r="D1026" t="s">
        <v>6714</v>
      </c>
      <c r="E1026" t="s">
        <v>6715</v>
      </c>
      <c r="F1026" t="s">
        <v>821</v>
      </c>
      <c r="G1026" t="s">
        <v>652</v>
      </c>
      <c r="H1026" t="s">
        <v>3942</v>
      </c>
      <c r="J1026" t="s">
        <v>3962</v>
      </c>
      <c r="K1026" t="s">
        <v>519</v>
      </c>
      <c r="M1026" t="s">
        <v>520</v>
      </c>
      <c r="N1026" t="s">
        <v>571</v>
      </c>
      <c r="O1026" t="s">
        <v>804</v>
      </c>
      <c r="P1026" t="s">
        <v>654</v>
      </c>
      <c r="Q1026" t="s">
        <v>638</v>
      </c>
      <c r="R1026" t="s">
        <v>708</v>
      </c>
      <c r="S1026" t="s">
        <v>880</v>
      </c>
      <c r="T1026" t="s">
        <v>709</v>
      </c>
      <c r="U1026">
        <v>143100</v>
      </c>
      <c r="V1026" t="s">
        <v>6196</v>
      </c>
      <c r="W1026" t="s">
        <v>824</v>
      </c>
      <c r="X1026" t="s">
        <v>4096</v>
      </c>
      <c r="Y1026" t="s">
        <v>4097</v>
      </c>
      <c r="Z1026" t="s">
        <v>4098</v>
      </c>
      <c r="AA1026" t="s">
        <v>4099</v>
      </c>
      <c r="AB1026" t="s">
        <v>4100</v>
      </c>
      <c r="AE1026">
        <v>-36.884356009999998</v>
      </c>
      <c r="AF1026">
        <v>174.80520876</v>
      </c>
      <c r="AG1026">
        <v>70</v>
      </c>
      <c r="AH1026">
        <v>20</v>
      </c>
      <c r="AI1026">
        <v>4</v>
      </c>
      <c r="AJ1026">
        <v>13</v>
      </c>
      <c r="AK1026">
        <v>16</v>
      </c>
      <c r="AL1026">
        <v>20</v>
      </c>
      <c r="AM1026">
        <v>12</v>
      </c>
      <c r="AN1026">
        <v>0</v>
      </c>
      <c r="AO1026">
        <v>65</v>
      </c>
      <c r="AP1026">
        <v>41</v>
      </c>
      <c r="AQ1026">
        <v>8</v>
      </c>
      <c r="AR1026">
        <v>2</v>
      </c>
      <c r="AS1026">
        <v>32</v>
      </c>
      <c r="AT1026">
        <v>3</v>
      </c>
    </row>
    <row r="1027" spans="1:46">
      <c r="A1027">
        <v>20442</v>
      </c>
      <c r="B1027" t="s">
        <v>6716</v>
      </c>
      <c r="C1027" t="s">
        <v>4843</v>
      </c>
      <c r="D1027" t="s">
        <v>4844</v>
      </c>
      <c r="E1027" t="s">
        <v>6717</v>
      </c>
      <c r="F1027" t="s">
        <v>872</v>
      </c>
      <c r="G1027" t="s">
        <v>652</v>
      </c>
      <c r="H1027" t="s">
        <v>3942</v>
      </c>
      <c r="J1027" t="s">
        <v>3962</v>
      </c>
      <c r="K1027" t="s">
        <v>519</v>
      </c>
      <c r="M1027" t="s">
        <v>520</v>
      </c>
      <c r="N1027" t="s">
        <v>571</v>
      </c>
      <c r="O1027" t="s">
        <v>873</v>
      </c>
      <c r="P1027" t="s">
        <v>654</v>
      </c>
      <c r="Q1027" t="s">
        <v>638</v>
      </c>
      <c r="R1027" t="s">
        <v>639</v>
      </c>
      <c r="S1027" t="s">
        <v>719</v>
      </c>
      <c r="T1027" t="s">
        <v>709</v>
      </c>
      <c r="U1027">
        <v>132501</v>
      </c>
      <c r="V1027" t="s">
        <v>4846</v>
      </c>
      <c r="W1027" t="s">
        <v>815</v>
      </c>
      <c r="X1027" t="s">
        <v>4847</v>
      </c>
      <c r="Y1027" t="s">
        <v>4845</v>
      </c>
      <c r="Z1027" t="s">
        <v>872</v>
      </c>
      <c r="AA1027" t="s">
        <v>4849</v>
      </c>
      <c r="AB1027" t="s">
        <v>4843</v>
      </c>
      <c r="AC1027">
        <v>99062</v>
      </c>
      <c r="AD1027" t="s">
        <v>893</v>
      </c>
      <c r="AE1027">
        <v>-36.922527199999998</v>
      </c>
      <c r="AF1027">
        <v>174.6485299</v>
      </c>
      <c r="AG1027">
        <v>25</v>
      </c>
      <c r="AH1027">
        <v>20</v>
      </c>
      <c r="AI1027">
        <v>3</v>
      </c>
      <c r="AJ1027">
        <v>13</v>
      </c>
      <c r="AK1027">
        <v>13</v>
      </c>
      <c r="AL1027">
        <v>0</v>
      </c>
      <c r="AM1027">
        <v>0</v>
      </c>
      <c r="AN1027">
        <v>0</v>
      </c>
      <c r="AO1027">
        <v>29</v>
      </c>
      <c r="AP1027">
        <v>29</v>
      </c>
      <c r="AQ1027">
        <v>2</v>
      </c>
      <c r="AR1027">
        <v>2</v>
      </c>
      <c r="AS1027">
        <v>3</v>
      </c>
      <c r="AT1027">
        <v>2</v>
      </c>
    </row>
    <row r="1028" spans="1:46">
      <c r="A1028">
        <v>20443</v>
      </c>
      <c r="B1028" t="s">
        <v>6718</v>
      </c>
      <c r="C1028" t="s">
        <v>6719</v>
      </c>
      <c r="D1028" t="s">
        <v>6720</v>
      </c>
      <c r="E1028" t="s">
        <v>6721</v>
      </c>
      <c r="F1028" t="s">
        <v>1146</v>
      </c>
      <c r="G1028" t="s">
        <v>652</v>
      </c>
      <c r="H1028" t="s">
        <v>3942</v>
      </c>
      <c r="I1028" t="s">
        <v>4065</v>
      </c>
      <c r="J1028" t="s">
        <v>3962</v>
      </c>
      <c r="K1028" t="s">
        <v>519</v>
      </c>
      <c r="M1028" t="s">
        <v>520</v>
      </c>
      <c r="N1028" t="s">
        <v>571</v>
      </c>
      <c r="O1028" t="s">
        <v>957</v>
      </c>
      <c r="P1028" t="s">
        <v>654</v>
      </c>
      <c r="Q1028" t="s">
        <v>638</v>
      </c>
      <c r="R1028" t="s">
        <v>708</v>
      </c>
      <c r="S1028" t="s">
        <v>858</v>
      </c>
      <c r="T1028" t="s">
        <v>709</v>
      </c>
      <c r="U1028">
        <v>131600</v>
      </c>
      <c r="V1028" t="s">
        <v>4916</v>
      </c>
      <c r="W1028" t="s">
        <v>959</v>
      </c>
      <c r="X1028" t="s">
        <v>6722</v>
      </c>
      <c r="Y1028" t="s">
        <v>6723</v>
      </c>
      <c r="Z1028" t="s">
        <v>1102</v>
      </c>
      <c r="AA1028" t="s">
        <v>4414</v>
      </c>
      <c r="AE1028">
        <v>-36.854005000000001</v>
      </c>
      <c r="AF1028">
        <v>174.7337225</v>
      </c>
      <c r="AG1028">
        <v>30</v>
      </c>
      <c r="AH1028">
        <v>2</v>
      </c>
      <c r="AI1028">
        <v>0</v>
      </c>
      <c r="AJ1028">
        <v>0</v>
      </c>
      <c r="AK1028">
        <v>14</v>
      </c>
      <c r="AL1028">
        <v>9</v>
      </c>
      <c r="AM1028">
        <v>15</v>
      </c>
      <c r="AN1028">
        <v>0</v>
      </c>
      <c r="AO1028">
        <v>38</v>
      </c>
      <c r="AP1028">
        <v>35</v>
      </c>
      <c r="AQ1028">
        <v>0</v>
      </c>
      <c r="AR1028">
        <v>0</v>
      </c>
      <c r="AS1028">
        <v>7</v>
      </c>
      <c r="AT1028">
        <v>3</v>
      </c>
    </row>
    <row r="1029" spans="1:46">
      <c r="A1029">
        <v>20445</v>
      </c>
      <c r="B1029" t="s">
        <v>6724</v>
      </c>
      <c r="C1029" t="s">
        <v>6725</v>
      </c>
      <c r="D1029" t="s">
        <v>6726</v>
      </c>
      <c r="E1029" t="s">
        <v>6727</v>
      </c>
      <c r="F1029" t="s">
        <v>1177</v>
      </c>
      <c r="G1029" t="s">
        <v>652</v>
      </c>
      <c r="H1029" t="s">
        <v>3942</v>
      </c>
      <c r="J1029" t="s">
        <v>3962</v>
      </c>
      <c r="K1029" t="s">
        <v>519</v>
      </c>
      <c r="M1029" t="s">
        <v>520</v>
      </c>
      <c r="N1029" t="s">
        <v>571</v>
      </c>
      <c r="O1029" t="s">
        <v>748</v>
      </c>
      <c r="P1029" t="s">
        <v>654</v>
      </c>
      <c r="Q1029" t="s">
        <v>638</v>
      </c>
      <c r="R1029" t="s">
        <v>639</v>
      </c>
      <c r="S1029" t="s">
        <v>682</v>
      </c>
      <c r="T1029" t="s">
        <v>527</v>
      </c>
      <c r="U1029">
        <v>126601</v>
      </c>
      <c r="V1029" t="s">
        <v>6130</v>
      </c>
      <c r="W1029" t="s">
        <v>741</v>
      </c>
      <c r="X1029" t="s">
        <v>6728</v>
      </c>
      <c r="Y1029" t="s">
        <v>6727</v>
      </c>
      <c r="Z1029" t="s">
        <v>1177</v>
      </c>
      <c r="AA1029" t="s">
        <v>4289</v>
      </c>
      <c r="AB1029" t="s">
        <v>6725</v>
      </c>
      <c r="AC1029">
        <v>99188</v>
      </c>
      <c r="AD1029" t="s">
        <v>786</v>
      </c>
      <c r="AE1029">
        <v>-36.789967920000002</v>
      </c>
      <c r="AF1029">
        <v>174.76054289000001</v>
      </c>
      <c r="AG1029">
        <v>34</v>
      </c>
      <c r="AH1029">
        <v>12</v>
      </c>
      <c r="AI1029">
        <v>0</v>
      </c>
      <c r="AJ1029">
        <v>13</v>
      </c>
      <c r="AK1029">
        <v>17</v>
      </c>
      <c r="AL1029">
        <v>6</v>
      </c>
      <c r="AM1029">
        <v>13</v>
      </c>
      <c r="AN1029">
        <v>1</v>
      </c>
      <c r="AO1029">
        <v>50</v>
      </c>
      <c r="AP1029">
        <v>37</v>
      </c>
      <c r="AQ1029">
        <v>2</v>
      </c>
      <c r="AR1029">
        <v>1</v>
      </c>
      <c r="AS1029">
        <v>14</v>
      </c>
      <c r="AT1029">
        <v>4</v>
      </c>
    </row>
    <row r="1030" spans="1:46">
      <c r="A1030">
        <v>20446</v>
      </c>
      <c r="B1030" t="s">
        <v>6729</v>
      </c>
      <c r="D1030" t="s">
        <v>6730</v>
      </c>
      <c r="E1030" t="s">
        <v>6731</v>
      </c>
      <c r="F1030" t="s">
        <v>1059</v>
      </c>
      <c r="G1030" t="s">
        <v>652</v>
      </c>
      <c r="H1030" t="s">
        <v>3942</v>
      </c>
      <c r="I1030" t="s">
        <v>4065</v>
      </c>
      <c r="J1030" t="s">
        <v>3962</v>
      </c>
      <c r="K1030" t="s">
        <v>519</v>
      </c>
      <c r="M1030" t="s">
        <v>520</v>
      </c>
      <c r="N1030" t="s">
        <v>571</v>
      </c>
      <c r="O1030" t="s">
        <v>804</v>
      </c>
      <c r="P1030" t="s">
        <v>654</v>
      </c>
      <c r="Q1030" t="s">
        <v>638</v>
      </c>
      <c r="R1030" t="s">
        <v>708</v>
      </c>
      <c r="S1030" t="s">
        <v>880</v>
      </c>
      <c r="T1030" t="s">
        <v>709</v>
      </c>
      <c r="U1030">
        <v>139201</v>
      </c>
      <c r="V1030" t="s">
        <v>1060</v>
      </c>
      <c r="W1030" t="s">
        <v>824</v>
      </c>
      <c r="X1030" t="s">
        <v>6732</v>
      </c>
      <c r="Y1030" t="s">
        <v>6733</v>
      </c>
      <c r="Z1030" t="s">
        <v>1059</v>
      </c>
      <c r="AA1030" t="s">
        <v>4431</v>
      </c>
      <c r="AB1030" t="s">
        <v>6734</v>
      </c>
      <c r="AC1030">
        <v>99100</v>
      </c>
      <c r="AD1030" t="s">
        <v>1061</v>
      </c>
      <c r="AE1030">
        <v>-36.857636429999999</v>
      </c>
      <c r="AF1030">
        <v>174.81400493000001</v>
      </c>
      <c r="AG1030">
        <v>45</v>
      </c>
      <c r="AH1030">
        <v>5</v>
      </c>
      <c r="AI1030">
        <v>0</v>
      </c>
      <c r="AJ1030">
        <v>5</v>
      </c>
      <c r="AK1030">
        <v>14</v>
      </c>
      <c r="AL1030">
        <v>10</v>
      </c>
      <c r="AM1030">
        <v>17</v>
      </c>
      <c r="AN1030">
        <v>2</v>
      </c>
      <c r="AO1030">
        <v>48</v>
      </c>
      <c r="AP1030">
        <v>42</v>
      </c>
      <c r="AQ1030">
        <v>2</v>
      </c>
      <c r="AR1030">
        <v>0</v>
      </c>
      <c r="AS1030">
        <v>9</v>
      </c>
      <c r="AT1030">
        <v>1</v>
      </c>
    </row>
    <row r="1031" spans="1:46">
      <c r="A1031">
        <v>20448</v>
      </c>
      <c r="B1031" t="s">
        <v>6735</v>
      </c>
      <c r="C1031" t="s">
        <v>6736</v>
      </c>
      <c r="D1031" t="s">
        <v>6737</v>
      </c>
      <c r="E1031" t="s">
        <v>6738</v>
      </c>
      <c r="F1031" t="s">
        <v>891</v>
      </c>
      <c r="G1031" t="s">
        <v>652</v>
      </c>
      <c r="H1031" t="s">
        <v>3942</v>
      </c>
      <c r="J1031" t="s">
        <v>3962</v>
      </c>
      <c r="K1031" t="s">
        <v>519</v>
      </c>
      <c r="M1031" t="s">
        <v>520</v>
      </c>
      <c r="N1031" t="s">
        <v>571</v>
      </c>
      <c r="O1031" t="s">
        <v>718</v>
      </c>
      <c r="P1031" t="s">
        <v>654</v>
      </c>
      <c r="Q1031" t="s">
        <v>638</v>
      </c>
      <c r="R1031" t="s">
        <v>639</v>
      </c>
      <c r="S1031" t="s">
        <v>770</v>
      </c>
      <c r="T1031" t="s">
        <v>709</v>
      </c>
      <c r="U1031">
        <v>138000</v>
      </c>
      <c r="V1031" t="s">
        <v>6739</v>
      </c>
      <c r="W1031" t="s">
        <v>721</v>
      </c>
      <c r="X1031" t="s">
        <v>6740</v>
      </c>
      <c r="Y1031" t="s">
        <v>4658</v>
      </c>
      <c r="Z1031" t="s">
        <v>958</v>
      </c>
      <c r="AA1031" t="s">
        <v>4659</v>
      </c>
      <c r="AB1031" t="s">
        <v>6741</v>
      </c>
      <c r="AE1031">
        <v>-36.927786640000001</v>
      </c>
      <c r="AF1031">
        <v>174.6894824</v>
      </c>
      <c r="AG1031">
        <v>75</v>
      </c>
      <c r="AH1031">
        <v>20</v>
      </c>
      <c r="AI1031">
        <v>3</v>
      </c>
      <c r="AJ1031">
        <v>18</v>
      </c>
      <c r="AK1031">
        <v>21</v>
      </c>
      <c r="AL1031">
        <v>18</v>
      </c>
      <c r="AM1031">
        <v>20</v>
      </c>
      <c r="AN1031">
        <v>0</v>
      </c>
      <c r="AO1031">
        <v>80</v>
      </c>
      <c r="AP1031">
        <v>65</v>
      </c>
      <c r="AQ1031">
        <v>9</v>
      </c>
      <c r="AR1031">
        <v>11</v>
      </c>
      <c r="AS1031">
        <v>21</v>
      </c>
      <c r="AT1031">
        <v>2</v>
      </c>
    </row>
    <row r="1032" spans="1:46">
      <c r="A1032">
        <v>20449</v>
      </c>
      <c r="B1032" t="s">
        <v>6742</v>
      </c>
      <c r="C1032" t="s">
        <v>6743</v>
      </c>
      <c r="D1032" t="s">
        <v>6744</v>
      </c>
      <c r="E1032" t="s">
        <v>6745</v>
      </c>
      <c r="F1032" t="s">
        <v>1189</v>
      </c>
      <c r="G1032" t="s">
        <v>652</v>
      </c>
      <c r="H1032" t="s">
        <v>3942</v>
      </c>
      <c r="J1032" t="s">
        <v>3962</v>
      </c>
      <c r="K1032" t="s">
        <v>519</v>
      </c>
      <c r="M1032" t="s">
        <v>520</v>
      </c>
      <c r="N1032" t="s">
        <v>571</v>
      </c>
      <c r="O1032" t="s">
        <v>813</v>
      </c>
      <c r="P1032" t="s">
        <v>654</v>
      </c>
      <c r="Q1032" t="s">
        <v>638</v>
      </c>
      <c r="R1032" t="s">
        <v>639</v>
      </c>
      <c r="S1032" t="s">
        <v>899</v>
      </c>
      <c r="T1032" t="s">
        <v>709</v>
      </c>
      <c r="U1032">
        <v>127001</v>
      </c>
      <c r="V1032" t="s">
        <v>6598</v>
      </c>
      <c r="W1032" t="s">
        <v>815</v>
      </c>
      <c r="X1032" t="s">
        <v>6746</v>
      </c>
      <c r="Y1032" t="s">
        <v>6747</v>
      </c>
      <c r="Z1032" t="s">
        <v>1189</v>
      </c>
      <c r="AA1032" t="s">
        <v>4307</v>
      </c>
      <c r="AB1032" t="s">
        <v>6743</v>
      </c>
      <c r="AE1032">
        <v>-36.862108569999997</v>
      </c>
      <c r="AF1032">
        <v>174.64832569999999</v>
      </c>
      <c r="AG1032">
        <v>50</v>
      </c>
      <c r="AH1032">
        <v>15</v>
      </c>
      <c r="AI1032">
        <v>0</v>
      </c>
      <c r="AJ1032">
        <v>12</v>
      </c>
      <c r="AK1032">
        <v>13</v>
      </c>
      <c r="AL1032">
        <v>11</v>
      </c>
      <c r="AM1032">
        <v>13</v>
      </c>
      <c r="AN1032">
        <v>0</v>
      </c>
      <c r="AO1032">
        <v>49</v>
      </c>
      <c r="AP1032">
        <v>32</v>
      </c>
      <c r="AQ1032">
        <v>11</v>
      </c>
      <c r="AR1032">
        <v>8</v>
      </c>
      <c r="AS1032">
        <v>15</v>
      </c>
      <c r="AT1032">
        <v>5</v>
      </c>
    </row>
    <row r="1033" spans="1:46">
      <c r="A1033">
        <v>20458</v>
      </c>
      <c r="B1033" t="s">
        <v>6748</v>
      </c>
      <c r="C1033" t="s">
        <v>6749</v>
      </c>
      <c r="D1033" t="s">
        <v>6750</v>
      </c>
      <c r="E1033" t="s">
        <v>6751</v>
      </c>
      <c r="F1033" t="s">
        <v>812</v>
      </c>
      <c r="G1033" t="s">
        <v>652</v>
      </c>
      <c r="H1033" t="s">
        <v>3942</v>
      </c>
      <c r="J1033" t="s">
        <v>3962</v>
      </c>
      <c r="K1033" t="s">
        <v>519</v>
      </c>
      <c r="M1033" t="s">
        <v>520</v>
      </c>
      <c r="N1033" t="s">
        <v>557</v>
      </c>
      <c r="O1033" t="s">
        <v>813</v>
      </c>
      <c r="P1033" t="s">
        <v>654</v>
      </c>
      <c r="Q1033" t="s">
        <v>638</v>
      </c>
      <c r="R1033" t="s">
        <v>639</v>
      </c>
      <c r="S1033" t="s">
        <v>739</v>
      </c>
      <c r="T1033" t="s">
        <v>527</v>
      </c>
      <c r="U1033">
        <v>120600</v>
      </c>
      <c r="V1033" t="s">
        <v>6752</v>
      </c>
      <c r="W1033" t="s">
        <v>815</v>
      </c>
      <c r="X1033" t="s">
        <v>6753</v>
      </c>
      <c r="Y1033" t="s">
        <v>6751</v>
      </c>
      <c r="Z1033" t="s">
        <v>812</v>
      </c>
      <c r="AA1033" t="s">
        <v>3975</v>
      </c>
      <c r="AB1033" t="s">
        <v>6749</v>
      </c>
      <c r="AC1033">
        <v>99125</v>
      </c>
      <c r="AD1033" t="s">
        <v>816</v>
      </c>
      <c r="AE1033">
        <v>-36.839261610000001</v>
      </c>
      <c r="AF1033">
        <v>174.61090440000001</v>
      </c>
      <c r="AG1033">
        <v>65</v>
      </c>
      <c r="AH1033">
        <v>15</v>
      </c>
      <c r="AI1033">
        <v>0</v>
      </c>
      <c r="AJ1033">
        <v>0</v>
      </c>
      <c r="AK1033">
        <v>2</v>
      </c>
      <c r="AL1033">
        <v>8</v>
      </c>
      <c r="AM1033">
        <v>7</v>
      </c>
      <c r="AN1033">
        <v>1</v>
      </c>
      <c r="AO1033">
        <v>18</v>
      </c>
      <c r="AP1033">
        <v>5</v>
      </c>
      <c r="AQ1033">
        <v>7</v>
      </c>
      <c r="AR1033">
        <v>7</v>
      </c>
      <c r="AS1033">
        <v>5</v>
      </c>
      <c r="AT1033">
        <v>2</v>
      </c>
    </row>
    <row r="1034" spans="1:46">
      <c r="A1034">
        <v>20465</v>
      </c>
      <c r="B1034" t="s">
        <v>6754</v>
      </c>
      <c r="C1034" t="s">
        <v>6755</v>
      </c>
      <c r="D1034" t="s">
        <v>6756</v>
      </c>
      <c r="E1034" t="s">
        <v>6757</v>
      </c>
      <c r="F1034" t="s">
        <v>681</v>
      </c>
      <c r="G1034" t="s">
        <v>652</v>
      </c>
      <c r="H1034" t="s">
        <v>3942</v>
      </c>
      <c r="J1034" t="s">
        <v>3962</v>
      </c>
      <c r="K1034" t="s">
        <v>519</v>
      </c>
      <c r="M1034" t="s">
        <v>520</v>
      </c>
      <c r="N1034" t="s">
        <v>571</v>
      </c>
      <c r="O1034" t="s">
        <v>1168</v>
      </c>
      <c r="P1034" t="s">
        <v>654</v>
      </c>
      <c r="Q1034" t="s">
        <v>638</v>
      </c>
      <c r="R1034" t="s">
        <v>639</v>
      </c>
      <c r="S1034" t="s">
        <v>655</v>
      </c>
      <c r="T1034" t="s">
        <v>527</v>
      </c>
      <c r="U1034">
        <v>118600</v>
      </c>
      <c r="V1034" t="s">
        <v>4012</v>
      </c>
      <c r="W1034" t="s">
        <v>657</v>
      </c>
      <c r="X1034" t="s">
        <v>4096</v>
      </c>
      <c r="Y1034" t="s">
        <v>4097</v>
      </c>
      <c r="Z1034" t="s">
        <v>4098</v>
      </c>
      <c r="AA1034" t="s">
        <v>4099</v>
      </c>
      <c r="AB1034" t="s">
        <v>4100</v>
      </c>
      <c r="AE1034">
        <v>-36.747895919999998</v>
      </c>
      <c r="AF1034">
        <v>174.7309688</v>
      </c>
      <c r="AG1034">
        <v>147</v>
      </c>
      <c r="AH1034">
        <v>40</v>
      </c>
      <c r="AI1034">
        <v>5</v>
      </c>
      <c r="AJ1034">
        <v>27</v>
      </c>
      <c r="AK1034">
        <v>21</v>
      </c>
      <c r="AL1034">
        <v>27</v>
      </c>
      <c r="AM1034">
        <v>14</v>
      </c>
      <c r="AN1034">
        <v>1</v>
      </c>
      <c r="AO1034">
        <v>95</v>
      </c>
      <c r="AP1034">
        <v>64</v>
      </c>
      <c r="AQ1034">
        <v>28</v>
      </c>
      <c r="AR1034">
        <v>9</v>
      </c>
      <c r="AS1034">
        <v>26</v>
      </c>
      <c r="AT1034">
        <v>3</v>
      </c>
    </row>
    <row r="1035" spans="1:46">
      <c r="A1035">
        <v>20466</v>
      </c>
      <c r="B1035" t="s">
        <v>6758</v>
      </c>
      <c r="C1035" t="s">
        <v>6759</v>
      </c>
      <c r="E1035" t="s">
        <v>6760</v>
      </c>
      <c r="F1035" t="s">
        <v>1017</v>
      </c>
      <c r="G1035" t="s">
        <v>652</v>
      </c>
      <c r="H1035" t="s">
        <v>3942</v>
      </c>
      <c r="J1035" t="s">
        <v>3962</v>
      </c>
      <c r="K1035" t="s">
        <v>519</v>
      </c>
      <c r="M1035" t="s">
        <v>520</v>
      </c>
      <c r="N1035" t="s">
        <v>571</v>
      </c>
      <c r="O1035" t="s">
        <v>857</v>
      </c>
      <c r="P1035" t="s">
        <v>654</v>
      </c>
      <c r="Q1035" t="s">
        <v>638</v>
      </c>
      <c r="R1035" t="s">
        <v>708</v>
      </c>
      <c r="S1035" t="s">
        <v>913</v>
      </c>
      <c r="T1035" t="s">
        <v>709</v>
      </c>
      <c r="U1035">
        <v>139300</v>
      </c>
      <c r="V1035" t="s">
        <v>6761</v>
      </c>
      <c r="W1035" t="s">
        <v>860</v>
      </c>
      <c r="X1035" t="s">
        <v>6762</v>
      </c>
      <c r="Y1035" t="s">
        <v>6763</v>
      </c>
      <c r="Z1035" t="s">
        <v>6203</v>
      </c>
      <c r="AA1035" t="s">
        <v>4356</v>
      </c>
      <c r="AB1035" t="s">
        <v>6764</v>
      </c>
      <c r="AE1035">
        <v>-36.89046527</v>
      </c>
      <c r="AF1035">
        <v>174.75269435999999</v>
      </c>
      <c r="AG1035">
        <v>35</v>
      </c>
      <c r="AH1035">
        <v>8</v>
      </c>
      <c r="AI1035">
        <v>1</v>
      </c>
      <c r="AJ1035">
        <v>4</v>
      </c>
      <c r="AK1035">
        <v>9</v>
      </c>
      <c r="AL1035">
        <v>6</v>
      </c>
      <c r="AM1035">
        <v>12</v>
      </c>
      <c r="AN1035">
        <v>0</v>
      </c>
      <c r="AO1035">
        <v>32</v>
      </c>
      <c r="AP1035">
        <v>20</v>
      </c>
      <c r="AQ1035">
        <v>2</v>
      </c>
      <c r="AR1035">
        <v>2</v>
      </c>
      <c r="AS1035">
        <v>14</v>
      </c>
      <c r="AT1035">
        <v>1</v>
      </c>
    </row>
    <row r="1036" spans="1:46">
      <c r="A1036">
        <v>20468</v>
      </c>
      <c r="B1036" t="s">
        <v>6765</v>
      </c>
      <c r="C1036" t="s">
        <v>6766</v>
      </c>
      <c r="D1036" t="s">
        <v>6767</v>
      </c>
      <c r="E1036" t="s">
        <v>6768</v>
      </c>
      <c r="F1036" t="s">
        <v>821</v>
      </c>
      <c r="G1036" t="s">
        <v>652</v>
      </c>
      <c r="H1036" t="s">
        <v>3942</v>
      </c>
      <c r="J1036" t="s">
        <v>518</v>
      </c>
      <c r="K1036" t="s">
        <v>519</v>
      </c>
      <c r="M1036" t="s">
        <v>520</v>
      </c>
      <c r="N1036" t="s">
        <v>571</v>
      </c>
      <c r="O1036" t="s">
        <v>804</v>
      </c>
      <c r="P1036" t="s">
        <v>654</v>
      </c>
      <c r="Q1036" t="s">
        <v>638</v>
      </c>
      <c r="R1036" t="s">
        <v>708</v>
      </c>
      <c r="S1036" t="s">
        <v>880</v>
      </c>
      <c r="T1036" t="s">
        <v>709</v>
      </c>
      <c r="U1036">
        <v>142400</v>
      </c>
      <c r="V1036" t="s">
        <v>6769</v>
      </c>
      <c r="W1036" t="s">
        <v>824</v>
      </c>
      <c r="X1036" t="s">
        <v>3943</v>
      </c>
      <c r="Y1036" t="s">
        <v>3944</v>
      </c>
      <c r="Z1036" t="s">
        <v>3945</v>
      </c>
      <c r="AA1036" t="s">
        <v>3946</v>
      </c>
      <c r="AB1036" t="s">
        <v>3947</v>
      </c>
      <c r="AE1036">
        <v>-36.876770909999998</v>
      </c>
      <c r="AF1036">
        <v>174.81815800000001</v>
      </c>
      <c r="AG1036">
        <v>45</v>
      </c>
      <c r="AH1036">
        <v>10</v>
      </c>
      <c r="AI1036">
        <v>2</v>
      </c>
      <c r="AJ1036">
        <v>10</v>
      </c>
      <c r="AK1036">
        <v>7</v>
      </c>
      <c r="AL1036">
        <v>14</v>
      </c>
      <c r="AM1036">
        <v>16</v>
      </c>
      <c r="AN1036">
        <v>1</v>
      </c>
      <c r="AO1036">
        <v>50</v>
      </c>
      <c r="AP1036">
        <v>34</v>
      </c>
      <c r="AQ1036">
        <v>3</v>
      </c>
      <c r="AR1036">
        <v>2</v>
      </c>
      <c r="AS1036">
        <v>15</v>
      </c>
      <c r="AT1036">
        <v>9</v>
      </c>
    </row>
    <row r="1037" spans="1:46">
      <c r="A1037">
        <v>20472</v>
      </c>
      <c r="B1037" t="s">
        <v>6770</v>
      </c>
      <c r="C1037" t="s">
        <v>6771</v>
      </c>
      <c r="E1037" t="s">
        <v>6772</v>
      </c>
      <c r="F1037" t="s">
        <v>898</v>
      </c>
      <c r="G1037" t="s">
        <v>652</v>
      </c>
      <c r="H1037" t="s">
        <v>3942</v>
      </c>
      <c r="J1037" t="s">
        <v>3962</v>
      </c>
      <c r="K1037" t="s">
        <v>519</v>
      </c>
      <c r="M1037" t="s">
        <v>520</v>
      </c>
      <c r="N1037" t="s">
        <v>557</v>
      </c>
      <c r="O1037" t="s">
        <v>813</v>
      </c>
      <c r="P1037" t="s">
        <v>654</v>
      </c>
      <c r="Q1037" t="s">
        <v>638</v>
      </c>
      <c r="R1037" t="s">
        <v>639</v>
      </c>
      <c r="S1037" t="s">
        <v>899</v>
      </c>
      <c r="T1037" t="s">
        <v>527</v>
      </c>
      <c r="U1037">
        <v>124900</v>
      </c>
      <c r="V1037" t="s">
        <v>1120</v>
      </c>
      <c r="W1037" t="s">
        <v>815</v>
      </c>
      <c r="X1037" t="s">
        <v>6773</v>
      </c>
      <c r="Y1037" t="s">
        <v>6774</v>
      </c>
      <c r="Z1037" t="s">
        <v>770</v>
      </c>
      <c r="AA1037" t="s">
        <v>4537</v>
      </c>
      <c r="AB1037" t="s">
        <v>6775</v>
      </c>
      <c r="AE1037">
        <v>-36.856864430000002</v>
      </c>
      <c r="AF1037">
        <v>174.62585028000001</v>
      </c>
      <c r="AG1037">
        <v>30</v>
      </c>
      <c r="AH1037">
        <v>10</v>
      </c>
      <c r="AI1037">
        <v>4</v>
      </c>
      <c r="AJ1037">
        <v>2</v>
      </c>
      <c r="AK1037">
        <v>8</v>
      </c>
      <c r="AL1037">
        <v>6</v>
      </c>
      <c r="AM1037">
        <v>9</v>
      </c>
      <c r="AN1037">
        <v>0</v>
      </c>
      <c r="AO1037">
        <v>29</v>
      </c>
      <c r="AP1037">
        <v>20</v>
      </c>
      <c r="AQ1037">
        <v>8</v>
      </c>
      <c r="AR1037">
        <v>8</v>
      </c>
      <c r="AS1037">
        <v>5</v>
      </c>
      <c r="AT1037">
        <v>1</v>
      </c>
    </row>
    <row r="1038" spans="1:46">
      <c r="A1038">
        <v>20477</v>
      </c>
      <c r="B1038" t="s">
        <v>6776</v>
      </c>
      <c r="C1038" t="s">
        <v>6777</v>
      </c>
      <c r="D1038" t="s">
        <v>6778</v>
      </c>
      <c r="E1038" t="s">
        <v>6779</v>
      </c>
      <c r="F1038" t="s">
        <v>5860</v>
      </c>
      <c r="G1038" t="s">
        <v>652</v>
      </c>
      <c r="H1038" t="s">
        <v>3942</v>
      </c>
      <c r="J1038" t="s">
        <v>518</v>
      </c>
      <c r="K1038" t="s">
        <v>519</v>
      </c>
      <c r="M1038" t="s">
        <v>520</v>
      </c>
      <c r="N1038" t="s">
        <v>571</v>
      </c>
      <c r="O1038" t="s">
        <v>748</v>
      </c>
      <c r="P1038" t="s">
        <v>654</v>
      </c>
      <c r="Q1038" t="s">
        <v>638</v>
      </c>
      <c r="R1038" t="s">
        <v>639</v>
      </c>
      <c r="S1038" t="s">
        <v>682</v>
      </c>
      <c r="T1038" t="s">
        <v>527</v>
      </c>
      <c r="U1038">
        <v>121200</v>
      </c>
      <c r="V1038" t="s">
        <v>6573</v>
      </c>
      <c r="W1038" t="s">
        <v>741</v>
      </c>
      <c r="X1038" t="s">
        <v>6780</v>
      </c>
      <c r="Y1038" t="s">
        <v>6779</v>
      </c>
      <c r="Z1038" t="s">
        <v>5860</v>
      </c>
      <c r="AA1038" t="s">
        <v>6781</v>
      </c>
      <c r="AB1038" t="s">
        <v>6782</v>
      </c>
      <c r="AC1038">
        <v>99188</v>
      </c>
      <c r="AD1038" t="s">
        <v>786</v>
      </c>
      <c r="AE1038">
        <v>-36.758915000000002</v>
      </c>
      <c r="AF1038">
        <v>174.74098475</v>
      </c>
      <c r="AG1038">
        <v>25</v>
      </c>
      <c r="AH1038">
        <v>8</v>
      </c>
      <c r="AI1038">
        <v>0</v>
      </c>
      <c r="AJ1038">
        <v>2</v>
      </c>
      <c r="AK1038">
        <v>12</v>
      </c>
      <c r="AL1038">
        <v>8</v>
      </c>
      <c r="AM1038">
        <v>4</v>
      </c>
      <c r="AN1038">
        <v>4</v>
      </c>
      <c r="AO1038">
        <v>30</v>
      </c>
      <c r="AP1038">
        <v>9</v>
      </c>
      <c r="AQ1038">
        <v>3</v>
      </c>
      <c r="AR1038">
        <v>2</v>
      </c>
      <c r="AS1038">
        <v>20</v>
      </c>
      <c r="AT1038">
        <v>0</v>
      </c>
    </row>
    <row r="1039" spans="1:46">
      <c r="A1039">
        <v>20478</v>
      </c>
      <c r="B1039" t="s">
        <v>6783</v>
      </c>
      <c r="C1039" t="s">
        <v>6784</v>
      </c>
      <c r="D1039" t="s">
        <v>6785</v>
      </c>
      <c r="E1039" t="s">
        <v>6786</v>
      </c>
      <c r="F1039" t="s">
        <v>855</v>
      </c>
      <c r="G1039" t="s">
        <v>652</v>
      </c>
      <c r="H1039" t="s">
        <v>3942</v>
      </c>
      <c r="J1039" t="s">
        <v>3962</v>
      </c>
      <c r="K1039" t="s">
        <v>519</v>
      </c>
      <c r="M1039" t="s">
        <v>520</v>
      </c>
      <c r="N1039" t="s">
        <v>571</v>
      </c>
      <c r="O1039" t="s">
        <v>857</v>
      </c>
      <c r="P1039" t="s">
        <v>654</v>
      </c>
      <c r="Q1039" t="s">
        <v>638</v>
      </c>
      <c r="R1039" t="s">
        <v>708</v>
      </c>
      <c r="S1039" t="s">
        <v>858</v>
      </c>
      <c r="T1039" t="s">
        <v>709</v>
      </c>
      <c r="U1039">
        <v>132200</v>
      </c>
      <c r="V1039" t="s">
        <v>6043</v>
      </c>
      <c r="W1039" t="s">
        <v>860</v>
      </c>
      <c r="X1039" t="s">
        <v>6787</v>
      </c>
      <c r="Y1039" t="s">
        <v>6788</v>
      </c>
      <c r="Z1039" t="s">
        <v>1146</v>
      </c>
      <c r="AA1039" t="s">
        <v>4414</v>
      </c>
      <c r="AB1039" t="s">
        <v>6789</v>
      </c>
      <c r="AE1039">
        <v>-36.872097519999997</v>
      </c>
      <c r="AF1039">
        <v>174.71025922999999</v>
      </c>
      <c r="AG1039">
        <v>30</v>
      </c>
      <c r="AH1039">
        <v>10</v>
      </c>
      <c r="AI1039">
        <v>0</v>
      </c>
      <c r="AJ1039">
        <v>8</v>
      </c>
      <c r="AK1039">
        <v>9</v>
      </c>
      <c r="AL1039">
        <v>8</v>
      </c>
      <c r="AM1039">
        <v>7</v>
      </c>
      <c r="AN1039">
        <v>1</v>
      </c>
      <c r="AO1039">
        <v>33</v>
      </c>
      <c r="AP1039">
        <v>33</v>
      </c>
      <c r="AQ1039">
        <v>6</v>
      </c>
      <c r="AR1039">
        <v>1</v>
      </c>
      <c r="AS1039">
        <v>6</v>
      </c>
      <c r="AT1039">
        <v>1</v>
      </c>
    </row>
    <row r="1040" spans="1:46">
      <c r="A1040">
        <v>20481</v>
      </c>
      <c r="B1040" t="s">
        <v>6790</v>
      </c>
      <c r="C1040" t="s">
        <v>6791</v>
      </c>
      <c r="E1040" t="s">
        <v>6792</v>
      </c>
      <c r="F1040" t="s">
        <v>898</v>
      </c>
      <c r="G1040" t="s">
        <v>652</v>
      </c>
      <c r="H1040" t="s">
        <v>343</v>
      </c>
      <c r="J1040" t="s">
        <v>518</v>
      </c>
      <c r="K1040" t="s">
        <v>519</v>
      </c>
      <c r="L1040" t="s">
        <v>4205</v>
      </c>
      <c r="M1040" t="s">
        <v>520</v>
      </c>
      <c r="N1040" t="s">
        <v>557</v>
      </c>
      <c r="O1040" t="s">
        <v>813</v>
      </c>
      <c r="P1040" t="s">
        <v>654</v>
      </c>
      <c r="Q1040" t="s">
        <v>638</v>
      </c>
      <c r="R1040" t="s">
        <v>639</v>
      </c>
      <c r="S1040" t="s">
        <v>899</v>
      </c>
      <c r="T1040" t="s">
        <v>527</v>
      </c>
      <c r="U1040">
        <v>126702</v>
      </c>
      <c r="V1040" t="s">
        <v>900</v>
      </c>
      <c r="W1040" t="s">
        <v>815</v>
      </c>
      <c r="X1040" t="s">
        <v>6607</v>
      </c>
      <c r="Y1040" t="s">
        <v>4208</v>
      </c>
      <c r="Z1040" t="s">
        <v>4209</v>
      </c>
      <c r="AA1040" t="s">
        <v>4210</v>
      </c>
      <c r="AB1040" t="s">
        <v>6608</v>
      </c>
      <c r="AE1040">
        <v>-36.881879089999998</v>
      </c>
      <c r="AF1040">
        <v>174.62676056999999</v>
      </c>
      <c r="AG1040">
        <v>30</v>
      </c>
      <c r="AH1040">
        <v>5</v>
      </c>
      <c r="AI1040">
        <v>0</v>
      </c>
      <c r="AJ1040">
        <v>3</v>
      </c>
      <c r="AK1040">
        <v>8</v>
      </c>
      <c r="AL1040">
        <v>7</v>
      </c>
      <c r="AM1040">
        <v>3</v>
      </c>
      <c r="AN1040">
        <v>0</v>
      </c>
      <c r="AO1040">
        <v>21</v>
      </c>
      <c r="AP1040">
        <v>0</v>
      </c>
      <c r="AQ1040">
        <v>20</v>
      </c>
      <c r="AR1040">
        <v>0</v>
      </c>
      <c r="AS1040">
        <v>0</v>
      </c>
      <c r="AT1040">
        <v>1</v>
      </c>
    </row>
    <row r="1041" spans="1:46">
      <c r="A1041">
        <v>20482</v>
      </c>
      <c r="B1041" t="s">
        <v>6793</v>
      </c>
      <c r="C1041" t="s">
        <v>6794</v>
      </c>
      <c r="E1041" t="s">
        <v>6795</v>
      </c>
      <c r="F1041" t="s">
        <v>1035</v>
      </c>
      <c r="G1041" t="s">
        <v>652</v>
      </c>
      <c r="H1041" t="s">
        <v>343</v>
      </c>
      <c r="J1041" t="s">
        <v>518</v>
      </c>
      <c r="K1041" t="s">
        <v>519</v>
      </c>
      <c r="L1041" t="s">
        <v>4205</v>
      </c>
      <c r="M1041" t="s">
        <v>520</v>
      </c>
      <c r="N1041" t="s">
        <v>521</v>
      </c>
      <c r="O1041" t="s">
        <v>728</v>
      </c>
      <c r="P1041" t="s">
        <v>654</v>
      </c>
      <c r="Q1041" t="s">
        <v>638</v>
      </c>
      <c r="R1041" t="s">
        <v>729</v>
      </c>
      <c r="S1041" t="s">
        <v>730</v>
      </c>
      <c r="T1041" t="s">
        <v>709</v>
      </c>
      <c r="U1041">
        <v>154001</v>
      </c>
      <c r="V1041" t="s">
        <v>1054</v>
      </c>
      <c r="W1041" t="s">
        <v>732</v>
      </c>
      <c r="X1041" t="s">
        <v>4207</v>
      </c>
      <c r="Y1041" t="s">
        <v>4208</v>
      </c>
      <c r="Z1041" t="s">
        <v>4209</v>
      </c>
      <c r="AA1041" t="s">
        <v>4210</v>
      </c>
      <c r="AE1041">
        <v>-36.96701358</v>
      </c>
      <c r="AF1041">
        <v>174.84279101000001</v>
      </c>
      <c r="AG1041">
        <v>25</v>
      </c>
      <c r="AH1041">
        <v>6</v>
      </c>
      <c r="AI1041">
        <v>1</v>
      </c>
      <c r="AJ1041">
        <v>4</v>
      </c>
      <c r="AK1041">
        <v>3</v>
      </c>
      <c r="AL1041">
        <v>5</v>
      </c>
      <c r="AM1041">
        <v>1</v>
      </c>
      <c r="AN1041">
        <v>0</v>
      </c>
      <c r="AO1041">
        <v>14</v>
      </c>
      <c r="AP1041">
        <v>0</v>
      </c>
      <c r="AQ1041">
        <v>11</v>
      </c>
      <c r="AR1041">
        <v>3</v>
      </c>
      <c r="AS1041">
        <v>0</v>
      </c>
      <c r="AT1041">
        <v>0</v>
      </c>
    </row>
    <row r="1042" spans="1:46">
      <c r="A1042">
        <v>20485</v>
      </c>
      <c r="B1042" t="s">
        <v>6796</v>
      </c>
      <c r="C1042" t="s">
        <v>6797</v>
      </c>
      <c r="D1042" t="s">
        <v>6798</v>
      </c>
      <c r="E1042" t="s">
        <v>6799</v>
      </c>
      <c r="F1042" t="s">
        <v>756</v>
      </c>
      <c r="G1042" t="s">
        <v>652</v>
      </c>
      <c r="H1042" t="s">
        <v>3942</v>
      </c>
      <c r="J1042" t="s">
        <v>3962</v>
      </c>
      <c r="K1042" t="s">
        <v>519</v>
      </c>
      <c r="M1042" t="s">
        <v>520</v>
      </c>
      <c r="N1042" t="s">
        <v>571</v>
      </c>
      <c r="O1042" t="s">
        <v>738</v>
      </c>
      <c r="P1042" t="s">
        <v>654</v>
      </c>
      <c r="Q1042" t="s">
        <v>638</v>
      </c>
      <c r="R1042" t="s">
        <v>639</v>
      </c>
      <c r="S1042" t="s">
        <v>756</v>
      </c>
      <c r="T1042" t="s">
        <v>527</v>
      </c>
      <c r="U1042">
        <v>127300</v>
      </c>
      <c r="V1042" t="s">
        <v>1049</v>
      </c>
      <c r="W1042" t="s">
        <v>741</v>
      </c>
      <c r="X1042" t="s">
        <v>6800</v>
      </c>
      <c r="Y1042" t="s">
        <v>6801</v>
      </c>
      <c r="Z1042" t="s">
        <v>651</v>
      </c>
      <c r="AA1042" t="s">
        <v>4537</v>
      </c>
      <c r="AC1042">
        <v>99067</v>
      </c>
      <c r="AD1042" t="s">
        <v>6114</v>
      </c>
      <c r="AE1042">
        <v>-36.810471370000002</v>
      </c>
      <c r="AF1042">
        <v>174.7402175</v>
      </c>
      <c r="AG1042">
        <v>37</v>
      </c>
      <c r="AH1042">
        <v>10</v>
      </c>
      <c r="AI1042">
        <v>0</v>
      </c>
      <c r="AJ1042">
        <v>9</v>
      </c>
      <c r="AK1042">
        <v>14</v>
      </c>
      <c r="AL1042">
        <v>8</v>
      </c>
      <c r="AM1042">
        <v>14</v>
      </c>
      <c r="AN1042">
        <v>0</v>
      </c>
      <c r="AO1042">
        <v>45</v>
      </c>
      <c r="AP1042">
        <v>39</v>
      </c>
      <c r="AQ1042">
        <v>4</v>
      </c>
      <c r="AR1042">
        <v>1</v>
      </c>
      <c r="AS1042">
        <v>2</v>
      </c>
      <c r="AT1042">
        <v>2</v>
      </c>
    </row>
    <row r="1043" spans="1:46">
      <c r="A1043">
        <v>20486</v>
      </c>
      <c r="B1043" t="s">
        <v>6802</v>
      </c>
      <c r="C1043" t="s">
        <v>6803</v>
      </c>
      <c r="D1043" t="s">
        <v>6804</v>
      </c>
      <c r="E1043" t="s">
        <v>6805</v>
      </c>
      <c r="F1043" t="s">
        <v>1102</v>
      </c>
      <c r="G1043" t="s">
        <v>652</v>
      </c>
      <c r="H1043" t="s">
        <v>3942</v>
      </c>
      <c r="I1043" t="s">
        <v>6806</v>
      </c>
      <c r="J1043" t="s">
        <v>518</v>
      </c>
      <c r="K1043" t="s">
        <v>519</v>
      </c>
      <c r="M1043" t="s">
        <v>520</v>
      </c>
      <c r="N1043" t="s">
        <v>571</v>
      </c>
      <c r="O1043" t="s">
        <v>957</v>
      </c>
      <c r="P1043" t="s">
        <v>654</v>
      </c>
      <c r="Q1043" t="s">
        <v>638</v>
      </c>
      <c r="R1043" t="s">
        <v>708</v>
      </c>
      <c r="S1043" t="s">
        <v>958</v>
      </c>
      <c r="T1043" t="s">
        <v>709</v>
      </c>
      <c r="U1043">
        <v>131200</v>
      </c>
      <c r="V1043" t="s">
        <v>1103</v>
      </c>
      <c r="W1043" t="s">
        <v>959</v>
      </c>
      <c r="X1043" t="s">
        <v>6807</v>
      </c>
      <c r="Y1043" t="s">
        <v>6808</v>
      </c>
      <c r="Z1043" t="s">
        <v>4522</v>
      </c>
      <c r="AA1043" t="s">
        <v>6809</v>
      </c>
      <c r="AB1043" t="s">
        <v>6810</v>
      </c>
      <c r="AE1043">
        <v>-36.849094739999998</v>
      </c>
      <c r="AF1043">
        <v>174.74377985999999</v>
      </c>
      <c r="AG1043">
        <v>20</v>
      </c>
      <c r="AH1043">
        <v>4</v>
      </c>
      <c r="AI1043">
        <v>0</v>
      </c>
      <c r="AJ1043">
        <v>4</v>
      </c>
      <c r="AK1043">
        <v>9</v>
      </c>
      <c r="AL1043">
        <v>4</v>
      </c>
      <c r="AM1043">
        <v>2</v>
      </c>
      <c r="AN1043">
        <v>0</v>
      </c>
      <c r="AO1043">
        <v>19</v>
      </c>
      <c r="AP1043">
        <v>16</v>
      </c>
      <c r="AQ1043">
        <v>2</v>
      </c>
      <c r="AR1043">
        <v>1</v>
      </c>
      <c r="AS1043">
        <v>4</v>
      </c>
      <c r="AT1043">
        <v>2</v>
      </c>
    </row>
    <row r="1044" spans="1:46">
      <c r="A1044">
        <v>20487</v>
      </c>
      <c r="B1044" t="s">
        <v>6811</v>
      </c>
      <c r="C1044" t="s">
        <v>6812</v>
      </c>
      <c r="D1044" t="s">
        <v>6813</v>
      </c>
      <c r="E1044" t="s">
        <v>6814</v>
      </c>
      <c r="F1044" t="s">
        <v>4428</v>
      </c>
      <c r="G1044" t="s">
        <v>652</v>
      </c>
      <c r="H1044" t="s">
        <v>298</v>
      </c>
      <c r="J1044" t="s">
        <v>518</v>
      </c>
      <c r="K1044" t="s">
        <v>519</v>
      </c>
      <c r="M1044" t="s">
        <v>520</v>
      </c>
      <c r="N1044" t="s">
        <v>571</v>
      </c>
      <c r="O1044" t="s">
        <v>804</v>
      </c>
      <c r="P1044" t="s">
        <v>654</v>
      </c>
      <c r="Q1044" t="s">
        <v>638</v>
      </c>
      <c r="R1044" t="s">
        <v>708</v>
      </c>
      <c r="S1044" t="s">
        <v>880</v>
      </c>
      <c r="T1044" t="s">
        <v>709</v>
      </c>
      <c r="U1044">
        <v>144001</v>
      </c>
      <c r="V1044" t="s">
        <v>6815</v>
      </c>
      <c r="W1044" t="s">
        <v>824</v>
      </c>
      <c r="X1044" t="s">
        <v>6816</v>
      </c>
      <c r="Y1044" t="s">
        <v>5187</v>
      </c>
      <c r="AA1044" t="s">
        <v>5188</v>
      </c>
      <c r="AB1044" t="s">
        <v>6817</v>
      </c>
      <c r="AE1044">
        <v>-36.85302188</v>
      </c>
      <c r="AF1044">
        <v>174.87158160000001</v>
      </c>
      <c r="AG1044">
        <v>30</v>
      </c>
      <c r="AH1044">
        <v>15</v>
      </c>
      <c r="AI1044">
        <v>5</v>
      </c>
      <c r="AJ1044">
        <v>8</v>
      </c>
      <c r="AK1044">
        <v>18</v>
      </c>
      <c r="AL1044">
        <v>12</v>
      </c>
      <c r="AM1044">
        <v>8</v>
      </c>
      <c r="AN1044">
        <v>2</v>
      </c>
      <c r="AO1044">
        <v>53</v>
      </c>
      <c r="AP1044">
        <v>49</v>
      </c>
      <c r="AQ1044">
        <v>3</v>
      </c>
      <c r="AR1044">
        <v>1</v>
      </c>
      <c r="AS1044">
        <v>9</v>
      </c>
      <c r="AT1044">
        <v>4</v>
      </c>
    </row>
    <row r="1045" spans="1:46">
      <c r="A1045">
        <v>20489</v>
      </c>
      <c r="B1045" t="s">
        <v>6818</v>
      </c>
      <c r="C1045" t="s">
        <v>6819</v>
      </c>
      <c r="D1045" t="s">
        <v>6820</v>
      </c>
      <c r="E1045" t="s">
        <v>6821</v>
      </c>
      <c r="F1045" t="s">
        <v>1114</v>
      </c>
      <c r="G1045" t="s">
        <v>652</v>
      </c>
      <c r="H1045" t="s">
        <v>3942</v>
      </c>
      <c r="I1045" t="s">
        <v>4165</v>
      </c>
      <c r="J1045" t="s">
        <v>518</v>
      </c>
      <c r="K1045" t="s">
        <v>519</v>
      </c>
      <c r="M1045" t="s">
        <v>520</v>
      </c>
      <c r="N1045" t="s">
        <v>539</v>
      </c>
      <c r="O1045" t="s">
        <v>813</v>
      </c>
      <c r="P1045" t="s">
        <v>654</v>
      </c>
      <c r="Q1045" t="s">
        <v>638</v>
      </c>
      <c r="R1045" t="s">
        <v>639</v>
      </c>
      <c r="S1045" t="s">
        <v>899</v>
      </c>
      <c r="T1045" t="s">
        <v>527</v>
      </c>
      <c r="U1045">
        <v>123000</v>
      </c>
      <c r="V1045" t="s">
        <v>3752</v>
      </c>
      <c r="W1045" t="s">
        <v>815</v>
      </c>
      <c r="X1045" t="s">
        <v>6822</v>
      </c>
      <c r="Y1045" t="s">
        <v>6823</v>
      </c>
      <c r="Z1045" t="s">
        <v>1114</v>
      </c>
      <c r="AA1045" t="s">
        <v>3964</v>
      </c>
      <c r="AE1045">
        <v>-36.86294831</v>
      </c>
      <c r="AF1045">
        <v>174.60151375000001</v>
      </c>
      <c r="AG1045">
        <v>24</v>
      </c>
      <c r="AH1045">
        <v>6</v>
      </c>
      <c r="AI1045">
        <v>0</v>
      </c>
      <c r="AJ1045">
        <v>3</v>
      </c>
      <c r="AK1045">
        <v>3</v>
      </c>
      <c r="AL1045">
        <v>3</v>
      </c>
      <c r="AM1045">
        <v>4</v>
      </c>
      <c r="AN1045">
        <v>0</v>
      </c>
      <c r="AO1045">
        <v>13</v>
      </c>
      <c r="AP1045">
        <v>0</v>
      </c>
      <c r="AQ1045">
        <v>1</v>
      </c>
      <c r="AR1045">
        <v>13</v>
      </c>
      <c r="AS1045">
        <v>0</v>
      </c>
      <c r="AT1045">
        <v>0</v>
      </c>
    </row>
    <row r="1046" spans="1:46">
      <c r="A1046">
        <v>20491</v>
      </c>
      <c r="B1046" t="s">
        <v>6824</v>
      </c>
      <c r="C1046" t="s">
        <v>6825</v>
      </c>
      <c r="D1046" t="s">
        <v>6826</v>
      </c>
      <c r="E1046" t="s">
        <v>6827</v>
      </c>
      <c r="F1046" t="s">
        <v>1059</v>
      </c>
      <c r="G1046" t="s">
        <v>652</v>
      </c>
      <c r="H1046" t="s">
        <v>3942</v>
      </c>
      <c r="I1046" t="s">
        <v>6828</v>
      </c>
      <c r="J1046" t="s">
        <v>518</v>
      </c>
      <c r="K1046" t="s">
        <v>519</v>
      </c>
      <c r="M1046" t="s">
        <v>520</v>
      </c>
      <c r="N1046" t="s">
        <v>571</v>
      </c>
      <c r="O1046" t="s">
        <v>804</v>
      </c>
      <c r="P1046" t="s">
        <v>654</v>
      </c>
      <c r="Q1046" t="s">
        <v>638</v>
      </c>
      <c r="R1046" t="s">
        <v>708</v>
      </c>
      <c r="S1046" t="s">
        <v>880</v>
      </c>
      <c r="T1046" t="s">
        <v>709</v>
      </c>
      <c r="U1046">
        <v>140100</v>
      </c>
      <c r="V1046" t="s">
        <v>6829</v>
      </c>
      <c r="W1046" t="s">
        <v>824</v>
      </c>
      <c r="X1046" t="s">
        <v>6830</v>
      </c>
      <c r="Y1046" t="s">
        <v>6827</v>
      </c>
      <c r="Z1046" t="s">
        <v>1059</v>
      </c>
      <c r="AA1046" t="s">
        <v>4431</v>
      </c>
      <c r="AB1046" t="s">
        <v>6825</v>
      </c>
      <c r="AE1046">
        <v>-36.860694160000001</v>
      </c>
      <c r="AF1046">
        <v>174.82123193999999</v>
      </c>
      <c r="AG1046">
        <v>25</v>
      </c>
      <c r="AH1046">
        <v>5</v>
      </c>
      <c r="AI1046">
        <v>0</v>
      </c>
      <c r="AJ1046">
        <v>3</v>
      </c>
      <c r="AK1046">
        <v>8</v>
      </c>
      <c r="AL1046">
        <v>7</v>
      </c>
      <c r="AM1046">
        <v>3</v>
      </c>
      <c r="AN1046">
        <v>0</v>
      </c>
      <c r="AO1046">
        <v>21</v>
      </c>
      <c r="AP1046">
        <v>18</v>
      </c>
      <c r="AQ1046">
        <v>5</v>
      </c>
      <c r="AR1046">
        <v>3</v>
      </c>
      <c r="AS1046">
        <v>3</v>
      </c>
      <c r="AT1046">
        <v>1</v>
      </c>
    </row>
    <row r="1047" spans="1:46">
      <c r="A1047">
        <v>20493</v>
      </c>
      <c r="B1047" t="s">
        <v>6831</v>
      </c>
      <c r="C1047" t="s">
        <v>6832</v>
      </c>
      <c r="E1047" t="s">
        <v>6833</v>
      </c>
      <c r="F1047" t="s">
        <v>1017</v>
      </c>
      <c r="G1047" t="s">
        <v>652</v>
      </c>
      <c r="H1047" t="s">
        <v>3942</v>
      </c>
      <c r="J1047" t="s">
        <v>3962</v>
      </c>
      <c r="K1047" t="s">
        <v>519</v>
      </c>
      <c r="M1047" t="s">
        <v>520</v>
      </c>
      <c r="N1047" t="s">
        <v>571</v>
      </c>
      <c r="O1047" t="s">
        <v>857</v>
      </c>
      <c r="P1047" t="s">
        <v>654</v>
      </c>
      <c r="Q1047" t="s">
        <v>638</v>
      </c>
      <c r="R1047" t="s">
        <v>708</v>
      </c>
      <c r="S1047" t="s">
        <v>858</v>
      </c>
      <c r="T1047" t="s">
        <v>709</v>
      </c>
      <c r="U1047">
        <v>136900</v>
      </c>
      <c r="V1047" t="s">
        <v>5822</v>
      </c>
      <c r="W1047" t="s">
        <v>860</v>
      </c>
      <c r="X1047" t="s">
        <v>6834</v>
      </c>
      <c r="Y1047" t="s">
        <v>6835</v>
      </c>
      <c r="Z1047" t="s">
        <v>5104</v>
      </c>
      <c r="AA1047" t="s">
        <v>5000</v>
      </c>
      <c r="AB1047" t="s">
        <v>6836</v>
      </c>
      <c r="AE1047">
        <v>-36.876263399999999</v>
      </c>
      <c r="AF1047">
        <v>174.7497765</v>
      </c>
      <c r="AG1047">
        <v>27</v>
      </c>
      <c r="AH1047">
        <v>0</v>
      </c>
      <c r="AI1047">
        <v>0</v>
      </c>
      <c r="AJ1047">
        <v>0</v>
      </c>
      <c r="AK1047">
        <v>12</v>
      </c>
      <c r="AL1047">
        <v>2</v>
      </c>
      <c r="AM1047">
        <v>4</v>
      </c>
      <c r="AN1047">
        <v>2</v>
      </c>
      <c r="AO1047">
        <v>20</v>
      </c>
      <c r="AP1047">
        <v>14</v>
      </c>
      <c r="AQ1047">
        <v>1</v>
      </c>
      <c r="AR1047">
        <v>1</v>
      </c>
      <c r="AS1047">
        <v>7</v>
      </c>
      <c r="AT1047">
        <v>1</v>
      </c>
    </row>
    <row r="1048" spans="1:46">
      <c r="A1048">
        <v>20494</v>
      </c>
      <c r="B1048" t="s">
        <v>6837</v>
      </c>
      <c r="C1048" t="s">
        <v>6838</v>
      </c>
      <c r="E1048" t="s">
        <v>6839</v>
      </c>
      <c r="F1048" t="s">
        <v>769</v>
      </c>
      <c r="G1048" t="s">
        <v>652</v>
      </c>
      <c r="H1048" t="s">
        <v>3942</v>
      </c>
      <c r="J1048" t="s">
        <v>3962</v>
      </c>
      <c r="K1048" t="s">
        <v>519</v>
      </c>
      <c r="M1048" t="s">
        <v>520</v>
      </c>
      <c r="N1048" t="s">
        <v>571</v>
      </c>
      <c r="O1048" t="s">
        <v>718</v>
      </c>
      <c r="P1048" t="s">
        <v>654</v>
      </c>
      <c r="Q1048" t="s">
        <v>638</v>
      </c>
      <c r="R1048" t="s">
        <v>708</v>
      </c>
      <c r="S1048" t="s">
        <v>770</v>
      </c>
      <c r="T1048" t="s">
        <v>709</v>
      </c>
      <c r="U1048">
        <v>138901</v>
      </c>
      <c r="V1048" t="s">
        <v>6840</v>
      </c>
      <c r="W1048" t="s">
        <v>721</v>
      </c>
      <c r="X1048" t="s">
        <v>6841</v>
      </c>
      <c r="Y1048" t="s">
        <v>6842</v>
      </c>
      <c r="Z1048" t="s">
        <v>822</v>
      </c>
      <c r="AA1048" t="s">
        <v>4382</v>
      </c>
      <c r="AE1048">
        <v>-36.923255400000002</v>
      </c>
      <c r="AF1048">
        <v>174.69971473999999</v>
      </c>
      <c r="AG1048">
        <v>40</v>
      </c>
      <c r="AH1048">
        <v>10</v>
      </c>
      <c r="AI1048">
        <v>1</v>
      </c>
      <c r="AJ1048">
        <v>4</v>
      </c>
      <c r="AK1048">
        <v>6</v>
      </c>
      <c r="AL1048">
        <v>9</v>
      </c>
      <c r="AM1048">
        <v>13</v>
      </c>
      <c r="AN1048">
        <v>0</v>
      </c>
      <c r="AO1048">
        <v>33</v>
      </c>
      <c r="AP1048">
        <v>19</v>
      </c>
      <c r="AQ1048">
        <v>3</v>
      </c>
      <c r="AR1048">
        <v>5</v>
      </c>
      <c r="AS1048">
        <v>13</v>
      </c>
      <c r="AT1048">
        <v>0</v>
      </c>
    </row>
    <row r="1049" spans="1:46">
      <c r="A1049">
        <v>20495</v>
      </c>
      <c r="B1049" t="s">
        <v>6843</v>
      </c>
      <c r="C1049" t="s">
        <v>6844</v>
      </c>
      <c r="E1049" t="s">
        <v>6845</v>
      </c>
      <c r="F1049" t="s">
        <v>4747</v>
      </c>
      <c r="G1049" t="s">
        <v>652</v>
      </c>
      <c r="H1049" t="s">
        <v>3942</v>
      </c>
      <c r="I1049" t="s">
        <v>4231</v>
      </c>
      <c r="J1049" t="s">
        <v>518</v>
      </c>
      <c r="K1049" t="s">
        <v>519</v>
      </c>
      <c r="M1049" t="s">
        <v>520</v>
      </c>
      <c r="N1049" t="s">
        <v>571</v>
      </c>
      <c r="O1049" t="s">
        <v>873</v>
      </c>
      <c r="P1049" t="s">
        <v>654</v>
      </c>
      <c r="Q1049" t="s">
        <v>638</v>
      </c>
      <c r="R1049" t="s">
        <v>639</v>
      </c>
      <c r="S1049" t="s">
        <v>770</v>
      </c>
      <c r="T1049" t="s">
        <v>709</v>
      </c>
      <c r="U1049">
        <v>134600</v>
      </c>
      <c r="V1049" t="s">
        <v>6361</v>
      </c>
      <c r="W1049" t="s">
        <v>815</v>
      </c>
      <c r="X1049" t="s">
        <v>6846</v>
      </c>
      <c r="Y1049" t="s">
        <v>6847</v>
      </c>
      <c r="Z1049" t="s">
        <v>4747</v>
      </c>
      <c r="AA1049" t="s">
        <v>6848</v>
      </c>
      <c r="AB1049" t="s">
        <v>6844</v>
      </c>
      <c r="AE1049">
        <v>-36.951844629999997</v>
      </c>
      <c r="AF1049">
        <v>174.64075187</v>
      </c>
      <c r="AG1049">
        <v>81</v>
      </c>
      <c r="AH1049">
        <v>0</v>
      </c>
      <c r="AI1049">
        <v>0</v>
      </c>
      <c r="AJ1049">
        <v>0</v>
      </c>
      <c r="AK1049">
        <v>1</v>
      </c>
      <c r="AL1049">
        <v>16</v>
      </c>
      <c r="AM1049">
        <v>14</v>
      </c>
      <c r="AN1049">
        <v>23</v>
      </c>
      <c r="AO1049">
        <v>54</v>
      </c>
      <c r="AP1049">
        <v>44</v>
      </c>
      <c r="AQ1049">
        <v>9</v>
      </c>
      <c r="AR1049">
        <v>3</v>
      </c>
      <c r="AS1049">
        <v>12</v>
      </c>
      <c r="AT1049">
        <v>1</v>
      </c>
    </row>
    <row r="1050" spans="1:46">
      <c r="A1050">
        <v>20502</v>
      </c>
      <c r="B1050" t="s">
        <v>6849</v>
      </c>
      <c r="C1050" t="s">
        <v>6850</v>
      </c>
      <c r="D1050" t="s">
        <v>6851</v>
      </c>
      <c r="E1050" t="s">
        <v>6852</v>
      </c>
      <c r="G1050" t="s">
        <v>699</v>
      </c>
      <c r="H1050" t="s">
        <v>3942</v>
      </c>
      <c r="I1050" t="s">
        <v>3953</v>
      </c>
      <c r="J1050" t="s">
        <v>3962</v>
      </c>
      <c r="K1050" t="s">
        <v>519</v>
      </c>
      <c r="M1050" t="s">
        <v>520</v>
      </c>
      <c r="N1050" t="s">
        <v>571</v>
      </c>
      <c r="O1050" t="s">
        <v>653</v>
      </c>
      <c r="P1050" t="s">
        <v>584</v>
      </c>
      <c r="Q1050" t="s">
        <v>638</v>
      </c>
      <c r="R1050" t="s">
        <v>639</v>
      </c>
      <c r="S1050" t="s">
        <v>668</v>
      </c>
      <c r="T1050" t="s">
        <v>527</v>
      </c>
      <c r="U1050">
        <v>114600</v>
      </c>
      <c r="V1050" t="s">
        <v>700</v>
      </c>
      <c r="W1050" t="s">
        <v>657</v>
      </c>
      <c r="X1050" t="s">
        <v>6853</v>
      </c>
      <c r="Y1050" t="s">
        <v>6854</v>
      </c>
      <c r="Z1050" t="s">
        <v>821</v>
      </c>
      <c r="AA1050" t="s">
        <v>4069</v>
      </c>
      <c r="AB1050" t="s">
        <v>6850</v>
      </c>
      <c r="AC1050">
        <v>99095</v>
      </c>
      <c r="AD1050" t="s">
        <v>701</v>
      </c>
      <c r="AE1050">
        <v>-36.622603849999997</v>
      </c>
      <c r="AF1050">
        <v>174.72478090000001</v>
      </c>
      <c r="AG1050">
        <v>48</v>
      </c>
      <c r="AH1050">
        <v>0</v>
      </c>
      <c r="AI1050">
        <v>0</v>
      </c>
      <c r="AJ1050">
        <v>0</v>
      </c>
      <c r="AK1050">
        <v>12</v>
      </c>
      <c r="AL1050">
        <v>20</v>
      </c>
      <c r="AM1050">
        <v>23</v>
      </c>
      <c r="AN1050">
        <v>3</v>
      </c>
      <c r="AO1050">
        <v>58</v>
      </c>
      <c r="AP1050">
        <v>55</v>
      </c>
      <c r="AQ1050">
        <v>7</v>
      </c>
      <c r="AR1050">
        <v>2</v>
      </c>
      <c r="AS1050">
        <v>5</v>
      </c>
      <c r="AT1050">
        <v>2</v>
      </c>
    </row>
    <row r="1051" spans="1:46">
      <c r="A1051">
        <v>20503</v>
      </c>
      <c r="B1051" t="s">
        <v>6855</v>
      </c>
      <c r="C1051" t="s">
        <v>6856</v>
      </c>
      <c r="E1051" t="s">
        <v>6857</v>
      </c>
      <c r="F1051" t="s">
        <v>6601</v>
      </c>
      <c r="G1051" t="s">
        <v>652</v>
      </c>
      <c r="H1051" t="s">
        <v>3942</v>
      </c>
      <c r="I1051" t="s">
        <v>4065</v>
      </c>
      <c r="J1051" t="s">
        <v>3962</v>
      </c>
      <c r="K1051" t="s">
        <v>519</v>
      </c>
      <c r="M1051" t="s">
        <v>520</v>
      </c>
      <c r="N1051" t="s">
        <v>4519</v>
      </c>
      <c r="O1051" t="s">
        <v>813</v>
      </c>
      <c r="P1051" t="s">
        <v>654</v>
      </c>
      <c r="Q1051" t="s">
        <v>638</v>
      </c>
      <c r="R1051" t="s">
        <v>639</v>
      </c>
      <c r="S1051" t="s">
        <v>739</v>
      </c>
      <c r="T1051" t="s">
        <v>527</v>
      </c>
      <c r="U1051">
        <v>119800</v>
      </c>
      <c r="V1051" t="s">
        <v>920</v>
      </c>
      <c r="W1051" t="s">
        <v>815</v>
      </c>
      <c r="X1051" t="s">
        <v>6858</v>
      </c>
      <c r="Y1051" t="s">
        <v>6859</v>
      </c>
      <c r="Z1051" t="s">
        <v>6860</v>
      </c>
      <c r="AA1051" t="s">
        <v>6861</v>
      </c>
      <c r="AB1051" t="s">
        <v>6856</v>
      </c>
      <c r="AE1051">
        <v>-36.819671049999997</v>
      </c>
      <c r="AF1051">
        <v>174.62717476</v>
      </c>
      <c r="AG1051">
        <v>45</v>
      </c>
      <c r="AH1051">
        <v>0</v>
      </c>
      <c r="AI1051">
        <v>0</v>
      </c>
      <c r="AJ1051">
        <v>0</v>
      </c>
      <c r="AK1051">
        <v>8</v>
      </c>
      <c r="AL1051">
        <v>12</v>
      </c>
      <c r="AM1051">
        <v>14</v>
      </c>
      <c r="AN1051">
        <v>2</v>
      </c>
      <c r="AO1051">
        <v>36</v>
      </c>
      <c r="AP1051">
        <v>9</v>
      </c>
      <c r="AQ1051">
        <v>2</v>
      </c>
      <c r="AR1051">
        <v>1</v>
      </c>
      <c r="AS1051">
        <v>29</v>
      </c>
      <c r="AT1051">
        <v>1</v>
      </c>
    </row>
    <row r="1052" spans="1:46">
      <c r="A1052">
        <v>20508</v>
      </c>
      <c r="B1052" t="s">
        <v>6862</v>
      </c>
      <c r="C1052" t="s">
        <v>6434</v>
      </c>
      <c r="D1052" t="s">
        <v>6863</v>
      </c>
      <c r="E1052" t="s">
        <v>6864</v>
      </c>
      <c r="F1052" t="s">
        <v>737</v>
      </c>
      <c r="G1052" t="s">
        <v>652</v>
      </c>
      <c r="H1052" t="s">
        <v>3942</v>
      </c>
      <c r="J1052" t="s">
        <v>3962</v>
      </c>
      <c r="K1052" t="s">
        <v>519</v>
      </c>
      <c r="M1052" t="s">
        <v>520</v>
      </c>
      <c r="N1052" t="s">
        <v>571</v>
      </c>
      <c r="O1052" t="s">
        <v>738</v>
      </c>
      <c r="P1052" t="s">
        <v>654</v>
      </c>
      <c r="Q1052" t="s">
        <v>638</v>
      </c>
      <c r="R1052" t="s">
        <v>639</v>
      </c>
      <c r="S1052" t="s">
        <v>739</v>
      </c>
      <c r="T1052" t="s">
        <v>527</v>
      </c>
      <c r="U1052">
        <v>121901</v>
      </c>
      <c r="V1052" t="s">
        <v>6437</v>
      </c>
      <c r="W1052" t="s">
        <v>741</v>
      </c>
      <c r="X1052" t="s">
        <v>6438</v>
      </c>
      <c r="Y1052" t="s">
        <v>4658</v>
      </c>
      <c r="Z1052" t="s">
        <v>958</v>
      </c>
      <c r="AA1052" t="s">
        <v>4659</v>
      </c>
      <c r="AB1052" t="s">
        <v>6439</v>
      </c>
      <c r="AE1052">
        <v>-36.765905500000002</v>
      </c>
      <c r="AF1052">
        <v>174.72830601999999</v>
      </c>
      <c r="AG1052">
        <v>45</v>
      </c>
      <c r="AH1052">
        <v>0</v>
      </c>
      <c r="AI1052">
        <v>0</v>
      </c>
      <c r="AJ1052">
        <v>0</v>
      </c>
      <c r="AK1052">
        <v>0</v>
      </c>
      <c r="AL1052">
        <v>10</v>
      </c>
      <c r="AM1052">
        <v>26</v>
      </c>
      <c r="AN1052">
        <v>1</v>
      </c>
      <c r="AO1052">
        <v>37</v>
      </c>
      <c r="AP1052">
        <v>18</v>
      </c>
      <c r="AQ1052">
        <v>4</v>
      </c>
      <c r="AR1052">
        <v>2</v>
      </c>
      <c r="AS1052">
        <v>17</v>
      </c>
      <c r="AT1052">
        <v>1</v>
      </c>
    </row>
    <row r="1053" spans="1:46">
      <c r="A1053">
        <v>20509</v>
      </c>
      <c r="B1053" t="s">
        <v>6865</v>
      </c>
      <c r="C1053" t="s">
        <v>6866</v>
      </c>
      <c r="D1053" t="s">
        <v>6867</v>
      </c>
      <c r="E1053" t="s">
        <v>6868</v>
      </c>
      <c r="G1053" t="s">
        <v>675</v>
      </c>
      <c r="H1053" t="s">
        <v>3942</v>
      </c>
      <c r="J1053" t="s">
        <v>3962</v>
      </c>
      <c r="K1053" t="s">
        <v>519</v>
      </c>
      <c r="M1053" t="s">
        <v>520</v>
      </c>
      <c r="N1053" t="s">
        <v>571</v>
      </c>
      <c r="O1053" t="s">
        <v>637</v>
      </c>
      <c r="P1053" t="s">
        <v>523</v>
      </c>
      <c r="Q1053" t="s">
        <v>638</v>
      </c>
      <c r="R1053" t="s">
        <v>639</v>
      </c>
      <c r="S1053" t="s">
        <v>640</v>
      </c>
      <c r="T1053" t="s">
        <v>527</v>
      </c>
      <c r="U1053">
        <v>111300</v>
      </c>
      <c r="V1053" t="s">
        <v>6869</v>
      </c>
      <c r="W1053" t="s">
        <v>641</v>
      </c>
      <c r="X1053" t="s">
        <v>6870</v>
      </c>
      <c r="Y1053" t="s">
        <v>6871</v>
      </c>
      <c r="Z1053" t="s">
        <v>4132</v>
      </c>
      <c r="AA1053" t="s">
        <v>6872</v>
      </c>
      <c r="AE1053">
        <v>-36.400190279999997</v>
      </c>
      <c r="AF1053">
        <v>174.6651785</v>
      </c>
      <c r="AG1053">
        <v>50</v>
      </c>
      <c r="AH1053">
        <v>15</v>
      </c>
      <c r="AI1053">
        <v>0</v>
      </c>
      <c r="AJ1053">
        <v>0</v>
      </c>
      <c r="AK1053">
        <v>18</v>
      </c>
      <c r="AL1053">
        <v>14</v>
      </c>
      <c r="AM1053">
        <v>14</v>
      </c>
      <c r="AN1053">
        <v>1</v>
      </c>
      <c r="AO1053">
        <v>47</v>
      </c>
      <c r="AP1053">
        <v>38</v>
      </c>
      <c r="AQ1053">
        <v>12</v>
      </c>
      <c r="AR1053">
        <v>7</v>
      </c>
      <c r="AS1053">
        <v>3</v>
      </c>
      <c r="AT1053">
        <v>1</v>
      </c>
    </row>
    <row r="1054" spans="1:46">
      <c r="A1054">
        <v>20511</v>
      </c>
      <c r="B1054" t="s">
        <v>6873</v>
      </c>
      <c r="C1054" t="s">
        <v>6874</v>
      </c>
      <c r="D1054" t="s">
        <v>6875</v>
      </c>
      <c r="E1054" t="s">
        <v>6876</v>
      </c>
      <c r="F1054" t="s">
        <v>1036</v>
      </c>
      <c r="G1054" t="s">
        <v>652</v>
      </c>
      <c r="H1054" t="s">
        <v>3942</v>
      </c>
      <c r="I1054" t="s">
        <v>4951</v>
      </c>
      <c r="J1054" t="s">
        <v>3962</v>
      </c>
      <c r="K1054" t="s">
        <v>519</v>
      </c>
      <c r="M1054" t="s">
        <v>520</v>
      </c>
      <c r="N1054" t="s">
        <v>521</v>
      </c>
      <c r="O1054" t="s">
        <v>1216</v>
      </c>
      <c r="P1054" t="s">
        <v>654</v>
      </c>
      <c r="Q1054" t="s">
        <v>638</v>
      </c>
      <c r="R1054" t="s">
        <v>729</v>
      </c>
      <c r="S1054" t="s">
        <v>1036</v>
      </c>
      <c r="T1054" t="s">
        <v>709</v>
      </c>
      <c r="U1054">
        <v>160100</v>
      </c>
      <c r="V1054" t="s">
        <v>6877</v>
      </c>
      <c r="W1054" t="s">
        <v>1219</v>
      </c>
      <c r="X1054" t="s">
        <v>6878</v>
      </c>
      <c r="Y1054" t="s">
        <v>6879</v>
      </c>
      <c r="Z1054" t="s">
        <v>828</v>
      </c>
      <c r="AA1054" t="s">
        <v>6880</v>
      </c>
      <c r="AE1054">
        <v>-37.018562930000002</v>
      </c>
      <c r="AF1054">
        <v>174.88837806000001</v>
      </c>
      <c r="AG1054">
        <v>50</v>
      </c>
      <c r="AH1054">
        <v>15</v>
      </c>
      <c r="AI1054">
        <v>4</v>
      </c>
      <c r="AJ1054">
        <v>4</v>
      </c>
      <c r="AK1054">
        <v>6</v>
      </c>
      <c r="AL1054">
        <v>16</v>
      </c>
      <c r="AM1054">
        <v>9</v>
      </c>
      <c r="AN1054">
        <v>0</v>
      </c>
      <c r="AO1054">
        <v>39</v>
      </c>
      <c r="AP1054">
        <v>6</v>
      </c>
      <c r="AQ1054">
        <v>28</v>
      </c>
      <c r="AR1054">
        <v>20</v>
      </c>
      <c r="AS1054">
        <v>3</v>
      </c>
      <c r="AT1054">
        <v>1</v>
      </c>
    </row>
    <row r="1055" spans="1:46">
      <c r="A1055">
        <v>20514</v>
      </c>
      <c r="B1055" t="s">
        <v>6881</v>
      </c>
      <c r="C1055" t="s">
        <v>6882</v>
      </c>
      <c r="D1055" t="s">
        <v>6883</v>
      </c>
      <c r="E1055" t="s">
        <v>6884</v>
      </c>
      <c r="F1055" t="s">
        <v>6885</v>
      </c>
      <c r="G1055" t="s">
        <v>652</v>
      </c>
      <c r="H1055" t="s">
        <v>3942</v>
      </c>
      <c r="J1055" t="s">
        <v>3962</v>
      </c>
      <c r="K1055" t="s">
        <v>519</v>
      </c>
      <c r="M1055" t="s">
        <v>520</v>
      </c>
      <c r="N1055" t="s">
        <v>521</v>
      </c>
      <c r="O1055" t="s">
        <v>857</v>
      </c>
      <c r="P1055" t="s">
        <v>654</v>
      </c>
      <c r="Q1055" t="s">
        <v>638</v>
      </c>
      <c r="R1055" t="s">
        <v>708</v>
      </c>
      <c r="S1055" t="s">
        <v>719</v>
      </c>
      <c r="T1055" t="s">
        <v>709</v>
      </c>
      <c r="U1055">
        <v>131100</v>
      </c>
      <c r="V1055" t="s">
        <v>6885</v>
      </c>
      <c r="W1055" t="s">
        <v>860</v>
      </c>
      <c r="X1055" t="s">
        <v>6886</v>
      </c>
      <c r="Y1055" t="s">
        <v>6887</v>
      </c>
      <c r="Z1055" t="s">
        <v>898</v>
      </c>
      <c r="AA1055" t="s">
        <v>4537</v>
      </c>
      <c r="AE1055">
        <v>-36.883820329999999</v>
      </c>
      <c r="AF1055">
        <v>174.69787536000001</v>
      </c>
      <c r="AG1055">
        <v>40</v>
      </c>
      <c r="AH1055">
        <v>14</v>
      </c>
      <c r="AI1055">
        <v>2</v>
      </c>
      <c r="AJ1055">
        <v>6</v>
      </c>
      <c r="AK1055">
        <v>5</v>
      </c>
      <c r="AL1055">
        <v>15</v>
      </c>
      <c r="AM1055">
        <v>6</v>
      </c>
      <c r="AN1055">
        <v>0</v>
      </c>
      <c r="AO1055">
        <v>34</v>
      </c>
      <c r="AP1055">
        <v>15</v>
      </c>
      <c r="AQ1055">
        <v>10</v>
      </c>
      <c r="AR1055">
        <v>11</v>
      </c>
      <c r="AS1055">
        <v>10</v>
      </c>
      <c r="AT1055">
        <v>4</v>
      </c>
    </row>
    <row r="1056" spans="1:46">
      <c r="A1056">
        <v>20518</v>
      </c>
      <c r="B1056" t="s">
        <v>6888</v>
      </c>
      <c r="C1056" t="s">
        <v>6889</v>
      </c>
      <c r="E1056" t="s">
        <v>6890</v>
      </c>
      <c r="F1056" t="s">
        <v>6601</v>
      </c>
      <c r="G1056" t="s">
        <v>652</v>
      </c>
      <c r="H1056" t="s">
        <v>343</v>
      </c>
      <c r="J1056" t="s">
        <v>518</v>
      </c>
      <c r="K1056" t="s">
        <v>519</v>
      </c>
      <c r="L1056" t="s">
        <v>4205</v>
      </c>
      <c r="M1056" t="s">
        <v>520</v>
      </c>
      <c r="N1056" t="s">
        <v>539</v>
      </c>
      <c r="O1056" t="s">
        <v>813</v>
      </c>
      <c r="P1056" t="s">
        <v>654</v>
      </c>
      <c r="Q1056" t="s">
        <v>638</v>
      </c>
      <c r="R1056" t="s">
        <v>639</v>
      </c>
      <c r="S1056" t="s">
        <v>739</v>
      </c>
      <c r="T1056" t="s">
        <v>527</v>
      </c>
      <c r="U1056">
        <v>119800</v>
      </c>
      <c r="V1056" t="s">
        <v>920</v>
      </c>
      <c r="W1056" t="s">
        <v>815</v>
      </c>
      <c r="X1056" t="s">
        <v>6607</v>
      </c>
      <c r="Y1056" t="s">
        <v>4208</v>
      </c>
      <c r="Z1056" t="s">
        <v>4209</v>
      </c>
      <c r="AA1056" t="s">
        <v>4210</v>
      </c>
      <c r="AB1056" t="s">
        <v>6608</v>
      </c>
      <c r="AE1056">
        <v>-36.81632132</v>
      </c>
      <c r="AF1056">
        <v>174.62761143</v>
      </c>
      <c r="AG1056">
        <v>28</v>
      </c>
      <c r="AH1056">
        <v>8</v>
      </c>
      <c r="AI1056">
        <v>1</v>
      </c>
      <c r="AJ1056">
        <v>4</v>
      </c>
      <c r="AK1056">
        <v>7</v>
      </c>
      <c r="AL1056">
        <v>5</v>
      </c>
      <c r="AM1056">
        <v>3</v>
      </c>
      <c r="AN1056">
        <v>0</v>
      </c>
      <c r="AO1056">
        <v>20</v>
      </c>
      <c r="AP1056">
        <v>0</v>
      </c>
      <c r="AQ1056">
        <v>20</v>
      </c>
      <c r="AR1056">
        <v>0</v>
      </c>
      <c r="AS1056">
        <v>0</v>
      </c>
      <c r="AT1056">
        <v>0</v>
      </c>
    </row>
    <row r="1057" spans="1:46">
      <c r="A1057">
        <v>20521</v>
      </c>
      <c r="B1057" t="s">
        <v>6891</v>
      </c>
      <c r="C1057" t="s">
        <v>6892</v>
      </c>
      <c r="D1057" t="s">
        <v>6893</v>
      </c>
      <c r="E1057" t="s">
        <v>6894</v>
      </c>
      <c r="F1057" t="s">
        <v>737</v>
      </c>
      <c r="G1057" t="s">
        <v>652</v>
      </c>
      <c r="H1057" t="s">
        <v>3942</v>
      </c>
      <c r="J1057" t="s">
        <v>3962</v>
      </c>
      <c r="K1057" t="s">
        <v>519</v>
      </c>
      <c r="M1057" t="s">
        <v>520</v>
      </c>
      <c r="N1057" t="s">
        <v>571</v>
      </c>
      <c r="O1057" t="s">
        <v>738</v>
      </c>
      <c r="P1057" t="s">
        <v>654</v>
      </c>
      <c r="Q1057" t="s">
        <v>638</v>
      </c>
      <c r="R1057" t="s">
        <v>639</v>
      </c>
      <c r="S1057" t="s">
        <v>756</v>
      </c>
      <c r="T1057" t="s">
        <v>527</v>
      </c>
      <c r="U1057">
        <v>124600</v>
      </c>
      <c r="V1057" t="s">
        <v>6895</v>
      </c>
      <c r="W1057" t="s">
        <v>741</v>
      </c>
      <c r="X1057" t="s">
        <v>6896</v>
      </c>
      <c r="Y1057" t="s">
        <v>6897</v>
      </c>
      <c r="Z1057" t="s">
        <v>737</v>
      </c>
      <c r="AA1057" t="s">
        <v>6898</v>
      </c>
      <c r="AB1057" t="s">
        <v>6892</v>
      </c>
      <c r="AE1057">
        <v>-36.784813309999997</v>
      </c>
      <c r="AF1057">
        <v>174.73401676</v>
      </c>
      <c r="AG1057">
        <v>38</v>
      </c>
      <c r="AH1057">
        <v>13</v>
      </c>
      <c r="AI1057">
        <v>4</v>
      </c>
      <c r="AJ1057">
        <v>10</v>
      </c>
      <c r="AK1057">
        <v>9</v>
      </c>
      <c r="AL1057">
        <v>10</v>
      </c>
      <c r="AM1057">
        <v>8</v>
      </c>
      <c r="AN1057">
        <v>0</v>
      </c>
      <c r="AO1057">
        <v>41</v>
      </c>
      <c r="AP1057">
        <v>12</v>
      </c>
      <c r="AQ1057">
        <v>4</v>
      </c>
      <c r="AR1057">
        <v>5</v>
      </c>
      <c r="AS1057">
        <v>28</v>
      </c>
      <c r="AT1057">
        <v>5</v>
      </c>
    </row>
    <row r="1058" spans="1:46">
      <c r="A1058">
        <v>20525</v>
      </c>
      <c r="B1058" t="s">
        <v>6899</v>
      </c>
      <c r="C1058" t="s">
        <v>6900</v>
      </c>
      <c r="D1058" t="s">
        <v>6901</v>
      </c>
      <c r="E1058" t="s">
        <v>6902</v>
      </c>
      <c r="F1058" t="s">
        <v>6903</v>
      </c>
      <c r="G1058" t="s">
        <v>3763</v>
      </c>
      <c r="H1058" t="s">
        <v>3942</v>
      </c>
      <c r="I1058" t="s">
        <v>4231</v>
      </c>
      <c r="J1058" t="s">
        <v>518</v>
      </c>
      <c r="K1058" t="s">
        <v>519</v>
      </c>
      <c r="M1058" t="s">
        <v>520</v>
      </c>
      <c r="N1058" t="s">
        <v>571</v>
      </c>
      <c r="O1058" t="s">
        <v>3764</v>
      </c>
      <c r="P1058" t="s">
        <v>523</v>
      </c>
      <c r="Q1058" t="s">
        <v>638</v>
      </c>
      <c r="R1058" t="s">
        <v>708</v>
      </c>
      <c r="S1058" t="s">
        <v>958</v>
      </c>
      <c r="T1058" t="s">
        <v>709</v>
      </c>
      <c r="U1058">
        <v>144600</v>
      </c>
      <c r="V1058" t="s">
        <v>6904</v>
      </c>
      <c r="W1058" t="s">
        <v>959</v>
      </c>
      <c r="X1058" t="s">
        <v>6905</v>
      </c>
      <c r="Y1058" t="s">
        <v>6906</v>
      </c>
      <c r="Z1058" t="s">
        <v>3763</v>
      </c>
      <c r="AA1058" t="s">
        <v>6315</v>
      </c>
      <c r="AE1058">
        <v>-36.773898729999999</v>
      </c>
      <c r="AF1058">
        <v>175.00620361</v>
      </c>
      <c r="AG1058">
        <v>44</v>
      </c>
      <c r="AH1058">
        <v>0</v>
      </c>
      <c r="AI1058">
        <v>0</v>
      </c>
      <c r="AJ1058">
        <v>0</v>
      </c>
      <c r="AK1058">
        <v>7</v>
      </c>
      <c r="AL1058">
        <v>9</v>
      </c>
      <c r="AM1058">
        <v>9</v>
      </c>
      <c r="AN1058">
        <v>2</v>
      </c>
      <c r="AO1058">
        <v>27</v>
      </c>
      <c r="AP1058">
        <v>26</v>
      </c>
      <c r="AQ1058">
        <v>4</v>
      </c>
      <c r="AR1058">
        <v>2</v>
      </c>
      <c r="AS1058">
        <v>5</v>
      </c>
      <c r="AT1058">
        <v>3</v>
      </c>
    </row>
    <row r="1059" spans="1:46">
      <c r="A1059">
        <v>20527</v>
      </c>
      <c r="B1059" t="s">
        <v>6907</v>
      </c>
      <c r="C1059" t="s">
        <v>6908</v>
      </c>
      <c r="D1059" t="s">
        <v>6909</v>
      </c>
      <c r="E1059" t="s">
        <v>6910</v>
      </c>
      <c r="F1059" t="s">
        <v>891</v>
      </c>
      <c r="G1059" t="s">
        <v>652</v>
      </c>
      <c r="H1059" t="s">
        <v>3942</v>
      </c>
      <c r="J1059" t="s">
        <v>3962</v>
      </c>
      <c r="K1059" t="s">
        <v>519</v>
      </c>
      <c r="M1059" t="s">
        <v>520</v>
      </c>
      <c r="N1059" t="s">
        <v>571</v>
      </c>
      <c r="O1059" t="s">
        <v>718</v>
      </c>
      <c r="P1059" t="s">
        <v>654</v>
      </c>
      <c r="Q1059" t="s">
        <v>638</v>
      </c>
      <c r="R1059" t="s">
        <v>639</v>
      </c>
      <c r="S1059" t="s">
        <v>770</v>
      </c>
      <c r="T1059" t="s">
        <v>709</v>
      </c>
      <c r="U1059">
        <v>137300</v>
      </c>
      <c r="V1059" t="s">
        <v>892</v>
      </c>
      <c r="W1059" t="s">
        <v>721</v>
      </c>
      <c r="X1059" t="s">
        <v>6911</v>
      </c>
      <c r="Y1059" t="s">
        <v>6910</v>
      </c>
      <c r="Z1059" t="s">
        <v>891</v>
      </c>
      <c r="AA1059" t="s">
        <v>4320</v>
      </c>
      <c r="AB1059" t="s">
        <v>6912</v>
      </c>
      <c r="AE1059">
        <v>-36.929557780000003</v>
      </c>
      <c r="AF1059">
        <v>174.67373273000001</v>
      </c>
      <c r="AG1059">
        <v>49</v>
      </c>
      <c r="AH1059">
        <v>14</v>
      </c>
      <c r="AI1059">
        <v>0</v>
      </c>
      <c r="AJ1059">
        <v>9</v>
      </c>
      <c r="AK1059">
        <v>18</v>
      </c>
      <c r="AL1059">
        <v>13</v>
      </c>
      <c r="AM1059">
        <v>12</v>
      </c>
      <c r="AN1059">
        <v>0</v>
      </c>
      <c r="AO1059">
        <v>52</v>
      </c>
      <c r="AP1059">
        <v>50</v>
      </c>
      <c r="AQ1059">
        <v>9</v>
      </c>
      <c r="AR1059">
        <v>3</v>
      </c>
      <c r="AS1059">
        <v>4</v>
      </c>
      <c r="AT1059">
        <v>4</v>
      </c>
    </row>
    <row r="1060" spans="1:46">
      <c r="A1060">
        <v>20528</v>
      </c>
      <c r="B1060" t="s">
        <v>6913</v>
      </c>
      <c r="C1060" t="s">
        <v>6914</v>
      </c>
      <c r="D1060" t="s">
        <v>6915</v>
      </c>
      <c r="E1060" t="s">
        <v>6916</v>
      </c>
      <c r="F1060" t="s">
        <v>1023</v>
      </c>
      <c r="G1060" t="s">
        <v>652</v>
      </c>
      <c r="H1060" t="s">
        <v>3942</v>
      </c>
      <c r="I1060" t="s">
        <v>4165</v>
      </c>
      <c r="J1060" t="s">
        <v>518</v>
      </c>
      <c r="K1060" t="s">
        <v>519</v>
      </c>
      <c r="M1060" t="s">
        <v>520</v>
      </c>
      <c r="N1060" t="s">
        <v>539</v>
      </c>
      <c r="O1060" t="s">
        <v>912</v>
      </c>
      <c r="P1060" t="s">
        <v>654</v>
      </c>
      <c r="Q1060" t="s">
        <v>638</v>
      </c>
      <c r="R1060" t="s">
        <v>708</v>
      </c>
      <c r="S1060" t="s">
        <v>913</v>
      </c>
      <c r="T1060" t="s">
        <v>709</v>
      </c>
      <c r="U1060">
        <v>140700</v>
      </c>
      <c r="V1060" t="s">
        <v>6917</v>
      </c>
      <c r="W1060" t="s">
        <v>860</v>
      </c>
      <c r="X1060" t="s">
        <v>6918</v>
      </c>
      <c r="Y1060" t="s">
        <v>6919</v>
      </c>
      <c r="Z1060" t="s">
        <v>1023</v>
      </c>
      <c r="AA1060" t="s">
        <v>6064</v>
      </c>
      <c r="AB1060" t="s">
        <v>6920</v>
      </c>
      <c r="AE1060">
        <v>-36.915172470000002</v>
      </c>
      <c r="AF1060">
        <v>174.73055704000001</v>
      </c>
      <c r="AG1060">
        <v>52</v>
      </c>
      <c r="AH1060">
        <v>8</v>
      </c>
      <c r="AI1060">
        <v>3</v>
      </c>
      <c r="AJ1060">
        <v>4</v>
      </c>
      <c r="AK1060">
        <v>12</v>
      </c>
      <c r="AL1060">
        <v>16</v>
      </c>
      <c r="AM1060">
        <v>11</v>
      </c>
      <c r="AN1060">
        <v>1</v>
      </c>
      <c r="AO1060">
        <v>47</v>
      </c>
      <c r="AP1060">
        <v>2</v>
      </c>
      <c r="AQ1060">
        <v>4</v>
      </c>
      <c r="AR1060">
        <v>43</v>
      </c>
      <c r="AS1060">
        <v>2</v>
      </c>
      <c r="AT1060">
        <v>0</v>
      </c>
    </row>
    <row r="1061" spans="1:46">
      <c r="A1061">
        <v>20529</v>
      </c>
      <c r="B1061" t="s">
        <v>6921</v>
      </c>
      <c r="C1061" t="s">
        <v>6922</v>
      </c>
      <c r="D1061" t="s">
        <v>6923</v>
      </c>
      <c r="E1061" t="s">
        <v>6924</v>
      </c>
      <c r="F1061" t="s">
        <v>6601</v>
      </c>
      <c r="G1061" t="s">
        <v>652</v>
      </c>
      <c r="H1061" t="s">
        <v>3942</v>
      </c>
      <c r="J1061" t="s">
        <v>518</v>
      </c>
      <c r="K1061" t="s">
        <v>519</v>
      </c>
      <c r="M1061" t="s">
        <v>520</v>
      </c>
      <c r="N1061" t="s">
        <v>557</v>
      </c>
      <c r="O1061" t="s">
        <v>813</v>
      </c>
      <c r="P1061" t="s">
        <v>654</v>
      </c>
      <c r="Q1061" t="s">
        <v>638</v>
      </c>
      <c r="R1061" t="s">
        <v>639</v>
      </c>
      <c r="S1061" t="s">
        <v>739</v>
      </c>
      <c r="T1061" t="s">
        <v>527</v>
      </c>
      <c r="U1061">
        <v>119800</v>
      </c>
      <c r="V1061" t="s">
        <v>920</v>
      </c>
      <c r="W1061" t="s">
        <v>815</v>
      </c>
      <c r="X1061" t="s">
        <v>6925</v>
      </c>
      <c r="Y1061" t="s">
        <v>6926</v>
      </c>
      <c r="Z1061" t="s">
        <v>6203</v>
      </c>
      <c r="AA1061" t="s">
        <v>4356</v>
      </c>
      <c r="AB1061" t="s">
        <v>6927</v>
      </c>
      <c r="AC1061">
        <v>99125</v>
      </c>
      <c r="AD1061" t="s">
        <v>816</v>
      </c>
      <c r="AE1061">
        <v>-36.821224780000001</v>
      </c>
      <c r="AF1061">
        <v>174.62783353</v>
      </c>
      <c r="AG1061">
        <v>70</v>
      </c>
      <c r="AH1061">
        <v>20</v>
      </c>
      <c r="AI1061">
        <v>3</v>
      </c>
      <c r="AJ1061">
        <v>12</v>
      </c>
      <c r="AK1061">
        <v>9</v>
      </c>
      <c r="AL1061">
        <v>23</v>
      </c>
      <c r="AM1061">
        <v>13</v>
      </c>
      <c r="AN1061">
        <v>1</v>
      </c>
      <c r="AO1061">
        <v>61</v>
      </c>
      <c r="AP1061">
        <v>24</v>
      </c>
      <c r="AQ1061">
        <v>10</v>
      </c>
      <c r="AR1061">
        <v>14</v>
      </c>
      <c r="AS1061">
        <v>22</v>
      </c>
      <c r="AT1061">
        <v>6</v>
      </c>
    </row>
    <row r="1062" spans="1:46">
      <c r="A1062">
        <v>20533</v>
      </c>
      <c r="B1062" t="s">
        <v>6928</v>
      </c>
      <c r="C1062" t="s">
        <v>5738</v>
      </c>
      <c r="E1062" t="s">
        <v>6929</v>
      </c>
      <c r="F1062" t="s">
        <v>5158</v>
      </c>
      <c r="G1062" t="s">
        <v>652</v>
      </c>
      <c r="H1062" t="s">
        <v>3942</v>
      </c>
      <c r="J1062" t="s">
        <v>3962</v>
      </c>
      <c r="K1062" t="s">
        <v>519</v>
      </c>
      <c r="M1062" t="s">
        <v>520</v>
      </c>
      <c r="N1062" t="s">
        <v>571</v>
      </c>
      <c r="O1062" t="s">
        <v>912</v>
      </c>
      <c r="P1062" t="s">
        <v>654</v>
      </c>
      <c r="Q1062" t="s">
        <v>638</v>
      </c>
      <c r="R1062" t="s">
        <v>708</v>
      </c>
      <c r="S1062" t="s">
        <v>805</v>
      </c>
      <c r="T1062" t="s">
        <v>709</v>
      </c>
      <c r="U1062">
        <v>142600</v>
      </c>
      <c r="V1062" t="s">
        <v>5740</v>
      </c>
      <c r="W1062" t="s">
        <v>860</v>
      </c>
      <c r="X1062" t="s">
        <v>5741</v>
      </c>
      <c r="Y1062" t="s">
        <v>5739</v>
      </c>
      <c r="Z1062" t="s">
        <v>5158</v>
      </c>
      <c r="AA1062" t="s">
        <v>4382</v>
      </c>
      <c r="AB1062" t="s">
        <v>5742</v>
      </c>
      <c r="AE1062">
        <v>-36.910818329999998</v>
      </c>
      <c r="AF1062">
        <v>174.77137200000001</v>
      </c>
      <c r="AG1062">
        <v>32</v>
      </c>
      <c r="AH1062">
        <v>0</v>
      </c>
      <c r="AI1062">
        <v>0</v>
      </c>
      <c r="AJ1062">
        <v>0</v>
      </c>
      <c r="AK1062">
        <v>0</v>
      </c>
      <c r="AL1062">
        <v>14</v>
      </c>
      <c r="AM1062">
        <v>18</v>
      </c>
      <c r="AN1062">
        <v>2</v>
      </c>
      <c r="AO1062">
        <v>34</v>
      </c>
      <c r="AP1062">
        <v>16</v>
      </c>
      <c r="AQ1062">
        <v>1</v>
      </c>
      <c r="AR1062">
        <v>2</v>
      </c>
      <c r="AS1062">
        <v>18</v>
      </c>
      <c r="AT1062">
        <v>2</v>
      </c>
    </row>
    <row r="1063" spans="1:46">
      <c r="A1063">
        <v>20535</v>
      </c>
      <c r="B1063" t="s">
        <v>6930</v>
      </c>
      <c r="C1063" t="s">
        <v>4100</v>
      </c>
      <c r="D1063" t="s">
        <v>6756</v>
      </c>
      <c r="E1063" t="s">
        <v>6757</v>
      </c>
      <c r="F1063" t="s">
        <v>681</v>
      </c>
      <c r="G1063" t="s">
        <v>652</v>
      </c>
      <c r="H1063" t="s">
        <v>3942</v>
      </c>
      <c r="J1063" t="s">
        <v>3962</v>
      </c>
      <c r="K1063" t="s">
        <v>519</v>
      </c>
      <c r="M1063" t="s">
        <v>520</v>
      </c>
      <c r="N1063" t="s">
        <v>571</v>
      </c>
      <c r="O1063" t="s">
        <v>1168</v>
      </c>
      <c r="P1063" t="s">
        <v>654</v>
      </c>
      <c r="Q1063" t="s">
        <v>638</v>
      </c>
      <c r="R1063" t="s">
        <v>639</v>
      </c>
      <c r="S1063" t="s">
        <v>655</v>
      </c>
      <c r="T1063" t="s">
        <v>527</v>
      </c>
      <c r="U1063">
        <v>118600</v>
      </c>
      <c r="V1063" t="s">
        <v>4012</v>
      </c>
      <c r="W1063" t="s">
        <v>657</v>
      </c>
      <c r="X1063" t="s">
        <v>4096</v>
      </c>
      <c r="Y1063" t="s">
        <v>4097</v>
      </c>
      <c r="Z1063" t="s">
        <v>4098</v>
      </c>
      <c r="AA1063" t="s">
        <v>4099</v>
      </c>
      <c r="AB1063" t="s">
        <v>4100</v>
      </c>
      <c r="AE1063">
        <v>-36.747874670000002</v>
      </c>
      <c r="AF1063">
        <v>174.73097379999999</v>
      </c>
      <c r="AG1063">
        <v>30</v>
      </c>
      <c r="AH1063">
        <v>0</v>
      </c>
      <c r="AI1063">
        <v>0</v>
      </c>
      <c r="AJ1063">
        <v>0</v>
      </c>
      <c r="AK1063">
        <v>0</v>
      </c>
      <c r="AL1063">
        <v>8</v>
      </c>
      <c r="AM1063">
        <v>6</v>
      </c>
      <c r="AN1063">
        <v>1</v>
      </c>
      <c r="AO1063">
        <v>15</v>
      </c>
      <c r="AP1063">
        <v>8</v>
      </c>
      <c r="AQ1063">
        <v>3</v>
      </c>
      <c r="AR1063">
        <v>2</v>
      </c>
      <c r="AS1063">
        <v>6</v>
      </c>
      <c r="AT1063">
        <v>0</v>
      </c>
    </row>
    <row r="1064" spans="1:46">
      <c r="A1064">
        <v>20536</v>
      </c>
      <c r="B1064" t="s">
        <v>6931</v>
      </c>
      <c r="C1064" t="s">
        <v>6932</v>
      </c>
      <c r="D1064" t="s">
        <v>6933</v>
      </c>
      <c r="E1064" t="s">
        <v>6934</v>
      </c>
      <c r="F1064" t="s">
        <v>1140</v>
      </c>
      <c r="G1064" t="s">
        <v>652</v>
      </c>
      <c r="H1064" t="s">
        <v>3942</v>
      </c>
      <c r="I1064" t="s">
        <v>6828</v>
      </c>
      <c r="J1064" t="s">
        <v>518</v>
      </c>
      <c r="K1064" t="s">
        <v>519</v>
      </c>
      <c r="M1064" t="s">
        <v>520</v>
      </c>
      <c r="N1064" t="s">
        <v>571</v>
      </c>
      <c r="O1064" t="s">
        <v>804</v>
      </c>
      <c r="P1064" t="s">
        <v>654</v>
      </c>
      <c r="Q1064" t="s">
        <v>638</v>
      </c>
      <c r="R1064" t="s">
        <v>708</v>
      </c>
      <c r="S1064" t="s">
        <v>880</v>
      </c>
      <c r="T1064" t="s">
        <v>709</v>
      </c>
      <c r="U1064">
        <v>143000</v>
      </c>
      <c r="V1064" t="s">
        <v>5757</v>
      </c>
      <c r="W1064" t="s">
        <v>824</v>
      </c>
      <c r="X1064" t="s">
        <v>6935</v>
      </c>
      <c r="Y1064" t="s">
        <v>6936</v>
      </c>
      <c r="Z1064" t="s">
        <v>6161</v>
      </c>
      <c r="AA1064" t="s">
        <v>6162</v>
      </c>
      <c r="AE1064">
        <v>-36.8547966</v>
      </c>
      <c r="AF1064">
        <v>174.86039</v>
      </c>
      <c r="AG1064">
        <v>33</v>
      </c>
      <c r="AH1064">
        <v>0</v>
      </c>
      <c r="AI1064">
        <v>0</v>
      </c>
      <c r="AJ1064">
        <v>0</v>
      </c>
      <c r="AK1064">
        <v>18</v>
      </c>
      <c r="AL1064">
        <v>14</v>
      </c>
      <c r="AM1064">
        <v>17</v>
      </c>
      <c r="AN1064">
        <v>2</v>
      </c>
      <c r="AO1064">
        <v>51</v>
      </c>
      <c r="AP1064">
        <v>49</v>
      </c>
      <c r="AQ1064">
        <v>3</v>
      </c>
      <c r="AR1064">
        <v>0</v>
      </c>
      <c r="AS1064">
        <v>5</v>
      </c>
      <c r="AT1064">
        <v>2</v>
      </c>
    </row>
    <row r="1065" spans="1:46">
      <c r="A1065">
        <v>20541</v>
      </c>
      <c r="B1065" t="s">
        <v>6937</v>
      </c>
      <c r="C1065" t="s">
        <v>6938</v>
      </c>
      <c r="D1065" t="s">
        <v>6939</v>
      </c>
      <c r="E1065" t="s">
        <v>6940</v>
      </c>
      <c r="F1065" t="s">
        <v>3706</v>
      </c>
      <c r="G1065" t="s">
        <v>4326</v>
      </c>
      <c r="H1065" t="s">
        <v>3942</v>
      </c>
      <c r="J1065" t="s">
        <v>3962</v>
      </c>
      <c r="K1065" t="s">
        <v>519</v>
      </c>
      <c r="M1065" t="s">
        <v>520</v>
      </c>
      <c r="N1065" t="s">
        <v>4519</v>
      </c>
      <c r="O1065" t="s">
        <v>1168</v>
      </c>
      <c r="P1065" t="s">
        <v>654</v>
      </c>
      <c r="Q1065" t="s">
        <v>638</v>
      </c>
      <c r="R1065" t="s">
        <v>639</v>
      </c>
      <c r="S1065" t="s">
        <v>655</v>
      </c>
      <c r="T1065" t="s">
        <v>527</v>
      </c>
      <c r="U1065">
        <v>117400</v>
      </c>
      <c r="V1065" t="s">
        <v>3707</v>
      </c>
      <c r="W1065" t="s">
        <v>657</v>
      </c>
      <c r="X1065" t="s">
        <v>6941</v>
      </c>
      <c r="Y1065" t="s">
        <v>6942</v>
      </c>
      <c r="Z1065" t="s">
        <v>3706</v>
      </c>
      <c r="AA1065" t="s">
        <v>6270</v>
      </c>
      <c r="AB1065" t="s">
        <v>6943</v>
      </c>
      <c r="AE1065">
        <v>-36.743737549999999</v>
      </c>
      <c r="AF1065">
        <v>174.69272430000001</v>
      </c>
      <c r="AG1065">
        <v>50</v>
      </c>
      <c r="AH1065">
        <v>0</v>
      </c>
      <c r="AI1065">
        <v>0</v>
      </c>
      <c r="AJ1065">
        <v>0</v>
      </c>
      <c r="AK1065">
        <v>0</v>
      </c>
      <c r="AL1065">
        <v>0</v>
      </c>
      <c r="AM1065">
        <v>40</v>
      </c>
      <c r="AN1065">
        <v>7</v>
      </c>
      <c r="AO1065">
        <v>47</v>
      </c>
      <c r="AP1065">
        <v>20</v>
      </c>
      <c r="AQ1065">
        <v>1</v>
      </c>
      <c r="AR1065">
        <v>1</v>
      </c>
      <c r="AS1065">
        <v>33</v>
      </c>
      <c r="AT1065">
        <v>2</v>
      </c>
    </row>
    <row r="1066" spans="1:46">
      <c r="A1066">
        <v>20544</v>
      </c>
      <c r="B1066" t="s">
        <v>6944</v>
      </c>
      <c r="C1066" t="s">
        <v>6945</v>
      </c>
      <c r="D1066" t="s">
        <v>6946</v>
      </c>
      <c r="E1066" t="s">
        <v>6947</v>
      </c>
      <c r="F1066" t="s">
        <v>737</v>
      </c>
      <c r="G1066" t="s">
        <v>652</v>
      </c>
      <c r="H1066" t="s">
        <v>3942</v>
      </c>
      <c r="I1066" t="s">
        <v>3953</v>
      </c>
      <c r="J1066" t="s">
        <v>3962</v>
      </c>
      <c r="K1066" t="s">
        <v>519</v>
      </c>
      <c r="M1066" t="s">
        <v>520</v>
      </c>
      <c r="N1066" t="s">
        <v>571</v>
      </c>
      <c r="O1066" t="s">
        <v>738</v>
      </c>
      <c r="P1066" t="s">
        <v>654</v>
      </c>
      <c r="Q1066" t="s">
        <v>638</v>
      </c>
      <c r="R1066" t="s">
        <v>639</v>
      </c>
      <c r="S1066" t="s">
        <v>756</v>
      </c>
      <c r="T1066" t="s">
        <v>527</v>
      </c>
      <c r="U1066">
        <v>123100</v>
      </c>
      <c r="V1066" t="s">
        <v>886</v>
      </c>
      <c r="W1066" t="s">
        <v>741</v>
      </c>
      <c r="X1066" t="s">
        <v>6948</v>
      </c>
      <c r="Y1066" t="s">
        <v>6949</v>
      </c>
      <c r="AA1066" t="s">
        <v>5171</v>
      </c>
      <c r="AB1066" t="s">
        <v>6945</v>
      </c>
      <c r="AE1066">
        <v>-36.785993410000003</v>
      </c>
      <c r="AF1066">
        <v>174.71479355</v>
      </c>
      <c r="AG1066">
        <v>45</v>
      </c>
      <c r="AH1066">
        <v>0</v>
      </c>
      <c r="AI1066">
        <v>0</v>
      </c>
      <c r="AJ1066">
        <v>0</v>
      </c>
      <c r="AK1066">
        <v>6</v>
      </c>
      <c r="AL1066">
        <v>11</v>
      </c>
      <c r="AM1066">
        <v>8</v>
      </c>
      <c r="AN1066">
        <v>0</v>
      </c>
      <c r="AO1066">
        <v>25</v>
      </c>
      <c r="AP1066">
        <v>7</v>
      </c>
      <c r="AQ1066">
        <v>1</v>
      </c>
      <c r="AR1066">
        <v>1</v>
      </c>
      <c r="AS1066">
        <v>18</v>
      </c>
      <c r="AT1066">
        <v>5</v>
      </c>
    </row>
    <row r="1067" spans="1:46">
      <c r="A1067">
        <v>20545</v>
      </c>
      <c r="B1067" t="s">
        <v>6950</v>
      </c>
      <c r="C1067" t="s">
        <v>6951</v>
      </c>
      <c r="D1067" t="s">
        <v>6952</v>
      </c>
      <c r="E1067" t="s">
        <v>6953</v>
      </c>
      <c r="F1067" t="s">
        <v>6954</v>
      </c>
      <c r="G1067" t="s">
        <v>652</v>
      </c>
      <c r="H1067" t="s">
        <v>3942</v>
      </c>
      <c r="J1067" t="s">
        <v>3962</v>
      </c>
      <c r="K1067" t="s">
        <v>519</v>
      </c>
      <c r="M1067" t="s">
        <v>520</v>
      </c>
      <c r="N1067" t="s">
        <v>571</v>
      </c>
      <c r="O1067" t="s">
        <v>804</v>
      </c>
      <c r="P1067" t="s">
        <v>654</v>
      </c>
      <c r="Q1067" t="s">
        <v>638</v>
      </c>
      <c r="R1067" t="s">
        <v>708</v>
      </c>
      <c r="S1067" t="s">
        <v>880</v>
      </c>
      <c r="T1067" t="s">
        <v>709</v>
      </c>
      <c r="U1067">
        <v>144500</v>
      </c>
      <c r="V1067" t="s">
        <v>1152</v>
      </c>
      <c r="W1067" t="s">
        <v>807</v>
      </c>
      <c r="X1067" t="s">
        <v>6955</v>
      </c>
      <c r="Y1067" t="s">
        <v>6956</v>
      </c>
      <c r="Z1067" t="s">
        <v>4125</v>
      </c>
      <c r="AA1067" t="s">
        <v>4484</v>
      </c>
      <c r="AE1067">
        <v>-36.875291699999998</v>
      </c>
      <c r="AF1067">
        <v>174.84747404000001</v>
      </c>
      <c r="AG1067">
        <v>26</v>
      </c>
      <c r="AH1067">
        <v>10</v>
      </c>
      <c r="AI1067">
        <v>0</v>
      </c>
      <c r="AJ1067">
        <v>5</v>
      </c>
      <c r="AK1067">
        <v>7</v>
      </c>
      <c r="AL1067">
        <v>3</v>
      </c>
      <c r="AM1067">
        <v>2</v>
      </c>
      <c r="AN1067">
        <v>0</v>
      </c>
      <c r="AO1067">
        <v>17</v>
      </c>
      <c r="AP1067">
        <v>12</v>
      </c>
      <c r="AQ1067">
        <v>2</v>
      </c>
      <c r="AR1067">
        <v>0</v>
      </c>
      <c r="AS1067">
        <v>7</v>
      </c>
      <c r="AT1067">
        <v>1</v>
      </c>
    </row>
    <row r="1068" spans="1:46">
      <c r="A1068">
        <v>20546</v>
      </c>
      <c r="B1068" t="s">
        <v>6957</v>
      </c>
      <c r="C1068" t="s">
        <v>6958</v>
      </c>
      <c r="D1068" t="s">
        <v>6959</v>
      </c>
      <c r="E1068" t="s">
        <v>6960</v>
      </c>
      <c r="F1068" t="s">
        <v>4441</v>
      </c>
      <c r="G1068" t="s">
        <v>652</v>
      </c>
      <c r="H1068" t="s">
        <v>3942</v>
      </c>
      <c r="I1068" t="s">
        <v>4065</v>
      </c>
      <c r="J1068" t="s">
        <v>3962</v>
      </c>
      <c r="K1068" t="s">
        <v>519</v>
      </c>
      <c r="M1068" t="s">
        <v>520</v>
      </c>
      <c r="N1068" t="s">
        <v>557</v>
      </c>
      <c r="O1068" t="s">
        <v>829</v>
      </c>
      <c r="P1068" t="s">
        <v>654</v>
      </c>
      <c r="Q1068" t="s">
        <v>638</v>
      </c>
      <c r="R1068" t="s">
        <v>708</v>
      </c>
      <c r="S1068" t="s">
        <v>730</v>
      </c>
      <c r="T1068" t="s">
        <v>709</v>
      </c>
      <c r="U1068">
        <v>147100</v>
      </c>
      <c r="V1068" t="s">
        <v>4442</v>
      </c>
      <c r="W1068" t="s">
        <v>807</v>
      </c>
      <c r="X1068" t="s">
        <v>6961</v>
      </c>
      <c r="Y1068" t="s">
        <v>4658</v>
      </c>
      <c r="Z1068" t="s">
        <v>958</v>
      </c>
      <c r="AA1068" t="s">
        <v>4659</v>
      </c>
      <c r="AB1068" t="s">
        <v>6962</v>
      </c>
      <c r="AE1068">
        <v>-36.900493699999998</v>
      </c>
      <c r="AF1068">
        <v>174.84788699999999</v>
      </c>
      <c r="AG1068">
        <v>40</v>
      </c>
      <c r="AH1068">
        <v>0</v>
      </c>
      <c r="AI1068">
        <v>0</v>
      </c>
      <c r="AJ1068">
        <v>0</v>
      </c>
      <c r="AK1068">
        <v>9</v>
      </c>
      <c r="AL1068">
        <v>8</v>
      </c>
      <c r="AM1068">
        <v>20</v>
      </c>
      <c r="AN1068">
        <v>1</v>
      </c>
      <c r="AO1068">
        <v>38</v>
      </c>
      <c r="AP1068">
        <v>3</v>
      </c>
      <c r="AQ1068">
        <v>1</v>
      </c>
      <c r="AR1068">
        <v>6</v>
      </c>
      <c r="AS1068">
        <v>29</v>
      </c>
      <c r="AT1068">
        <v>2</v>
      </c>
    </row>
    <row r="1069" spans="1:46">
      <c r="A1069">
        <v>20547</v>
      </c>
      <c r="B1069" t="s">
        <v>6963</v>
      </c>
      <c r="C1069" t="s">
        <v>6964</v>
      </c>
      <c r="D1069" t="s">
        <v>6965</v>
      </c>
      <c r="E1069" t="s">
        <v>6966</v>
      </c>
      <c r="F1069" t="s">
        <v>6601</v>
      </c>
      <c r="G1069" t="s">
        <v>652</v>
      </c>
      <c r="H1069" t="s">
        <v>3942</v>
      </c>
      <c r="J1069" t="s">
        <v>3962</v>
      </c>
      <c r="K1069" t="s">
        <v>519</v>
      </c>
      <c r="M1069" t="s">
        <v>520</v>
      </c>
      <c r="N1069" t="s">
        <v>571</v>
      </c>
      <c r="O1069" t="s">
        <v>813</v>
      </c>
      <c r="P1069" t="s">
        <v>654</v>
      </c>
      <c r="Q1069" t="s">
        <v>638</v>
      </c>
      <c r="R1069" t="s">
        <v>639</v>
      </c>
      <c r="S1069" t="s">
        <v>739</v>
      </c>
      <c r="T1069" t="s">
        <v>527</v>
      </c>
      <c r="U1069">
        <v>119800</v>
      </c>
      <c r="V1069" t="s">
        <v>920</v>
      </c>
      <c r="W1069" t="s">
        <v>815</v>
      </c>
      <c r="X1069" t="s">
        <v>6967</v>
      </c>
      <c r="Y1069" t="s">
        <v>6968</v>
      </c>
      <c r="AA1069" t="s">
        <v>4099</v>
      </c>
      <c r="AC1069">
        <v>99129</v>
      </c>
      <c r="AD1069" t="s">
        <v>921</v>
      </c>
      <c r="AE1069">
        <v>-36.81588593</v>
      </c>
      <c r="AF1069">
        <v>174.62727765</v>
      </c>
      <c r="AG1069">
        <v>50</v>
      </c>
      <c r="AH1069">
        <v>14</v>
      </c>
      <c r="AI1069">
        <v>4</v>
      </c>
      <c r="AJ1069">
        <v>9</v>
      </c>
      <c r="AK1069">
        <v>19</v>
      </c>
      <c r="AL1069">
        <v>14</v>
      </c>
      <c r="AM1069">
        <v>7</v>
      </c>
      <c r="AN1069">
        <v>1</v>
      </c>
      <c r="AO1069">
        <v>54</v>
      </c>
      <c r="AP1069">
        <v>23</v>
      </c>
      <c r="AQ1069">
        <v>9</v>
      </c>
      <c r="AR1069">
        <v>6</v>
      </c>
      <c r="AS1069">
        <v>31</v>
      </c>
      <c r="AT1069">
        <v>2</v>
      </c>
    </row>
    <row r="1070" spans="1:46">
      <c r="A1070">
        <v>20549</v>
      </c>
      <c r="B1070" t="s">
        <v>6969</v>
      </c>
      <c r="C1070" t="s">
        <v>6970</v>
      </c>
      <c r="D1070" t="s">
        <v>6971</v>
      </c>
      <c r="E1070" t="s">
        <v>6972</v>
      </c>
      <c r="F1070" t="s">
        <v>3706</v>
      </c>
      <c r="G1070" t="s">
        <v>4326</v>
      </c>
      <c r="H1070" t="s">
        <v>3942</v>
      </c>
      <c r="I1070" t="s">
        <v>3953</v>
      </c>
      <c r="J1070" t="s">
        <v>3962</v>
      </c>
      <c r="K1070" t="s">
        <v>519</v>
      </c>
      <c r="M1070" t="s">
        <v>520</v>
      </c>
      <c r="N1070" t="s">
        <v>571</v>
      </c>
      <c r="O1070" t="s">
        <v>1168</v>
      </c>
      <c r="P1070" t="s">
        <v>654</v>
      </c>
      <c r="Q1070" t="s">
        <v>638</v>
      </c>
      <c r="R1070" t="s">
        <v>639</v>
      </c>
      <c r="S1070" t="s">
        <v>655</v>
      </c>
      <c r="T1070" t="s">
        <v>527</v>
      </c>
      <c r="U1070">
        <v>119100</v>
      </c>
      <c r="V1070" t="s">
        <v>6973</v>
      </c>
      <c r="W1070" t="s">
        <v>657</v>
      </c>
      <c r="X1070" t="s">
        <v>6974</v>
      </c>
      <c r="Y1070" t="s">
        <v>4689</v>
      </c>
      <c r="Z1070" t="s">
        <v>4690</v>
      </c>
      <c r="AA1070" t="s">
        <v>4691</v>
      </c>
      <c r="AB1070" t="s">
        <v>6970</v>
      </c>
      <c r="AE1070">
        <v>-36.75617776</v>
      </c>
      <c r="AF1070">
        <v>174.69928598000001</v>
      </c>
      <c r="AG1070">
        <v>70</v>
      </c>
      <c r="AH1070">
        <v>25</v>
      </c>
      <c r="AI1070">
        <v>1</v>
      </c>
      <c r="AJ1070">
        <v>15</v>
      </c>
      <c r="AK1070">
        <v>14</v>
      </c>
      <c r="AL1070">
        <v>14</v>
      </c>
      <c r="AM1070">
        <v>11</v>
      </c>
      <c r="AN1070">
        <v>1</v>
      </c>
      <c r="AO1070">
        <v>56</v>
      </c>
      <c r="AP1070">
        <v>38</v>
      </c>
      <c r="AQ1070">
        <v>3</v>
      </c>
      <c r="AR1070">
        <v>3</v>
      </c>
      <c r="AS1070">
        <v>19</v>
      </c>
      <c r="AT1070">
        <v>4</v>
      </c>
    </row>
    <row r="1071" spans="1:46">
      <c r="A1071">
        <v>20550</v>
      </c>
      <c r="B1071" t="s">
        <v>6975</v>
      </c>
      <c r="C1071" t="s">
        <v>6976</v>
      </c>
      <c r="E1071" t="s">
        <v>6977</v>
      </c>
      <c r="F1071" t="s">
        <v>681</v>
      </c>
      <c r="G1071" t="s">
        <v>652</v>
      </c>
      <c r="H1071" t="s">
        <v>3942</v>
      </c>
      <c r="J1071" t="s">
        <v>3962</v>
      </c>
      <c r="K1071" t="s">
        <v>519</v>
      </c>
      <c r="M1071" t="s">
        <v>520</v>
      </c>
      <c r="N1071" t="s">
        <v>571</v>
      </c>
      <c r="O1071" t="s">
        <v>748</v>
      </c>
      <c r="P1071" t="s">
        <v>654</v>
      </c>
      <c r="Q1071" t="s">
        <v>638</v>
      </c>
      <c r="R1071" t="s">
        <v>639</v>
      </c>
      <c r="S1071" t="s">
        <v>682</v>
      </c>
      <c r="T1071" t="s">
        <v>527</v>
      </c>
      <c r="U1071">
        <v>121300</v>
      </c>
      <c r="V1071" t="s">
        <v>785</v>
      </c>
      <c r="W1071" t="s">
        <v>741</v>
      </c>
      <c r="X1071" t="s">
        <v>6978</v>
      </c>
      <c r="Y1071" t="s">
        <v>6979</v>
      </c>
      <c r="Z1071" t="s">
        <v>5860</v>
      </c>
      <c r="AA1071" t="s">
        <v>6980</v>
      </c>
      <c r="AB1071" t="s">
        <v>6981</v>
      </c>
      <c r="AE1071">
        <v>-36.747061119999998</v>
      </c>
      <c r="AF1071">
        <v>174.73978099999999</v>
      </c>
      <c r="AG1071">
        <v>41</v>
      </c>
      <c r="AH1071">
        <v>4</v>
      </c>
      <c r="AI1071">
        <v>0</v>
      </c>
      <c r="AJ1071">
        <v>0</v>
      </c>
      <c r="AK1071">
        <v>10</v>
      </c>
      <c r="AL1071">
        <v>9</v>
      </c>
      <c r="AM1071">
        <v>16</v>
      </c>
      <c r="AN1071">
        <v>0</v>
      </c>
      <c r="AO1071">
        <v>35</v>
      </c>
      <c r="AP1071">
        <v>23</v>
      </c>
      <c r="AQ1071">
        <v>0</v>
      </c>
      <c r="AR1071">
        <v>0</v>
      </c>
      <c r="AS1071">
        <v>19</v>
      </c>
      <c r="AT1071">
        <v>0</v>
      </c>
    </row>
    <row r="1072" spans="1:46">
      <c r="A1072">
        <v>20553</v>
      </c>
      <c r="B1072" t="s">
        <v>6982</v>
      </c>
      <c r="C1072" t="s">
        <v>6983</v>
      </c>
      <c r="D1072" t="s">
        <v>6984</v>
      </c>
      <c r="E1072" t="s">
        <v>6985</v>
      </c>
      <c r="G1072" t="s">
        <v>4387</v>
      </c>
      <c r="H1072" t="s">
        <v>3942</v>
      </c>
      <c r="J1072" t="s">
        <v>3962</v>
      </c>
      <c r="K1072" t="s">
        <v>519</v>
      </c>
      <c r="M1072" t="s">
        <v>520</v>
      </c>
      <c r="N1072" t="s">
        <v>571</v>
      </c>
      <c r="O1072" t="s">
        <v>637</v>
      </c>
      <c r="P1072" t="s">
        <v>523</v>
      </c>
      <c r="Q1072" t="s">
        <v>638</v>
      </c>
      <c r="R1072" t="s">
        <v>639</v>
      </c>
      <c r="S1072" t="s">
        <v>640</v>
      </c>
      <c r="T1072" t="s">
        <v>527</v>
      </c>
      <c r="U1072">
        <v>115002</v>
      </c>
      <c r="V1072" t="s">
        <v>6986</v>
      </c>
      <c r="W1072" t="s">
        <v>641</v>
      </c>
      <c r="X1072" t="s">
        <v>6987</v>
      </c>
      <c r="Y1072" t="s">
        <v>5486</v>
      </c>
      <c r="Z1072" t="s">
        <v>1066</v>
      </c>
      <c r="AA1072" t="s">
        <v>5487</v>
      </c>
      <c r="AB1072" t="s">
        <v>6988</v>
      </c>
      <c r="AE1072">
        <v>-36.776805039999999</v>
      </c>
      <c r="AF1072">
        <v>174.55561940000001</v>
      </c>
      <c r="AG1072">
        <v>36</v>
      </c>
      <c r="AH1072">
        <v>0</v>
      </c>
      <c r="AI1072">
        <v>0</v>
      </c>
      <c r="AJ1072">
        <v>0</v>
      </c>
      <c r="AK1072">
        <v>8</v>
      </c>
      <c r="AL1072">
        <v>19</v>
      </c>
      <c r="AM1072">
        <v>17</v>
      </c>
      <c r="AN1072">
        <v>3</v>
      </c>
      <c r="AO1072">
        <v>47</v>
      </c>
      <c r="AP1072">
        <v>42</v>
      </c>
      <c r="AQ1072">
        <v>4</v>
      </c>
      <c r="AR1072">
        <v>1</v>
      </c>
      <c r="AS1072">
        <v>6</v>
      </c>
      <c r="AT1072">
        <v>0</v>
      </c>
    </row>
    <row r="1073" spans="1:46">
      <c r="A1073">
        <v>20560</v>
      </c>
      <c r="B1073" t="s">
        <v>6989</v>
      </c>
      <c r="C1073" t="s">
        <v>6990</v>
      </c>
      <c r="D1073" t="s">
        <v>6991</v>
      </c>
      <c r="E1073" t="s">
        <v>6992</v>
      </c>
      <c r="F1073" t="s">
        <v>6993</v>
      </c>
      <c r="G1073" t="s">
        <v>3623</v>
      </c>
      <c r="H1073" t="s">
        <v>3942</v>
      </c>
      <c r="J1073" t="s">
        <v>3962</v>
      </c>
      <c r="K1073" t="s">
        <v>519</v>
      </c>
      <c r="M1073" t="s">
        <v>520</v>
      </c>
      <c r="N1073" t="s">
        <v>571</v>
      </c>
      <c r="O1073" t="s">
        <v>653</v>
      </c>
      <c r="P1073" t="s">
        <v>584</v>
      </c>
      <c r="Q1073" t="s">
        <v>638</v>
      </c>
      <c r="R1073" t="s">
        <v>639</v>
      </c>
      <c r="S1073" t="s">
        <v>668</v>
      </c>
      <c r="T1073" t="s">
        <v>527</v>
      </c>
      <c r="U1073">
        <v>115700</v>
      </c>
      <c r="V1073" t="s">
        <v>6994</v>
      </c>
      <c r="W1073" t="s">
        <v>657</v>
      </c>
      <c r="X1073" t="s">
        <v>6995</v>
      </c>
      <c r="Y1073" t="s">
        <v>6996</v>
      </c>
      <c r="Z1073" t="s">
        <v>4132</v>
      </c>
      <c r="AA1073" t="s">
        <v>4135</v>
      </c>
      <c r="AB1073" t="s">
        <v>6997</v>
      </c>
      <c r="AC1073">
        <v>99095</v>
      </c>
      <c r="AD1073" t="s">
        <v>701</v>
      </c>
      <c r="AE1073">
        <v>-36.609921540000002</v>
      </c>
      <c r="AF1073">
        <v>174.79877997</v>
      </c>
      <c r="AG1073">
        <v>30</v>
      </c>
      <c r="AH1073">
        <v>0</v>
      </c>
      <c r="AI1073">
        <v>0</v>
      </c>
      <c r="AJ1073">
        <v>0</v>
      </c>
      <c r="AK1073">
        <v>6</v>
      </c>
      <c r="AL1073">
        <v>15</v>
      </c>
      <c r="AM1073">
        <v>16</v>
      </c>
      <c r="AN1073">
        <v>4</v>
      </c>
      <c r="AO1073">
        <v>41</v>
      </c>
      <c r="AP1073">
        <v>28</v>
      </c>
      <c r="AQ1073">
        <v>4</v>
      </c>
      <c r="AR1073">
        <v>0</v>
      </c>
      <c r="AS1073">
        <v>9</v>
      </c>
      <c r="AT1073">
        <v>7</v>
      </c>
    </row>
    <row r="1074" spans="1:46">
      <c r="A1074">
        <v>20562</v>
      </c>
      <c r="B1074" t="s">
        <v>6998</v>
      </c>
      <c r="C1074" t="s">
        <v>6999</v>
      </c>
      <c r="D1074" t="s">
        <v>7000</v>
      </c>
      <c r="E1074" t="s">
        <v>7001</v>
      </c>
      <c r="F1074" t="s">
        <v>821</v>
      </c>
      <c r="G1074" t="s">
        <v>652</v>
      </c>
      <c r="H1074" t="s">
        <v>3942</v>
      </c>
      <c r="J1074" t="s">
        <v>3962</v>
      </c>
      <c r="K1074" t="s">
        <v>519</v>
      </c>
      <c r="M1074" t="s">
        <v>520</v>
      </c>
      <c r="N1074" t="s">
        <v>4519</v>
      </c>
      <c r="O1074" t="s">
        <v>857</v>
      </c>
      <c r="P1074" t="s">
        <v>654</v>
      </c>
      <c r="Q1074" t="s">
        <v>638</v>
      </c>
      <c r="R1074" t="s">
        <v>708</v>
      </c>
      <c r="S1074" t="s">
        <v>822</v>
      </c>
      <c r="T1074" t="s">
        <v>709</v>
      </c>
      <c r="U1074">
        <v>140300</v>
      </c>
      <c r="V1074" t="s">
        <v>4502</v>
      </c>
      <c r="W1074" t="s">
        <v>860</v>
      </c>
      <c r="X1074" t="s">
        <v>5236</v>
      </c>
      <c r="Y1074" t="s">
        <v>4689</v>
      </c>
      <c r="Z1074" t="s">
        <v>4690</v>
      </c>
      <c r="AA1074" t="s">
        <v>4691</v>
      </c>
      <c r="AB1074" t="s">
        <v>5237</v>
      </c>
      <c r="AE1074">
        <v>-36.883414629999997</v>
      </c>
      <c r="AF1074">
        <v>174.78646886000001</v>
      </c>
      <c r="AG1074">
        <v>50</v>
      </c>
      <c r="AH1074">
        <v>12</v>
      </c>
      <c r="AI1074">
        <v>2</v>
      </c>
      <c r="AJ1074">
        <v>11</v>
      </c>
      <c r="AK1074">
        <v>15</v>
      </c>
      <c r="AL1074">
        <v>13</v>
      </c>
      <c r="AM1074">
        <v>12</v>
      </c>
      <c r="AN1074">
        <v>0</v>
      </c>
      <c r="AO1074">
        <v>53</v>
      </c>
      <c r="AP1074">
        <v>33</v>
      </c>
      <c r="AQ1074">
        <v>4</v>
      </c>
      <c r="AR1074">
        <v>1</v>
      </c>
      <c r="AS1074">
        <v>27</v>
      </c>
      <c r="AT1074">
        <v>3</v>
      </c>
    </row>
    <row r="1075" spans="1:46">
      <c r="A1075">
        <v>20563</v>
      </c>
      <c r="B1075" t="s">
        <v>7002</v>
      </c>
      <c r="C1075" t="s">
        <v>7003</v>
      </c>
      <c r="D1075" t="s">
        <v>7004</v>
      </c>
      <c r="E1075" t="s">
        <v>7005</v>
      </c>
      <c r="F1075" t="s">
        <v>769</v>
      </c>
      <c r="G1075" t="s">
        <v>652</v>
      </c>
      <c r="H1075" t="s">
        <v>3942</v>
      </c>
      <c r="I1075" t="s">
        <v>3953</v>
      </c>
      <c r="J1075" t="s">
        <v>518</v>
      </c>
      <c r="K1075" t="s">
        <v>519</v>
      </c>
      <c r="M1075" t="s">
        <v>520</v>
      </c>
      <c r="N1075" t="s">
        <v>571</v>
      </c>
      <c r="O1075" t="s">
        <v>718</v>
      </c>
      <c r="P1075" t="s">
        <v>654</v>
      </c>
      <c r="Q1075" t="s">
        <v>638</v>
      </c>
      <c r="R1075" t="s">
        <v>708</v>
      </c>
      <c r="S1075" t="s">
        <v>913</v>
      </c>
      <c r="T1075" t="s">
        <v>709</v>
      </c>
      <c r="U1075">
        <v>138301</v>
      </c>
      <c r="V1075" t="s">
        <v>7006</v>
      </c>
      <c r="W1075" t="s">
        <v>721</v>
      </c>
      <c r="X1075" t="s">
        <v>7007</v>
      </c>
      <c r="Y1075" t="s">
        <v>7008</v>
      </c>
      <c r="Z1075" t="s">
        <v>769</v>
      </c>
      <c r="AA1075" t="s">
        <v>7009</v>
      </c>
      <c r="AB1075" t="s">
        <v>7010</v>
      </c>
      <c r="AC1075">
        <v>99012</v>
      </c>
      <c r="AD1075" t="s">
        <v>772</v>
      </c>
      <c r="AE1075">
        <v>-36.912964789999997</v>
      </c>
      <c r="AF1075">
        <v>174.71504677999999</v>
      </c>
      <c r="AG1075">
        <v>50</v>
      </c>
      <c r="AH1075">
        <v>0</v>
      </c>
      <c r="AI1075">
        <v>0</v>
      </c>
      <c r="AJ1075">
        <v>0</v>
      </c>
      <c r="AK1075">
        <v>6</v>
      </c>
      <c r="AL1075">
        <v>15</v>
      </c>
      <c r="AM1075">
        <v>18</v>
      </c>
      <c r="AN1075">
        <v>1</v>
      </c>
      <c r="AO1075">
        <v>40</v>
      </c>
      <c r="AP1075">
        <v>10</v>
      </c>
      <c r="AQ1075">
        <v>4</v>
      </c>
      <c r="AR1075">
        <v>14</v>
      </c>
      <c r="AS1075">
        <v>22</v>
      </c>
      <c r="AT1075">
        <v>1</v>
      </c>
    </row>
    <row r="1076" spans="1:46">
      <c r="A1076">
        <v>20564</v>
      </c>
      <c r="B1076" t="s">
        <v>7011</v>
      </c>
      <c r="C1076" t="s">
        <v>7012</v>
      </c>
      <c r="D1076" t="s">
        <v>7013</v>
      </c>
      <c r="E1076" t="s">
        <v>7014</v>
      </c>
      <c r="F1076" t="s">
        <v>4428</v>
      </c>
      <c r="G1076" t="s">
        <v>652</v>
      </c>
      <c r="H1076" t="s">
        <v>3942</v>
      </c>
      <c r="I1076" t="s">
        <v>6828</v>
      </c>
      <c r="J1076" t="s">
        <v>518</v>
      </c>
      <c r="K1076" t="s">
        <v>519</v>
      </c>
      <c r="M1076" t="s">
        <v>520</v>
      </c>
      <c r="N1076" t="s">
        <v>571</v>
      </c>
      <c r="O1076" t="s">
        <v>804</v>
      </c>
      <c r="P1076" t="s">
        <v>654</v>
      </c>
      <c r="Q1076" t="s">
        <v>638</v>
      </c>
      <c r="R1076" t="s">
        <v>708</v>
      </c>
      <c r="S1076" t="s">
        <v>880</v>
      </c>
      <c r="T1076" t="s">
        <v>709</v>
      </c>
      <c r="U1076">
        <v>145102</v>
      </c>
      <c r="V1076" t="s">
        <v>4724</v>
      </c>
      <c r="W1076" t="s">
        <v>824</v>
      </c>
      <c r="X1076" t="s">
        <v>7015</v>
      </c>
      <c r="Y1076" t="s">
        <v>7014</v>
      </c>
      <c r="Z1076" t="s">
        <v>4428</v>
      </c>
      <c r="AA1076" t="s">
        <v>4431</v>
      </c>
      <c r="AE1076">
        <v>-36.862135270000003</v>
      </c>
      <c r="AF1076">
        <v>174.87433014999999</v>
      </c>
      <c r="AG1076">
        <v>30</v>
      </c>
      <c r="AH1076">
        <v>0</v>
      </c>
      <c r="AI1076">
        <v>0</v>
      </c>
      <c r="AJ1076">
        <v>0</v>
      </c>
      <c r="AK1076">
        <v>8</v>
      </c>
      <c r="AL1076">
        <v>9</v>
      </c>
      <c r="AM1076">
        <v>17</v>
      </c>
      <c r="AN1076">
        <v>4</v>
      </c>
      <c r="AO1076">
        <v>38</v>
      </c>
      <c r="AP1076">
        <v>25</v>
      </c>
      <c r="AQ1076">
        <v>0</v>
      </c>
      <c r="AR1076">
        <v>0</v>
      </c>
      <c r="AS1076">
        <v>11</v>
      </c>
      <c r="AT1076">
        <v>6</v>
      </c>
    </row>
    <row r="1077" spans="1:46">
      <c r="A1077">
        <v>20565</v>
      </c>
      <c r="B1077" t="s">
        <v>7016</v>
      </c>
      <c r="C1077" t="s">
        <v>7017</v>
      </c>
      <c r="D1077" t="s">
        <v>7018</v>
      </c>
      <c r="E1077" t="s">
        <v>7019</v>
      </c>
      <c r="F1077" t="s">
        <v>5158</v>
      </c>
      <c r="G1077" t="s">
        <v>652</v>
      </c>
      <c r="H1077" t="s">
        <v>3942</v>
      </c>
      <c r="J1077" t="s">
        <v>3962</v>
      </c>
      <c r="K1077" t="s">
        <v>519</v>
      </c>
      <c r="M1077" t="s">
        <v>520</v>
      </c>
      <c r="N1077" t="s">
        <v>571</v>
      </c>
      <c r="O1077" t="s">
        <v>912</v>
      </c>
      <c r="P1077" t="s">
        <v>654</v>
      </c>
      <c r="Q1077" t="s">
        <v>638</v>
      </c>
      <c r="R1077" t="s">
        <v>708</v>
      </c>
      <c r="S1077" t="s">
        <v>805</v>
      </c>
      <c r="T1077" t="s">
        <v>709</v>
      </c>
      <c r="U1077">
        <v>142600</v>
      </c>
      <c r="V1077" t="s">
        <v>5740</v>
      </c>
      <c r="W1077" t="s">
        <v>860</v>
      </c>
      <c r="X1077" t="s">
        <v>7020</v>
      </c>
      <c r="Y1077" t="s">
        <v>7021</v>
      </c>
      <c r="Z1077" t="s">
        <v>5104</v>
      </c>
      <c r="AA1077" t="s">
        <v>5000</v>
      </c>
      <c r="AE1077">
        <v>-36.910938870000003</v>
      </c>
      <c r="AF1077">
        <v>174.77224378</v>
      </c>
      <c r="AG1077">
        <v>47</v>
      </c>
      <c r="AH1077">
        <v>15</v>
      </c>
      <c r="AI1077">
        <v>0</v>
      </c>
      <c r="AJ1077">
        <v>9</v>
      </c>
      <c r="AK1077">
        <v>13</v>
      </c>
      <c r="AL1077">
        <v>12</v>
      </c>
      <c r="AM1077">
        <v>11</v>
      </c>
      <c r="AN1077">
        <v>0</v>
      </c>
      <c r="AO1077">
        <v>45</v>
      </c>
      <c r="AP1077">
        <v>6</v>
      </c>
      <c r="AQ1077">
        <v>5</v>
      </c>
      <c r="AR1077">
        <v>2</v>
      </c>
      <c r="AS1077">
        <v>28</v>
      </c>
      <c r="AT1077">
        <v>12</v>
      </c>
    </row>
    <row r="1078" spans="1:46">
      <c r="A1078">
        <v>20566</v>
      </c>
      <c r="B1078" t="s">
        <v>7022</v>
      </c>
      <c r="C1078" t="s">
        <v>7023</v>
      </c>
      <c r="D1078" t="s">
        <v>7024</v>
      </c>
      <c r="E1078" t="s">
        <v>7025</v>
      </c>
      <c r="F1078" t="s">
        <v>756</v>
      </c>
      <c r="G1078" t="s">
        <v>652</v>
      </c>
      <c r="H1078" t="s">
        <v>3942</v>
      </c>
      <c r="J1078" t="s">
        <v>3962</v>
      </c>
      <c r="K1078" t="s">
        <v>519</v>
      </c>
      <c r="M1078" t="s">
        <v>520</v>
      </c>
      <c r="N1078" t="s">
        <v>571</v>
      </c>
      <c r="O1078" t="s">
        <v>738</v>
      </c>
      <c r="P1078" t="s">
        <v>654</v>
      </c>
      <c r="Q1078" t="s">
        <v>638</v>
      </c>
      <c r="R1078" t="s">
        <v>639</v>
      </c>
      <c r="S1078" t="s">
        <v>756</v>
      </c>
      <c r="T1078" t="s">
        <v>527</v>
      </c>
      <c r="U1078">
        <v>127100</v>
      </c>
      <c r="V1078" t="s">
        <v>1044</v>
      </c>
      <c r="W1078" t="s">
        <v>741</v>
      </c>
      <c r="X1078" t="s">
        <v>7026</v>
      </c>
      <c r="Y1078" t="s">
        <v>7027</v>
      </c>
      <c r="Z1078" t="s">
        <v>855</v>
      </c>
      <c r="AA1078" t="s">
        <v>4876</v>
      </c>
      <c r="AB1078" t="s">
        <v>7023</v>
      </c>
      <c r="AE1078">
        <v>-36.79836753</v>
      </c>
      <c r="AF1078">
        <v>174.74356011</v>
      </c>
      <c r="AG1078">
        <v>62</v>
      </c>
      <c r="AH1078">
        <v>12</v>
      </c>
      <c r="AI1078">
        <v>0</v>
      </c>
      <c r="AJ1078">
        <v>9</v>
      </c>
      <c r="AK1078">
        <v>21</v>
      </c>
      <c r="AL1078">
        <v>19</v>
      </c>
      <c r="AM1078">
        <v>8</v>
      </c>
      <c r="AN1078">
        <v>0</v>
      </c>
      <c r="AO1078">
        <v>57</v>
      </c>
      <c r="AP1078">
        <v>24</v>
      </c>
      <c r="AQ1078">
        <v>3</v>
      </c>
      <c r="AR1078">
        <v>3</v>
      </c>
      <c r="AS1078">
        <v>33</v>
      </c>
      <c r="AT1078">
        <v>3</v>
      </c>
    </row>
    <row r="1079" spans="1:46">
      <c r="A1079">
        <v>20574</v>
      </c>
      <c r="B1079" t="s">
        <v>7028</v>
      </c>
      <c r="C1079" t="s">
        <v>7029</v>
      </c>
      <c r="D1079" t="s">
        <v>7030</v>
      </c>
      <c r="E1079" t="s">
        <v>7031</v>
      </c>
      <c r="F1079" t="s">
        <v>717</v>
      </c>
      <c r="G1079" t="s">
        <v>652</v>
      </c>
      <c r="H1079" t="s">
        <v>3942</v>
      </c>
      <c r="J1079" t="s">
        <v>518</v>
      </c>
      <c r="K1079" t="s">
        <v>519</v>
      </c>
      <c r="M1079" t="s">
        <v>520</v>
      </c>
      <c r="N1079" t="s">
        <v>571</v>
      </c>
      <c r="O1079" t="s">
        <v>718</v>
      </c>
      <c r="P1079" t="s">
        <v>654</v>
      </c>
      <c r="Q1079" t="s">
        <v>638</v>
      </c>
      <c r="R1079" t="s">
        <v>708</v>
      </c>
      <c r="S1079" t="s">
        <v>719</v>
      </c>
      <c r="T1079" t="s">
        <v>709</v>
      </c>
      <c r="U1079">
        <v>132001</v>
      </c>
      <c r="V1079" t="s">
        <v>720</v>
      </c>
      <c r="W1079" t="s">
        <v>721</v>
      </c>
      <c r="X1079" t="s">
        <v>7032</v>
      </c>
      <c r="Y1079" t="s">
        <v>7033</v>
      </c>
      <c r="Z1079" t="s">
        <v>717</v>
      </c>
      <c r="AA1079" t="s">
        <v>7034</v>
      </c>
      <c r="AB1079" t="s">
        <v>7035</v>
      </c>
      <c r="AE1079">
        <v>-36.891547490000001</v>
      </c>
      <c r="AF1079">
        <v>174.69113919</v>
      </c>
      <c r="AG1079">
        <v>33</v>
      </c>
      <c r="AH1079">
        <v>9</v>
      </c>
      <c r="AI1079">
        <v>2</v>
      </c>
      <c r="AJ1079">
        <v>4</v>
      </c>
      <c r="AK1079">
        <v>7</v>
      </c>
      <c r="AL1079">
        <v>8</v>
      </c>
      <c r="AM1079">
        <v>4</v>
      </c>
      <c r="AN1079">
        <v>0</v>
      </c>
      <c r="AO1079">
        <v>25</v>
      </c>
      <c r="AP1079">
        <v>17</v>
      </c>
      <c r="AQ1079">
        <v>2</v>
      </c>
      <c r="AR1079">
        <v>5</v>
      </c>
      <c r="AS1079">
        <v>8</v>
      </c>
      <c r="AT1079">
        <v>0</v>
      </c>
    </row>
    <row r="1080" spans="1:46">
      <c r="A1080">
        <v>20575</v>
      </c>
      <c r="B1080" t="s">
        <v>7036</v>
      </c>
      <c r="C1080" t="s">
        <v>7037</v>
      </c>
      <c r="D1080" t="s">
        <v>7038</v>
      </c>
      <c r="E1080" t="s">
        <v>7039</v>
      </c>
      <c r="F1080" t="s">
        <v>828</v>
      </c>
      <c r="G1080" t="s">
        <v>652</v>
      </c>
      <c r="H1080" t="s">
        <v>3942</v>
      </c>
      <c r="J1080" t="s">
        <v>518</v>
      </c>
      <c r="K1080" t="s">
        <v>519</v>
      </c>
      <c r="M1080" t="s">
        <v>520</v>
      </c>
      <c r="N1080" t="s">
        <v>571</v>
      </c>
      <c r="O1080" t="s">
        <v>829</v>
      </c>
      <c r="P1080" t="s">
        <v>654</v>
      </c>
      <c r="Q1080" t="s">
        <v>638</v>
      </c>
      <c r="R1080" t="s">
        <v>708</v>
      </c>
      <c r="S1080" t="s">
        <v>805</v>
      </c>
      <c r="T1080" t="s">
        <v>709</v>
      </c>
      <c r="U1080">
        <v>145000</v>
      </c>
      <c r="V1080" t="s">
        <v>830</v>
      </c>
      <c r="W1080" t="s">
        <v>807</v>
      </c>
      <c r="X1080" t="s">
        <v>3943</v>
      </c>
      <c r="Y1080" t="s">
        <v>3944</v>
      </c>
      <c r="Z1080" t="s">
        <v>3945</v>
      </c>
      <c r="AA1080" t="s">
        <v>3946</v>
      </c>
      <c r="AB1080" t="s">
        <v>3947</v>
      </c>
      <c r="AC1080">
        <v>99190</v>
      </c>
      <c r="AD1080" t="s">
        <v>831</v>
      </c>
      <c r="AE1080">
        <v>-36.916544250000001</v>
      </c>
      <c r="AF1080">
        <v>174.78961396</v>
      </c>
      <c r="AG1080">
        <v>80</v>
      </c>
      <c r="AH1080">
        <v>20</v>
      </c>
      <c r="AI1080">
        <v>2</v>
      </c>
      <c r="AJ1080">
        <v>12</v>
      </c>
      <c r="AK1080">
        <v>20</v>
      </c>
      <c r="AL1080">
        <v>24</v>
      </c>
      <c r="AM1080">
        <v>17</v>
      </c>
      <c r="AN1080">
        <v>1</v>
      </c>
      <c r="AO1080">
        <v>76</v>
      </c>
      <c r="AP1080">
        <v>21</v>
      </c>
      <c r="AQ1080">
        <v>19</v>
      </c>
      <c r="AR1080">
        <v>26</v>
      </c>
      <c r="AS1080">
        <v>28</v>
      </c>
      <c r="AT1080">
        <v>15</v>
      </c>
    </row>
    <row r="1081" spans="1:46">
      <c r="A1081">
        <v>20577</v>
      </c>
      <c r="B1081" t="s">
        <v>7040</v>
      </c>
      <c r="C1081" t="s">
        <v>7041</v>
      </c>
      <c r="D1081" t="s">
        <v>7042</v>
      </c>
      <c r="E1081" t="s">
        <v>7043</v>
      </c>
      <c r="F1081" t="s">
        <v>770</v>
      </c>
      <c r="G1081" t="s">
        <v>652</v>
      </c>
      <c r="H1081" t="s">
        <v>3942</v>
      </c>
      <c r="J1081" t="s">
        <v>3962</v>
      </c>
      <c r="K1081" t="s">
        <v>519</v>
      </c>
      <c r="M1081" t="s">
        <v>520</v>
      </c>
      <c r="N1081" t="s">
        <v>571</v>
      </c>
      <c r="O1081" t="s">
        <v>718</v>
      </c>
      <c r="P1081" t="s">
        <v>654</v>
      </c>
      <c r="Q1081" t="s">
        <v>638</v>
      </c>
      <c r="R1081" t="s">
        <v>639</v>
      </c>
      <c r="S1081" t="s">
        <v>770</v>
      </c>
      <c r="T1081" t="s">
        <v>709</v>
      </c>
      <c r="U1081">
        <v>136502</v>
      </c>
      <c r="V1081" t="s">
        <v>7044</v>
      </c>
      <c r="W1081" t="s">
        <v>721</v>
      </c>
      <c r="X1081" t="s">
        <v>7045</v>
      </c>
      <c r="Y1081" t="s">
        <v>7046</v>
      </c>
      <c r="Z1081" t="s">
        <v>911</v>
      </c>
      <c r="AA1081" t="s">
        <v>7047</v>
      </c>
      <c r="AB1081" t="s">
        <v>7041</v>
      </c>
      <c r="AE1081">
        <v>-36.923430400000001</v>
      </c>
      <c r="AF1081">
        <v>174.68456165000001</v>
      </c>
      <c r="AG1081">
        <v>28</v>
      </c>
      <c r="AH1081">
        <v>0</v>
      </c>
      <c r="AI1081">
        <v>0</v>
      </c>
      <c r="AJ1081">
        <v>0</v>
      </c>
      <c r="AK1081">
        <v>8</v>
      </c>
      <c r="AL1081">
        <v>11</v>
      </c>
      <c r="AM1081">
        <v>9</v>
      </c>
      <c r="AN1081">
        <v>1</v>
      </c>
      <c r="AO1081">
        <v>29</v>
      </c>
      <c r="AP1081">
        <v>13</v>
      </c>
      <c r="AQ1081">
        <v>5</v>
      </c>
      <c r="AR1081">
        <v>2</v>
      </c>
      <c r="AS1081">
        <v>13</v>
      </c>
      <c r="AT1081">
        <v>1</v>
      </c>
    </row>
    <row r="1082" spans="1:46">
      <c r="A1082">
        <v>20578</v>
      </c>
      <c r="B1082" t="s">
        <v>7048</v>
      </c>
      <c r="C1082" t="s">
        <v>7049</v>
      </c>
      <c r="E1082" t="s">
        <v>7050</v>
      </c>
      <c r="F1082" t="s">
        <v>898</v>
      </c>
      <c r="G1082" t="s">
        <v>652</v>
      </c>
      <c r="H1082" t="s">
        <v>343</v>
      </c>
      <c r="J1082" t="s">
        <v>518</v>
      </c>
      <c r="K1082" t="s">
        <v>519</v>
      </c>
      <c r="L1082" t="s">
        <v>4205</v>
      </c>
      <c r="M1082" t="s">
        <v>520</v>
      </c>
      <c r="N1082" t="s">
        <v>539</v>
      </c>
      <c r="O1082" t="s">
        <v>813</v>
      </c>
      <c r="P1082" t="s">
        <v>654</v>
      </c>
      <c r="Q1082" t="s">
        <v>638</v>
      </c>
      <c r="R1082" t="s">
        <v>639</v>
      </c>
      <c r="S1082" t="s">
        <v>899</v>
      </c>
      <c r="T1082" t="s">
        <v>527</v>
      </c>
      <c r="U1082">
        <v>124900</v>
      </c>
      <c r="V1082" t="s">
        <v>1120</v>
      </c>
      <c r="W1082" t="s">
        <v>815</v>
      </c>
      <c r="X1082" t="s">
        <v>6607</v>
      </c>
      <c r="Y1082" t="s">
        <v>4208</v>
      </c>
      <c r="Z1082" t="s">
        <v>4209</v>
      </c>
      <c r="AA1082" t="s">
        <v>4210</v>
      </c>
      <c r="AB1082" t="s">
        <v>6608</v>
      </c>
      <c r="AE1082">
        <v>-36.861251420000002</v>
      </c>
      <c r="AF1082">
        <v>174.62634679999999</v>
      </c>
      <c r="AG1082">
        <v>22</v>
      </c>
      <c r="AH1082">
        <v>4</v>
      </c>
      <c r="AI1082">
        <v>0</v>
      </c>
      <c r="AJ1082">
        <v>4</v>
      </c>
      <c r="AK1082">
        <v>2</v>
      </c>
      <c r="AL1082">
        <v>5</v>
      </c>
      <c r="AM1082">
        <v>4</v>
      </c>
      <c r="AN1082">
        <v>0</v>
      </c>
      <c r="AO1082">
        <v>15</v>
      </c>
      <c r="AP1082">
        <v>0</v>
      </c>
      <c r="AQ1082">
        <v>12</v>
      </c>
      <c r="AR1082">
        <v>3</v>
      </c>
      <c r="AS1082">
        <v>0</v>
      </c>
      <c r="AT1082">
        <v>0</v>
      </c>
    </row>
    <row r="1083" spans="1:46">
      <c r="A1083">
        <v>20579</v>
      </c>
      <c r="B1083" t="s">
        <v>7051</v>
      </c>
      <c r="C1083" t="s">
        <v>7052</v>
      </c>
      <c r="E1083" t="s">
        <v>7053</v>
      </c>
      <c r="F1083" t="s">
        <v>812</v>
      </c>
      <c r="G1083" t="s">
        <v>652</v>
      </c>
      <c r="H1083" t="s">
        <v>343</v>
      </c>
      <c r="J1083" t="s">
        <v>518</v>
      </c>
      <c r="K1083" t="s">
        <v>519</v>
      </c>
      <c r="L1083" t="s">
        <v>4205</v>
      </c>
      <c r="M1083" t="s">
        <v>520</v>
      </c>
      <c r="N1083" t="s">
        <v>539</v>
      </c>
      <c r="O1083" t="s">
        <v>813</v>
      </c>
      <c r="P1083" t="s">
        <v>654</v>
      </c>
      <c r="Q1083" t="s">
        <v>638</v>
      </c>
      <c r="R1083" t="s">
        <v>639</v>
      </c>
      <c r="S1083" t="s">
        <v>640</v>
      </c>
      <c r="T1083" t="s">
        <v>527</v>
      </c>
      <c r="U1083">
        <v>119600</v>
      </c>
      <c r="V1083" t="s">
        <v>4834</v>
      </c>
      <c r="W1083" t="s">
        <v>815</v>
      </c>
      <c r="X1083" t="s">
        <v>6607</v>
      </c>
      <c r="Y1083" t="s">
        <v>4208</v>
      </c>
      <c r="Z1083" t="s">
        <v>4209</v>
      </c>
      <c r="AA1083" t="s">
        <v>4210</v>
      </c>
      <c r="AB1083" t="s">
        <v>6608</v>
      </c>
      <c r="AE1083">
        <v>-36.82951697</v>
      </c>
      <c r="AF1083">
        <v>174.61003024999999</v>
      </c>
      <c r="AG1083">
        <v>50</v>
      </c>
      <c r="AH1083">
        <v>15</v>
      </c>
      <c r="AI1083">
        <v>3</v>
      </c>
      <c r="AJ1083">
        <v>9</v>
      </c>
      <c r="AK1083">
        <v>10</v>
      </c>
      <c r="AL1083">
        <v>10</v>
      </c>
      <c r="AM1083">
        <v>5</v>
      </c>
      <c r="AN1083">
        <v>0</v>
      </c>
      <c r="AO1083">
        <v>37</v>
      </c>
      <c r="AP1083">
        <v>0</v>
      </c>
      <c r="AQ1083">
        <v>35</v>
      </c>
      <c r="AR1083">
        <v>0</v>
      </c>
      <c r="AS1083">
        <v>0</v>
      </c>
      <c r="AT1083">
        <v>2</v>
      </c>
    </row>
    <row r="1084" spans="1:46">
      <c r="A1084">
        <v>20581</v>
      </c>
      <c r="B1084" t="s">
        <v>7054</v>
      </c>
      <c r="C1084" t="s">
        <v>7055</v>
      </c>
      <c r="D1084" t="s">
        <v>7056</v>
      </c>
      <c r="E1084" t="s">
        <v>7057</v>
      </c>
      <c r="F1084" t="s">
        <v>4428</v>
      </c>
      <c r="G1084" t="s">
        <v>652</v>
      </c>
      <c r="H1084" t="s">
        <v>3942</v>
      </c>
      <c r="I1084" t="s">
        <v>4065</v>
      </c>
      <c r="J1084" t="s">
        <v>3962</v>
      </c>
      <c r="K1084" t="s">
        <v>519</v>
      </c>
      <c r="M1084" t="s">
        <v>520</v>
      </c>
      <c r="N1084" t="s">
        <v>4519</v>
      </c>
      <c r="O1084" t="s">
        <v>804</v>
      </c>
      <c r="P1084" t="s">
        <v>654</v>
      </c>
      <c r="Q1084" t="s">
        <v>638</v>
      </c>
      <c r="R1084" t="s">
        <v>708</v>
      </c>
      <c r="S1084" t="s">
        <v>880</v>
      </c>
      <c r="T1084" t="s">
        <v>709</v>
      </c>
      <c r="U1084">
        <v>145101</v>
      </c>
      <c r="V1084" t="s">
        <v>1141</v>
      </c>
      <c r="W1084" t="s">
        <v>824</v>
      </c>
      <c r="X1084" t="s">
        <v>7058</v>
      </c>
      <c r="Y1084" t="s">
        <v>7059</v>
      </c>
      <c r="Z1084" t="s">
        <v>6161</v>
      </c>
      <c r="AA1084" t="s">
        <v>6162</v>
      </c>
      <c r="AE1084">
        <v>-36.865729700000003</v>
      </c>
      <c r="AF1084">
        <v>174.86063200000001</v>
      </c>
      <c r="AG1084">
        <v>45</v>
      </c>
      <c r="AH1084">
        <v>0</v>
      </c>
      <c r="AI1084">
        <v>0</v>
      </c>
      <c r="AJ1084">
        <v>0</v>
      </c>
      <c r="AK1084">
        <v>6</v>
      </c>
      <c r="AL1084">
        <v>5</v>
      </c>
      <c r="AM1084">
        <v>16</v>
      </c>
      <c r="AN1084">
        <v>2</v>
      </c>
      <c r="AO1084">
        <v>29</v>
      </c>
      <c r="AP1084">
        <v>13</v>
      </c>
      <c r="AQ1084">
        <v>1</v>
      </c>
      <c r="AR1084">
        <v>0</v>
      </c>
      <c r="AS1084">
        <v>18</v>
      </c>
      <c r="AT1084">
        <v>3</v>
      </c>
    </row>
    <row r="1085" spans="1:46">
      <c r="A1085">
        <v>20583</v>
      </c>
      <c r="B1085" t="s">
        <v>7060</v>
      </c>
      <c r="C1085" t="s">
        <v>7061</v>
      </c>
      <c r="D1085" t="s">
        <v>7062</v>
      </c>
      <c r="E1085" t="s">
        <v>7063</v>
      </c>
      <c r="F1085" t="s">
        <v>4921</v>
      </c>
      <c r="G1085" t="s">
        <v>652</v>
      </c>
      <c r="H1085" t="s">
        <v>3942</v>
      </c>
      <c r="J1085" t="s">
        <v>518</v>
      </c>
      <c r="K1085" t="s">
        <v>519</v>
      </c>
      <c r="L1085" t="s">
        <v>4205</v>
      </c>
      <c r="M1085" t="s">
        <v>520</v>
      </c>
      <c r="N1085" t="s">
        <v>571</v>
      </c>
      <c r="O1085" t="s">
        <v>957</v>
      </c>
      <c r="P1085" t="s">
        <v>654</v>
      </c>
      <c r="Q1085" t="s">
        <v>638</v>
      </c>
      <c r="R1085" t="s">
        <v>708</v>
      </c>
      <c r="S1085" t="s">
        <v>958</v>
      </c>
      <c r="T1085" t="s">
        <v>709</v>
      </c>
      <c r="U1085">
        <v>134800</v>
      </c>
      <c r="V1085" t="s">
        <v>5726</v>
      </c>
      <c r="W1085" t="s">
        <v>959</v>
      </c>
      <c r="X1085" t="s">
        <v>5727</v>
      </c>
      <c r="Y1085" t="s">
        <v>4208</v>
      </c>
      <c r="Z1085" t="s">
        <v>4209</v>
      </c>
      <c r="AA1085" t="s">
        <v>4210</v>
      </c>
      <c r="AE1085">
        <v>-36.851998209999998</v>
      </c>
      <c r="AF1085">
        <v>174.77297028000001</v>
      </c>
      <c r="AG1085">
        <v>25</v>
      </c>
      <c r="AH1085">
        <v>8</v>
      </c>
      <c r="AI1085">
        <v>0</v>
      </c>
      <c r="AJ1085">
        <v>1</v>
      </c>
      <c r="AK1085">
        <v>7</v>
      </c>
      <c r="AL1085">
        <v>11</v>
      </c>
      <c r="AM1085">
        <v>5</v>
      </c>
      <c r="AN1085">
        <v>0</v>
      </c>
      <c r="AO1085">
        <v>24</v>
      </c>
      <c r="AP1085">
        <v>0</v>
      </c>
      <c r="AQ1085">
        <v>22</v>
      </c>
      <c r="AR1085">
        <v>0</v>
      </c>
      <c r="AS1085">
        <v>0</v>
      </c>
      <c r="AT1085">
        <v>2</v>
      </c>
    </row>
    <row r="1086" spans="1:46">
      <c r="A1086">
        <v>20584</v>
      </c>
      <c r="B1086" t="s">
        <v>7064</v>
      </c>
      <c r="C1086" t="s">
        <v>7065</v>
      </c>
      <c r="D1086" t="s">
        <v>7066</v>
      </c>
      <c r="E1086" t="s">
        <v>7067</v>
      </c>
      <c r="F1086" t="s">
        <v>822</v>
      </c>
      <c r="G1086" t="s">
        <v>652</v>
      </c>
      <c r="H1086" t="s">
        <v>3942</v>
      </c>
      <c r="J1086" t="s">
        <v>3962</v>
      </c>
      <c r="K1086" t="s">
        <v>519</v>
      </c>
      <c r="M1086" t="s">
        <v>520</v>
      </c>
      <c r="N1086" t="s">
        <v>571</v>
      </c>
      <c r="O1086" t="s">
        <v>857</v>
      </c>
      <c r="P1086" t="s">
        <v>654</v>
      </c>
      <c r="Q1086" t="s">
        <v>638</v>
      </c>
      <c r="R1086" t="s">
        <v>708</v>
      </c>
      <c r="S1086" t="s">
        <v>822</v>
      </c>
      <c r="T1086" t="s">
        <v>709</v>
      </c>
      <c r="U1086">
        <v>140300</v>
      </c>
      <c r="V1086" t="s">
        <v>4502</v>
      </c>
      <c r="W1086" t="s">
        <v>860</v>
      </c>
      <c r="X1086" t="s">
        <v>7068</v>
      </c>
      <c r="Y1086" t="s">
        <v>4068</v>
      </c>
      <c r="Z1086" t="s">
        <v>821</v>
      </c>
      <c r="AA1086" t="s">
        <v>4069</v>
      </c>
      <c r="AE1086">
        <v>-36.876938819999999</v>
      </c>
      <c r="AF1086">
        <v>174.78057577000001</v>
      </c>
      <c r="AG1086">
        <v>49</v>
      </c>
      <c r="AH1086">
        <v>15</v>
      </c>
      <c r="AI1086">
        <v>3</v>
      </c>
      <c r="AJ1086">
        <v>3</v>
      </c>
      <c r="AK1086">
        <v>4</v>
      </c>
      <c r="AL1086">
        <v>4</v>
      </c>
      <c r="AM1086">
        <v>6</v>
      </c>
      <c r="AN1086">
        <v>0</v>
      </c>
      <c r="AO1086">
        <v>20</v>
      </c>
      <c r="AP1086">
        <v>11</v>
      </c>
      <c r="AQ1086">
        <v>4</v>
      </c>
      <c r="AR1086">
        <v>4</v>
      </c>
      <c r="AS1086">
        <v>12</v>
      </c>
      <c r="AT1086">
        <v>0</v>
      </c>
    </row>
    <row r="1087" spans="1:46">
      <c r="A1087">
        <v>20585</v>
      </c>
      <c r="B1087" t="s">
        <v>7069</v>
      </c>
      <c r="C1087" t="s">
        <v>7070</v>
      </c>
      <c r="D1087" t="s">
        <v>7071</v>
      </c>
      <c r="E1087" t="s">
        <v>7072</v>
      </c>
      <c r="F1087" t="s">
        <v>660</v>
      </c>
      <c r="G1087" t="s">
        <v>652</v>
      </c>
      <c r="H1087" t="s">
        <v>3942</v>
      </c>
      <c r="J1087" t="s">
        <v>3962</v>
      </c>
      <c r="K1087" t="s">
        <v>519</v>
      </c>
      <c r="M1087" t="s">
        <v>520</v>
      </c>
      <c r="N1087" t="s">
        <v>4519</v>
      </c>
      <c r="O1087" t="s">
        <v>653</v>
      </c>
      <c r="P1087" t="s">
        <v>654</v>
      </c>
      <c r="Q1087" t="s">
        <v>638</v>
      </c>
      <c r="R1087" t="s">
        <v>639</v>
      </c>
      <c r="S1087" t="s">
        <v>655</v>
      </c>
      <c r="T1087" t="s">
        <v>527</v>
      </c>
      <c r="U1087">
        <v>117900</v>
      </c>
      <c r="V1087" t="s">
        <v>7073</v>
      </c>
      <c r="W1087" t="s">
        <v>657</v>
      </c>
      <c r="X1087" t="s">
        <v>7074</v>
      </c>
      <c r="Y1087" t="s">
        <v>7075</v>
      </c>
      <c r="Z1087" t="s">
        <v>660</v>
      </c>
      <c r="AA1087" t="s">
        <v>6038</v>
      </c>
      <c r="AB1087" t="s">
        <v>7070</v>
      </c>
      <c r="AC1087">
        <v>99121</v>
      </c>
      <c r="AD1087" t="s">
        <v>662</v>
      </c>
      <c r="AE1087">
        <v>-36.708444749999998</v>
      </c>
      <c r="AF1087">
        <v>174.74717647</v>
      </c>
      <c r="AG1087">
        <v>35</v>
      </c>
      <c r="AH1087">
        <v>8</v>
      </c>
      <c r="AI1087">
        <v>0</v>
      </c>
      <c r="AJ1087">
        <v>4</v>
      </c>
      <c r="AK1087">
        <v>5</v>
      </c>
      <c r="AL1087">
        <v>9</v>
      </c>
      <c r="AM1087">
        <v>12</v>
      </c>
      <c r="AN1087">
        <v>1</v>
      </c>
      <c r="AO1087">
        <v>31</v>
      </c>
      <c r="AP1087">
        <v>22</v>
      </c>
      <c r="AQ1087">
        <v>1</v>
      </c>
      <c r="AR1087">
        <v>2</v>
      </c>
      <c r="AS1087">
        <v>6</v>
      </c>
      <c r="AT1087">
        <v>4</v>
      </c>
    </row>
    <row r="1088" spans="1:46">
      <c r="A1088">
        <v>20586</v>
      </c>
      <c r="B1088" t="s">
        <v>7076</v>
      </c>
      <c r="C1088" t="s">
        <v>7077</v>
      </c>
      <c r="D1088" t="s">
        <v>7078</v>
      </c>
      <c r="E1088" t="s">
        <v>7079</v>
      </c>
      <c r="F1088" t="s">
        <v>898</v>
      </c>
      <c r="G1088" t="s">
        <v>652</v>
      </c>
      <c r="H1088" t="s">
        <v>3942</v>
      </c>
      <c r="J1088" t="s">
        <v>3962</v>
      </c>
      <c r="K1088" t="s">
        <v>519</v>
      </c>
      <c r="M1088" t="s">
        <v>520</v>
      </c>
      <c r="N1088" t="s">
        <v>571</v>
      </c>
      <c r="O1088" t="s">
        <v>813</v>
      </c>
      <c r="P1088" t="s">
        <v>654</v>
      </c>
      <c r="Q1088" t="s">
        <v>638</v>
      </c>
      <c r="R1088" t="s">
        <v>639</v>
      </c>
      <c r="S1088" t="s">
        <v>899</v>
      </c>
      <c r="T1088" t="s">
        <v>709</v>
      </c>
      <c r="U1088">
        <v>127900</v>
      </c>
      <c r="V1088" t="s">
        <v>7080</v>
      </c>
      <c r="W1088" t="s">
        <v>815</v>
      </c>
      <c r="X1088" t="s">
        <v>7081</v>
      </c>
      <c r="Y1088" t="s">
        <v>7082</v>
      </c>
      <c r="Z1088" t="s">
        <v>1157</v>
      </c>
      <c r="AA1088" t="s">
        <v>4382</v>
      </c>
      <c r="AB1088" t="s">
        <v>7077</v>
      </c>
      <c r="AE1088">
        <v>-36.872371029999996</v>
      </c>
      <c r="AF1088">
        <v>174.63849615999999</v>
      </c>
      <c r="AG1088">
        <v>38</v>
      </c>
      <c r="AH1088">
        <v>14</v>
      </c>
      <c r="AI1088">
        <v>3</v>
      </c>
      <c r="AJ1088">
        <v>7</v>
      </c>
      <c r="AK1088">
        <v>8</v>
      </c>
      <c r="AL1088">
        <v>13</v>
      </c>
      <c r="AM1088">
        <v>5</v>
      </c>
      <c r="AN1088">
        <v>1</v>
      </c>
      <c r="AO1088">
        <v>37</v>
      </c>
      <c r="AP1088">
        <v>18</v>
      </c>
      <c r="AQ1088">
        <v>7</v>
      </c>
      <c r="AR1088">
        <v>2</v>
      </c>
      <c r="AS1088">
        <v>15</v>
      </c>
      <c r="AT1088">
        <v>5</v>
      </c>
    </row>
    <row r="1089" spans="1:46">
      <c r="A1089">
        <v>20589</v>
      </c>
      <c r="B1089" t="s">
        <v>7083</v>
      </c>
      <c r="C1089" t="s">
        <v>7084</v>
      </c>
      <c r="D1089" t="s">
        <v>7085</v>
      </c>
      <c r="E1089" t="s">
        <v>7086</v>
      </c>
      <c r="F1089" t="s">
        <v>898</v>
      </c>
      <c r="G1089" t="s">
        <v>652</v>
      </c>
      <c r="H1089" t="s">
        <v>3942</v>
      </c>
      <c r="J1089" t="s">
        <v>3962</v>
      </c>
      <c r="K1089" t="s">
        <v>519</v>
      </c>
      <c r="M1089" t="s">
        <v>520</v>
      </c>
      <c r="N1089" t="s">
        <v>571</v>
      </c>
      <c r="O1089" t="s">
        <v>813</v>
      </c>
      <c r="P1089" t="s">
        <v>654</v>
      </c>
      <c r="Q1089" t="s">
        <v>638</v>
      </c>
      <c r="R1089" t="s">
        <v>639</v>
      </c>
      <c r="S1089" t="s">
        <v>899</v>
      </c>
      <c r="T1089" t="s">
        <v>709</v>
      </c>
      <c r="U1089">
        <v>127900</v>
      </c>
      <c r="V1089" t="s">
        <v>7080</v>
      </c>
      <c r="W1089" t="s">
        <v>815</v>
      </c>
      <c r="X1089" t="s">
        <v>7087</v>
      </c>
      <c r="Y1089" t="s">
        <v>4658</v>
      </c>
      <c r="Z1089" t="s">
        <v>958</v>
      </c>
      <c r="AA1089" t="s">
        <v>4659</v>
      </c>
      <c r="AB1089" t="s">
        <v>7088</v>
      </c>
      <c r="AE1089">
        <v>-36.882779720000002</v>
      </c>
      <c r="AF1089">
        <v>174.64285877</v>
      </c>
      <c r="AG1089">
        <v>59</v>
      </c>
      <c r="AH1089">
        <v>9</v>
      </c>
      <c r="AI1089">
        <v>2</v>
      </c>
      <c r="AJ1089">
        <v>6</v>
      </c>
      <c r="AK1089">
        <v>11</v>
      </c>
      <c r="AL1089">
        <v>15</v>
      </c>
      <c r="AM1089">
        <v>9</v>
      </c>
      <c r="AN1089">
        <v>1</v>
      </c>
      <c r="AO1089">
        <v>44</v>
      </c>
      <c r="AP1089">
        <v>22</v>
      </c>
      <c r="AQ1089">
        <v>6</v>
      </c>
      <c r="AR1089">
        <v>8</v>
      </c>
      <c r="AS1089">
        <v>13</v>
      </c>
      <c r="AT1089">
        <v>5</v>
      </c>
    </row>
    <row r="1090" spans="1:46">
      <c r="A1090">
        <v>22002</v>
      </c>
      <c r="B1090" t="s">
        <v>7089</v>
      </c>
      <c r="C1090" t="s">
        <v>7090</v>
      </c>
      <c r="D1090" t="s">
        <v>7091</v>
      </c>
      <c r="E1090" t="s">
        <v>7092</v>
      </c>
      <c r="F1090" t="s">
        <v>4466</v>
      </c>
      <c r="G1090" t="s">
        <v>652</v>
      </c>
      <c r="H1090" t="s">
        <v>298</v>
      </c>
      <c r="J1090" t="s">
        <v>518</v>
      </c>
      <c r="K1090" t="s">
        <v>519</v>
      </c>
      <c r="M1090" t="s">
        <v>520</v>
      </c>
      <c r="N1090" t="s">
        <v>571</v>
      </c>
      <c r="O1090" t="s">
        <v>718</v>
      </c>
      <c r="P1090" t="s">
        <v>654</v>
      </c>
      <c r="Q1090" t="s">
        <v>638</v>
      </c>
      <c r="R1090" t="s">
        <v>639</v>
      </c>
      <c r="S1090" t="s">
        <v>719</v>
      </c>
      <c r="T1090" t="s">
        <v>709</v>
      </c>
      <c r="U1090">
        <v>129501</v>
      </c>
      <c r="V1090" t="s">
        <v>7093</v>
      </c>
      <c r="W1090" t="s">
        <v>721</v>
      </c>
      <c r="X1090" t="s">
        <v>7094</v>
      </c>
      <c r="Y1090" t="s">
        <v>5187</v>
      </c>
      <c r="AA1090" t="s">
        <v>5188</v>
      </c>
      <c r="AE1090">
        <v>-36.894011030000001</v>
      </c>
      <c r="AF1090">
        <v>174.65494677000001</v>
      </c>
      <c r="AG1090">
        <v>30</v>
      </c>
      <c r="AH1090">
        <v>15</v>
      </c>
      <c r="AI1090">
        <v>2</v>
      </c>
      <c r="AJ1090">
        <v>5</v>
      </c>
      <c r="AK1090">
        <v>8</v>
      </c>
      <c r="AL1090">
        <v>6</v>
      </c>
      <c r="AM1090">
        <v>2</v>
      </c>
      <c r="AN1090">
        <v>0</v>
      </c>
      <c r="AO1090">
        <v>23</v>
      </c>
      <c r="AP1090">
        <v>17</v>
      </c>
      <c r="AQ1090">
        <v>5</v>
      </c>
      <c r="AR1090">
        <v>2</v>
      </c>
      <c r="AS1090">
        <v>3</v>
      </c>
      <c r="AT1090">
        <v>2</v>
      </c>
    </row>
    <row r="1091" spans="1:46">
      <c r="A1091">
        <v>22003</v>
      </c>
      <c r="B1091" t="s">
        <v>7095</v>
      </c>
      <c r="C1091" t="s">
        <v>7096</v>
      </c>
      <c r="D1091" t="s">
        <v>7091</v>
      </c>
      <c r="E1091" t="s">
        <v>7097</v>
      </c>
      <c r="F1091" t="s">
        <v>872</v>
      </c>
      <c r="G1091" t="s">
        <v>652</v>
      </c>
      <c r="H1091" t="s">
        <v>298</v>
      </c>
      <c r="J1091" t="s">
        <v>518</v>
      </c>
      <c r="K1091" t="s">
        <v>519</v>
      </c>
      <c r="M1091" t="s">
        <v>520</v>
      </c>
      <c r="N1091" t="s">
        <v>571</v>
      </c>
      <c r="O1091" t="s">
        <v>873</v>
      </c>
      <c r="P1091" t="s">
        <v>654</v>
      </c>
      <c r="Q1091" t="s">
        <v>638</v>
      </c>
      <c r="R1091" t="s">
        <v>639</v>
      </c>
      <c r="S1091" t="s">
        <v>719</v>
      </c>
      <c r="T1091" t="s">
        <v>709</v>
      </c>
      <c r="U1091">
        <v>130901</v>
      </c>
      <c r="V1091" t="s">
        <v>1125</v>
      </c>
      <c r="W1091" t="s">
        <v>815</v>
      </c>
      <c r="X1091" t="s">
        <v>7094</v>
      </c>
      <c r="Y1091" t="s">
        <v>5187</v>
      </c>
      <c r="AA1091" t="s">
        <v>5188</v>
      </c>
      <c r="AE1091">
        <v>-36.915724969999999</v>
      </c>
      <c r="AF1091">
        <v>174.64762787000001</v>
      </c>
      <c r="AG1091">
        <v>30</v>
      </c>
      <c r="AH1091">
        <v>20</v>
      </c>
      <c r="AI1091">
        <v>18</v>
      </c>
      <c r="AJ1091">
        <v>7</v>
      </c>
      <c r="AK1091">
        <v>8</v>
      </c>
      <c r="AL1091">
        <v>9</v>
      </c>
      <c r="AM1091">
        <v>6</v>
      </c>
      <c r="AN1091">
        <v>1</v>
      </c>
      <c r="AO1091">
        <v>49</v>
      </c>
      <c r="AP1091">
        <v>44</v>
      </c>
      <c r="AQ1091">
        <v>4</v>
      </c>
      <c r="AR1091">
        <v>3</v>
      </c>
      <c r="AS1091">
        <v>2</v>
      </c>
      <c r="AT1091">
        <v>5</v>
      </c>
    </row>
    <row r="1092" spans="1:46">
      <c r="A1092">
        <v>22004</v>
      </c>
      <c r="B1092" t="s">
        <v>7098</v>
      </c>
      <c r="C1092" t="s">
        <v>7099</v>
      </c>
      <c r="D1092" t="s">
        <v>7100</v>
      </c>
      <c r="E1092" t="s">
        <v>7101</v>
      </c>
      <c r="G1092" t="s">
        <v>4188</v>
      </c>
      <c r="H1092" t="s">
        <v>298</v>
      </c>
      <c r="J1092" t="s">
        <v>518</v>
      </c>
      <c r="K1092" t="s">
        <v>519</v>
      </c>
      <c r="M1092" t="s">
        <v>520</v>
      </c>
      <c r="N1092" t="s">
        <v>571</v>
      </c>
      <c r="O1092" t="s">
        <v>637</v>
      </c>
      <c r="P1092" t="s">
        <v>523</v>
      </c>
      <c r="Q1092" t="s">
        <v>638</v>
      </c>
      <c r="R1092" t="s">
        <v>639</v>
      </c>
      <c r="S1092" t="s">
        <v>640</v>
      </c>
      <c r="T1092" t="s">
        <v>527</v>
      </c>
      <c r="U1092">
        <v>112401</v>
      </c>
      <c r="V1092" t="s">
        <v>4188</v>
      </c>
      <c r="W1092" t="s">
        <v>641</v>
      </c>
      <c r="X1092" t="s">
        <v>7094</v>
      </c>
      <c r="Y1092" t="s">
        <v>5187</v>
      </c>
      <c r="AA1092" t="s">
        <v>5188</v>
      </c>
      <c r="AE1092">
        <v>-36.67143738</v>
      </c>
      <c r="AF1092">
        <v>174.45235212</v>
      </c>
      <c r="AG1092">
        <v>30</v>
      </c>
      <c r="AH1092">
        <v>20</v>
      </c>
      <c r="AI1092">
        <v>7</v>
      </c>
      <c r="AJ1092">
        <v>2</v>
      </c>
      <c r="AK1092">
        <v>1</v>
      </c>
      <c r="AL1092">
        <v>0</v>
      </c>
      <c r="AM1092">
        <v>3</v>
      </c>
      <c r="AN1092">
        <v>0</v>
      </c>
      <c r="AO1092">
        <v>13</v>
      </c>
      <c r="AP1092">
        <v>13</v>
      </c>
      <c r="AQ1092">
        <v>1</v>
      </c>
      <c r="AR1092">
        <v>1</v>
      </c>
      <c r="AS1092">
        <v>2</v>
      </c>
      <c r="AT1092">
        <v>0</v>
      </c>
    </row>
    <row r="1093" spans="1:46">
      <c r="A1093">
        <v>22006</v>
      </c>
      <c r="B1093" t="s">
        <v>7102</v>
      </c>
      <c r="C1093" t="s">
        <v>7103</v>
      </c>
      <c r="D1093" t="s">
        <v>7091</v>
      </c>
      <c r="E1093" t="s">
        <v>7104</v>
      </c>
      <c r="F1093" t="s">
        <v>898</v>
      </c>
      <c r="G1093" t="s">
        <v>652</v>
      </c>
      <c r="H1093" t="s">
        <v>298</v>
      </c>
      <c r="J1093" t="s">
        <v>518</v>
      </c>
      <c r="K1093" t="s">
        <v>519</v>
      </c>
      <c r="M1093" t="s">
        <v>520</v>
      </c>
      <c r="N1093" t="s">
        <v>539</v>
      </c>
      <c r="O1093" t="s">
        <v>813</v>
      </c>
      <c r="P1093" t="s">
        <v>654</v>
      </c>
      <c r="Q1093" t="s">
        <v>638</v>
      </c>
      <c r="R1093" t="s">
        <v>639</v>
      </c>
      <c r="S1093" t="s">
        <v>719</v>
      </c>
      <c r="T1093" t="s">
        <v>527</v>
      </c>
      <c r="U1093">
        <v>128301</v>
      </c>
      <c r="V1093" t="s">
        <v>7105</v>
      </c>
      <c r="W1093" t="s">
        <v>815</v>
      </c>
      <c r="X1093" t="s">
        <v>7094</v>
      </c>
      <c r="Y1093" t="s">
        <v>5187</v>
      </c>
      <c r="AA1093" t="s">
        <v>5188</v>
      </c>
      <c r="AE1093">
        <v>-36.898426180000001</v>
      </c>
      <c r="AF1093">
        <v>174.62114417999999</v>
      </c>
      <c r="AG1093">
        <v>30</v>
      </c>
      <c r="AH1093">
        <v>20</v>
      </c>
      <c r="AI1093">
        <v>5</v>
      </c>
      <c r="AJ1093">
        <v>2</v>
      </c>
      <c r="AK1093">
        <v>8</v>
      </c>
      <c r="AL1093">
        <v>1</v>
      </c>
      <c r="AM1093">
        <v>0</v>
      </c>
      <c r="AN1093">
        <v>0</v>
      </c>
      <c r="AO1093">
        <v>16</v>
      </c>
      <c r="AP1093">
        <v>14</v>
      </c>
      <c r="AQ1093">
        <v>3</v>
      </c>
      <c r="AR1093">
        <v>2</v>
      </c>
      <c r="AS1093">
        <v>0</v>
      </c>
      <c r="AT1093">
        <v>1</v>
      </c>
    </row>
    <row r="1094" spans="1:46">
      <c r="A1094">
        <v>22008</v>
      </c>
      <c r="B1094" t="s">
        <v>7106</v>
      </c>
      <c r="C1094" t="s">
        <v>7107</v>
      </c>
      <c r="D1094" t="s">
        <v>7091</v>
      </c>
      <c r="E1094" t="s">
        <v>7108</v>
      </c>
      <c r="G1094" t="s">
        <v>4387</v>
      </c>
      <c r="H1094" t="s">
        <v>298</v>
      </c>
      <c r="J1094" t="s">
        <v>518</v>
      </c>
      <c r="K1094" t="s">
        <v>519</v>
      </c>
      <c r="M1094" t="s">
        <v>520</v>
      </c>
      <c r="N1094" t="s">
        <v>571</v>
      </c>
      <c r="O1094" t="s">
        <v>637</v>
      </c>
      <c r="P1094" t="s">
        <v>523</v>
      </c>
      <c r="Q1094" t="s">
        <v>638</v>
      </c>
      <c r="R1094" t="s">
        <v>639</v>
      </c>
      <c r="S1094" t="s">
        <v>640</v>
      </c>
      <c r="T1094" t="s">
        <v>527</v>
      </c>
      <c r="U1094">
        <v>115001</v>
      </c>
      <c r="V1094" t="s">
        <v>6664</v>
      </c>
      <c r="W1094" t="s">
        <v>641</v>
      </c>
      <c r="X1094" t="s">
        <v>7094</v>
      </c>
      <c r="Y1094" t="s">
        <v>5187</v>
      </c>
      <c r="AA1094" t="s">
        <v>5188</v>
      </c>
      <c r="AE1094">
        <v>-36.771074550000002</v>
      </c>
      <c r="AF1094">
        <v>174.54765732999999</v>
      </c>
      <c r="AG1094">
        <v>30</v>
      </c>
      <c r="AH1094">
        <v>20</v>
      </c>
      <c r="AI1094">
        <v>19</v>
      </c>
      <c r="AJ1094">
        <v>8</v>
      </c>
      <c r="AK1094">
        <v>7</v>
      </c>
      <c r="AL1094">
        <v>7</v>
      </c>
      <c r="AM1094">
        <v>4</v>
      </c>
      <c r="AN1094">
        <v>0</v>
      </c>
      <c r="AO1094">
        <v>45</v>
      </c>
      <c r="AP1094">
        <v>41</v>
      </c>
      <c r="AQ1094">
        <v>6</v>
      </c>
      <c r="AR1094">
        <v>6</v>
      </c>
      <c r="AS1094">
        <v>9</v>
      </c>
      <c r="AT1094">
        <v>1</v>
      </c>
    </row>
    <row r="1095" spans="1:46">
      <c r="A1095">
        <v>22009</v>
      </c>
      <c r="B1095" t="s">
        <v>7109</v>
      </c>
      <c r="C1095" t="s">
        <v>7110</v>
      </c>
      <c r="D1095" t="s">
        <v>7111</v>
      </c>
      <c r="E1095" t="s">
        <v>7112</v>
      </c>
      <c r="F1095" t="s">
        <v>812</v>
      </c>
      <c r="G1095" t="s">
        <v>652</v>
      </c>
      <c r="H1095" t="s">
        <v>298</v>
      </c>
      <c r="J1095" t="s">
        <v>518</v>
      </c>
      <c r="K1095" t="s">
        <v>519</v>
      </c>
      <c r="M1095" t="s">
        <v>520</v>
      </c>
      <c r="N1095" t="s">
        <v>557</v>
      </c>
      <c r="O1095" t="s">
        <v>813</v>
      </c>
      <c r="P1095" t="s">
        <v>654</v>
      </c>
      <c r="Q1095" t="s">
        <v>638</v>
      </c>
      <c r="R1095" t="s">
        <v>639</v>
      </c>
      <c r="S1095" t="s">
        <v>739</v>
      </c>
      <c r="T1095" t="s">
        <v>527</v>
      </c>
      <c r="U1095">
        <v>122501</v>
      </c>
      <c r="V1095" t="s">
        <v>4704</v>
      </c>
      <c r="W1095" t="s">
        <v>815</v>
      </c>
      <c r="X1095" t="s">
        <v>7094</v>
      </c>
      <c r="Y1095" t="s">
        <v>5187</v>
      </c>
      <c r="AA1095" t="s">
        <v>5188</v>
      </c>
      <c r="AE1095">
        <v>-36.84287088</v>
      </c>
      <c r="AF1095">
        <v>174.61294853000001</v>
      </c>
      <c r="AG1095">
        <v>30</v>
      </c>
      <c r="AH1095">
        <v>15</v>
      </c>
      <c r="AI1095">
        <v>24</v>
      </c>
      <c r="AJ1095">
        <v>6</v>
      </c>
      <c r="AK1095">
        <v>6</v>
      </c>
      <c r="AL1095">
        <v>4</v>
      </c>
      <c r="AM1095">
        <v>2</v>
      </c>
      <c r="AN1095">
        <v>0</v>
      </c>
      <c r="AO1095">
        <v>42</v>
      </c>
      <c r="AP1095">
        <v>34</v>
      </c>
      <c r="AQ1095">
        <v>4</v>
      </c>
      <c r="AR1095">
        <v>2</v>
      </c>
      <c r="AS1095">
        <v>6</v>
      </c>
      <c r="AT1095">
        <v>7</v>
      </c>
    </row>
    <row r="1096" spans="1:46">
      <c r="A1096">
        <v>22010</v>
      </c>
      <c r="B1096" t="s">
        <v>7113</v>
      </c>
      <c r="C1096" t="s">
        <v>7114</v>
      </c>
      <c r="D1096" t="s">
        <v>7091</v>
      </c>
      <c r="E1096" t="s">
        <v>7115</v>
      </c>
      <c r="F1096" t="s">
        <v>1114</v>
      </c>
      <c r="G1096" t="s">
        <v>652</v>
      </c>
      <c r="H1096" t="s">
        <v>298</v>
      </c>
      <c r="J1096" t="s">
        <v>518</v>
      </c>
      <c r="K1096" t="s">
        <v>519</v>
      </c>
      <c r="M1096" t="s">
        <v>520</v>
      </c>
      <c r="N1096" t="s">
        <v>557</v>
      </c>
      <c r="O1096" t="s">
        <v>813</v>
      </c>
      <c r="P1096" t="s">
        <v>654</v>
      </c>
      <c r="Q1096" t="s">
        <v>638</v>
      </c>
      <c r="R1096" t="s">
        <v>639</v>
      </c>
      <c r="S1096" t="s">
        <v>899</v>
      </c>
      <c r="T1096" t="s">
        <v>527</v>
      </c>
      <c r="U1096">
        <v>123800</v>
      </c>
      <c r="V1096" t="s">
        <v>1115</v>
      </c>
      <c r="W1096" t="s">
        <v>815</v>
      </c>
      <c r="X1096" t="s">
        <v>7094</v>
      </c>
      <c r="Y1096" t="s">
        <v>5187</v>
      </c>
      <c r="AA1096" t="s">
        <v>5188</v>
      </c>
      <c r="AE1096">
        <v>-36.86450293</v>
      </c>
      <c r="AF1096">
        <v>174.60271041999999</v>
      </c>
      <c r="AG1096">
        <v>30</v>
      </c>
      <c r="AH1096">
        <v>20</v>
      </c>
      <c r="AI1096">
        <v>10</v>
      </c>
      <c r="AJ1096">
        <v>10</v>
      </c>
      <c r="AK1096">
        <v>2</v>
      </c>
      <c r="AL1096">
        <v>3</v>
      </c>
      <c r="AM1096">
        <v>0</v>
      </c>
      <c r="AN1096">
        <v>0</v>
      </c>
      <c r="AO1096">
        <v>25</v>
      </c>
      <c r="AP1096">
        <v>22</v>
      </c>
      <c r="AQ1096">
        <v>6</v>
      </c>
      <c r="AR1096">
        <v>4</v>
      </c>
      <c r="AS1096">
        <v>4</v>
      </c>
      <c r="AT1096">
        <v>1</v>
      </c>
    </row>
    <row r="1097" spans="1:46">
      <c r="A1097">
        <v>22011</v>
      </c>
      <c r="B1097" t="s">
        <v>7116</v>
      </c>
      <c r="C1097" t="s">
        <v>7114</v>
      </c>
      <c r="D1097" t="s">
        <v>7091</v>
      </c>
      <c r="E1097" t="s">
        <v>7117</v>
      </c>
      <c r="F1097" t="s">
        <v>898</v>
      </c>
      <c r="G1097" t="s">
        <v>652</v>
      </c>
      <c r="H1097" t="s">
        <v>298</v>
      </c>
      <c r="J1097" t="s">
        <v>518</v>
      </c>
      <c r="K1097" t="s">
        <v>519</v>
      </c>
      <c r="M1097" t="s">
        <v>520</v>
      </c>
      <c r="N1097" t="s">
        <v>571</v>
      </c>
      <c r="O1097" t="s">
        <v>873</v>
      </c>
      <c r="P1097" t="s">
        <v>572</v>
      </c>
      <c r="Q1097" t="s">
        <v>638</v>
      </c>
      <c r="R1097" t="s">
        <v>639</v>
      </c>
      <c r="S1097" t="s">
        <v>770</v>
      </c>
      <c r="T1097" t="s">
        <v>527</v>
      </c>
      <c r="U1097">
        <v>121100</v>
      </c>
      <c r="V1097" t="s">
        <v>3972</v>
      </c>
      <c r="W1097" t="s">
        <v>815</v>
      </c>
      <c r="X1097" t="s">
        <v>7094</v>
      </c>
      <c r="Y1097" t="s">
        <v>5187</v>
      </c>
      <c r="AA1097" t="s">
        <v>5188</v>
      </c>
      <c r="AE1097">
        <v>-36.867403660000001</v>
      </c>
      <c r="AF1097">
        <v>174.57437003999999</v>
      </c>
      <c r="AG1097">
        <v>30</v>
      </c>
      <c r="AH1097">
        <v>15</v>
      </c>
      <c r="AI1097">
        <v>11</v>
      </c>
      <c r="AJ1097">
        <v>7</v>
      </c>
      <c r="AK1097">
        <v>8</v>
      </c>
      <c r="AL1097">
        <v>6</v>
      </c>
      <c r="AM1097">
        <v>7</v>
      </c>
      <c r="AN1097">
        <v>1</v>
      </c>
      <c r="AO1097">
        <v>40</v>
      </c>
      <c r="AP1097">
        <v>34</v>
      </c>
      <c r="AQ1097">
        <v>10</v>
      </c>
      <c r="AR1097">
        <v>5</v>
      </c>
      <c r="AS1097">
        <v>8</v>
      </c>
      <c r="AT1097">
        <v>2</v>
      </c>
    </row>
    <row r="1098" spans="1:46">
      <c r="A1098">
        <v>22013</v>
      </c>
      <c r="B1098" t="s">
        <v>7118</v>
      </c>
      <c r="C1098" t="s">
        <v>7119</v>
      </c>
      <c r="D1098" t="s">
        <v>7091</v>
      </c>
      <c r="E1098" t="s">
        <v>7120</v>
      </c>
      <c r="G1098" t="s">
        <v>7121</v>
      </c>
      <c r="H1098" t="s">
        <v>298</v>
      </c>
      <c r="J1098" t="s">
        <v>518</v>
      </c>
      <c r="K1098" t="s">
        <v>519</v>
      </c>
      <c r="M1098" t="s">
        <v>520</v>
      </c>
      <c r="N1098" t="s">
        <v>571</v>
      </c>
      <c r="O1098" t="s">
        <v>873</v>
      </c>
      <c r="P1098" t="s">
        <v>572</v>
      </c>
      <c r="Q1098" t="s">
        <v>638</v>
      </c>
      <c r="R1098" t="s">
        <v>639</v>
      </c>
      <c r="S1098" t="s">
        <v>770</v>
      </c>
      <c r="T1098" t="s">
        <v>709</v>
      </c>
      <c r="U1098">
        <v>127601</v>
      </c>
      <c r="V1098" t="s">
        <v>7121</v>
      </c>
      <c r="W1098" t="s">
        <v>815</v>
      </c>
      <c r="X1098" t="s">
        <v>7094</v>
      </c>
      <c r="Y1098" t="s">
        <v>5187</v>
      </c>
      <c r="AA1098" t="s">
        <v>5188</v>
      </c>
      <c r="AE1098">
        <v>-36.931237199999998</v>
      </c>
      <c r="AF1098">
        <v>174.58052588000001</v>
      </c>
      <c r="AG1098">
        <v>30</v>
      </c>
      <c r="AH1098">
        <v>15</v>
      </c>
      <c r="AI1098">
        <v>19</v>
      </c>
      <c r="AJ1098">
        <v>7</v>
      </c>
      <c r="AK1098">
        <v>3</v>
      </c>
      <c r="AL1098">
        <v>3</v>
      </c>
      <c r="AM1098">
        <v>2</v>
      </c>
      <c r="AN1098">
        <v>0</v>
      </c>
      <c r="AO1098">
        <v>34</v>
      </c>
      <c r="AP1098">
        <v>33</v>
      </c>
      <c r="AQ1098">
        <v>7</v>
      </c>
      <c r="AR1098">
        <v>3</v>
      </c>
      <c r="AS1098">
        <v>3</v>
      </c>
      <c r="AT1098">
        <v>2</v>
      </c>
    </row>
    <row r="1099" spans="1:46">
      <c r="A1099">
        <v>22014</v>
      </c>
      <c r="B1099" t="s">
        <v>7122</v>
      </c>
      <c r="C1099" t="s">
        <v>7123</v>
      </c>
      <c r="D1099" t="s">
        <v>7091</v>
      </c>
      <c r="E1099" t="s">
        <v>7124</v>
      </c>
      <c r="G1099" t="s">
        <v>4316</v>
      </c>
      <c r="H1099" t="s">
        <v>298</v>
      </c>
      <c r="J1099" t="s">
        <v>518</v>
      </c>
      <c r="K1099" t="s">
        <v>519</v>
      </c>
      <c r="M1099" t="s">
        <v>520</v>
      </c>
      <c r="N1099" t="s">
        <v>571</v>
      </c>
      <c r="O1099" t="s">
        <v>637</v>
      </c>
      <c r="P1099" t="s">
        <v>523</v>
      </c>
      <c r="Q1099" t="s">
        <v>638</v>
      </c>
      <c r="R1099" t="s">
        <v>639</v>
      </c>
      <c r="S1099" t="s">
        <v>640</v>
      </c>
      <c r="T1099" t="s">
        <v>527</v>
      </c>
      <c r="U1099">
        <v>114201</v>
      </c>
      <c r="V1099" t="s">
        <v>4316</v>
      </c>
      <c r="W1099" t="s">
        <v>641</v>
      </c>
      <c r="X1099" t="s">
        <v>7094</v>
      </c>
      <c r="Y1099" t="s">
        <v>5187</v>
      </c>
      <c r="AA1099" t="s">
        <v>5188</v>
      </c>
      <c r="AE1099">
        <v>-36.774100920000002</v>
      </c>
      <c r="AF1099">
        <v>174.49002247999999</v>
      </c>
      <c r="AG1099">
        <v>30</v>
      </c>
      <c r="AH1099">
        <v>15</v>
      </c>
      <c r="AI1099">
        <v>0</v>
      </c>
      <c r="AJ1099">
        <v>4</v>
      </c>
      <c r="AK1099">
        <v>4</v>
      </c>
      <c r="AL1099">
        <v>7</v>
      </c>
      <c r="AM1099">
        <v>0</v>
      </c>
      <c r="AN1099">
        <v>0</v>
      </c>
      <c r="AO1099">
        <v>15</v>
      </c>
      <c r="AP1099">
        <v>15</v>
      </c>
      <c r="AQ1099">
        <v>0</v>
      </c>
      <c r="AR1099">
        <v>0</v>
      </c>
      <c r="AS1099">
        <v>1</v>
      </c>
      <c r="AT1099">
        <v>0</v>
      </c>
    </row>
    <row r="1100" spans="1:46">
      <c r="A1100">
        <v>22015</v>
      </c>
      <c r="B1100" t="s">
        <v>7125</v>
      </c>
      <c r="C1100" t="s">
        <v>7126</v>
      </c>
      <c r="D1100" t="s">
        <v>7127</v>
      </c>
      <c r="E1100" t="s">
        <v>7128</v>
      </c>
      <c r="F1100" t="s">
        <v>6601</v>
      </c>
      <c r="G1100" t="s">
        <v>652</v>
      </c>
      <c r="H1100" t="s">
        <v>298</v>
      </c>
      <c r="J1100" t="s">
        <v>518</v>
      </c>
      <c r="K1100" t="s">
        <v>519</v>
      </c>
      <c r="M1100" t="s">
        <v>520</v>
      </c>
      <c r="N1100" t="s">
        <v>571</v>
      </c>
      <c r="O1100" t="s">
        <v>813</v>
      </c>
      <c r="P1100" t="s">
        <v>654</v>
      </c>
      <c r="Q1100" t="s">
        <v>638</v>
      </c>
      <c r="R1100" t="s">
        <v>639</v>
      </c>
      <c r="S1100" t="s">
        <v>739</v>
      </c>
      <c r="T1100" t="s">
        <v>527</v>
      </c>
      <c r="U1100">
        <v>119800</v>
      </c>
      <c r="V1100" t="s">
        <v>920</v>
      </c>
      <c r="W1100" t="s">
        <v>815</v>
      </c>
      <c r="X1100" t="s">
        <v>7094</v>
      </c>
      <c r="Y1100" t="s">
        <v>5187</v>
      </c>
      <c r="AA1100" t="s">
        <v>5188</v>
      </c>
      <c r="AE1100">
        <v>-36.823456909999997</v>
      </c>
      <c r="AF1100">
        <v>174.62237574</v>
      </c>
      <c r="AG1100">
        <v>30</v>
      </c>
      <c r="AH1100">
        <v>20</v>
      </c>
      <c r="AI1100">
        <v>33</v>
      </c>
      <c r="AJ1100">
        <v>7</v>
      </c>
      <c r="AK1100">
        <v>9</v>
      </c>
      <c r="AL1100">
        <v>7</v>
      </c>
      <c r="AM1100">
        <v>0</v>
      </c>
      <c r="AN1100">
        <v>0</v>
      </c>
      <c r="AO1100">
        <v>56</v>
      </c>
      <c r="AP1100">
        <v>44</v>
      </c>
      <c r="AQ1100">
        <v>5</v>
      </c>
      <c r="AR1100">
        <v>3</v>
      </c>
      <c r="AS1100">
        <v>18</v>
      </c>
      <c r="AT1100">
        <v>3</v>
      </c>
    </row>
    <row r="1101" spans="1:46">
      <c r="A1101">
        <v>22016</v>
      </c>
      <c r="B1101" t="s">
        <v>7129</v>
      </c>
      <c r="C1101" t="s">
        <v>7130</v>
      </c>
      <c r="D1101" t="s">
        <v>7131</v>
      </c>
      <c r="E1101" t="s">
        <v>7132</v>
      </c>
      <c r="F1101" t="s">
        <v>956</v>
      </c>
      <c r="G1101" t="s">
        <v>652</v>
      </c>
      <c r="H1101" t="s">
        <v>298</v>
      </c>
      <c r="J1101" t="s">
        <v>518</v>
      </c>
      <c r="K1101" t="s">
        <v>519</v>
      </c>
      <c r="M1101" t="s">
        <v>520</v>
      </c>
      <c r="N1101" t="s">
        <v>571</v>
      </c>
      <c r="O1101" t="s">
        <v>957</v>
      </c>
      <c r="P1101" t="s">
        <v>654</v>
      </c>
      <c r="Q1101" t="s">
        <v>638</v>
      </c>
      <c r="R1101" t="s">
        <v>708</v>
      </c>
      <c r="S1101" t="s">
        <v>958</v>
      </c>
      <c r="T1101" t="s">
        <v>709</v>
      </c>
      <c r="U1101">
        <v>131801</v>
      </c>
      <c r="V1101" t="s">
        <v>956</v>
      </c>
      <c r="W1101" t="s">
        <v>959</v>
      </c>
      <c r="X1101" t="s">
        <v>6816</v>
      </c>
      <c r="Y1101" t="s">
        <v>5187</v>
      </c>
      <c r="AA1101" t="s">
        <v>5188</v>
      </c>
      <c r="AB1101" t="s">
        <v>6817</v>
      </c>
      <c r="AE1101">
        <v>-36.852060639999998</v>
      </c>
      <c r="AF1101">
        <v>174.74969680000001</v>
      </c>
      <c r="AG1101">
        <v>28</v>
      </c>
      <c r="AH1101">
        <v>15</v>
      </c>
      <c r="AI1101">
        <v>1</v>
      </c>
      <c r="AJ1101">
        <v>3</v>
      </c>
      <c r="AK1101">
        <v>6</v>
      </c>
      <c r="AL1101">
        <v>5</v>
      </c>
      <c r="AM1101">
        <v>1</v>
      </c>
      <c r="AN1101">
        <v>0</v>
      </c>
      <c r="AO1101">
        <v>16</v>
      </c>
      <c r="AP1101">
        <v>13</v>
      </c>
      <c r="AQ1101">
        <v>4</v>
      </c>
      <c r="AR1101">
        <v>2</v>
      </c>
      <c r="AS1101">
        <v>6</v>
      </c>
      <c r="AT1101">
        <v>0</v>
      </c>
    </row>
    <row r="1102" spans="1:46">
      <c r="A1102">
        <v>22019</v>
      </c>
      <c r="B1102" t="s">
        <v>7133</v>
      </c>
      <c r="C1102" t="s">
        <v>7134</v>
      </c>
      <c r="D1102" t="s">
        <v>6813</v>
      </c>
      <c r="E1102" t="s">
        <v>7135</v>
      </c>
      <c r="F1102" t="s">
        <v>769</v>
      </c>
      <c r="G1102" t="s">
        <v>652</v>
      </c>
      <c r="H1102" t="s">
        <v>298</v>
      </c>
      <c r="J1102" t="s">
        <v>518</v>
      </c>
      <c r="K1102" t="s">
        <v>519</v>
      </c>
      <c r="M1102" t="s">
        <v>520</v>
      </c>
      <c r="N1102" t="s">
        <v>571</v>
      </c>
      <c r="O1102" t="s">
        <v>718</v>
      </c>
      <c r="P1102" t="s">
        <v>654</v>
      </c>
      <c r="Q1102" t="s">
        <v>638</v>
      </c>
      <c r="R1102" t="s">
        <v>708</v>
      </c>
      <c r="S1102" t="s">
        <v>770</v>
      </c>
      <c r="T1102" t="s">
        <v>709</v>
      </c>
      <c r="U1102">
        <v>138901</v>
      </c>
      <c r="V1102" t="s">
        <v>6840</v>
      </c>
      <c r="W1102" t="s">
        <v>721</v>
      </c>
      <c r="X1102" t="s">
        <v>6816</v>
      </c>
      <c r="Y1102" t="s">
        <v>5187</v>
      </c>
      <c r="AA1102" t="s">
        <v>5188</v>
      </c>
      <c r="AB1102" t="s">
        <v>6817</v>
      </c>
      <c r="AE1102">
        <v>-36.924600839999997</v>
      </c>
      <c r="AF1102">
        <v>174.70193506000001</v>
      </c>
      <c r="AG1102">
        <v>30</v>
      </c>
      <c r="AH1102">
        <v>15</v>
      </c>
      <c r="AI1102">
        <v>1</v>
      </c>
      <c r="AJ1102">
        <v>9</v>
      </c>
      <c r="AK1102">
        <v>10</v>
      </c>
      <c r="AL1102">
        <v>4</v>
      </c>
      <c r="AM1102">
        <v>4</v>
      </c>
      <c r="AN1102">
        <v>0</v>
      </c>
      <c r="AO1102">
        <v>28</v>
      </c>
      <c r="AP1102">
        <v>21</v>
      </c>
      <c r="AQ1102">
        <v>1</v>
      </c>
      <c r="AR1102">
        <v>2</v>
      </c>
      <c r="AS1102">
        <v>7</v>
      </c>
      <c r="AT1102">
        <v>3</v>
      </c>
    </row>
    <row r="1103" spans="1:46">
      <c r="A1103">
        <v>22020</v>
      </c>
      <c r="B1103" t="s">
        <v>7136</v>
      </c>
      <c r="C1103" t="s">
        <v>7137</v>
      </c>
      <c r="D1103" t="s">
        <v>6813</v>
      </c>
      <c r="E1103" t="s">
        <v>7138</v>
      </c>
      <c r="F1103" t="s">
        <v>1017</v>
      </c>
      <c r="G1103" t="s">
        <v>652</v>
      </c>
      <c r="H1103" t="s">
        <v>298</v>
      </c>
      <c r="J1103" t="s">
        <v>518</v>
      </c>
      <c r="K1103" t="s">
        <v>519</v>
      </c>
      <c r="M1103" t="s">
        <v>520</v>
      </c>
      <c r="N1103" t="s">
        <v>571</v>
      </c>
      <c r="O1103" t="s">
        <v>857</v>
      </c>
      <c r="P1103" t="s">
        <v>654</v>
      </c>
      <c r="Q1103" t="s">
        <v>638</v>
      </c>
      <c r="R1103" t="s">
        <v>708</v>
      </c>
      <c r="S1103" t="s">
        <v>822</v>
      </c>
      <c r="T1103" t="s">
        <v>709</v>
      </c>
      <c r="U1103">
        <v>139000</v>
      </c>
      <c r="V1103" t="s">
        <v>5247</v>
      </c>
      <c r="W1103" t="s">
        <v>860</v>
      </c>
      <c r="X1103" t="s">
        <v>6816</v>
      </c>
      <c r="Y1103" t="s">
        <v>5187</v>
      </c>
      <c r="AA1103" t="s">
        <v>5188</v>
      </c>
      <c r="AB1103" t="s">
        <v>6817</v>
      </c>
      <c r="AE1103">
        <v>-36.883548220000002</v>
      </c>
      <c r="AF1103">
        <v>174.76419068999999</v>
      </c>
      <c r="AG1103">
        <v>30</v>
      </c>
      <c r="AH1103">
        <v>15</v>
      </c>
      <c r="AI1103">
        <v>21</v>
      </c>
      <c r="AJ1103">
        <v>4</v>
      </c>
      <c r="AK1103">
        <v>5</v>
      </c>
      <c r="AL1103">
        <v>9</v>
      </c>
      <c r="AM1103">
        <v>4</v>
      </c>
      <c r="AN1103">
        <v>1</v>
      </c>
      <c r="AO1103">
        <v>44</v>
      </c>
      <c r="AP1103">
        <v>36</v>
      </c>
      <c r="AQ1103">
        <v>3</v>
      </c>
      <c r="AR1103">
        <v>1</v>
      </c>
      <c r="AS1103">
        <v>11</v>
      </c>
      <c r="AT1103">
        <v>4</v>
      </c>
    </row>
    <row r="1104" spans="1:46">
      <c r="A1104">
        <v>22022</v>
      </c>
      <c r="B1104" t="s">
        <v>7139</v>
      </c>
      <c r="C1104" t="s">
        <v>7140</v>
      </c>
      <c r="D1104" t="s">
        <v>6813</v>
      </c>
      <c r="E1104" t="s">
        <v>7141</v>
      </c>
      <c r="F1104" t="s">
        <v>4655</v>
      </c>
      <c r="G1104" t="s">
        <v>652</v>
      </c>
      <c r="H1104" t="s">
        <v>298</v>
      </c>
      <c r="J1104" t="s">
        <v>518</v>
      </c>
      <c r="K1104" t="s">
        <v>519</v>
      </c>
      <c r="M1104" t="s">
        <v>520</v>
      </c>
      <c r="N1104" t="s">
        <v>571</v>
      </c>
      <c r="O1104" t="s">
        <v>957</v>
      </c>
      <c r="P1104" t="s">
        <v>654</v>
      </c>
      <c r="Q1104" t="s">
        <v>638</v>
      </c>
      <c r="R1104" t="s">
        <v>708</v>
      </c>
      <c r="S1104" t="s">
        <v>958</v>
      </c>
      <c r="T1104" t="s">
        <v>709</v>
      </c>
      <c r="U1104">
        <v>129700</v>
      </c>
      <c r="V1104" t="s">
        <v>4655</v>
      </c>
      <c r="W1104" t="s">
        <v>959</v>
      </c>
      <c r="X1104" t="s">
        <v>6816</v>
      </c>
      <c r="Y1104" t="s">
        <v>5187</v>
      </c>
      <c r="AA1104" t="s">
        <v>5188</v>
      </c>
      <c r="AB1104" t="s">
        <v>6817</v>
      </c>
      <c r="AE1104">
        <v>-36.848111000000003</v>
      </c>
      <c r="AF1104">
        <v>174.72992869999999</v>
      </c>
      <c r="AG1104">
        <v>30</v>
      </c>
      <c r="AH1104">
        <v>15</v>
      </c>
      <c r="AI1104">
        <v>11</v>
      </c>
      <c r="AJ1104">
        <v>5</v>
      </c>
      <c r="AK1104">
        <v>2</v>
      </c>
      <c r="AL1104">
        <v>4</v>
      </c>
      <c r="AM1104">
        <v>2</v>
      </c>
      <c r="AN1104">
        <v>1</v>
      </c>
      <c r="AO1104">
        <v>25</v>
      </c>
      <c r="AP1104">
        <v>20</v>
      </c>
      <c r="AQ1104">
        <v>3</v>
      </c>
      <c r="AR1104">
        <v>0</v>
      </c>
      <c r="AS1104">
        <v>6</v>
      </c>
      <c r="AT1104">
        <v>4</v>
      </c>
    </row>
    <row r="1105" spans="1:46">
      <c r="A1105">
        <v>22023</v>
      </c>
      <c r="B1105" t="s">
        <v>7142</v>
      </c>
      <c r="C1105" t="s">
        <v>7143</v>
      </c>
      <c r="D1105" t="s">
        <v>6813</v>
      </c>
      <c r="E1105" t="s">
        <v>7144</v>
      </c>
      <c r="F1105" t="s">
        <v>911</v>
      </c>
      <c r="G1105" t="s">
        <v>652</v>
      </c>
      <c r="H1105" t="s">
        <v>298</v>
      </c>
      <c r="J1105" t="s">
        <v>518</v>
      </c>
      <c r="K1105" t="s">
        <v>519</v>
      </c>
      <c r="M1105" t="s">
        <v>520</v>
      </c>
      <c r="N1105" t="s">
        <v>571</v>
      </c>
      <c r="O1105" t="s">
        <v>912</v>
      </c>
      <c r="P1105" t="s">
        <v>654</v>
      </c>
      <c r="Q1105" t="s">
        <v>638</v>
      </c>
      <c r="R1105" t="s">
        <v>708</v>
      </c>
      <c r="S1105" t="s">
        <v>913</v>
      </c>
      <c r="T1105" t="s">
        <v>709</v>
      </c>
      <c r="U1105">
        <v>142901</v>
      </c>
      <c r="V1105" t="s">
        <v>7145</v>
      </c>
      <c r="W1105" t="s">
        <v>860</v>
      </c>
      <c r="X1105" t="s">
        <v>7094</v>
      </c>
      <c r="Y1105" t="s">
        <v>5187</v>
      </c>
      <c r="AA1105" t="s">
        <v>5188</v>
      </c>
      <c r="AE1105">
        <v>-36.918884130000002</v>
      </c>
      <c r="AF1105">
        <v>174.75440739999999</v>
      </c>
      <c r="AG1105">
        <v>30</v>
      </c>
      <c r="AH1105">
        <v>15</v>
      </c>
      <c r="AI1105">
        <v>23</v>
      </c>
      <c r="AJ1105">
        <v>3</v>
      </c>
      <c r="AK1105">
        <v>9</v>
      </c>
      <c r="AL1105">
        <v>5</v>
      </c>
      <c r="AM1105">
        <v>3</v>
      </c>
      <c r="AN1105">
        <v>1</v>
      </c>
      <c r="AO1105">
        <v>44</v>
      </c>
      <c r="AP1105">
        <v>33</v>
      </c>
      <c r="AQ1105">
        <v>3</v>
      </c>
      <c r="AR1105">
        <v>3</v>
      </c>
      <c r="AS1105">
        <v>15</v>
      </c>
      <c r="AT1105">
        <v>8</v>
      </c>
    </row>
    <row r="1106" spans="1:46">
      <c r="A1106">
        <v>22024</v>
      </c>
      <c r="B1106" t="s">
        <v>7146</v>
      </c>
      <c r="C1106" t="s">
        <v>7143</v>
      </c>
      <c r="D1106" t="s">
        <v>7147</v>
      </c>
      <c r="E1106" t="s">
        <v>7148</v>
      </c>
      <c r="G1106" t="s">
        <v>3712</v>
      </c>
      <c r="H1106" t="s">
        <v>298</v>
      </c>
      <c r="J1106" t="s">
        <v>518</v>
      </c>
      <c r="K1106" t="s">
        <v>519</v>
      </c>
      <c r="M1106" t="s">
        <v>520</v>
      </c>
      <c r="N1106" t="s">
        <v>571</v>
      </c>
      <c r="O1106" t="s">
        <v>873</v>
      </c>
      <c r="P1106" t="s">
        <v>654</v>
      </c>
      <c r="Q1106" t="s">
        <v>638</v>
      </c>
      <c r="R1106" t="s">
        <v>639</v>
      </c>
      <c r="S1106" t="s">
        <v>770</v>
      </c>
      <c r="T1106" t="s">
        <v>709</v>
      </c>
      <c r="U1106">
        <v>137500</v>
      </c>
      <c r="V1106" t="s">
        <v>3712</v>
      </c>
      <c r="W1106" t="s">
        <v>815</v>
      </c>
      <c r="X1106" t="s">
        <v>7094</v>
      </c>
      <c r="Y1106" t="s">
        <v>5187</v>
      </c>
      <c r="AA1106" t="s">
        <v>5188</v>
      </c>
      <c r="AE1106">
        <v>-36.963457429999998</v>
      </c>
      <c r="AF1106">
        <v>174.62779348000001</v>
      </c>
      <c r="AG1106">
        <v>25</v>
      </c>
      <c r="AH1106">
        <v>15</v>
      </c>
      <c r="AI1106">
        <v>2</v>
      </c>
      <c r="AJ1106">
        <v>2</v>
      </c>
      <c r="AK1106">
        <v>3</v>
      </c>
      <c r="AL1106">
        <v>2</v>
      </c>
      <c r="AM1106">
        <v>2</v>
      </c>
      <c r="AN1106">
        <v>0</v>
      </c>
      <c r="AO1106">
        <v>11</v>
      </c>
      <c r="AP1106">
        <v>11</v>
      </c>
      <c r="AQ1106">
        <v>2</v>
      </c>
      <c r="AR1106">
        <v>0</v>
      </c>
      <c r="AS1106">
        <v>2</v>
      </c>
      <c r="AT1106">
        <v>0</v>
      </c>
    </row>
    <row r="1107" spans="1:46">
      <c r="A1107">
        <v>22025</v>
      </c>
      <c r="B1107" t="s">
        <v>7149</v>
      </c>
      <c r="C1107" t="s">
        <v>7150</v>
      </c>
      <c r="D1107" t="s">
        <v>6813</v>
      </c>
      <c r="E1107" t="s">
        <v>7151</v>
      </c>
      <c r="F1107" t="s">
        <v>1017</v>
      </c>
      <c r="G1107" t="s">
        <v>652</v>
      </c>
      <c r="H1107" t="s">
        <v>298</v>
      </c>
      <c r="J1107" t="s">
        <v>518</v>
      </c>
      <c r="K1107" t="s">
        <v>519</v>
      </c>
      <c r="M1107" t="s">
        <v>520</v>
      </c>
      <c r="N1107" t="s">
        <v>571</v>
      </c>
      <c r="O1107" t="s">
        <v>857</v>
      </c>
      <c r="P1107" t="s">
        <v>654</v>
      </c>
      <c r="Q1107" t="s">
        <v>638</v>
      </c>
      <c r="R1107" t="s">
        <v>708</v>
      </c>
      <c r="S1107" t="s">
        <v>913</v>
      </c>
      <c r="T1107" t="s">
        <v>709</v>
      </c>
      <c r="U1107">
        <v>139900</v>
      </c>
      <c r="V1107" t="s">
        <v>5985</v>
      </c>
      <c r="W1107" t="s">
        <v>860</v>
      </c>
      <c r="X1107" t="s">
        <v>6816</v>
      </c>
      <c r="Y1107" t="s">
        <v>5187</v>
      </c>
      <c r="AA1107" t="s">
        <v>5188</v>
      </c>
      <c r="AB1107" t="s">
        <v>6817</v>
      </c>
      <c r="AE1107">
        <v>-36.893740680000001</v>
      </c>
      <c r="AF1107">
        <v>174.7552652</v>
      </c>
      <c r="AG1107">
        <v>30</v>
      </c>
      <c r="AH1107">
        <v>15</v>
      </c>
      <c r="AI1107">
        <v>15</v>
      </c>
      <c r="AJ1107">
        <v>3</v>
      </c>
      <c r="AK1107">
        <v>9</v>
      </c>
      <c r="AL1107">
        <v>4</v>
      </c>
      <c r="AM1107">
        <v>6</v>
      </c>
      <c r="AN1107">
        <v>1</v>
      </c>
      <c r="AO1107">
        <v>38</v>
      </c>
      <c r="AP1107">
        <v>27</v>
      </c>
      <c r="AQ1107">
        <v>1</v>
      </c>
      <c r="AR1107">
        <v>1</v>
      </c>
      <c r="AS1107">
        <v>15</v>
      </c>
      <c r="AT1107">
        <v>6</v>
      </c>
    </row>
    <row r="1108" spans="1:46">
      <c r="A1108">
        <v>22026</v>
      </c>
      <c r="B1108" t="s">
        <v>7152</v>
      </c>
      <c r="C1108" t="s">
        <v>7153</v>
      </c>
      <c r="D1108" t="s">
        <v>6813</v>
      </c>
      <c r="E1108" t="s">
        <v>7154</v>
      </c>
      <c r="F1108" t="s">
        <v>7155</v>
      </c>
      <c r="G1108" t="s">
        <v>652</v>
      </c>
      <c r="H1108" t="s">
        <v>298</v>
      </c>
      <c r="J1108" t="s">
        <v>518</v>
      </c>
      <c r="K1108" t="s">
        <v>519</v>
      </c>
      <c r="M1108" t="s">
        <v>520</v>
      </c>
      <c r="N1108" t="s">
        <v>571</v>
      </c>
      <c r="O1108" t="s">
        <v>857</v>
      </c>
      <c r="P1108" t="s">
        <v>654</v>
      </c>
      <c r="Q1108" t="s">
        <v>638</v>
      </c>
      <c r="R1108" t="s">
        <v>708</v>
      </c>
      <c r="S1108" t="s">
        <v>858</v>
      </c>
      <c r="T1108" t="s">
        <v>709</v>
      </c>
      <c r="U1108">
        <v>134400</v>
      </c>
      <c r="V1108" t="s">
        <v>7156</v>
      </c>
      <c r="W1108" t="s">
        <v>860</v>
      </c>
      <c r="X1108" t="s">
        <v>6816</v>
      </c>
      <c r="Y1108" t="s">
        <v>5187</v>
      </c>
      <c r="AA1108" t="s">
        <v>5188</v>
      </c>
      <c r="AB1108" t="s">
        <v>6817</v>
      </c>
      <c r="AE1108">
        <v>-36.872634429999998</v>
      </c>
      <c r="AF1108">
        <v>174.73721183999999</v>
      </c>
      <c r="AG1108">
        <v>29</v>
      </c>
      <c r="AH1108">
        <v>15</v>
      </c>
      <c r="AI1108">
        <v>17</v>
      </c>
      <c r="AJ1108">
        <v>8</v>
      </c>
      <c r="AK1108">
        <v>4</v>
      </c>
      <c r="AL1108">
        <v>5</v>
      </c>
      <c r="AM1108">
        <v>1</v>
      </c>
      <c r="AN1108">
        <v>1</v>
      </c>
      <c r="AO1108">
        <v>36</v>
      </c>
      <c r="AP1108">
        <v>32</v>
      </c>
      <c r="AQ1108">
        <v>2</v>
      </c>
      <c r="AR1108">
        <v>0</v>
      </c>
      <c r="AS1108">
        <v>5</v>
      </c>
      <c r="AT1108">
        <v>0</v>
      </c>
    </row>
    <row r="1109" spans="1:46">
      <c r="A1109">
        <v>22027</v>
      </c>
      <c r="B1109" t="s">
        <v>7157</v>
      </c>
      <c r="C1109" t="s">
        <v>7158</v>
      </c>
      <c r="D1109" t="s">
        <v>6813</v>
      </c>
      <c r="E1109" t="s">
        <v>7159</v>
      </c>
      <c r="F1109" t="s">
        <v>855</v>
      </c>
      <c r="G1109" t="s">
        <v>652</v>
      </c>
      <c r="H1109" t="s">
        <v>298</v>
      </c>
      <c r="J1109" t="s">
        <v>518</v>
      </c>
      <c r="K1109" t="s">
        <v>519</v>
      </c>
      <c r="M1109" t="s">
        <v>520</v>
      </c>
      <c r="N1109" t="s">
        <v>571</v>
      </c>
      <c r="O1109" t="s">
        <v>857</v>
      </c>
      <c r="P1109" t="s">
        <v>654</v>
      </c>
      <c r="Q1109" t="s">
        <v>638</v>
      </c>
      <c r="R1109" t="s">
        <v>708</v>
      </c>
      <c r="S1109" t="s">
        <v>858</v>
      </c>
      <c r="T1109" t="s">
        <v>709</v>
      </c>
      <c r="U1109">
        <v>131900</v>
      </c>
      <c r="V1109" t="s">
        <v>1135</v>
      </c>
      <c r="W1109" t="s">
        <v>860</v>
      </c>
      <c r="X1109" t="s">
        <v>7094</v>
      </c>
      <c r="Y1109" t="s">
        <v>5187</v>
      </c>
      <c r="AA1109" t="s">
        <v>5188</v>
      </c>
      <c r="AE1109">
        <v>-36.885071430000004</v>
      </c>
      <c r="AF1109">
        <v>174.7045205</v>
      </c>
      <c r="AG1109">
        <v>30</v>
      </c>
      <c r="AH1109">
        <v>15</v>
      </c>
      <c r="AI1109">
        <v>4</v>
      </c>
      <c r="AJ1109">
        <v>4</v>
      </c>
      <c r="AK1109">
        <v>6</v>
      </c>
      <c r="AL1109">
        <v>8</v>
      </c>
      <c r="AM1109">
        <v>4</v>
      </c>
      <c r="AN1109">
        <v>0</v>
      </c>
      <c r="AO1109">
        <v>26</v>
      </c>
      <c r="AP1109">
        <v>23</v>
      </c>
      <c r="AQ1109">
        <v>2</v>
      </c>
      <c r="AR1109">
        <v>0</v>
      </c>
      <c r="AS1109">
        <v>4</v>
      </c>
      <c r="AT1109">
        <v>5</v>
      </c>
    </row>
    <row r="1110" spans="1:46">
      <c r="A1110">
        <v>22028</v>
      </c>
      <c r="B1110" t="s">
        <v>7160</v>
      </c>
      <c r="C1110" t="s">
        <v>7161</v>
      </c>
      <c r="D1110" t="s">
        <v>6813</v>
      </c>
      <c r="E1110" t="s">
        <v>7162</v>
      </c>
      <c r="F1110" t="s">
        <v>821</v>
      </c>
      <c r="G1110" t="s">
        <v>652</v>
      </c>
      <c r="H1110" t="s">
        <v>298</v>
      </c>
      <c r="J1110" t="s">
        <v>518</v>
      </c>
      <c r="K1110" t="s">
        <v>519</v>
      </c>
      <c r="M1110" t="s">
        <v>520</v>
      </c>
      <c r="N1110" t="s">
        <v>571</v>
      </c>
      <c r="O1110" t="s">
        <v>804</v>
      </c>
      <c r="P1110" t="s">
        <v>654</v>
      </c>
      <c r="Q1110" t="s">
        <v>638</v>
      </c>
      <c r="R1110" t="s">
        <v>708</v>
      </c>
      <c r="S1110" t="s">
        <v>822</v>
      </c>
      <c r="T1110" t="s">
        <v>709</v>
      </c>
      <c r="U1110">
        <v>139400</v>
      </c>
      <c r="V1110" t="s">
        <v>4397</v>
      </c>
      <c r="W1110" t="s">
        <v>824</v>
      </c>
      <c r="X1110" t="s">
        <v>6816</v>
      </c>
      <c r="Y1110" t="s">
        <v>5187</v>
      </c>
      <c r="AA1110" t="s">
        <v>5188</v>
      </c>
      <c r="AB1110" t="s">
        <v>6817</v>
      </c>
      <c r="AE1110">
        <v>-36.866006470000002</v>
      </c>
      <c r="AF1110">
        <v>174.78977560000001</v>
      </c>
      <c r="AG1110">
        <v>25</v>
      </c>
      <c r="AH1110">
        <v>15</v>
      </c>
      <c r="AI1110">
        <v>11</v>
      </c>
      <c r="AJ1110">
        <v>6</v>
      </c>
      <c r="AK1110">
        <v>8</v>
      </c>
      <c r="AL1110">
        <v>7</v>
      </c>
      <c r="AM1110">
        <v>10</v>
      </c>
      <c r="AN1110">
        <v>0</v>
      </c>
      <c r="AO1110">
        <v>42</v>
      </c>
      <c r="AP1110">
        <v>28</v>
      </c>
      <c r="AQ1110">
        <v>0</v>
      </c>
      <c r="AR1110">
        <v>0</v>
      </c>
      <c r="AS1110">
        <v>14</v>
      </c>
      <c r="AT1110">
        <v>8</v>
      </c>
    </row>
    <row r="1111" spans="1:46">
      <c r="A1111">
        <v>22029</v>
      </c>
      <c r="B1111" t="s">
        <v>7163</v>
      </c>
      <c r="C1111" t="s">
        <v>7164</v>
      </c>
      <c r="D1111" t="s">
        <v>6813</v>
      </c>
      <c r="E1111" t="s">
        <v>7165</v>
      </c>
      <c r="F1111" t="s">
        <v>7166</v>
      </c>
      <c r="G1111" t="s">
        <v>652</v>
      </c>
      <c r="H1111" t="s">
        <v>298</v>
      </c>
      <c r="J1111" t="s">
        <v>518</v>
      </c>
      <c r="K1111" t="s">
        <v>519</v>
      </c>
      <c r="M1111" t="s">
        <v>520</v>
      </c>
      <c r="N1111" t="s">
        <v>571</v>
      </c>
      <c r="O1111" t="s">
        <v>718</v>
      </c>
      <c r="P1111" t="s">
        <v>654</v>
      </c>
      <c r="Q1111" t="s">
        <v>638</v>
      </c>
      <c r="R1111" t="s">
        <v>708</v>
      </c>
      <c r="S1111" t="s">
        <v>913</v>
      </c>
      <c r="T1111" t="s">
        <v>709</v>
      </c>
      <c r="U1111">
        <v>138301</v>
      </c>
      <c r="V1111" t="s">
        <v>7006</v>
      </c>
      <c r="W1111" t="s">
        <v>721</v>
      </c>
      <c r="X1111" t="s">
        <v>6816</v>
      </c>
      <c r="Y1111" t="s">
        <v>5187</v>
      </c>
      <c r="AA1111" t="s">
        <v>5188</v>
      </c>
      <c r="AB1111" t="s">
        <v>6817</v>
      </c>
      <c r="AE1111">
        <v>-36.908366219999998</v>
      </c>
      <c r="AF1111">
        <v>174.7113884</v>
      </c>
      <c r="AG1111">
        <v>30</v>
      </c>
      <c r="AH1111">
        <v>15</v>
      </c>
      <c r="AI1111">
        <v>1</v>
      </c>
      <c r="AJ1111">
        <v>3</v>
      </c>
      <c r="AK1111">
        <v>7</v>
      </c>
      <c r="AL1111">
        <v>6</v>
      </c>
      <c r="AM1111">
        <v>4</v>
      </c>
      <c r="AN1111">
        <v>1</v>
      </c>
      <c r="AO1111">
        <v>22</v>
      </c>
      <c r="AP1111">
        <v>12</v>
      </c>
      <c r="AQ1111">
        <v>0</v>
      </c>
      <c r="AR1111">
        <v>0</v>
      </c>
      <c r="AS1111">
        <v>9</v>
      </c>
      <c r="AT1111">
        <v>3</v>
      </c>
    </row>
    <row r="1112" spans="1:46">
      <c r="A1112">
        <v>22032</v>
      </c>
      <c r="B1112" t="s">
        <v>7167</v>
      </c>
      <c r="C1112" t="s">
        <v>7168</v>
      </c>
      <c r="D1112" t="s">
        <v>7169</v>
      </c>
      <c r="E1112" t="s">
        <v>7170</v>
      </c>
      <c r="F1112" t="s">
        <v>4747</v>
      </c>
      <c r="G1112" t="s">
        <v>652</v>
      </c>
      <c r="H1112" t="s">
        <v>298</v>
      </c>
      <c r="J1112" t="s">
        <v>518</v>
      </c>
      <c r="K1112" t="s">
        <v>519</v>
      </c>
      <c r="M1112" t="s">
        <v>520</v>
      </c>
      <c r="N1112" t="s">
        <v>571</v>
      </c>
      <c r="O1112" t="s">
        <v>873</v>
      </c>
      <c r="P1112" t="s">
        <v>654</v>
      </c>
      <c r="Q1112" t="s">
        <v>638</v>
      </c>
      <c r="R1112" t="s">
        <v>639</v>
      </c>
      <c r="S1112" t="s">
        <v>770</v>
      </c>
      <c r="T1112" t="s">
        <v>709</v>
      </c>
      <c r="U1112">
        <v>136700</v>
      </c>
      <c r="V1112" t="s">
        <v>7171</v>
      </c>
      <c r="W1112" t="s">
        <v>815</v>
      </c>
      <c r="X1112" t="s">
        <v>7172</v>
      </c>
      <c r="Y1112" t="s">
        <v>5187</v>
      </c>
      <c r="AA1112" t="s">
        <v>5188</v>
      </c>
      <c r="AE1112">
        <v>-36.93930039</v>
      </c>
      <c r="AF1112">
        <v>174.65560823000001</v>
      </c>
      <c r="AG1112">
        <v>30</v>
      </c>
      <c r="AH1112">
        <v>15</v>
      </c>
      <c r="AI1112">
        <v>10</v>
      </c>
      <c r="AJ1112">
        <v>10</v>
      </c>
      <c r="AK1112">
        <v>6</v>
      </c>
      <c r="AL1112">
        <v>7</v>
      </c>
      <c r="AM1112">
        <v>2</v>
      </c>
      <c r="AN1112">
        <v>0</v>
      </c>
      <c r="AO1112">
        <v>35</v>
      </c>
      <c r="AP1112">
        <v>31</v>
      </c>
      <c r="AQ1112">
        <v>7</v>
      </c>
      <c r="AR1112">
        <v>1</v>
      </c>
      <c r="AS1112">
        <v>5</v>
      </c>
      <c r="AT1112">
        <v>5</v>
      </c>
    </row>
    <row r="1113" spans="1:46">
      <c r="A1113">
        <v>22033</v>
      </c>
      <c r="B1113" t="s">
        <v>7173</v>
      </c>
      <c r="C1113" t="s">
        <v>7174</v>
      </c>
      <c r="E1113" t="s">
        <v>7175</v>
      </c>
      <c r="F1113" t="s">
        <v>828</v>
      </c>
      <c r="G1113" t="s">
        <v>652</v>
      </c>
      <c r="H1113" t="s">
        <v>298</v>
      </c>
      <c r="J1113" t="s">
        <v>518</v>
      </c>
      <c r="K1113" t="s">
        <v>519</v>
      </c>
      <c r="M1113" t="s">
        <v>520</v>
      </c>
      <c r="N1113" t="s">
        <v>571</v>
      </c>
      <c r="O1113" t="s">
        <v>829</v>
      </c>
      <c r="P1113" t="s">
        <v>654</v>
      </c>
      <c r="Q1113" t="s">
        <v>638</v>
      </c>
      <c r="R1113" t="s">
        <v>708</v>
      </c>
      <c r="S1113" t="s">
        <v>805</v>
      </c>
      <c r="T1113" t="s">
        <v>709</v>
      </c>
      <c r="U1113">
        <v>144101</v>
      </c>
      <c r="V1113" t="s">
        <v>7176</v>
      </c>
      <c r="W1113" t="s">
        <v>807</v>
      </c>
      <c r="X1113" t="s">
        <v>6816</v>
      </c>
      <c r="Y1113" t="s">
        <v>5187</v>
      </c>
      <c r="AA1113" t="s">
        <v>5188</v>
      </c>
      <c r="AB1113" t="s">
        <v>6817</v>
      </c>
      <c r="AC1113">
        <v>99190</v>
      </c>
      <c r="AD1113" t="s">
        <v>831</v>
      </c>
      <c r="AE1113">
        <v>-36.921967629999997</v>
      </c>
      <c r="AF1113">
        <v>174.78094060000001</v>
      </c>
      <c r="AG1113">
        <v>30</v>
      </c>
      <c r="AH1113">
        <v>15</v>
      </c>
      <c r="AI1113">
        <v>24</v>
      </c>
      <c r="AJ1113">
        <v>5</v>
      </c>
      <c r="AK1113">
        <v>3</v>
      </c>
      <c r="AL1113">
        <v>1</v>
      </c>
      <c r="AM1113">
        <v>5</v>
      </c>
      <c r="AN1113">
        <v>2</v>
      </c>
      <c r="AO1113">
        <v>40</v>
      </c>
      <c r="AP1113">
        <v>36</v>
      </c>
      <c r="AQ1113">
        <v>3</v>
      </c>
      <c r="AR1113">
        <v>2</v>
      </c>
      <c r="AS1113">
        <v>3</v>
      </c>
      <c r="AT1113">
        <v>3</v>
      </c>
    </row>
    <row r="1114" spans="1:46">
      <c r="A1114">
        <v>22035</v>
      </c>
      <c r="B1114" t="s">
        <v>7177</v>
      </c>
      <c r="C1114" t="s">
        <v>7178</v>
      </c>
      <c r="D1114" t="s">
        <v>7179</v>
      </c>
      <c r="E1114" t="s">
        <v>7180</v>
      </c>
      <c r="F1114" t="s">
        <v>7181</v>
      </c>
      <c r="G1114" t="s">
        <v>7182</v>
      </c>
      <c r="H1114" t="s">
        <v>298</v>
      </c>
      <c r="J1114" t="s">
        <v>518</v>
      </c>
      <c r="K1114" t="s">
        <v>519</v>
      </c>
      <c r="M1114" t="s">
        <v>520</v>
      </c>
      <c r="N1114" t="s">
        <v>557</v>
      </c>
      <c r="O1114" t="s">
        <v>7183</v>
      </c>
      <c r="P1114" t="s">
        <v>572</v>
      </c>
      <c r="Q1114" t="s">
        <v>638</v>
      </c>
      <c r="R1114" t="s">
        <v>708</v>
      </c>
      <c r="S1114" t="s">
        <v>958</v>
      </c>
      <c r="T1114" t="s">
        <v>527</v>
      </c>
      <c r="U1114">
        <v>111801</v>
      </c>
      <c r="V1114" t="s">
        <v>7184</v>
      </c>
      <c r="W1114" t="s">
        <v>959</v>
      </c>
      <c r="X1114" t="s">
        <v>7094</v>
      </c>
      <c r="Y1114" t="s">
        <v>5187</v>
      </c>
      <c r="AA1114" t="s">
        <v>5188</v>
      </c>
      <c r="AE1114">
        <v>-36.257966779999997</v>
      </c>
      <c r="AF1114">
        <v>175.47230340999999</v>
      </c>
      <c r="AG1114">
        <v>30</v>
      </c>
      <c r="AH1114">
        <v>15</v>
      </c>
      <c r="AI1114">
        <v>3</v>
      </c>
      <c r="AJ1114">
        <v>3</v>
      </c>
      <c r="AK1114">
        <v>3</v>
      </c>
      <c r="AL1114">
        <v>0</v>
      </c>
      <c r="AM1114">
        <v>1</v>
      </c>
      <c r="AN1114">
        <v>0</v>
      </c>
      <c r="AO1114">
        <v>10</v>
      </c>
      <c r="AP1114">
        <v>9</v>
      </c>
      <c r="AQ1114">
        <v>3</v>
      </c>
      <c r="AR1114">
        <v>3</v>
      </c>
      <c r="AS1114">
        <v>1</v>
      </c>
      <c r="AT1114">
        <v>1</v>
      </c>
    </row>
    <row r="1115" spans="1:46">
      <c r="A1115">
        <v>22038</v>
      </c>
      <c r="B1115" t="s">
        <v>7185</v>
      </c>
      <c r="C1115" t="s">
        <v>7186</v>
      </c>
      <c r="D1115" t="s">
        <v>7187</v>
      </c>
      <c r="E1115" t="s">
        <v>7188</v>
      </c>
      <c r="F1115" t="s">
        <v>763</v>
      </c>
      <c r="G1115" t="s">
        <v>652</v>
      </c>
      <c r="H1115" t="s">
        <v>298</v>
      </c>
      <c r="J1115" t="s">
        <v>518</v>
      </c>
      <c r="K1115" t="s">
        <v>519</v>
      </c>
      <c r="M1115" t="s">
        <v>520</v>
      </c>
      <c r="N1115" t="s">
        <v>571</v>
      </c>
      <c r="O1115" t="s">
        <v>738</v>
      </c>
      <c r="P1115" t="s">
        <v>654</v>
      </c>
      <c r="Q1115" t="s">
        <v>638</v>
      </c>
      <c r="R1115" t="s">
        <v>639</v>
      </c>
      <c r="S1115" t="s">
        <v>756</v>
      </c>
      <c r="T1115" t="s">
        <v>527</v>
      </c>
      <c r="U1115">
        <v>126500</v>
      </c>
      <c r="V1115" t="s">
        <v>5799</v>
      </c>
      <c r="W1115" t="s">
        <v>741</v>
      </c>
      <c r="X1115" t="s">
        <v>7094</v>
      </c>
      <c r="Y1115" t="s">
        <v>5187</v>
      </c>
      <c r="AA1115" t="s">
        <v>5188</v>
      </c>
      <c r="AE1115">
        <v>-36.805876859999998</v>
      </c>
      <c r="AF1115">
        <v>174.72430815000001</v>
      </c>
      <c r="AG1115">
        <v>30</v>
      </c>
      <c r="AH1115">
        <v>15</v>
      </c>
      <c r="AI1115">
        <v>3</v>
      </c>
      <c r="AJ1115">
        <v>7</v>
      </c>
      <c r="AK1115">
        <v>9</v>
      </c>
      <c r="AL1115">
        <v>9</v>
      </c>
      <c r="AM1115">
        <v>12</v>
      </c>
      <c r="AN1115">
        <v>1</v>
      </c>
      <c r="AO1115">
        <v>41</v>
      </c>
      <c r="AP1115">
        <v>41</v>
      </c>
      <c r="AQ1115">
        <v>2</v>
      </c>
      <c r="AR1115">
        <v>1</v>
      </c>
      <c r="AS1115">
        <v>3</v>
      </c>
      <c r="AT1115">
        <v>2</v>
      </c>
    </row>
    <row r="1116" spans="1:46">
      <c r="A1116">
        <v>22039</v>
      </c>
      <c r="B1116" t="s">
        <v>7189</v>
      </c>
      <c r="C1116" t="s">
        <v>7190</v>
      </c>
      <c r="D1116" t="s">
        <v>7091</v>
      </c>
      <c r="E1116" t="s">
        <v>7191</v>
      </c>
      <c r="G1116" t="s">
        <v>7192</v>
      </c>
      <c r="H1116" t="s">
        <v>298</v>
      </c>
      <c r="J1116" t="s">
        <v>518</v>
      </c>
      <c r="K1116" t="s">
        <v>519</v>
      </c>
      <c r="M1116" t="s">
        <v>520</v>
      </c>
      <c r="N1116" t="s">
        <v>571</v>
      </c>
      <c r="O1116" t="s">
        <v>637</v>
      </c>
      <c r="P1116" t="s">
        <v>572</v>
      </c>
      <c r="Q1116" t="s">
        <v>638</v>
      </c>
      <c r="R1116" t="s">
        <v>639</v>
      </c>
      <c r="S1116" t="s">
        <v>668</v>
      </c>
      <c r="T1116" t="s">
        <v>527</v>
      </c>
      <c r="U1116">
        <v>115501</v>
      </c>
      <c r="V1116" t="s">
        <v>7192</v>
      </c>
      <c r="W1116" t="s">
        <v>641</v>
      </c>
      <c r="X1116" t="s">
        <v>7094</v>
      </c>
      <c r="Y1116" t="s">
        <v>5187</v>
      </c>
      <c r="AA1116" t="s">
        <v>5188</v>
      </c>
      <c r="AE1116">
        <v>-36.717030280000003</v>
      </c>
      <c r="AF1116">
        <v>174.64388357999999</v>
      </c>
      <c r="AG1116">
        <v>30</v>
      </c>
      <c r="AH1116">
        <v>20</v>
      </c>
      <c r="AI1116">
        <v>16</v>
      </c>
      <c r="AJ1116">
        <v>4</v>
      </c>
      <c r="AK1116">
        <v>7</v>
      </c>
      <c r="AL1116">
        <v>6</v>
      </c>
      <c r="AM1116">
        <v>6</v>
      </c>
      <c r="AN1116">
        <v>0</v>
      </c>
      <c r="AO1116">
        <v>39</v>
      </c>
      <c r="AP1116">
        <v>32</v>
      </c>
      <c r="AQ1116">
        <v>3</v>
      </c>
      <c r="AR1116">
        <v>0</v>
      </c>
      <c r="AS1116">
        <v>4</v>
      </c>
      <c r="AT1116">
        <v>3</v>
      </c>
    </row>
    <row r="1117" spans="1:46">
      <c r="A1117">
        <v>22041</v>
      </c>
      <c r="B1117" t="s">
        <v>7193</v>
      </c>
      <c r="C1117" t="s">
        <v>7194</v>
      </c>
      <c r="D1117" t="s">
        <v>7100</v>
      </c>
      <c r="E1117" t="s">
        <v>7195</v>
      </c>
      <c r="F1117" t="s">
        <v>3902</v>
      </c>
      <c r="G1117" t="s">
        <v>652</v>
      </c>
      <c r="H1117" t="s">
        <v>298</v>
      </c>
      <c r="J1117" t="s">
        <v>518</v>
      </c>
      <c r="K1117" t="s">
        <v>519</v>
      </c>
      <c r="M1117" t="s">
        <v>520</v>
      </c>
      <c r="N1117" t="s">
        <v>571</v>
      </c>
      <c r="O1117" t="s">
        <v>1168</v>
      </c>
      <c r="P1117" t="s">
        <v>654</v>
      </c>
      <c r="Q1117" t="s">
        <v>638</v>
      </c>
      <c r="R1117" t="s">
        <v>639</v>
      </c>
      <c r="S1117" t="s">
        <v>739</v>
      </c>
      <c r="T1117" t="s">
        <v>527</v>
      </c>
      <c r="U1117">
        <v>118900</v>
      </c>
      <c r="V1117" t="s">
        <v>3903</v>
      </c>
      <c r="W1117" t="s">
        <v>657</v>
      </c>
      <c r="X1117" t="s">
        <v>7094</v>
      </c>
      <c r="Y1117" t="s">
        <v>5187</v>
      </c>
      <c r="AA1117" t="s">
        <v>5188</v>
      </c>
      <c r="AE1117">
        <v>-36.774942160000002</v>
      </c>
      <c r="AF1117">
        <v>174.67252811</v>
      </c>
      <c r="AG1117">
        <v>30</v>
      </c>
      <c r="AH1117">
        <v>15</v>
      </c>
      <c r="AI1117">
        <v>16</v>
      </c>
      <c r="AJ1117">
        <v>8</v>
      </c>
      <c r="AK1117">
        <v>9</v>
      </c>
      <c r="AL1117">
        <v>7</v>
      </c>
      <c r="AM1117">
        <v>4</v>
      </c>
      <c r="AN1117">
        <v>0</v>
      </c>
      <c r="AO1117">
        <v>44</v>
      </c>
      <c r="AP1117">
        <v>38</v>
      </c>
      <c r="AQ1117">
        <v>4</v>
      </c>
      <c r="AR1117">
        <v>0</v>
      </c>
      <c r="AS1117">
        <v>5</v>
      </c>
      <c r="AT1117">
        <v>0</v>
      </c>
    </row>
    <row r="1118" spans="1:46">
      <c r="A1118">
        <v>22042</v>
      </c>
      <c r="B1118" t="s">
        <v>7196</v>
      </c>
      <c r="C1118" t="s">
        <v>7197</v>
      </c>
      <c r="D1118" t="s">
        <v>7100</v>
      </c>
      <c r="E1118" t="s">
        <v>7198</v>
      </c>
      <c r="G1118" t="s">
        <v>4196</v>
      </c>
      <c r="H1118" t="s">
        <v>298</v>
      </c>
      <c r="J1118" t="s">
        <v>518</v>
      </c>
      <c r="K1118" t="s">
        <v>519</v>
      </c>
      <c r="M1118" t="s">
        <v>520</v>
      </c>
      <c r="N1118" t="s">
        <v>571</v>
      </c>
      <c r="O1118" t="s">
        <v>637</v>
      </c>
      <c r="P1118" t="s">
        <v>540</v>
      </c>
      <c r="Q1118" t="s">
        <v>638</v>
      </c>
      <c r="R1118" t="s">
        <v>639</v>
      </c>
      <c r="S1118" t="s">
        <v>640</v>
      </c>
      <c r="T1118" t="s">
        <v>527</v>
      </c>
      <c r="U1118">
        <v>111601</v>
      </c>
      <c r="V1118" t="s">
        <v>4196</v>
      </c>
      <c r="W1118" t="s">
        <v>641</v>
      </c>
      <c r="X1118" t="s">
        <v>7094</v>
      </c>
      <c r="Y1118" t="s">
        <v>5187</v>
      </c>
      <c r="AA1118" t="s">
        <v>5188</v>
      </c>
      <c r="AE1118">
        <v>-36.632578129999999</v>
      </c>
      <c r="AF1118">
        <v>174.50002083999999</v>
      </c>
      <c r="AG1118">
        <v>29</v>
      </c>
      <c r="AH1118">
        <v>15</v>
      </c>
      <c r="AI1118">
        <v>4</v>
      </c>
      <c r="AJ1118">
        <v>3</v>
      </c>
      <c r="AK1118">
        <v>2</v>
      </c>
      <c r="AL1118">
        <v>3</v>
      </c>
      <c r="AM1118">
        <v>4</v>
      </c>
      <c r="AN1118">
        <v>0</v>
      </c>
      <c r="AO1118">
        <v>16</v>
      </c>
      <c r="AP1118">
        <v>16</v>
      </c>
      <c r="AQ1118">
        <v>0</v>
      </c>
      <c r="AR1118">
        <v>0</v>
      </c>
      <c r="AS1118">
        <v>0</v>
      </c>
      <c r="AT1118">
        <v>0</v>
      </c>
    </row>
    <row r="1119" spans="1:46">
      <c r="A1119">
        <v>22043</v>
      </c>
      <c r="B1119" t="s">
        <v>7199</v>
      </c>
      <c r="C1119" t="s">
        <v>7200</v>
      </c>
      <c r="D1119" t="s">
        <v>7100</v>
      </c>
      <c r="E1119" t="s">
        <v>7201</v>
      </c>
      <c r="F1119" t="s">
        <v>681</v>
      </c>
      <c r="G1119" t="s">
        <v>652</v>
      </c>
      <c r="H1119" t="s">
        <v>298</v>
      </c>
      <c r="J1119" t="s">
        <v>518</v>
      </c>
      <c r="K1119" t="s">
        <v>519</v>
      </c>
      <c r="M1119" t="s">
        <v>520</v>
      </c>
      <c r="N1119" t="s">
        <v>571</v>
      </c>
      <c r="O1119" t="s">
        <v>653</v>
      </c>
      <c r="P1119" t="s">
        <v>654</v>
      </c>
      <c r="Q1119" t="s">
        <v>638</v>
      </c>
      <c r="R1119" t="s">
        <v>639</v>
      </c>
      <c r="S1119" t="s">
        <v>682</v>
      </c>
      <c r="T1119" t="s">
        <v>527</v>
      </c>
      <c r="U1119">
        <v>122200</v>
      </c>
      <c r="V1119" t="s">
        <v>6037</v>
      </c>
      <c r="W1119" t="s">
        <v>657</v>
      </c>
      <c r="X1119" t="s">
        <v>7094</v>
      </c>
      <c r="Y1119" t="s">
        <v>5187</v>
      </c>
      <c r="AA1119" t="s">
        <v>5188</v>
      </c>
      <c r="AE1119">
        <v>-36.746454980000003</v>
      </c>
      <c r="AF1119">
        <v>174.75183029999999</v>
      </c>
      <c r="AG1119">
        <v>30</v>
      </c>
      <c r="AH1119">
        <v>15</v>
      </c>
      <c r="AI1119">
        <v>12</v>
      </c>
      <c r="AJ1119">
        <v>4</v>
      </c>
      <c r="AK1119">
        <v>13</v>
      </c>
      <c r="AL1119">
        <v>7</v>
      </c>
      <c r="AM1119">
        <v>5</v>
      </c>
      <c r="AN1119">
        <v>0</v>
      </c>
      <c r="AO1119">
        <v>41</v>
      </c>
      <c r="AP1119">
        <v>28</v>
      </c>
      <c r="AQ1119">
        <v>2</v>
      </c>
      <c r="AR1119">
        <v>2</v>
      </c>
      <c r="AS1119">
        <v>15</v>
      </c>
      <c r="AT1119">
        <v>3</v>
      </c>
    </row>
    <row r="1120" spans="1:46">
      <c r="A1120">
        <v>22044</v>
      </c>
      <c r="B1120" t="s">
        <v>7202</v>
      </c>
      <c r="C1120" t="s">
        <v>7203</v>
      </c>
      <c r="D1120" t="s">
        <v>7100</v>
      </c>
      <c r="E1120" t="s">
        <v>7204</v>
      </c>
      <c r="G1120" t="s">
        <v>5919</v>
      </c>
      <c r="H1120" t="s">
        <v>298</v>
      </c>
      <c r="J1120" t="s">
        <v>518</v>
      </c>
      <c r="K1120" t="s">
        <v>519</v>
      </c>
      <c r="M1120" t="s">
        <v>520</v>
      </c>
      <c r="N1120" t="s">
        <v>571</v>
      </c>
      <c r="O1120" t="s">
        <v>637</v>
      </c>
      <c r="P1120" t="s">
        <v>540</v>
      </c>
      <c r="Q1120" t="s">
        <v>638</v>
      </c>
      <c r="R1120" t="s">
        <v>639</v>
      </c>
      <c r="S1120" t="s">
        <v>640</v>
      </c>
      <c r="T1120" t="s">
        <v>527</v>
      </c>
      <c r="U1120">
        <v>110900</v>
      </c>
      <c r="V1120" t="s">
        <v>4934</v>
      </c>
      <c r="W1120" t="s">
        <v>641</v>
      </c>
      <c r="X1120" t="s">
        <v>7094</v>
      </c>
      <c r="Y1120" t="s">
        <v>5187</v>
      </c>
      <c r="AA1120" t="s">
        <v>5188</v>
      </c>
      <c r="AE1120">
        <v>-36.351992869999997</v>
      </c>
      <c r="AF1120">
        <v>174.71641704000001</v>
      </c>
      <c r="AG1120">
        <v>30</v>
      </c>
      <c r="AH1120">
        <v>15</v>
      </c>
      <c r="AI1120">
        <v>0</v>
      </c>
      <c r="AJ1120">
        <v>2</v>
      </c>
      <c r="AK1120">
        <v>4</v>
      </c>
      <c r="AL1120">
        <v>1</v>
      </c>
      <c r="AM1120">
        <v>2</v>
      </c>
      <c r="AN1120">
        <v>0</v>
      </c>
      <c r="AO1120">
        <v>9</v>
      </c>
      <c r="AP1120">
        <v>8</v>
      </c>
      <c r="AQ1120">
        <v>3</v>
      </c>
      <c r="AR1120">
        <v>1</v>
      </c>
      <c r="AS1120">
        <v>0</v>
      </c>
      <c r="AT1120">
        <v>0</v>
      </c>
    </row>
    <row r="1121" spans="1:46">
      <c r="A1121">
        <v>22045</v>
      </c>
      <c r="B1121" t="s">
        <v>7205</v>
      </c>
      <c r="C1121" t="s">
        <v>7206</v>
      </c>
      <c r="D1121" t="s">
        <v>7207</v>
      </c>
      <c r="E1121" t="s">
        <v>7208</v>
      </c>
      <c r="F1121" t="s">
        <v>836</v>
      </c>
      <c r="G1121" t="s">
        <v>652</v>
      </c>
      <c r="H1121" t="s">
        <v>298</v>
      </c>
      <c r="J1121" t="s">
        <v>518</v>
      </c>
      <c r="K1121" t="s">
        <v>519</v>
      </c>
      <c r="M1121" t="s">
        <v>520</v>
      </c>
      <c r="N1121" t="s">
        <v>571</v>
      </c>
      <c r="O1121" t="s">
        <v>748</v>
      </c>
      <c r="P1121" t="s">
        <v>654</v>
      </c>
      <c r="Q1121" t="s">
        <v>638</v>
      </c>
      <c r="R1121" t="s">
        <v>639</v>
      </c>
      <c r="S1121" t="s">
        <v>682</v>
      </c>
      <c r="T1121" t="s">
        <v>527</v>
      </c>
      <c r="U1121">
        <v>130700</v>
      </c>
      <c r="V1121" t="s">
        <v>5687</v>
      </c>
      <c r="W1121" t="s">
        <v>741</v>
      </c>
      <c r="X1121" t="s">
        <v>7094</v>
      </c>
      <c r="Y1121" t="s">
        <v>5187</v>
      </c>
      <c r="AA1121" t="s">
        <v>5188</v>
      </c>
      <c r="AC1121">
        <v>99048</v>
      </c>
      <c r="AD1121" t="s">
        <v>750</v>
      </c>
      <c r="AE1121">
        <v>-36.814315389999997</v>
      </c>
      <c r="AF1121">
        <v>174.79898519</v>
      </c>
      <c r="AG1121">
        <v>30</v>
      </c>
      <c r="AH1121">
        <v>15</v>
      </c>
      <c r="AI1121">
        <v>13</v>
      </c>
      <c r="AJ1121">
        <v>7</v>
      </c>
      <c r="AK1121">
        <v>3</v>
      </c>
      <c r="AL1121">
        <v>7</v>
      </c>
      <c r="AM1121">
        <v>4</v>
      </c>
      <c r="AN1121">
        <v>0</v>
      </c>
      <c r="AO1121">
        <v>34</v>
      </c>
      <c r="AP1121">
        <v>34</v>
      </c>
      <c r="AQ1121">
        <v>2</v>
      </c>
      <c r="AR1121">
        <v>1</v>
      </c>
      <c r="AS1121">
        <v>4</v>
      </c>
      <c r="AT1121">
        <v>0</v>
      </c>
    </row>
    <row r="1122" spans="1:46">
      <c r="A1122">
        <v>22047</v>
      </c>
      <c r="B1122" t="s">
        <v>7209</v>
      </c>
      <c r="C1122" t="s">
        <v>7210</v>
      </c>
      <c r="D1122" t="s">
        <v>7211</v>
      </c>
      <c r="E1122" t="s">
        <v>7212</v>
      </c>
      <c r="F1122" t="s">
        <v>756</v>
      </c>
      <c r="G1122" t="s">
        <v>652</v>
      </c>
      <c r="H1122" t="s">
        <v>298</v>
      </c>
      <c r="J1122" t="s">
        <v>518</v>
      </c>
      <c r="K1122" t="s">
        <v>519</v>
      </c>
      <c r="M1122" t="s">
        <v>520</v>
      </c>
      <c r="N1122" t="s">
        <v>571</v>
      </c>
      <c r="O1122" t="s">
        <v>738</v>
      </c>
      <c r="P1122" t="s">
        <v>654</v>
      </c>
      <c r="Q1122" t="s">
        <v>638</v>
      </c>
      <c r="R1122" t="s">
        <v>639</v>
      </c>
      <c r="S1122" t="s">
        <v>756</v>
      </c>
      <c r="T1122" t="s">
        <v>527</v>
      </c>
      <c r="U1122">
        <v>125600</v>
      </c>
      <c r="V1122" t="s">
        <v>6419</v>
      </c>
      <c r="W1122" t="s">
        <v>741</v>
      </c>
      <c r="X1122" t="s">
        <v>7094</v>
      </c>
      <c r="Y1122" t="s">
        <v>5187</v>
      </c>
      <c r="AA1122" t="s">
        <v>5188</v>
      </c>
      <c r="AE1122">
        <v>-36.791329849999997</v>
      </c>
      <c r="AF1122">
        <v>174.74173865</v>
      </c>
      <c r="AG1122">
        <v>28</v>
      </c>
      <c r="AH1122">
        <v>20</v>
      </c>
      <c r="AI1122">
        <v>26</v>
      </c>
      <c r="AJ1122">
        <v>5</v>
      </c>
      <c r="AK1122">
        <v>3</v>
      </c>
      <c r="AL1122">
        <v>3</v>
      </c>
      <c r="AM1122">
        <v>3</v>
      </c>
      <c r="AN1122">
        <v>1</v>
      </c>
      <c r="AO1122">
        <v>41</v>
      </c>
      <c r="AP1122">
        <v>35</v>
      </c>
      <c r="AQ1122">
        <v>7</v>
      </c>
      <c r="AR1122">
        <v>2</v>
      </c>
      <c r="AS1122">
        <v>8</v>
      </c>
      <c r="AT1122">
        <v>1</v>
      </c>
    </row>
    <row r="1123" spans="1:46">
      <c r="A1123">
        <v>22048</v>
      </c>
      <c r="B1123" t="s">
        <v>7213</v>
      </c>
      <c r="C1123" t="s">
        <v>7214</v>
      </c>
      <c r="D1123" t="s">
        <v>7215</v>
      </c>
      <c r="E1123" t="s">
        <v>7216</v>
      </c>
      <c r="G1123" t="s">
        <v>4132</v>
      </c>
      <c r="H1123" t="s">
        <v>298</v>
      </c>
      <c r="J1123" t="s">
        <v>518</v>
      </c>
      <c r="K1123" t="s">
        <v>519</v>
      </c>
      <c r="M1123" t="s">
        <v>520</v>
      </c>
      <c r="N1123" t="s">
        <v>571</v>
      </c>
      <c r="O1123" t="s">
        <v>653</v>
      </c>
      <c r="P1123" t="s">
        <v>584</v>
      </c>
      <c r="Q1123" t="s">
        <v>638</v>
      </c>
      <c r="R1123" t="s">
        <v>639</v>
      </c>
      <c r="S1123" t="s">
        <v>668</v>
      </c>
      <c r="T1123" t="s">
        <v>527</v>
      </c>
      <c r="U1123">
        <v>114000</v>
      </c>
      <c r="V1123" t="s">
        <v>4133</v>
      </c>
      <c r="W1123" t="s">
        <v>657</v>
      </c>
      <c r="X1123" t="s">
        <v>7094</v>
      </c>
      <c r="Y1123" t="s">
        <v>5187</v>
      </c>
      <c r="AA1123" t="s">
        <v>5188</v>
      </c>
      <c r="AE1123">
        <v>-36.605431439999997</v>
      </c>
      <c r="AF1123">
        <v>174.70137546000001</v>
      </c>
      <c r="AG1123">
        <v>30</v>
      </c>
      <c r="AH1123">
        <v>15</v>
      </c>
      <c r="AI1123">
        <v>12</v>
      </c>
      <c r="AJ1123">
        <v>13</v>
      </c>
      <c r="AK1123">
        <v>11</v>
      </c>
      <c r="AL1123">
        <v>9</v>
      </c>
      <c r="AM1123">
        <v>4</v>
      </c>
      <c r="AN1123">
        <v>1</v>
      </c>
      <c r="AO1123">
        <v>50</v>
      </c>
      <c r="AP1123">
        <v>42</v>
      </c>
      <c r="AQ1123">
        <v>6</v>
      </c>
      <c r="AR1123">
        <v>2</v>
      </c>
      <c r="AS1123">
        <v>7</v>
      </c>
      <c r="AT1123">
        <v>3</v>
      </c>
    </row>
    <row r="1124" spans="1:46">
      <c r="A1124">
        <v>22050</v>
      </c>
      <c r="B1124" t="s">
        <v>7217</v>
      </c>
      <c r="C1124" t="s">
        <v>7218</v>
      </c>
      <c r="D1124" t="s">
        <v>7100</v>
      </c>
      <c r="E1124" t="s">
        <v>7219</v>
      </c>
      <c r="G1124" t="s">
        <v>4509</v>
      </c>
      <c r="H1124" t="s">
        <v>298</v>
      </c>
      <c r="J1124" t="s">
        <v>518</v>
      </c>
      <c r="K1124" t="s">
        <v>519</v>
      </c>
      <c r="M1124" t="s">
        <v>520</v>
      </c>
      <c r="N1124" t="s">
        <v>571</v>
      </c>
      <c r="O1124" t="s">
        <v>653</v>
      </c>
      <c r="P1124" t="s">
        <v>584</v>
      </c>
      <c r="Q1124" t="s">
        <v>638</v>
      </c>
      <c r="R1124" t="s">
        <v>639</v>
      </c>
      <c r="S1124" t="s">
        <v>668</v>
      </c>
      <c r="T1124" t="s">
        <v>527</v>
      </c>
      <c r="U1124">
        <v>113800</v>
      </c>
      <c r="V1124" t="s">
        <v>7220</v>
      </c>
      <c r="W1124" t="s">
        <v>657</v>
      </c>
      <c r="X1124" t="s">
        <v>7094</v>
      </c>
      <c r="Y1124" t="s">
        <v>5187</v>
      </c>
      <c r="AA1124" t="s">
        <v>5188</v>
      </c>
      <c r="AE1124">
        <v>-36.61594023</v>
      </c>
      <c r="AF1124">
        <v>174.67805440000001</v>
      </c>
      <c r="AG1124">
        <v>30</v>
      </c>
      <c r="AH1124">
        <v>15</v>
      </c>
      <c r="AI1124">
        <v>32</v>
      </c>
      <c r="AJ1124">
        <v>10</v>
      </c>
      <c r="AK1124">
        <v>3</v>
      </c>
      <c r="AL1124">
        <v>4</v>
      </c>
      <c r="AM1124">
        <v>6</v>
      </c>
      <c r="AN1124">
        <v>1</v>
      </c>
      <c r="AO1124">
        <v>56</v>
      </c>
      <c r="AP1124">
        <v>52</v>
      </c>
      <c r="AQ1124">
        <v>9</v>
      </c>
      <c r="AR1124">
        <v>2</v>
      </c>
      <c r="AS1124">
        <v>4</v>
      </c>
      <c r="AT1124">
        <v>0</v>
      </c>
    </row>
    <row r="1125" spans="1:46">
      <c r="A1125">
        <v>22051</v>
      </c>
      <c r="B1125" t="s">
        <v>7221</v>
      </c>
      <c r="C1125" t="s">
        <v>7222</v>
      </c>
      <c r="D1125" t="s">
        <v>7223</v>
      </c>
      <c r="E1125" t="s">
        <v>7224</v>
      </c>
      <c r="F1125" t="s">
        <v>1177</v>
      </c>
      <c r="G1125" t="s">
        <v>652</v>
      </c>
      <c r="H1125" t="s">
        <v>298</v>
      </c>
      <c r="J1125" t="s">
        <v>518</v>
      </c>
      <c r="K1125" t="s">
        <v>519</v>
      </c>
      <c r="M1125" t="s">
        <v>520</v>
      </c>
      <c r="N1125" t="s">
        <v>571</v>
      </c>
      <c r="O1125" t="s">
        <v>748</v>
      </c>
      <c r="P1125" t="s">
        <v>654</v>
      </c>
      <c r="Q1125" t="s">
        <v>638</v>
      </c>
      <c r="R1125" t="s">
        <v>639</v>
      </c>
      <c r="S1125" t="s">
        <v>682</v>
      </c>
      <c r="T1125" t="s">
        <v>527</v>
      </c>
      <c r="U1125">
        <v>126601</v>
      </c>
      <c r="V1125" t="s">
        <v>6130</v>
      </c>
      <c r="W1125" t="s">
        <v>741</v>
      </c>
      <c r="X1125" t="s">
        <v>7094</v>
      </c>
      <c r="Y1125" t="s">
        <v>5187</v>
      </c>
      <c r="AA1125" t="s">
        <v>5188</v>
      </c>
      <c r="AE1125">
        <v>-36.789473870000002</v>
      </c>
      <c r="AF1125">
        <v>174.7681493</v>
      </c>
      <c r="AG1125">
        <v>30</v>
      </c>
      <c r="AH1125">
        <v>15</v>
      </c>
      <c r="AI1125">
        <v>24</v>
      </c>
      <c r="AJ1125">
        <v>4</v>
      </c>
      <c r="AK1125">
        <v>4</v>
      </c>
      <c r="AL1125">
        <v>2</v>
      </c>
      <c r="AM1125">
        <v>0</v>
      </c>
      <c r="AN1125">
        <v>0</v>
      </c>
      <c r="AO1125">
        <v>34</v>
      </c>
      <c r="AP1125">
        <v>25</v>
      </c>
      <c r="AQ1125">
        <v>3</v>
      </c>
      <c r="AR1125">
        <v>0</v>
      </c>
      <c r="AS1125">
        <v>10</v>
      </c>
      <c r="AT1125">
        <v>2</v>
      </c>
    </row>
    <row r="1126" spans="1:46">
      <c r="A1126">
        <v>22052</v>
      </c>
      <c r="B1126" t="s">
        <v>7225</v>
      </c>
      <c r="C1126" t="s">
        <v>7226</v>
      </c>
      <c r="D1126" t="s">
        <v>7227</v>
      </c>
      <c r="E1126" t="s">
        <v>7228</v>
      </c>
      <c r="F1126" t="s">
        <v>836</v>
      </c>
      <c r="G1126" t="s">
        <v>652</v>
      </c>
      <c r="H1126" t="s">
        <v>298</v>
      </c>
      <c r="J1126" t="s">
        <v>518</v>
      </c>
      <c r="K1126" t="s">
        <v>519</v>
      </c>
      <c r="M1126" t="s">
        <v>520</v>
      </c>
      <c r="N1126" t="s">
        <v>571</v>
      </c>
      <c r="O1126" t="s">
        <v>748</v>
      </c>
      <c r="P1126" t="s">
        <v>654</v>
      </c>
      <c r="Q1126" t="s">
        <v>638</v>
      </c>
      <c r="R1126" t="s">
        <v>639</v>
      </c>
      <c r="S1126" t="s">
        <v>682</v>
      </c>
      <c r="T1126" t="s">
        <v>527</v>
      </c>
      <c r="U1126">
        <v>133000</v>
      </c>
      <c r="V1126" t="s">
        <v>836</v>
      </c>
      <c r="W1126" t="s">
        <v>741</v>
      </c>
      <c r="X1126" t="s">
        <v>7094</v>
      </c>
      <c r="Y1126" t="s">
        <v>5187</v>
      </c>
      <c r="AA1126" t="s">
        <v>5188</v>
      </c>
      <c r="AE1126">
        <v>-36.828433099999998</v>
      </c>
      <c r="AF1126">
        <v>174.79868458000001</v>
      </c>
      <c r="AG1126">
        <v>29</v>
      </c>
      <c r="AH1126">
        <v>10</v>
      </c>
      <c r="AI1126">
        <v>1</v>
      </c>
      <c r="AJ1126">
        <v>6</v>
      </c>
      <c r="AK1126">
        <v>7</v>
      </c>
      <c r="AL1126">
        <v>3</v>
      </c>
      <c r="AM1126">
        <v>6</v>
      </c>
      <c r="AN1126">
        <v>0</v>
      </c>
      <c r="AO1126">
        <v>23</v>
      </c>
      <c r="AP1126">
        <v>21</v>
      </c>
      <c r="AQ1126">
        <v>3</v>
      </c>
      <c r="AR1126">
        <v>0</v>
      </c>
      <c r="AS1126">
        <v>0</v>
      </c>
      <c r="AT1126">
        <v>2</v>
      </c>
    </row>
    <row r="1127" spans="1:46">
      <c r="A1127">
        <v>22053</v>
      </c>
      <c r="B1127" t="s">
        <v>7229</v>
      </c>
      <c r="C1127" t="s">
        <v>7230</v>
      </c>
      <c r="D1127" t="s">
        <v>7100</v>
      </c>
      <c r="E1127" t="s">
        <v>7231</v>
      </c>
      <c r="F1127" t="s">
        <v>651</v>
      </c>
      <c r="G1127" t="s">
        <v>652</v>
      </c>
      <c r="H1127" t="s">
        <v>298</v>
      </c>
      <c r="J1127" t="s">
        <v>518</v>
      </c>
      <c r="K1127" t="s">
        <v>519</v>
      </c>
      <c r="M1127" t="s">
        <v>520</v>
      </c>
      <c r="N1127" t="s">
        <v>571</v>
      </c>
      <c r="O1127" t="s">
        <v>653</v>
      </c>
      <c r="P1127" t="s">
        <v>654</v>
      </c>
      <c r="Q1127" t="s">
        <v>638</v>
      </c>
      <c r="R1127" t="s">
        <v>639</v>
      </c>
      <c r="S1127" t="s">
        <v>655</v>
      </c>
      <c r="T1127" t="s">
        <v>527</v>
      </c>
      <c r="U1127">
        <v>117201</v>
      </c>
      <c r="V1127" t="s">
        <v>7232</v>
      </c>
      <c r="W1127" t="s">
        <v>657</v>
      </c>
      <c r="X1127" t="s">
        <v>7094</v>
      </c>
      <c r="Y1127" t="s">
        <v>5187</v>
      </c>
      <c r="AA1127" t="s">
        <v>5188</v>
      </c>
      <c r="AE1127">
        <v>-36.695515839999999</v>
      </c>
      <c r="AF1127">
        <v>174.75036545</v>
      </c>
      <c r="AG1127">
        <v>29</v>
      </c>
      <c r="AH1127">
        <v>15</v>
      </c>
      <c r="AI1127">
        <v>11</v>
      </c>
      <c r="AJ1127">
        <v>4</v>
      </c>
      <c r="AK1127">
        <v>10</v>
      </c>
      <c r="AL1127">
        <v>3</v>
      </c>
      <c r="AM1127">
        <v>6</v>
      </c>
      <c r="AN1127">
        <v>4</v>
      </c>
      <c r="AO1127">
        <v>38</v>
      </c>
      <c r="AP1127">
        <v>30</v>
      </c>
      <c r="AQ1127">
        <v>0</v>
      </c>
      <c r="AR1127">
        <v>1</v>
      </c>
      <c r="AS1127">
        <v>10</v>
      </c>
      <c r="AT1127">
        <v>0</v>
      </c>
    </row>
    <row r="1128" spans="1:46">
      <c r="A1128">
        <v>22055</v>
      </c>
      <c r="B1128" t="s">
        <v>7233</v>
      </c>
      <c r="C1128" t="s">
        <v>7234</v>
      </c>
      <c r="D1128" t="s">
        <v>7235</v>
      </c>
      <c r="E1128" t="s">
        <v>7236</v>
      </c>
      <c r="F1128" t="s">
        <v>7237</v>
      </c>
      <c r="G1128" t="s">
        <v>3763</v>
      </c>
      <c r="H1128" t="s">
        <v>298</v>
      </c>
      <c r="J1128" t="s">
        <v>518</v>
      </c>
      <c r="K1128" t="s">
        <v>519</v>
      </c>
      <c r="M1128" t="s">
        <v>520</v>
      </c>
      <c r="N1128" t="s">
        <v>571</v>
      </c>
      <c r="O1128" t="s">
        <v>3764</v>
      </c>
      <c r="P1128" t="s">
        <v>523</v>
      </c>
      <c r="Q1128" t="s">
        <v>638</v>
      </c>
      <c r="R1128" t="s">
        <v>708</v>
      </c>
      <c r="S1128" t="s">
        <v>958</v>
      </c>
      <c r="T1128" t="s">
        <v>709</v>
      </c>
      <c r="U1128">
        <v>148700</v>
      </c>
      <c r="V1128" t="s">
        <v>7237</v>
      </c>
      <c r="W1128" t="s">
        <v>959</v>
      </c>
      <c r="X1128" t="s">
        <v>6816</v>
      </c>
      <c r="Y1128" t="s">
        <v>5187</v>
      </c>
      <c r="AA1128" t="s">
        <v>5188</v>
      </c>
      <c r="AB1128" t="s">
        <v>6817</v>
      </c>
      <c r="AC1128">
        <v>99088</v>
      </c>
      <c r="AD1128" t="s">
        <v>3765</v>
      </c>
      <c r="AE1128">
        <v>-36.800511999999998</v>
      </c>
      <c r="AF1128">
        <v>175.04436505999999</v>
      </c>
      <c r="AG1128">
        <v>30</v>
      </c>
      <c r="AH1128">
        <v>15</v>
      </c>
      <c r="AI1128">
        <v>7</v>
      </c>
      <c r="AJ1128">
        <v>5</v>
      </c>
      <c r="AK1128">
        <v>9</v>
      </c>
      <c r="AL1128">
        <v>3</v>
      </c>
      <c r="AM1128">
        <v>7</v>
      </c>
      <c r="AN1128">
        <v>0</v>
      </c>
      <c r="AO1128">
        <v>31</v>
      </c>
      <c r="AP1128">
        <v>28</v>
      </c>
      <c r="AQ1128">
        <v>3</v>
      </c>
      <c r="AR1128">
        <v>1</v>
      </c>
      <c r="AS1128">
        <v>2</v>
      </c>
      <c r="AT1128">
        <v>6</v>
      </c>
    </row>
    <row r="1129" spans="1:46">
      <c r="A1129">
        <v>22056</v>
      </c>
      <c r="B1129" t="s">
        <v>7238</v>
      </c>
      <c r="C1129" t="s">
        <v>7239</v>
      </c>
      <c r="D1129" t="s">
        <v>7100</v>
      </c>
      <c r="E1129" t="s">
        <v>7240</v>
      </c>
      <c r="G1129" t="s">
        <v>675</v>
      </c>
      <c r="H1129" t="s">
        <v>298</v>
      </c>
      <c r="J1129" t="s">
        <v>518</v>
      </c>
      <c r="K1129" t="s">
        <v>519</v>
      </c>
      <c r="M1129" t="s">
        <v>520</v>
      </c>
      <c r="N1129" t="s">
        <v>571</v>
      </c>
      <c r="O1129" t="s">
        <v>637</v>
      </c>
      <c r="P1129" t="s">
        <v>523</v>
      </c>
      <c r="Q1129" t="s">
        <v>638</v>
      </c>
      <c r="R1129" t="s">
        <v>639</v>
      </c>
      <c r="S1129" t="s">
        <v>640</v>
      </c>
      <c r="T1129" t="s">
        <v>527</v>
      </c>
      <c r="U1129">
        <v>111300</v>
      </c>
      <c r="V1129" t="s">
        <v>6869</v>
      </c>
      <c r="W1129" t="s">
        <v>641</v>
      </c>
      <c r="X1129" t="s">
        <v>7094</v>
      </c>
      <c r="Y1129" t="s">
        <v>5187</v>
      </c>
      <c r="AA1129" t="s">
        <v>5188</v>
      </c>
      <c r="AE1129">
        <v>-36.401673209999998</v>
      </c>
      <c r="AF1129">
        <v>174.66386348</v>
      </c>
      <c r="AG1129">
        <v>30</v>
      </c>
      <c r="AH1129">
        <v>15</v>
      </c>
      <c r="AI1129">
        <v>12</v>
      </c>
      <c r="AJ1129">
        <v>4</v>
      </c>
      <c r="AK1129">
        <v>7</v>
      </c>
      <c r="AL1129">
        <v>3</v>
      </c>
      <c r="AM1129">
        <v>2</v>
      </c>
      <c r="AN1129">
        <v>1</v>
      </c>
      <c r="AO1129">
        <v>29</v>
      </c>
      <c r="AP1129">
        <v>26</v>
      </c>
      <c r="AQ1129">
        <v>2</v>
      </c>
      <c r="AR1129">
        <v>1</v>
      </c>
      <c r="AS1129">
        <v>1</v>
      </c>
      <c r="AT1129">
        <v>1</v>
      </c>
    </row>
    <row r="1130" spans="1:46">
      <c r="A1130">
        <v>22057</v>
      </c>
      <c r="B1130" t="s">
        <v>7241</v>
      </c>
      <c r="C1130" t="s">
        <v>7242</v>
      </c>
      <c r="D1130" t="s">
        <v>7100</v>
      </c>
      <c r="E1130" t="s">
        <v>7243</v>
      </c>
      <c r="G1130" t="s">
        <v>3623</v>
      </c>
      <c r="H1130" t="s">
        <v>298</v>
      </c>
      <c r="J1130" t="s">
        <v>518</v>
      </c>
      <c r="K1130" t="s">
        <v>519</v>
      </c>
      <c r="M1130" t="s">
        <v>520</v>
      </c>
      <c r="N1130" t="s">
        <v>571</v>
      </c>
      <c r="O1130" t="s">
        <v>653</v>
      </c>
      <c r="P1130" t="s">
        <v>584</v>
      </c>
      <c r="Q1130" t="s">
        <v>638</v>
      </c>
      <c r="R1130" t="s">
        <v>639</v>
      </c>
      <c r="S1130" t="s">
        <v>668</v>
      </c>
      <c r="T1130" t="s">
        <v>527</v>
      </c>
      <c r="U1130">
        <v>115200</v>
      </c>
      <c r="V1130" t="s">
        <v>7244</v>
      </c>
      <c r="W1130" t="s">
        <v>657</v>
      </c>
      <c r="X1130" t="s">
        <v>7094</v>
      </c>
      <c r="Y1130" t="s">
        <v>5187</v>
      </c>
      <c r="AA1130" t="s">
        <v>5188</v>
      </c>
      <c r="AE1130">
        <v>-36.63203197</v>
      </c>
      <c r="AF1130">
        <v>174.74910659</v>
      </c>
      <c r="AG1130">
        <v>30</v>
      </c>
      <c r="AH1130">
        <v>15</v>
      </c>
      <c r="AI1130">
        <v>6</v>
      </c>
      <c r="AJ1130">
        <v>7</v>
      </c>
      <c r="AK1130">
        <v>10</v>
      </c>
      <c r="AL1130">
        <v>7</v>
      </c>
      <c r="AM1130">
        <v>7</v>
      </c>
      <c r="AN1130">
        <v>1</v>
      </c>
      <c r="AO1130">
        <v>38</v>
      </c>
      <c r="AP1130">
        <v>38</v>
      </c>
      <c r="AQ1130">
        <v>8</v>
      </c>
      <c r="AR1130">
        <v>0</v>
      </c>
      <c r="AS1130">
        <v>2</v>
      </c>
      <c r="AT1130">
        <v>2</v>
      </c>
    </row>
    <row r="1131" spans="1:46">
      <c r="A1131">
        <v>22058</v>
      </c>
      <c r="B1131" t="s">
        <v>7245</v>
      </c>
      <c r="C1131" t="s">
        <v>7246</v>
      </c>
      <c r="D1131" t="s">
        <v>7091</v>
      </c>
      <c r="E1131" t="s">
        <v>7247</v>
      </c>
      <c r="F1131" t="s">
        <v>737</v>
      </c>
      <c r="G1131" t="s">
        <v>652</v>
      </c>
      <c r="H1131" t="s">
        <v>298</v>
      </c>
      <c r="J1131" t="s">
        <v>518</v>
      </c>
      <c r="K1131" t="s">
        <v>519</v>
      </c>
      <c r="M1131" t="s">
        <v>520</v>
      </c>
      <c r="N1131" t="s">
        <v>571</v>
      </c>
      <c r="O1131" t="s">
        <v>738</v>
      </c>
      <c r="P1131" t="s">
        <v>654</v>
      </c>
      <c r="Q1131" t="s">
        <v>638</v>
      </c>
      <c r="R1131" t="s">
        <v>639</v>
      </c>
      <c r="S1131" t="s">
        <v>756</v>
      </c>
      <c r="T1131" t="s">
        <v>527</v>
      </c>
      <c r="U1131">
        <v>123300</v>
      </c>
      <c r="V1131" t="s">
        <v>7248</v>
      </c>
      <c r="W1131" t="s">
        <v>741</v>
      </c>
      <c r="X1131" t="s">
        <v>7094</v>
      </c>
      <c r="Y1131" t="s">
        <v>5187</v>
      </c>
      <c r="AA1131" t="s">
        <v>5188</v>
      </c>
      <c r="AE1131">
        <v>-36.78748942</v>
      </c>
      <c r="AF1131">
        <v>174.71167453999999</v>
      </c>
      <c r="AG1131">
        <v>30</v>
      </c>
      <c r="AH1131">
        <v>15</v>
      </c>
      <c r="AI1131">
        <v>18</v>
      </c>
      <c r="AJ1131">
        <v>3</v>
      </c>
      <c r="AK1131">
        <v>8</v>
      </c>
      <c r="AL1131">
        <v>4</v>
      </c>
      <c r="AM1131">
        <v>2</v>
      </c>
      <c r="AN1131">
        <v>2</v>
      </c>
      <c r="AO1131">
        <v>37</v>
      </c>
      <c r="AP1131">
        <v>31</v>
      </c>
      <c r="AQ1131">
        <v>9</v>
      </c>
      <c r="AR1131">
        <v>4</v>
      </c>
      <c r="AS1131">
        <v>8</v>
      </c>
      <c r="AT1131">
        <v>1</v>
      </c>
    </row>
    <row r="1132" spans="1:46">
      <c r="A1132">
        <v>22059</v>
      </c>
      <c r="B1132" t="s">
        <v>7249</v>
      </c>
      <c r="C1132" t="s">
        <v>7250</v>
      </c>
      <c r="E1132" t="s">
        <v>7251</v>
      </c>
      <c r="F1132" t="s">
        <v>803</v>
      </c>
      <c r="G1132" t="s">
        <v>652</v>
      </c>
      <c r="H1132" t="s">
        <v>298</v>
      </c>
      <c r="J1132" t="s">
        <v>518</v>
      </c>
      <c r="K1132" t="s">
        <v>519</v>
      </c>
      <c r="M1132" t="s">
        <v>520</v>
      </c>
      <c r="N1132" t="s">
        <v>571</v>
      </c>
      <c r="O1132" t="s">
        <v>804</v>
      </c>
      <c r="P1132" t="s">
        <v>654</v>
      </c>
      <c r="Q1132" t="s">
        <v>638</v>
      </c>
      <c r="R1132" t="s">
        <v>708</v>
      </c>
      <c r="S1132" t="s">
        <v>805</v>
      </c>
      <c r="T1132" t="s">
        <v>709</v>
      </c>
      <c r="U1132">
        <v>144400</v>
      </c>
      <c r="V1132" t="s">
        <v>806</v>
      </c>
      <c r="W1132" t="s">
        <v>807</v>
      </c>
      <c r="X1132" t="s">
        <v>6816</v>
      </c>
      <c r="Y1132" t="s">
        <v>5187</v>
      </c>
      <c r="AA1132" t="s">
        <v>5188</v>
      </c>
      <c r="AB1132" t="s">
        <v>6817</v>
      </c>
      <c r="AE1132">
        <v>-36.894396229999998</v>
      </c>
      <c r="AF1132">
        <v>174.82093942</v>
      </c>
      <c r="AG1132">
        <v>25</v>
      </c>
      <c r="AH1132">
        <v>20</v>
      </c>
      <c r="AI1132">
        <v>19</v>
      </c>
      <c r="AJ1132">
        <v>27</v>
      </c>
      <c r="AK1132">
        <v>13</v>
      </c>
      <c r="AL1132">
        <v>6</v>
      </c>
      <c r="AM1132">
        <v>4</v>
      </c>
      <c r="AN1132">
        <v>0</v>
      </c>
      <c r="AO1132">
        <v>69</v>
      </c>
      <c r="AP1132">
        <v>60</v>
      </c>
      <c r="AQ1132">
        <v>1</v>
      </c>
      <c r="AR1132">
        <v>1</v>
      </c>
      <c r="AS1132">
        <v>8</v>
      </c>
      <c r="AT1132">
        <v>6</v>
      </c>
    </row>
    <row r="1133" spans="1:46">
      <c r="A1133">
        <v>22060</v>
      </c>
      <c r="B1133" t="s">
        <v>7252</v>
      </c>
      <c r="C1133" t="s">
        <v>7143</v>
      </c>
      <c r="D1133" t="s">
        <v>7131</v>
      </c>
      <c r="E1133" t="s">
        <v>7253</v>
      </c>
      <c r="F1133" t="s">
        <v>879</v>
      </c>
      <c r="G1133" t="s">
        <v>652</v>
      </c>
      <c r="H1133" t="s">
        <v>298</v>
      </c>
      <c r="J1133" t="s">
        <v>518</v>
      </c>
      <c r="K1133" t="s">
        <v>519</v>
      </c>
      <c r="M1133" t="s">
        <v>520</v>
      </c>
      <c r="N1133" t="s">
        <v>539</v>
      </c>
      <c r="O1133" t="s">
        <v>829</v>
      </c>
      <c r="P1133" t="s">
        <v>654</v>
      </c>
      <c r="Q1133" t="s">
        <v>638</v>
      </c>
      <c r="R1133" t="s">
        <v>708</v>
      </c>
      <c r="S1133" t="s">
        <v>880</v>
      </c>
      <c r="T1133" t="s">
        <v>709</v>
      </c>
      <c r="U1133">
        <v>145800</v>
      </c>
      <c r="V1133" t="s">
        <v>881</v>
      </c>
      <c r="W1133" t="s">
        <v>807</v>
      </c>
      <c r="X1133" t="s">
        <v>6816</v>
      </c>
      <c r="Y1133" t="s">
        <v>5187</v>
      </c>
      <c r="AA1133" t="s">
        <v>5188</v>
      </c>
      <c r="AB1133" t="s">
        <v>6817</v>
      </c>
      <c r="AE1133">
        <v>-36.877776079999997</v>
      </c>
      <c r="AF1133">
        <v>174.86845335999999</v>
      </c>
      <c r="AG1133">
        <v>25</v>
      </c>
      <c r="AH1133">
        <v>15</v>
      </c>
      <c r="AI1133">
        <v>10</v>
      </c>
      <c r="AJ1133">
        <v>6</v>
      </c>
      <c r="AK1133">
        <v>6</v>
      </c>
      <c r="AL1133">
        <v>3</v>
      </c>
      <c r="AM1133">
        <v>5</v>
      </c>
      <c r="AN1133">
        <v>0</v>
      </c>
      <c r="AO1133">
        <v>30</v>
      </c>
      <c r="AP1133">
        <v>25</v>
      </c>
      <c r="AQ1133">
        <v>4</v>
      </c>
      <c r="AR1133">
        <v>4</v>
      </c>
      <c r="AS1133">
        <v>7</v>
      </c>
      <c r="AT1133">
        <v>3</v>
      </c>
    </row>
    <row r="1134" spans="1:46">
      <c r="A1134">
        <v>22061</v>
      </c>
      <c r="B1134" t="s">
        <v>7254</v>
      </c>
      <c r="C1134" t="s">
        <v>7255</v>
      </c>
      <c r="D1134" t="s">
        <v>6813</v>
      </c>
      <c r="E1134" t="s">
        <v>7256</v>
      </c>
      <c r="F1134" t="s">
        <v>1029</v>
      </c>
      <c r="G1134" t="s">
        <v>652</v>
      </c>
      <c r="H1134" t="s">
        <v>298</v>
      </c>
      <c r="J1134" t="s">
        <v>518</v>
      </c>
      <c r="K1134" t="s">
        <v>519</v>
      </c>
      <c r="M1134" t="s">
        <v>520</v>
      </c>
      <c r="N1134" t="s">
        <v>557</v>
      </c>
      <c r="O1134" t="s">
        <v>829</v>
      </c>
      <c r="P1134" t="s">
        <v>654</v>
      </c>
      <c r="Q1134" t="s">
        <v>638</v>
      </c>
      <c r="R1134" t="s">
        <v>708</v>
      </c>
      <c r="S1134" t="s">
        <v>805</v>
      </c>
      <c r="T1134" t="s">
        <v>709</v>
      </c>
      <c r="U1134">
        <v>146201</v>
      </c>
      <c r="V1134" t="s">
        <v>5199</v>
      </c>
      <c r="W1134" t="s">
        <v>807</v>
      </c>
      <c r="X1134" t="s">
        <v>6816</v>
      </c>
      <c r="Y1134" t="s">
        <v>5187</v>
      </c>
      <c r="AA1134" t="s">
        <v>5188</v>
      </c>
      <c r="AB1134" t="s">
        <v>6817</v>
      </c>
      <c r="AE1134">
        <v>-36.90683567</v>
      </c>
      <c r="AF1134">
        <v>174.82942345999999</v>
      </c>
      <c r="AG1134">
        <v>30</v>
      </c>
      <c r="AH1134">
        <v>20</v>
      </c>
      <c r="AI1134">
        <v>25</v>
      </c>
      <c r="AJ1134">
        <v>8</v>
      </c>
      <c r="AK1134">
        <v>5</v>
      </c>
      <c r="AL1134">
        <v>2</v>
      </c>
      <c r="AM1134">
        <v>4</v>
      </c>
      <c r="AN1134">
        <v>0</v>
      </c>
      <c r="AO1134">
        <v>44</v>
      </c>
      <c r="AP1134">
        <v>37</v>
      </c>
      <c r="AQ1134">
        <v>3</v>
      </c>
      <c r="AR1134">
        <v>3</v>
      </c>
      <c r="AS1134">
        <v>7</v>
      </c>
      <c r="AT1134">
        <v>1</v>
      </c>
    </row>
    <row r="1135" spans="1:46">
      <c r="A1135">
        <v>25000</v>
      </c>
      <c r="B1135" t="s">
        <v>7257</v>
      </c>
      <c r="C1135" t="s">
        <v>7258</v>
      </c>
      <c r="D1135" t="s">
        <v>7259</v>
      </c>
      <c r="E1135" t="s">
        <v>7260</v>
      </c>
      <c r="F1135" t="s">
        <v>803</v>
      </c>
      <c r="G1135" t="s">
        <v>652</v>
      </c>
      <c r="H1135" t="s">
        <v>3942</v>
      </c>
      <c r="J1135" t="s">
        <v>3962</v>
      </c>
      <c r="K1135" t="s">
        <v>519</v>
      </c>
      <c r="M1135" t="s">
        <v>520</v>
      </c>
      <c r="N1135" t="s">
        <v>571</v>
      </c>
      <c r="O1135" t="s">
        <v>829</v>
      </c>
      <c r="P1135" t="s">
        <v>654</v>
      </c>
      <c r="Q1135" t="s">
        <v>638</v>
      </c>
      <c r="R1135" t="s">
        <v>708</v>
      </c>
      <c r="S1135" t="s">
        <v>805</v>
      </c>
      <c r="T1135" t="s">
        <v>709</v>
      </c>
      <c r="U1135">
        <v>144201</v>
      </c>
      <c r="V1135" t="s">
        <v>7261</v>
      </c>
      <c r="W1135" t="s">
        <v>807</v>
      </c>
      <c r="X1135" t="s">
        <v>7262</v>
      </c>
      <c r="Y1135" t="s">
        <v>4658</v>
      </c>
      <c r="Z1135" t="s">
        <v>958</v>
      </c>
      <c r="AA1135" t="s">
        <v>4659</v>
      </c>
      <c r="AB1135" t="s">
        <v>7263</v>
      </c>
      <c r="AE1135">
        <v>-36.901806809999997</v>
      </c>
      <c r="AF1135">
        <v>174.80688411</v>
      </c>
      <c r="AG1135">
        <v>50</v>
      </c>
      <c r="AH1135">
        <v>10</v>
      </c>
      <c r="AI1135">
        <v>2</v>
      </c>
      <c r="AJ1135">
        <v>6</v>
      </c>
      <c r="AK1135">
        <v>5</v>
      </c>
      <c r="AL1135">
        <v>3</v>
      </c>
      <c r="AM1135">
        <v>5</v>
      </c>
      <c r="AN1135">
        <v>0</v>
      </c>
      <c r="AO1135">
        <v>21</v>
      </c>
      <c r="AP1135">
        <v>5</v>
      </c>
      <c r="AQ1135">
        <v>1</v>
      </c>
      <c r="AR1135">
        <v>4</v>
      </c>
      <c r="AS1135">
        <v>18</v>
      </c>
      <c r="AT1135">
        <v>4</v>
      </c>
    </row>
    <row r="1136" spans="1:46">
      <c r="A1136">
        <v>25003</v>
      </c>
      <c r="B1136" t="s">
        <v>7264</v>
      </c>
      <c r="C1136" t="s">
        <v>7265</v>
      </c>
      <c r="D1136" t="s">
        <v>7266</v>
      </c>
      <c r="E1136" t="s">
        <v>7267</v>
      </c>
      <c r="F1136" t="s">
        <v>5018</v>
      </c>
      <c r="G1136" t="s">
        <v>652</v>
      </c>
      <c r="H1136" t="s">
        <v>3942</v>
      </c>
      <c r="J1136" t="s">
        <v>3962</v>
      </c>
      <c r="K1136" t="s">
        <v>519</v>
      </c>
      <c r="M1136" t="s">
        <v>520</v>
      </c>
      <c r="N1136" t="s">
        <v>571</v>
      </c>
      <c r="O1136" t="s">
        <v>1268</v>
      </c>
      <c r="P1136" t="s">
        <v>654</v>
      </c>
      <c r="Q1136" t="s">
        <v>638</v>
      </c>
      <c r="R1136" t="s">
        <v>729</v>
      </c>
      <c r="S1136" t="s">
        <v>1234</v>
      </c>
      <c r="T1136" t="s">
        <v>1235</v>
      </c>
      <c r="U1136">
        <v>162500</v>
      </c>
      <c r="V1136" t="s">
        <v>5019</v>
      </c>
      <c r="W1136" t="s">
        <v>1219</v>
      </c>
      <c r="X1136" t="s">
        <v>7268</v>
      </c>
      <c r="Y1136" t="s">
        <v>7269</v>
      </c>
      <c r="Z1136" t="s">
        <v>1234</v>
      </c>
      <c r="AA1136" t="s">
        <v>6018</v>
      </c>
      <c r="AB1136" t="s">
        <v>7270</v>
      </c>
      <c r="AE1136">
        <v>-37.069358979999997</v>
      </c>
      <c r="AF1136">
        <v>174.9264211</v>
      </c>
      <c r="AG1136">
        <v>140</v>
      </c>
      <c r="AH1136">
        <v>0</v>
      </c>
      <c r="AI1136">
        <v>0</v>
      </c>
      <c r="AJ1136">
        <v>0</v>
      </c>
      <c r="AK1136">
        <v>26</v>
      </c>
      <c r="AL1136">
        <v>32</v>
      </c>
      <c r="AM1136">
        <v>33</v>
      </c>
      <c r="AN1136">
        <v>0</v>
      </c>
      <c r="AO1136">
        <v>91</v>
      </c>
      <c r="AP1136">
        <v>57</v>
      </c>
      <c r="AQ1136">
        <v>12</v>
      </c>
      <c r="AR1136">
        <v>5</v>
      </c>
      <c r="AS1136">
        <v>35</v>
      </c>
      <c r="AT1136">
        <v>3</v>
      </c>
    </row>
    <row r="1137" spans="1:46">
      <c r="A1137">
        <v>25004</v>
      </c>
      <c r="B1137" t="s">
        <v>7271</v>
      </c>
      <c r="C1137" t="s">
        <v>7272</v>
      </c>
      <c r="D1137" t="s">
        <v>7273</v>
      </c>
      <c r="E1137" t="s">
        <v>7274</v>
      </c>
      <c r="F1137" t="s">
        <v>4203</v>
      </c>
      <c r="G1137" t="s">
        <v>652</v>
      </c>
      <c r="H1137" t="s">
        <v>3942</v>
      </c>
      <c r="J1137" t="s">
        <v>3962</v>
      </c>
      <c r="K1137" t="s">
        <v>519</v>
      </c>
      <c r="M1137" t="s">
        <v>520</v>
      </c>
      <c r="N1137" t="s">
        <v>539</v>
      </c>
      <c r="O1137" t="s">
        <v>1216</v>
      </c>
      <c r="P1137" t="s">
        <v>654</v>
      </c>
      <c r="Q1137" t="s">
        <v>638</v>
      </c>
      <c r="R1137" t="s">
        <v>729</v>
      </c>
      <c r="S1137" t="s">
        <v>1036</v>
      </c>
      <c r="T1137" t="s">
        <v>709</v>
      </c>
      <c r="U1137">
        <v>160700</v>
      </c>
      <c r="V1137" t="s">
        <v>7275</v>
      </c>
      <c r="W1137" t="s">
        <v>1219</v>
      </c>
      <c r="X1137" t="s">
        <v>7276</v>
      </c>
      <c r="Y1137" t="s">
        <v>7274</v>
      </c>
      <c r="Z1137" t="s">
        <v>4203</v>
      </c>
      <c r="AA1137" t="s">
        <v>5202</v>
      </c>
      <c r="AC1137">
        <v>99211</v>
      </c>
      <c r="AD1137" t="s">
        <v>7277</v>
      </c>
      <c r="AE1137">
        <v>-37.049569060000003</v>
      </c>
      <c r="AF1137">
        <v>174.85910199</v>
      </c>
      <c r="AG1137">
        <v>40</v>
      </c>
      <c r="AH1137">
        <v>10</v>
      </c>
      <c r="AI1137">
        <v>1</v>
      </c>
      <c r="AJ1137">
        <v>7</v>
      </c>
      <c r="AK1137">
        <v>4</v>
      </c>
      <c r="AL1137">
        <v>6</v>
      </c>
      <c r="AM1137">
        <v>8</v>
      </c>
      <c r="AN1137">
        <v>1</v>
      </c>
      <c r="AO1137">
        <v>27</v>
      </c>
      <c r="AP1137">
        <v>7</v>
      </c>
      <c r="AQ1137">
        <v>11</v>
      </c>
      <c r="AR1137">
        <v>13</v>
      </c>
      <c r="AS1137">
        <v>10</v>
      </c>
      <c r="AT1137">
        <v>0</v>
      </c>
    </row>
    <row r="1138" spans="1:46">
      <c r="A1138">
        <v>25005</v>
      </c>
      <c r="B1138" t="s">
        <v>7278</v>
      </c>
      <c r="C1138" t="s">
        <v>7279</v>
      </c>
      <c r="E1138" t="s">
        <v>7280</v>
      </c>
      <c r="F1138" t="s">
        <v>847</v>
      </c>
      <c r="G1138" t="s">
        <v>652</v>
      </c>
      <c r="H1138" t="s">
        <v>3942</v>
      </c>
      <c r="I1138" t="s">
        <v>4575</v>
      </c>
      <c r="J1138" t="s">
        <v>518</v>
      </c>
      <c r="K1138" t="s">
        <v>519</v>
      </c>
      <c r="M1138" t="s">
        <v>520</v>
      </c>
      <c r="N1138" t="s">
        <v>539</v>
      </c>
      <c r="O1138" t="s">
        <v>848</v>
      </c>
      <c r="P1138" t="s">
        <v>654</v>
      </c>
      <c r="Q1138" t="s">
        <v>638</v>
      </c>
      <c r="R1138" t="s">
        <v>729</v>
      </c>
      <c r="S1138" t="s">
        <v>849</v>
      </c>
      <c r="T1138" t="s">
        <v>709</v>
      </c>
      <c r="U1138">
        <v>150200</v>
      </c>
      <c r="V1138" t="s">
        <v>940</v>
      </c>
      <c r="W1138" t="s">
        <v>732</v>
      </c>
      <c r="X1138" t="s">
        <v>7281</v>
      </c>
      <c r="Y1138" t="s">
        <v>7282</v>
      </c>
      <c r="Z1138" t="s">
        <v>847</v>
      </c>
      <c r="AA1138" t="s">
        <v>7283</v>
      </c>
      <c r="AB1138" t="s">
        <v>7279</v>
      </c>
      <c r="AE1138">
        <v>-36.971570739999997</v>
      </c>
      <c r="AF1138">
        <v>174.80338739999999</v>
      </c>
      <c r="AG1138">
        <v>30</v>
      </c>
      <c r="AH1138">
        <v>0</v>
      </c>
      <c r="AI1138">
        <v>0</v>
      </c>
      <c r="AJ1138">
        <v>0</v>
      </c>
      <c r="AK1138">
        <v>8</v>
      </c>
      <c r="AL1138">
        <v>2</v>
      </c>
      <c r="AM1138">
        <v>9</v>
      </c>
      <c r="AN1138">
        <v>2</v>
      </c>
      <c r="AO1138">
        <v>21</v>
      </c>
      <c r="AP1138">
        <v>0</v>
      </c>
      <c r="AQ1138">
        <v>0</v>
      </c>
      <c r="AR1138">
        <v>21</v>
      </c>
      <c r="AS1138">
        <v>1</v>
      </c>
      <c r="AT1138">
        <v>1</v>
      </c>
    </row>
    <row r="1139" spans="1:46">
      <c r="A1139">
        <v>25006</v>
      </c>
      <c r="B1139" t="s">
        <v>7284</v>
      </c>
      <c r="C1139" t="s">
        <v>7285</v>
      </c>
      <c r="D1139" t="s">
        <v>7286</v>
      </c>
      <c r="E1139" t="s">
        <v>6367</v>
      </c>
      <c r="F1139" t="s">
        <v>847</v>
      </c>
      <c r="G1139" t="s">
        <v>652</v>
      </c>
      <c r="H1139" t="s">
        <v>3942</v>
      </c>
      <c r="J1139" t="s">
        <v>518</v>
      </c>
      <c r="K1139" t="s">
        <v>519</v>
      </c>
      <c r="M1139" t="s">
        <v>520</v>
      </c>
      <c r="N1139" t="s">
        <v>521</v>
      </c>
      <c r="O1139" t="s">
        <v>848</v>
      </c>
      <c r="P1139" t="s">
        <v>654</v>
      </c>
      <c r="Q1139" t="s">
        <v>638</v>
      </c>
      <c r="R1139" t="s">
        <v>729</v>
      </c>
      <c r="S1139" t="s">
        <v>849</v>
      </c>
      <c r="T1139" t="s">
        <v>709</v>
      </c>
      <c r="U1139">
        <v>150200</v>
      </c>
      <c r="V1139" t="s">
        <v>940</v>
      </c>
      <c r="W1139" t="s">
        <v>732</v>
      </c>
      <c r="X1139" t="s">
        <v>7287</v>
      </c>
      <c r="Y1139" t="s">
        <v>6369</v>
      </c>
      <c r="Z1139" t="s">
        <v>4555</v>
      </c>
      <c r="AA1139" t="s">
        <v>4556</v>
      </c>
      <c r="AB1139" t="s">
        <v>7288</v>
      </c>
      <c r="AE1139">
        <v>-36.970870830000003</v>
      </c>
      <c r="AF1139">
        <v>174.79616630000001</v>
      </c>
      <c r="AG1139">
        <v>90</v>
      </c>
      <c r="AH1139">
        <v>20</v>
      </c>
      <c r="AI1139">
        <v>4</v>
      </c>
      <c r="AJ1139">
        <v>5</v>
      </c>
      <c r="AK1139">
        <v>22</v>
      </c>
      <c r="AL1139">
        <v>19</v>
      </c>
      <c r="AM1139">
        <v>9</v>
      </c>
      <c r="AN1139">
        <v>0</v>
      </c>
      <c r="AO1139">
        <v>59</v>
      </c>
      <c r="AP1139">
        <v>13</v>
      </c>
      <c r="AQ1139">
        <v>9</v>
      </c>
      <c r="AR1139">
        <v>29</v>
      </c>
      <c r="AS1139">
        <v>20</v>
      </c>
      <c r="AT1139">
        <v>2</v>
      </c>
    </row>
    <row r="1140" spans="1:46">
      <c r="A1140">
        <v>25007</v>
      </c>
      <c r="B1140" t="s">
        <v>7289</v>
      </c>
      <c r="C1140" t="s">
        <v>7290</v>
      </c>
      <c r="D1140" t="s">
        <v>7291</v>
      </c>
      <c r="E1140" t="s">
        <v>7292</v>
      </c>
      <c r="F1140" t="s">
        <v>7293</v>
      </c>
      <c r="G1140" t="s">
        <v>652</v>
      </c>
      <c r="H1140" t="s">
        <v>3942</v>
      </c>
      <c r="J1140" t="s">
        <v>3962</v>
      </c>
      <c r="K1140" t="s">
        <v>519</v>
      </c>
      <c r="M1140" t="s">
        <v>520</v>
      </c>
      <c r="N1140" t="s">
        <v>4519</v>
      </c>
      <c r="O1140" t="s">
        <v>707</v>
      </c>
      <c r="P1140" t="s">
        <v>654</v>
      </c>
      <c r="Q1140" t="s">
        <v>638</v>
      </c>
      <c r="R1140" t="s">
        <v>708</v>
      </c>
      <c r="S1140" t="s">
        <v>706</v>
      </c>
      <c r="T1140" t="s">
        <v>709</v>
      </c>
      <c r="U1140">
        <v>150400</v>
      </c>
      <c r="V1140" t="s">
        <v>7294</v>
      </c>
      <c r="W1140" t="s">
        <v>711</v>
      </c>
      <c r="X1140" t="s">
        <v>7295</v>
      </c>
      <c r="Y1140" t="s">
        <v>7296</v>
      </c>
      <c r="AA1140" t="s">
        <v>5171</v>
      </c>
      <c r="AB1140" t="s">
        <v>7297</v>
      </c>
      <c r="AE1140">
        <v>-36.892867709999997</v>
      </c>
      <c r="AF1140">
        <v>174.91512533</v>
      </c>
      <c r="AG1140">
        <v>30</v>
      </c>
      <c r="AH1140">
        <v>0</v>
      </c>
      <c r="AI1140">
        <v>0</v>
      </c>
      <c r="AJ1140">
        <v>0</v>
      </c>
      <c r="AK1140">
        <v>8</v>
      </c>
      <c r="AL1140">
        <v>17</v>
      </c>
      <c r="AM1140">
        <v>17</v>
      </c>
      <c r="AN1140">
        <v>0</v>
      </c>
      <c r="AO1140">
        <v>42</v>
      </c>
      <c r="AP1140">
        <v>30</v>
      </c>
      <c r="AQ1140">
        <v>2</v>
      </c>
      <c r="AR1140">
        <v>1</v>
      </c>
      <c r="AS1140">
        <v>11</v>
      </c>
      <c r="AT1140">
        <v>8</v>
      </c>
    </row>
    <row r="1141" spans="1:46">
      <c r="A1141">
        <v>25009</v>
      </c>
      <c r="B1141" t="s">
        <v>7298</v>
      </c>
      <c r="C1141" t="s">
        <v>7299</v>
      </c>
      <c r="E1141" t="s">
        <v>7300</v>
      </c>
      <c r="F1141" t="s">
        <v>777</v>
      </c>
      <c r="G1141" t="s">
        <v>652</v>
      </c>
      <c r="H1141" t="s">
        <v>3942</v>
      </c>
      <c r="J1141" t="s">
        <v>3962</v>
      </c>
      <c r="K1141" t="s">
        <v>519</v>
      </c>
      <c r="M1141" t="s">
        <v>520</v>
      </c>
      <c r="N1141" t="s">
        <v>571</v>
      </c>
      <c r="O1141" t="s">
        <v>707</v>
      </c>
      <c r="P1141" t="s">
        <v>654</v>
      </c>
      <c r="Q1141" t="s">
        <v>638</v>
      </c>
      <c r="R1141" t="s">
        <v>708</v>
      </c>
      <c r="S1141" t="s">
        <v>706</v>
      </c>
      <c r="T1141" t="s">
        <v>709</v>
      </c>
      <c r="U1141">
        <v>152000</v>
      </c>
      <c r="V1141" t="s">
        <v>926</v>
      </c>
      <c r="W1141" t="s">
        <v>711</v>
      </c>
      <c r="X1141" t="s">
        <v>7301</v>
      </c>
      <c r="Y1141" t="s">
        <v>7302</v>
      </c>
      <c r="Z1141" t="s">
        <v>777</v>
      </c>
      <c r="AA1141" t="s">
        <v>7303</v>
      </c>
      <c r="AB1141" t="s">
        <v>7299</v>
      </c>
      <c r="AE1141">
        <v>-36.899224920000002</v>
      </c>
      <c r="AF1141">
        <v>174.92092980999999</v>
      </c>
      <c r="AG1141">
        <v>35</v>
      </c>
      <c r="AH1141">
        <v>0</v>
      </c>
      <c r="AI1141">
        <v>0</v>
      </c>
      <c r="AJ1141">
        <v>0</v>
      </c>
      <c r="AK1141">
        <v>9</v>
      </c>
      <c r="AL1141">
        <v>9</v>
      </c>
      <c r="AM1141">
        <v>11</v>
      </c>
      <c r="AN1141">
        <v>0</v>
      </c>
      <c r="AO1141">
        <v>29</v>
      </c>
      <c r="AP1141">
        <v>23</v>
      </c>
      <c r="AQ1141">
        <v>1</v>
      </c>
      <c r="AR1141">
        <v>1</v>
      </c>
      <c r="AS1141">
        <v>8</v>
      </c>
      <c r="AT1141">
        <v>2</v>
      </c>
    </row>
    <row r="1142" spans="1:46">
      <c r="A1142">
        <v>25012</v>
      </c>
      <c r="B1142" t="s">
        <v>7304</v>
      </c>
      <c r="C1142" t="s">
        <v>7305</v>
      </c>
      <c r="D1142" t="s">
        <v>7306</v>
      </c>
      <c r="E1142" t="s">
        <v>7307</v>
      </c>
      <c r="F1142" t="s">
        <v>945</v>
      </c>
      <c r="G1142" t="s">
        <v>652</v>
      </c>
      <c r="H1142" t="s">
        <v>3942</v>
      </c>
      <c r="J1142" t="s">
        <v>3962</v>
      </c>
      <c r="K1142" t="s">
        <v>519</v>
      </c>
      <c r="M1142" t="s">
        <v>520</v>
      </c>
      <c r="N1142" t="s">
        <v>539</v>
      </c>
      <c r="O1142" t="s">
        <v>848</v>
      </c>
      <c r="P1142" t="s">
        <v>654</v>
      </c>
      <c r="Q1142" t="s">
        <v>638</v>
      </c>
      <c r="R1142" t="s">
        <v>729</v>
      </c>
      <c r="S1142" t="s">
        <v>849</v>
      </c>
      <c r="T1142" t="s">
        <v>709</v>
      </c>
      <c r="U1142">
        <v>152101</v>
      </c>
      <c r="V1142" t="s">
        <v>7308</v>
      </c>
      <c r="W1142" t="s">
        <v>732</v>
      </c>
      <c r="X1142" t="s">
        <v>7309</v>
      </c>
      <c r="Y1142" t="s">
        <v>7310</v>
      </c>
      <c r="Z1142" t="s">
        <v>763</v>
      </c>
      <c r="AA1142" t="s">
        <v>4365</v>
      </c>
      <c r="AB1142" t="s">
        <v>7311</v>
      </c>
      <c r="AC1142">
        <v>99124</v>
      </c>
      <c r="AD1142" t="s">
        <v>4579</v>
      </c>
      <c r="AE1142">
        <v>-36.965535430000003</v>
      </c>
      <c r="AF1142">
        <v>174.82813607</v>
      </c>
      <c r="AG1142">
        <v>35</v>
      </c>
      <c r="AH1142">
        <v>10</v>
      </c>
      <c r="AI1142">
        <v>4</v>
      </c>
      <c r="AJ1142">
        <v>6</v>
      </c>
      <c r="AK1142">
        <v>6</v>
      </c>
      <c r="AL1142">
        <v>10</v>
      </c>
      <c r="AM1142">
        <v>11</v>
      </c>
      <c r="AN1142">
        <v>3</v>
      </c>
      <c r="AO1142">
        <v>40</v>
      </c>
      <c r="AP1142">
        <v>4</v>
      </c>
      <c r="AQ1142">
        <v>5</v>
      </c>
      <c r="AR1142">
        <v>27</v>
      </c>
      <c r="AS1142">
        <v>14</v>
      </c>
      <c r="AT1142">
        <v>1</v>
      </c>
    </row>
    <row r="1143" spans="1:46">
      <c r="A1143">
        <v>25013</v>
      </c>
      <c r="B1143" t="s">
        <v>7312</v>
      </c>
      <c r="C1143" t="s">
        <v>7313</v>
      </c>
      <c r="D1143" t="s">
        <v>7314</v>
      </c>
      <c r="E1143" t="s">
        <v>7315</v>
      </c>
      <c r="F1143" t="s">
        <v>706</v>
      </c>
      <c r="G1143" t="s">
        <v>652</v>
      </c>
      <c r="H1143" t="s">
        <v>3942</v>
      </c>
      <c r="I1143" t="s">
        <v>4065</v>
      </c>
      <c r="J1143" t="s">
        <v>3962</v>
      </c>
      <c r="K1143" t="s">
        <v>519</v>
      </c>
      <c r="M1143" t="s">
        <v>520</v>
      </c>
      <c r="N1143" t="s">
        <v>571</v>
      </c>
      <c r="O1143" t="s">
        <v>707</v>
      </c>
      <c r="P1143" t="s">
        <v>654</v>
      </c>
      <c r="Q1143" t="s">
        <v>638</v>
      </c>
      <c r="R1143" t="s">
        <v>708</v>
      </c>
      <c r="S1143" t="s">
        <v>706</v>
      </c>
      <c r="T1143" t="s">
        <v>709</v>
      </c>
      <c r="U1143">
        <v>149800</v>
      </c>
      <c r="V1143" t="s">
        <v>5256</v>
      </c>
      <c r="W1143" t="s">
        <v>711</v>
      </c>
      <c r="X1143" t="s">
        <v>7316</v>
      </c>
      <c r="Y1143" t="s">
        <v>7317</v>
      </c>
      <c r="Z1143" t="s">
        <v>1207</v>
      </c>
      <c r="AA1143" t="s">
        <v>7318</v>
      </c>
      <c r="AB1143" t="s">
        <v>7313</v>
      </c>
      <c r="AE1143">
        <v>-36.914206569999997</v>
      </c>
      <c r="AF1143">
        <v>174.88285414000001</v>
      </c>
      <c r="AG1143">
        <v>39</v>
      </c>
      <c r="AH1143">
        <v>0</v>
      </c>
      <c r="AI1143">
        <v>0</v>
      </c>
      <c r="AJ1143">
        <v>0</v>
      </c>
      <c r="AK1143">
        <v>7</v>
      </c>
      <c r="AL1143">
        <v>11</v>
      </c>
      <c r="AM1143">
        <v>16</v>
      </c>
      <c r="AN1143">
        <v>2</v>
      </c>
      <c r="AO1143">
        <v>36</v>
      </c>
      <c r="AP1143">
        <v>4</v>
      </c>
      <c r="AQ1143">
        <v>1</v>
      </c>
      <c r="AR1143">
        <v>2</v>
      </c>
      <c r="AS1143">
        <v>34</v>
      </c>
      <c r="AT1143">
        <v>0</v>
      </c>
    </row>
    <row r="1144" spans="1:46">
      <c r="A1144">
        <v>25015</v>
      </c>
      <c r="B1144" t="s">
        <v>7319</v>
      </c>
      <c r="C1144" t="s">
        <v>7320</v>
      </c>
      <c r="D1144" t="s">
        <v>7321</v>
      </c>
      <c r="E1144" t="s">
        <v>7322</v>
      </c>
      <c r="F1144" t="s">
        <v>777</v>
      </c>
      <c r="G1144" t="s">
        <v>652</v>
      </c>
      <c r="H1144" t="s">
        <v>3942</v>
      </c>
      <c r="I1144" t="s">
        <v>5772</v>
      </c>
      <c r="J1144" t="s">
        <v>518</v>
      </c>
      <c r="K1144" t="s">
        <v>519</v>
      </c>
      <c r="M1144" t="s">
        <v>520</v>
      </c>
      <c r="N1144" t="s">
        <v>571</v>
      </c>
      <c r="O1144" t="s">
        <v>707</v>
      </c>
      <c r="P1144" t="s">
        <v>654</v>
      </c>
      <c r="Q1144" t="s">
        <v>638</v>
      </c>
      <c r="R1144" t="s">
        <v>708</v>
      </c>
      <c r="S1144" t="s">
        <v>706</v>
      </c>
      <c r="T1144" t="s">
        <v>709</v>
      </c>
      <c r="U1144">
        <v>152000</v>
      </c>
      <c r="V1144" t="s">
        <v>926</v>
      </c>
      <c r="W1144" t="s">
        <v>711</v>
      </c>
      <c r="X1144" t="s">
        <v>7323</v>
      </c>
      <c r="Y1144" t="s">
        <v>7324</v>
      </c>
      <c r="Z1144" t="s">
        <v>7325</v>
      </c>
      <c r="AA1144" t="s">
        <v>5171</v>
      </c>
      <c r="AB1144" t="s">
        <v>7326</v>
      </c>
      <c r="AC1144">
        <v>99127</v>
      </c>
      <c r="AD1144" t="s">
        <v>3936</v>
      </c>
      <c r="AE1144">
        <v>-36.893430379999998</v>
      </c>
      <c r="AF1144">
        <v>174.9297014</v>
      </c>
      <c r="AG1144">
        <v>50</v>
      </c>
      <c r="AH1144">
        <v>0</v>
      </c>
      <c r="AI1144">
        <v>0</v>
      </c>
      <c r="AJ1144">
        <v>0</v>
      </c>
      <c r="AK1144">
        <v>0</v>
      </c>
      <c r="AL1144">
        <v>10</v>
      </c>
      <c r="AM1144">
        <v>12</v>
      </c>
      <c r="AN1144">
        <v>3</v>
      </c>
      <c r="AO1144">
        <v>25</v>
      </c>
      <c r="AP1144">
        <v>9</v>
      </c>
      <c r="AQ1144">
        <v>2</v>
      </c>
      <c r="AR1144">
        <v>0</v>
      </c>
      <c r="AS1144">
        <v>15</v>
      </c>
      <c r="AT1144">
        <v>2</v>
      </c>
    </row>
    <row r="1145" spans="1:46">
      <c r="A1145">
        <v>25017</v>
      </c>
      <c r="B1145" t="s">
        <v>7327</v>
      </c>
      <c r="C1145" t="s">
        <v>7328</v>
      </c>
      <c r="D1145" t="s">
        <v>7329</v>
      </c>
      <c r="E1145" t="s">
        <v>905</v>
      </c>
      <c r="F1145" t="s">
        <v>777</v>
      </c>
      <c r="G1145" t="s">
        <v>652</v>
      </c>
      <c r="H1145" t="s">
        <v>3942</v>
      </c>
      <c r="J1145" t="s">
        <v>3962</v>
      </c>
      <c r="K1145" t="s">
        <v>519</v>
      </c>
      <c r="M1145" t="s">
        <v>520</v>
      </c>
      <c r="N1145" t="s">
        <v>571</v>
      </c>
      <c r="O1145" t="s">
        <v>707</v>
      </c>
      <c r="P1145" t="s">
        <v>654</v>
      </c>
      <c r="Q1145" t="s">
        <v>638</v>
      </c>
      <c r="R1145" t="s">
        <v>708</v>
      </c>
      <c r="S1145" t="s">
        <v>706</v>
      </c>
      <c r="T1145" t="s">
        <v>709</v>
      </c>
      <c r="U1145">
        <v>152201</v>
      </c>
      <c r="V1145" t="s">
        <v>906</v>
      </c>
      <c r="W1145" t="s">
        <v>711</v>
      </c>
      <c r="X1145" t="s">
        <v>4772</v>
      </c>
      <c r="Y1145" t="s">
        <v>4773</v>
      </c>
      <c r="Z1145" t="s">
        <v>879</v>
      </c>
      <c r="AA1145" t="s">
        <v>4774</v>
      </c>
      <c r="AB1145" t="s">
        <v>4775</v>
      </c>
      <c r="AE1145">
        <v>-36.899211690000001</v>
      </c>
      <c r="AF1145">
        <v>174.91552218999999</v>
      </c>
      <c r="AG1145">
        <v>50</v>
      </c>
      <c r="AH1145">
        <v>15</v>
      </c>
      <c r="AI1145">
        <v>1</v>
      </c>
      <c r="AJ1145">
        <v>3</v>
      </c>
      <c r="AK1145">
        <v>9</v>
      </c>
      <c r="AL1145">
        <v>8</v>
      </c>
      <c r="AM1145">
        <v>10</v>
      </c>
      <c r="AN1145">
        <v>0</v>
      </c>
      <c r="AO1145">
        <v>31</v>
      </c>
      <c r="AP1145">
        <v>22</v>
      </c>
      <c r="AQ1145">
        <v>0</v>
      </c>
      <c r="AR1145">
        <v>2</v>
      </c>
      <c r="AS1145">
        <v>10</v>
      </c>
      <c r="AT1145">
        <v>2</v>
      </c>
    </row>
    <row r="1146" spans="1:46">
      <c r="A1146">
        <v>25019</v>
      </c>
      <c r="B1146" t="s">
        <v>7330</v>
      </c>
      <c r="C1146" t="s">
        <v>7331</v>
      </c>
      <c r="D1146" t="s">
        <v>7332</v>
      </c>
      <c r="E1146" t="s">
        <v>7333</v>
      </c>
      <c r="F1146" t="s">
        <v>1036</v>
      </c>
      <c r="G1146" t="s">
        <v>652</v>
      </c>
      <c r="H1146" t="s">
        <v>3942</v>
      </c>
      <c r="I1146" t="s">
        <v>5772</v>
      </c>
      <c r="J1146" t="s">
        <v>518</v>
      </c>
      <c r="K1146" t="s">
        <v>519</v>
      </c>
      <c r="M1146" t="s">
        <v>520</v>
      </c>
      <c r="N1146" t="s">
        <v>557</v>
      </c>
      <c r="O1146" t="s">
        <v>1216</v>
      </c>
      <c r="P1146" t="s">
        <v>654</v>
      </c>
      <c r="Q1146" t="s">
        <v>638</v>
      </c>
      <c r="R1146" t="s">
        <v>729</v>
      </c>
      <c r="S1146" t="s">
        <v>1036</v>
      </c>
      <c r="T1146" t="s">
        <v>709</v>
      </c>
      <c r="U1146">
        <v>160100</v>
      </c>
      <c r="V1146" t="s">
        <v>6877</v>
      </c>
      <c r="W1146" t="s">
        <v>1219</v>
      </c>
      <c r="X1146" t="s">
        <v>7334</v>
      </c>
      <c r="Y1146" t="s">
        <v>7335</v>
      </c>
      <c r="Z1146" t="s">
        <v>1036</v>
      </c>
      <c r="AA1146" t="s">
        <v>7336</v>
      </c>
      <c r="AB1146" t="s">
        <v>7337</v>
      </c>
      <c r="AE1146">
        <v>-37.023123380000001</v>
      </c>
      <c r="AF1146">
        <v>174.89294846999999</v>
      </c>
      <c r="AG1146">
        <v>30</v>
      </c>
      <c r="AH1146">
        <v>0</v>
      </c>
      <c r="AI1146">
        <v>0</v>
      </c>
      <c r="AJ1146">
        <v>0</v>
      </c>
      <c r="AK1146">
        <v>3</v>
      </c>
      <c r="AL1146">
        <v>11</v>
      </c>
      <c r="AM1146">
        <v>15</v>
      </c>
      <c r="AN1146">
        <v>2</v>
      </c>
      <c r="AO1146">
        <v>31</v>
      </c>
      <c r="AP1146">
        <v>6</v>
      </c>
      <c r="AQ1146">
        <v>3</v>
      </c>
      <c r="AR1146">
        <v>11</v>
      </c>
      <c r="AS1146">
        <v>8</v>
      </c>
      <c r="AT1146">
        <v>9</v>
      </c>
    </row>
    <row r="1147" spans="1:46">
      <c r="A1147">
        <v>25026</v>
      </c>
      <c r="B1147" t="s">
        <v>7338</v>
      </c>
      <c r="C1147" t="s">
        <v>7339</v>
      </c>
      <c r="D1147" t="s">
        <v>5003</v>
      </c>
      <c r="E1147" t="s">
        <v>7340</v>
      </c>
      <c r="F1147" t="s">
        <v>945</v>
      </c>
      <c r="G1147" t="s">
        <v>652</v>
      </c>
      <c r="H1147" t="s">
        <v>3942</v>
      </c>
      <c r="J1147" t="s">
        <v>3962</v>
      </c>
      <c r="K1147" t="s">
        <v>519</v>
      </c>
      <c r="M1147" t="s">
        <v>520</v>
      </c>
      <c r="N1147" t="s">
        <v>539</v>
      </c>
      <c r="O1147" t="s">
        <v>728</v>
      </c>
      <c r="P1147" t="s">
        <v>654</v>
      </c>
      <c r="Q1147" t="s">
        <v>638</v>
      </c>
      <c r="R1147" t="s">
        <v>729</v>
      </c>
      <c r="S1147" t="s">
        <v>849</v>
      </c>
      <c r="T1147" t="s">
        <v>709</v>
      </c>
      <c r="U1147">
        <v>153600</v>
      </c>
      <c r="V1147" t="s">
        <v>4869</v>
      </c>
      <c r="W1147" t="s">
        <v>732</v>
      </c>
      <c r="X1147" t="s">
        <v>5006</v>
      </c>
      <c r="Y1147" t="s">
        <v>5007</v>
      </c>
      <c r="Z1147" t="s">
        <v>769</v>
      </c>
      <c r="AA1147" t="s">
        <v>4333</v>
      </c>
      <c r="AB1147" t="s">
        <v>5008</v>
      </c>
      <c r="AE1147">
        <v>-36.974669280000001</v>
      </c>
      <c r="AF1147">
        <v>174.83549726999999</v>
      </c>
      <c r="AG1147">
        <v>30</v>
      </c>
      <c r="AH1147">
        <v>10</v>
      </c>
      <c r="AI1147">
        <v>0</v>
      </c>
      <c r="AJ1147">
        <v>4</v>
      </c>
      <c r="AK1147">
        <v>8</v>
      </c>
      <c r="AL1147">
        <v>6</v>
      </c>
      <c r="AM1147">
        <v>12</v>
      </c>
      <c r="AN1147">
        <v>1</v>
      </c>
      <c r="AO1147">
        <v>31</v>
      </c>
      <c r="AP1147">
        <v>1</v>
      </c>
      <c r="AQ1147">
        <v>7</v>
      </c>
      <c r="AR1147">
        <v>19</v>
      </c>
      <c r="AS1147">
        <v>12</v>
      </c>
      <c r="AT1147">
        <v>0</v>
      </c>
    </row>
    <row r="1148" spans="1:46">
      <c r="A1148">
        <v>25029</v>
      </c>
      <c r="B1148" t="s">
        <v>7341</v>
      </c>
      <c r="C1148" t="s">
        <v>7342</v>
      </c>
      <c r="D1148" t="s">
        <v>7343</v>
      </c>
      <c r="E1148" t="s">
        <v>7344</v>
      </c>
      <c r="F1148" t="s">
        <v>5104</v>
      </c>
      <c r="G1148" t="s">
        <v>4204</v>
      </c>
      <c r="H1148" t="s">
        <v>3942</v>
      </c>
      <c r="J1148" t="s">
        <v>3962</v>
      </c>
      <c r="K1148" t="s">
        <v>519</v>
      </c>
      <c r="M1148" t="s">
        <v>520</v>
      </c>
      <c r="N1148" t="s">
        <v>571</v>
      </c>
      <c r="O1148" t="s">
        <v>707</v>
      </c>
      <c r="P1148" t="s">
        <v>654</v>
      </c>
      <c r="Q1148" t="s">
        <v>638</v>
      </c>
      <c r="R1148" t="s">
        <v>708</v>
      </c>
      <c r="S1148" t="s">
        <v>778</v>
      </c>
      <c r="T1148" t="s">
        <v>709</v>
      </c>
      <c r="U1148">
        <v>156601</v>
      </c>
      <c r="V1148" t="s">
        <v>7345</v>
      </c>
      <c r="W1148" t="s">
        <v>711</v>
      </c>
      <c r="X1148" t="s">
        <v>7346</v>
      </c>
      <c r="Y1148" t="s">
        <v>7344</v>
      </c>
      <c r="Z1148" t="s">
        <v>5104</v>
      </c>
      <c r="AA1148" t="s">
        <v>4273</v>
      </c>
      <c r="AE1148">
        <v>-36.950754420000003</v>
      </c>
      <c r="AF1148">
        <v>174.90635717000001</v>
      </c>
      <c r="AG1148">
        <v>50</v>
      </c>
      <c r="AH1148">
        <v>20</v>
      </c>
      <c r="AI1148">
        <v>1</v>
      </c>
      <c r="AJ1148">
        <v>6</v>
      </c>
      <c r="AK1148">
        <v>8</v>
      </c>
      <c r="AL1148">
        <v>14</v>
      </c>
      <c r="AM1148">
        <v>8</v>
      </c>
      <c r="AN1148">
        <v>0</v>
      </c>
      <c r="AO1148">
        <v>37</v>
      </c>
      <c r="AP1148">
        <v>12</v>
      </c>
      <c r="AQ1148">
        <v>7</v>
      </c>
      <c r="AR1148">
        <v>3</v>
      </c>
      <c r="AS1148">
        <v>21</v>
      </c>
      <c r="AT1148">
        <v>2</v>
      </c>
    </row>
    <row r="1149" spans="1:46">
      <c r="A1149">
        <v>25030</v>
      </c>
      <c r="B1149" t="s">
        <v>7347</v>
      </c>
      <c r="C1149" t="s">
        <v>7348</v>
      </c>
      <c r="D1149" t="s">
        <v>7349</v>
      </c>
      <c r="E1149" t="s">
        <v>7350</v>
      </c>
      <c r="F1149" t="s">
        <v>726</v>
      </c>
      <c r="G1149" t="s">
        <v>652</v>
      </c>
      <c r="H1149" t="s">
        <v>3942</v>
      </c>
      <c r="J1149" t="s">
        <v>518</v>
      </c>
      <c r="K1149" t="s">
        <v>519</v>
      </c>
      <c r="M1149" t="s">
        <v>520</v>
      </c>
      <c r="N1149" t="s">
        <v>539</v>
      </c>
      <c r="O1149" t="s">
        <v>728</v>
      </c>
      <c r="P1149" t="s">
        <v>654</v>
      </c>
      <c r="Q1149" t="s">
        <v>638</v>
      </c>
      <c r="R1149" t="s">
        <v>729</v>
      </c>
      <c r="S1149" t="s">
        <v>730</v>
      </c>
      <c r="T1149" t="s">
        <v>709</v>
      </c>
      <c r="U1149">
        <v>154400</v>
      </c>
      <c r="V1149" t="s">
        <v>7351</v>
      </c>
      <c r="W1149" t="s">
        <v>732</v>
      </c>
      <c r="X1149" t="s">
        <v>7352</v>
      </c>
      <c r="Y1149" t="s">
        <v>7353</v>
      </c>
      <c r="AA1149" t="s">
        <v>7354</v>
      </c>
      <c r="AB1149" t="s">
        <v>7355</v>
      </c>
      <c r="AE1149">
        <v>-36.954261750000001</v>
      </c>
      <c r="AF1149">
        <v>174.87210304000001</v>
      </c>
      <c r="AG1149">
        <v>70</v>
      </c>
      <c r="AH1149">
        <v>30</v>
      </c>
      <c r="AI1149">
        <v>1</v>
      </c>
      <c r="AJ1149">
        <v>4</v>
      </c>
      <c r="AK1149">
        <v>12</v>
      </c>
      <c r="AL1149">
        <v>12</v>
      </c>
      <c r="AM1149">
        <v>16</v>
      </c>
      <c r="AN1149">
        <v>0</v>
      </c>
      <c r="AO1149">
        <v>45</v>
      </c>
      <c r="AP1149">
        <v>10</v>
      </c>
      <c r="AQ1149">
        <v>13</v>
      </c>
      <c r="AR1149">
        <v>28</v>
      </c>
      <c r="AS1149">
        <v>17</v>
      </c>
      <c r="AT1149">
        <v>0</v>
      </c>
    </row>
    <row r="1150" spans="1:46">
      <c r="A1150">
        <v>25031</v>
      </c>
      <c r="B1150" t="s">
        <v>7356</v>
      </c>
      <c r="C1150" t="s">
        <v>7357</v>
      </c>
      <c r="E1150" t="s">
        <v>7358</v>
      </c>
      <c r="F1150" t="s">
        <v>1036</v>
      </c>
      <c r="G1150" t="s">
        <v>652</v>
      </c>
      <c r="H1150" t="s">
        <v>343</v>
      </c>
      <c r="J1150" t="s">
        <v>518</v>
      </c>
      <c r="K1150" t="s">
        <v>519</v>
      </c>
      <c r="L1150" t="s">
        <v>4205</v>
      </c>
      <c r="M1150" t="s">
        <v>520</v>
      </c>
      <c r="N1150" t="s">
        <v>539</v>
      </c>
      <c r="O1150" t="s">
        <v>1216</v>
      </c>
      <c r="P1150" t="s">
        <v>654</v>
      </c>
      <c r="Q1150" t="s">
        <v>638</v>
      </c>
      <c r="R1150" t="s">
        <v>729</v>
      </c>
      <c r="S1150" t="s">
        <v>1036</v>
      </c>
      <c r="T1150" t="s">
        <v>709</v>
      </c>
      <c r="U1150">
        <v>160100</v>
      </c>
      <c r="V1150" t="s">
        <v>6877</v>
      </c>
      <c r="W1150" t="s">
        <v>1219</v>
      </c>
      <c r="X1150" t="s">
        <v>4207</v>
      </c>
      <c r="Y1150" t="s">
        <v>4208</v>
      </c>
      <c r="Z1150" t="s">
        <v>4209</v>
      </c>
      <c r="AA1150" t="s">
        <v>4210</v>
      </c>
      <c r="AE1150">
        <v>-37.023262969999998</v>
      </c>
      <c r="AF1150">
        <v>174.88921703</v>
      </c>
      <c r="AG1150">
        <v>40</v>
      </c>
      <c r="AH1150">
        <v>9</v>
      </c>
      <c r="AI1150">
        <v>1</v>
      </c>
      <c r="AJ1150">
        <v>4</v>
      </c>
      <c r="AK1150">
        <v>9</v>
      </c>
      <c r="AL1150">
        <v>6</v>
      </c>
      <c r="AM1150">
        <v>8</v>
      </c>
      <c r="AN1150">
        <v>0</v>
      </c>
      <c r="AO1150">
        <v>28</v>
      </c>
      <c r="AP1150">
        <v>0</v>
      </c>
      <c r="AQ1150">
        <v>26</v>
      </c>
      <c r="AR1150">
        <v>1</v>
      </c>
      <c r="AS1150">
        <v>0</v>
      </c>
      <c r="AT1150">
        <v>1</v>
      </c>
    </row>
    <row r="1151" spans="1:46">
      <c r="A1151">
        <v>25032</v>
      </c>
      <c r="B1151" t="s">
        <v>7359</v>
      </c>
      <c r="C1151" t="s">
        <v>1223</v>
      </c>
      <c r="D1151" t="s">
        <v>1272</v>
      </c>
      <c r="E1151" t="s">
        <v>7360</v>
      </c>
      <c r="F1151" t="s">
        <v>1036</v>
      </c>
      <c r="G1151" t="s">
        <v>652</v>
      </c>
      <c r="H1151" t="s">
        <v>517</v>
      </c>
      <c r="J1151" t="s">
        <v>518</v>
      </c>
      <c r="K1151" t="s">
        <v>519</v>
      </c>
      <c r="M1151" t="s">
        <v>520</v>
      </c>
      <c r="N1151" t="s">
        <v>727</v>
      </c>
      <c r="O1151" t="s">
        <v>1216</v>
      </c>
      <c r="P1151" t="s">
        <v>654</v>
      </c>
      <c r="Q1151" t="s">
        <v>638</v>
      </c>
      <c r="R1151" t="s">
        <v>729</v>
      </c>
      <c r="S1151" t="s">
        <v>1036</v>
      </c>
      <c r="T1151" t="s">
        <v>709</v>
      </c>
      <c r="U1151">
        <v>160000</v>
      </c>
      <c r="V1151" t="s">
        <v>7361</v>
      </c>
      <c r="W1151" t="s">
        <v>1219</v>
      </c>
      <c r="X1151" t="s">
        <v>1220</v>
      </c>
      <c r="Y1151" t="s">
        <v>1221</v>
      </c>
      <c r="Z1151" t="s">
        <v>1217</v>
      </c>
      <c r="AA1151" t="s">
        <v>1222</v>
      </c>
      <c r="AB1151" t="s">
        <v>1223</v>
      </c>
      <c r="AC1151">
        <v>99187</v>
      </c>
      <c r="AD1151" t="s">
        <v>1257</v>
      </c>
      <c r="AE1151">
        <v>-37.025031269999999</v>
      </c>
      <c r="AF1151">
        <v>174.87681108000001</v>
      </c>
      <c r="AG1151">
        <v>30</v>
      </c>
      <c r="AH1151">
        <v>0</v>
      </c>
      <c r="AI1151">
        <v>0</v>
      </c>
      <c r="AJ1151">
        <v>0</v>
      </c>
      <c r="AK1151">
        <v>4</v>
      </c>
      <c r="AL1151">
        <v>9</v>
      </c>
      <c r="AM1151">
        <v>17</v>
      </c>
      <c r="AN1151">
        <v>1</v>
      </c>
      <c r="AO1151">
        <v>31</v>
      </c>
      <c r="AP1151">
        <v>6</v>
      </c>
      <c r="AQ1151">
        <v>12</v>
      </c>
      <c r="AR1151">
        <v>13</v>
      </c>
      <c r="AS1151">
        <v>12</v>
      </c>
      <c r="AT1151">
        <v>1</v>
      </c>
    </row>
    <row r="1152" spans="1:46">
      <c r="A1152">
        <v>25035</v>
      </c>
      <c r="B1152" t="s">
        <v>7362</v>
      </c>
      <c r="C1152" t="s">
        <v>7363</v>
      </c>
      <c r="D1152" t="s">
        <v>7364</v>
      </c>
      <c r="E1152" t="s">
        <v>7365</v>
      </c>
      <c r="F1152" t="s">
        <v>1035</v>
      </c>
      <c r="G1152" t="s">
        <v>652</v>
      </c>
      <c r="H1152" t="s">
        <v>3942</v>
      </c>
      <c r="J1152" t="s">
        <v>518</v>
      </c>
      <c r="K1152" t="s">
        <v>519</v>
      </c>
      <c r="M1152" t="s">
        <v>520</v>
      </c>
      <c r="N1152" t="s">
        <v>571</v>
      </c>
      <c r="O1152" t="s">
        <v>728</v>
      </c>
      <c r="P1152" t="s">
        <v>654</v>
      </c>
      <c r="Q1152" t="s">
        <v>638</v>
      </c>
      <c r="R1152" t="s">
        <v>729</v>
      </c>
      <c r="S1152" t="s">
        <v>730</v>
      </c>
      <c r="T1152" t="s">
        <v>709</v>
      </c>
      <c r="U1152">
        <v>152700</v>
      </c>
      <c r="V1152" t="s">
        <v>4757</v>
      </c>
      <c r="W1152" t="s">
        <v>732</v>
      </c>
      <c r="X1152" t="s">
        <v>7366</v>
      </c>
      <c r="Y1152" t="s">
        <v>7367</v>
      </c>
      <c r="Z1152" t="s">
        <v>1072</v>
      </c>
      <c r="AA1152" t="s">
        <v>4760</v>
      </c>
      <c r="AE1152">
        <v>-36.963455459999999</v>
      </c>
      <c r="AF1152">
        <v>174.84022345</v>
      </c>
      <c r="AG1152">
        <v>90</v>
      </c>
      <c r="AH1152">
        <v>30</v>
      </c>
      <c r="AI1152">
        <v>2</v>
      </c>
      <c r="AJ1152">
        <v>27</v>
      </c>
      <c r="AK1152">
        <v>23</v>
      </c>
      <c r="AL1152">
        <v>17</v>
      </c>
      <c r="AM1152">
        <v>23</v>
      </c>
      <c r="AN1152">
        <v>2</v>
      </c>
      <c r="AO1152">
        <v>94</v>
      </c>
      <c r="AP1152">
        <v>49</v>
      </c>
      <c r="AQ1152">
        <v>14</v>
      </c>
      <c r="AR1152">
        <v>29</v>
      </c>
      <c r="AS1152">
        <v>21</v>
      </c>
      <c r="AT1152">
        <v>6</v>
      </c>
    </row>
    <row r="1153" spans="1:46">
      <c r="A1153">
        <v>25036</v>
      </c>
      <c r="B1153" t="s">
        <v>7368</v>
      </c>
      <c r="C1153" t="s">
        <v>7369</v>
      </c>
      <c r="D1153" t="s">
        <v>7370</v>
      </c>
      <c r="E1153" t="s">
        <v>7371</v>
      </c>
      <c r="G1153" t="s">
        <v>4064</v>
      </c>
      <c r="H1153" t="s">
        <v>3942</v>
      </c>
      <c r="J1153" t="s">
        <v>3962</v>
      </c>
      <c r="K1153" t="s">
        <v>519</v>
      </c>
      <c r="M1153" t="s">
        <v>520</v>
      </c>
      <c r="N1153" t="s">
        <v>571</v>
      </c>
      <c r="O1153" t="s">
        <v>1268</v>
      </c>
      <c r="P1153" t="s">
        <v>654</v>
      </c>
      <c r="Q1153" t="s">
        <v>638</v>
      </c>
      <c r="R1153" t="s">
        <v>729</v>
      </c>
      <c r="S1153" t="s">
        <v>1234</v>
      </c>
      <c r="T1153" t="s">
        <v>1235</v>
      </c>
      <c r="U1153">
        <v>164302</v>
      </c>
      <c r="V1153" t="s">
        <v>4066</v>
      </c>
      <c r="W1153" t="s">
        <v>1219</v>
      </c>
      <c r="X1153" t="s">
        <v>7372</v>
      </c>
      <c r="Y1153" t="s">
        <v>7373</v>
      </c>
      <c r="Z1153" t="s">
        <v>1035</v>
      </c>
      <c r="AA1153" t="s">
        <v>7374</v>
      </c>
      <c r="AB1153" t="s">
        <v>7375</v>
      </c>
      <c r="AE1153">
        <v>-37.097898720000003</v>
      </c>
      <c r="AF1153">
        <v>174.94688500000001</v>
      </c>
      <c r="AG1153">
        <v>30</v>
      </c>
      <c r="AH1153">
        <v>10</v>
      </c>
      <c r="AI1153">
        <v>2</v>
      </c>
      <c r="AJ1153">
        <v>7</v>
      </c>
      <c r="AK1153">
        <v>7</v>
      </c>
      <c r="AL1153">
        <v>11</v>
      </c>
      <c r="AM1153">
        <v>7</v>
      </c>
      <c r="AN1153">
        <v>0</v>
      </c>
      <c r="AO1153">
        <v>34</v>
      </c>
      <c r="AP1153">
        <v>23</v>
      </c>
      <c r="AQ1153">
        <v>8</v>
      </c>
      <c r="AR1153">
        <v>3</v>
      </c>
      <c r="AS1153">
        <v>6</v>
      </c>
      <c r="AT1153">
        <v>4</v>
      </c>
    </row>
    <row r="1154" spans="1:46">
      <c r="A1154">
        <v>25041</v>
      </c>
      <c r="B1154" t="s">
        <v>7376</v>
      </c>
      <c r="C1154" t="s">
        <v>7377</v>
      </c>
      <c r="D1154" t="s">
        <v>7378</v>
      </c>
      <c r="E1154" t="s">
        <v>7379</v>
      </c>
      <c r="F1154" t="s">
        <v>706</v>
      </c>
      <c r="G1154" t="s">
        <v>652</v>
      </c>
      <c r="H1154" t="s">
        <v>3942</v>
      </c>
      <c r="I1154" t="s">
        <v>5772</v>
      </c>
      <c r="J1154" t="s">
        <v>518</v>
      </c>
      <c r="K1154" t="s">
        <v>519</v>
      </c>
      <c r="M1154" t="s">
        <v>520</v>
      </c>
      <c r="N1154" t="s">
        <v>571</v>
      </c>
      <c r="O1154" t="s">
        <v>707</v>
      </c>
      <c r="P1154" t="s">
        <v>654</v>
      </c>
      <c r="Q1154" t="s">
        <v>638</v>
      </c>
      <c r="R1154" t="s">
        <v>708</v>
      </c>
      <c r="S1154" t="s">
        <v>706</v>
      </c>
      <c r="T1154" t="s">
        <v>709</v>
      </c>
      <c r="U1154">
        <v>151500</v>
      </c>
      <c r="V1154" t="s">
        <v>1086</v>
      </c>
      <c r="W1154" t="s">
        <v>711</v>
      </c>
      <c r="X1154" t="s">
        <v>7380</v>
      </c>
      <c r="Y1154" t="s">
        <v>7381</v>
      </c>
      <c r="Z1154" t="s">
        <v>1085</v>
      </c>
      <c r="AA1154" t="s">
        <v>7382</v>
      </c>
      <c r="AB1154" t="s">
        <v>7383</v>
      </c>
      <c r="AC1154">
        <v>99189</v>
      </c>
      <c r="AD1154" t="s">
        <v>4447</v>
      </c>
      <c r="AE1154">
        <v>-36.924405870000001</v>
      </c>
      <c r="AF1154">
        <v>174.88482642</v>
      </c>
      <c r="AG1154">
        <v>40</v>
      </c>
      <c r="AH1154">
        <v>0</v>
      </c>
      <c r="AI1154">
        <v>0</v>
      </c>
      <c r="AJ1154">
        <v>0</v>
      </c>
      <c r="AK1154">
        <v>8</v>
      </c>
      <c r="AL1154">
        <v>18</v>
      </c>
      <c r="AM1154">
        <v>14</v>
      </c>
      <c r="AN1154">
        <v>1</v>
      </c>
      <c r="AO1154">
        <v>41</v>
      </c>
      <c r="AP1154">
        <v>18</v>
      </c>
      <c r="AQ1154">
        <v>3</v>
      </c>
      <c r="AR1154">
        <v>3</v>
      </c>
      <c r="AS1154">
        <v>23</v>
      </c>
      <c r="AT1154">
        <v>5</v>
      </c>
    </row>
    <row r="1155" spans="1:46">
      <c r="A1155">
        <v>25044</v>
      </c>
      <c r="B1155" t="s">
        <v>7384</v>
      </c>
      <c r="C1155" t="s">
        <v>7385</v>
      </c>
      <c r="D1155" t="s">
        <v>7386</v>
      </c>
      <c r="E1155" t="s">
        <v>7387</v>
      </c>
      <c r="F1155" t="s">
        <v>4441</v>
      </c>
      <c r="G1155" t="s">
        <v>652</v>
      </c>
      <c r="H1155" t="s">
        <v>3942</v>
      </c>
      <c r="I1155" t="s">
        <v>5772</v>
      </c>
      <c r="J1155" t="s">
        <v>518</v>
      </c>
      <c r="K1155" t="s">
        <v>519</v>
      </c>
      <c r="M1155" t="s">
        <v>520</v>
      </c>
      <c r="N1155" t="s">
        <v>521</v>
      </c>
      <c r="O1155" t="s">
        <v>829</v>
      </c>
      <c r="P1155" t="s">
        <v>654</v>
      </c>
      <c r="Q1155" t="s">
        <v>638</v>
      </c>
      <c r="R1155" t="s">
        <v>708</v>
      </c>
      <c r="S1155" t="s">
        <v>730</v>
      </c>
      <c r="T1155" t="s">
        <v>709</v>
      </c>
      <c r="U1155">
        <v>147100</v>
      </c>
      <c r="V1155" t="s">
        <v>4442</v>
      </c>
      <c r="W1155" t="s">
        <v>807</v>
      </c>
      <c r="X1155" t="s">
        <v>7388</v>
      </c>
      <c r="Y1155" t="s">
        <v>7389</v>
      </c>
      <c r="Z1155" t="s">
        <v>4441</v>
      </c>
      <c r="AA1155" t="s">
        <v>4445</v>
      </c>
      <c r="AB1155" t="s">
        <v>7390</v>
      </c>
      <c r="AC1155">
        <v>99189</v>
      </c>
      <c r="AD1155" t="s">
        <v>4447</v>
      </c>
      <c r="AE1155">
        <v>-36.901012090000002</v>
      </c>
      <c r="AF1155">
        <v>174.86314762999999</v>
      </c>
      <c r="AG1155">
        <v>40</v>
      </c>
      <c r="AH1155">
        <v>10</v>
      </c>
      <c r="AI1155">
        <v>0</v>
      </c>
      <c r="AJ1155">
        <v>4</v>
      </c>
      <c r="AK1155">
        <v>8</v>
      </c>
      <c r="AL1155">
        <v>6</v>
      </c>
      <c r="AM1155">
        <v>10</v>
      </c>
      <c r="AN1155">
        <v>1</v>
      </c>
      <c r="AO1155">
        <v>29</v>
      </c>
      <c r="AP1155">
        <v>12</v>
      </c>
      <c r="AQ1155">
        <v>8</v>
      </c>
      <c r="AR1155">
        <v>12</v>
      </c>
      <c r="AS1155">
        <v>4</v>
      </c>
      <c r="AT1155">
        <v>5</v>
      </c>
    </row>
    <row r="1156" spans="1:46">
      <c r="A1156">
        <v>25045</v>
      </c>
      <c r="B1156" t="s">
        <v>7391</v>
      </c>
      <c r="C1156" t="s">
        <v>7392</v>
      </c>
      <c r="D1156" t="s">
        <v>7393</v>
      </c>
      <c r="E1156" t="s">
        <v>7394</v>
      </c>
      <c r="F1156" t="s">
        <v>4044</v>
      </c>
      <c r="G1156" t="s">
        <v>652</v>
      </c>
      <c r="H1156" t="s">
        <v>3942</v>
      </c>
      <c r="J1156" t="s">
        <v>518</v>
      </c>
      <c r="K1156" t="s">
        <v>519</v>
      </c>
      <c r="M1156" t="s">
        <v>520</v>
      </c>
      <c r="N1156" t="s">
        <v>571</v>
      </c>
      <c r="O1156" t="s">
        <v>1268</v>
      </c>
      <c r="P1156" t="s">
        <v>654</v>
      </c>
      <c r="Q1156" t="s">
        <v>638</v>
      </c>
      <c r="R1156" t="s">
        <v>729</v>
      </c>
      <c r="S1156" t="s">
        <v>1234</v>
      </c>
      <c r="T1156" t="s">
        <v>1235</v>
      </c>
      <c r="U1156">
        <v>163200</v>
      </c>
      <c r="V1156" t="s">
        <v>4044</v>
      </c>
      <c r="W1156" t="s">
        <v>1219</v>
      </c>
      <c r="X1156" t="s">
        <v>7395</v>
      </c>
      <c r="Y1156" t="s">
        <v>7396</v>
      </c>
      <c r="Z1156" t="s">
        <v>1234</v>
      </c>
      <c r="AA1156" t="s">
        <v>5162</v>
      </c>
      <c r="AB1156" t="s">
        <v>7397</v>
      </c>
      <c r="AE1156">
        <v>-37.059053200000001</v>
      </c>
      <c r="AF1156">
        <v>174.93900199999999</v>
      </c>
      <c r="AG1156">
        <v>30</v>
      </c>
      <c r="AH1156">
        <v>0</v>
      </c>
      <c r="AI1156">
        <v>0</v>
      </c>
      <c r="AJ1156">
        <v>0</v>
      </c>
      <c r="AK1156">
        <v>1</v>
      </c>
      <c r="AL1156">
        <v>7</v>
      </c>
      <c r="AM1156">
        <v>10</v>
      </c>
      <c r="AN1156">
        <v>0</v>
      </c>
      <c r="AO1156">
        <v>18</v>
      </c>
      <c r="AP1156">
        <v>13</v>
      </c>
      <c r="AQ1156">
        <v>1</v>
      </c>
      <c r="AR1156">
        <v>3</v>
      </c>
      <c r="AS1156">
        <v>3</v>
      </c>
      <c r="AT1156">
        <v>0</v>
      </c>
    </row>
    <row r="1157" spans="1:46">
      <c r="A1157">
        <v>25046</v>
      </c>
      <c r="B1157" t="s">
        <v>4958</v>
      </c>
      <c r="C1157" t="s">
        <v>4964</v>
      </c>
      <c r="E1157" t="s">
        <v>7398</v>
      </c>
      <c r="F1157" t="s">
        <v>1036</v>
      </c>
      <c r="G1157" t="s">
        <v>652</v>
      </c>
      <c r="H1157" t="s">
        <v>3942</v>
      </c>
      <c r="J1157" t="s">
        <v>3962</v>
      </c>
      <c r="K1157" t="s">
        <v>519</v>
      </c>
      <c r="M1157" t="s">
        <v>520</v>
      </c>
      <c r="N1157" t="s">
        <v>521</v>
      </c>
      <c r="O1157" t="s">
        <v>1216</v>
      </c>
      <c r="P1157" t="s">
        <v>654</v>
      </c>
      <c r="Q1157" t="s">
        <v>638</v>
      </c>
      <c r="R1157" t="s">
        <v>729</v>
      </c>
      <c r="S1157" t="s">
        <v>1036</v>
      </c>
      <c r="T1157" t="s">
        <v>709</v>
      </c>
      <c r="U1157">
        <v>159202</v>
      </c>
      <c r="V1157" t="s">
        <v>7399</v>
      </c>
      <c r="W1157" t="s">
        <v>1219</v>
      </c>
      <c r="X1157" t="s">
        <v>4962</v>
      </c>
      <c r="Y1157" t="s">
        <v>4963</v>
      </c>
      <c r="Z1157" t="s">
        <v>821</v>
      </c>
      <c r="AA1157" t="s">
        <v>4069</v>
      </c>
      <c r="AB1157" t="s">
        <v>4964</v>
      </c>
      <c r="AE1157">
        <v>-37.01590084</v>
      </c>
      <c r="AF1157">
        <v>174.87604073</v>
      </c>
      <c r="AG1157">
        <v>80</v>
      </c>
      <c r="AH1157">
        <v>25</v>
      </c>
      <c r="AI1157">
        <v>6</v>
      </c>
      <c r="AJ1157">
        <v>8</v>
      </c>
      <c r="AK1157">
        <v>21</v>
      </c>
      <c r="AL1157">
        <v>13</v>
      </c>
      <c r="AM1157">
        <v>15</v>
      </c>
      <c r="AN1157">
        <v>1</v>
      </c>
      <c r="AO1157">
        <v>64</v>
      </c>
      <c r="AP1157">
        <v>31</v>
      </c>
      <c r="AQ1157">
        <v>27</v>
      </c>
      <c r="AR1157">
        <v>35</v>
      </c>
      <c r="AS1157">
        <v>10</v>
      </c>
      <c r="AT1157">
        <v>2</v>
      </c>
    </row>
    <row r="1158" spans="1:46">
      <c r="A1158">
        <v>25049</v>
      </c>
      <c r="B1158" t="s">
        <v>7400</v>
      </c>
      <c r="C1158" t="s">
        <v>7401</v>
      </c>
      <c r="D1158" t="s">
        <v>7402</v>
      </c>
      <c r="E1158" t="s">
        <v>7403</v>
      </c>
      <c r="F1158" t="s">
        <v>1036</v>
      </c>
      <c r="G1158" t="s">
        <v>652</v>
      </c>
      <c r="H1158" t="s">
        <v>3942</v>
      </c>
      <c r="J1158" t="s">
        <v>518</v>
      </c>
      <c r="K1158" t="s">
        <v>519</v>
      </c>
      <c r="M1158" t="s">
        <v>520</v>
      </c>
      <c r="N1158" t="s">
        <v>557</v>
      </c>
      <c r="O1158" t="s">
        <v>1216</v>
      </c>
      <c r="P1158" t="s">
        <v>654</v>
      </c>
      <c r="Q1158" t="s">
        <v>638</v>
      </c>
      <c r="R1158" t="s">
        <v>729</v>
      </c>
      <c r="S1158" t="s">
        <v>1036</v>
      </c>
      <c r="T1158" t="s">
        <v>709</v>
      </c>
      <c r="U1158">
        <v>160100</v>
      </c>
      <c r="V1158" t="s">
        <v>6877</v>
      </c>
      <c r="W1158" t="s">
        <v>1219</v>
      </c>
      <c r="X1158" t="s">
        <v>3943</v>
      </c>
      <c r="Y1158" t="s">
        <v>3944</v>
      </c>
      <c r="Z1158" t="s">
        <v>3945</v>
      </c>
      <c r="AA1158" t="s">
        <v>3946</v>
      </c>
      <c r="AB1158" t="s">
        <v>3947</v>
      </c>
      <c r="AC1158">
        <v>99186</v>
      </c>
      <c r="AD1158" t="s">
        <v>1224</v>
      </c>
      <c r="AE1158">
        <v>-37.015593549999998</v>
      </c>
      <c r="AF1158">
        <v>174.88991181</v>
      </c>
      <c r="AG1158">
        <v>100</v>
      </c>
      <c r="AH1158">
        <v>15</v>
      </c>
      <c r="AI1158">
        <v>1</v>
      </c>
      <c r="AJ1158">
        <v>12</v>
      </c>
      <c r="AK1158">
        <v>20</v>
      </c>
      <c r="AL1158">
        <v>27</v>
      </c>
      <c r="AM1158">
        <v>25</v>
      </c>
      <c r="AN1158">
        <v>1</v>
      </c>
      <c r="AO1158">
        <v>86</v>
      </c>
      <c r="AP1158">
        <v>7</v>
      </c>
      <c r="AQ1158">
        <v>18</v>
      </c>
      <c r="AR1158">
        <v>10</v>
      </c>
      <c r="AS1158">
        <v>62</v>
      </c>
      <c r="AT1158">
        <v>3</v>
      </c>
    </row>
    <row r="1159" spans="1:46">
      <c r="A1159">
        <v>25050</v>
      </c>
      <c r="B1159" t="s">
        <v>7404</v>
      </c>
      <c r="C1159" t="s">
        <v>7405</v>
      </c>
      <c r="D1159" t="s">
        <v>7406</v>
      </c>
      <c r="E1159" t="s">
        <v>7407</v>
      </c>
      <c r="F1159" t="s">
        <v>1217</v>
      </c>
      <c r="G1159" t="s">
        <v>652</v>
      </c>
      <c r="H1159" t="s">
        <v>3942</v>
      </c>
      <c r="J1159" t="s">
        <v>3962</v>
      </c>
      <c r="K1159" t="s">
        <v>519</v>
      </c>
      <c r="M1159" t="s">
        <v>520</v>
      </c>
      <c r="N1159" t="s">
        <v>557</v>
      </c>
      <c r="O1159" t="s">
        <v>1268</v>
      </c>
      <c r="P1159" t="s">
        <v>654</v>
      </c>
      <c r="Q1159" t="s">
        <v>638</v>
      </c>
      <c r="R1159" t="s">
        <v>729</v>
      </c>
      <c r="S1159" t="s">
        <v>1217</v>
      </c>
      <c r="T1159" t="s">
        <v>709</v>
      </c>
      <c r="U1159">
        <v>162000</v>
      </c>
      <c r="V1159" t="s">
        <v>4049</v>
      </c>
      <c r="W1159" t="s">
        <v>1219</v>
      </c>
      <c r="X1159" t="s">
        <v>7408</v>
      </c>
      <c r="Y1159" t="s">
        <v>7409</v>
      </c>
      <c r="Z1159" t="s">
        <v>5018</v>
      </c>
      <c r="AA1159" t="s">
        <v>7410</v>
      </c>
      <c r="AB1159" t="s">
        <v>7411</v>
      </c>
      <c r="AE1159">
        <v>-37.042530300000003</v>
      </c>
      <c r="AF1159">
        <v>174.92074954</v>
      </c>
      <c r="AG1159">
        <v>60</v>
      </c>
      <c r="AH1159">
        <v>20</v>
      </c>
      <c r="AI1159">
        <v>0</v>
      </c>
      <c r="AJ1159">
        <v>13</v>
      </c>
      <c r="AK1159">
        <v>11</v>
      </c>
      <c r="AL1159">
        <v>9</v>
      </c>
      <c r="AM1159">
        <v>17</v>
      </c>
      <c r="AN1159">
        <v>3</v>
      </c>
      <c r="AO1159">
        <v>53</v>
      </c>
      <c r="AP1159">
        <v>8</v>
      </c>
      <c r="AQ1159">
        <v>4</v>
      </c>
      <c r="AR1159">
        <v>7</v>
      </c>
      <c r="AS1159">
        <v>38</v>
      </c>
      <c r="AT1159">
        <v>1</v>
      </c>
    </row>
    <row r="1160" spans="1:46">
      <c r="A1160">
        <v>25052</v>
      </c>
      <c r="B1160" t="s">
        <v>7412</v>
      </c>
      <c r="C1160" t="s">
        <v>7413</v>
      </c>
      <c r="D1160" t="s">
        <v>7414</v>
      </c>
      <c r="E1160" t="s">
        <v>7415</v>
      </c>
      <c r="G1160" t="s">
        <v>1261</v>
      </c>
      <c r="H1160" t="s">
        <v>3942</v>
      </c>
      <c r="J1160" t="s">
        <v>518</v>
      </c>
      <c r="K1160" t="s">
        <v>519</v>
      </c>
      <c r="M1160" t="s">
        <v>520</v>
      </c>
      <c r="N1160" t="s">
        <v>557</v>
      </c>
      <c r="O1160" t="s">
        <v>1233</v>
      </c>
      <c r="P1160" t="s">
        <v>1262</v>
      </c>
      <c r="Q1160" t="s">
        <v>638</v>
      </c>
      <c r="R1160" t="s">
        <v>729</v>
      </c>
      <c r="S1160" t="s">
        <v>1246</v>
      </c>
      <c r="T1160" t="s">
        <v>1235</v>
      </c>
      <c r="U1160">
        <v>165302</v>
      </c>
      <c r="V1160" t="s">
        <v>5075</v>
      </c>
      <c r="W1160" t="s">
        <v>1237</v>
      </c>
      <c r="X1160" t="s">
        <v>3943</v>
      </c>
      <c r="Y1160" t="s">
        <v>3944</v>
      </c>
      <c r="Z1160" t="s">
        <v>3945</v>
      </c>
      <c r="AA1160" t="s">
        <v>3946</v>
      </c>
      <c r="AB1160" t="s">
        <v>3947</v>
      </c>
      <c r="AC1160">
        <v>99075</v>
      </c>
      <c r="AD1160" t="s">
        <v>1264</v>
      </c>
      <c r="AE1160">
        <v>-37.196208820000003</v>
      </c>
      <c r="AF1160">
        <v>174.89964935</v>
      </c>
      <c r="AG1160">
        <v>65</v>
      </c>
      <c r="AH1160">
        <v>20</v>
      </c>
      <c r="AI1160">
        <v>2</v>
      </c>
      <c r="AJ1160">
        <v>11</v>
      </c>
      <c r="AK1160">
        <v>16</v>
      </c>
      <c r="AL1160">
        <v>18</v>
      </c>
      <c r="AM1160">
        <v>22</v>
      </c>
      <c r="AN1160">
        <v>2</v>
      </c>
      <c r="AO1160">
        <v>71</v>
      </c>
      <c r="AP1160">
        <v>10</v>
      </c>
      <c r="AQ1160">
        <v>30</v>
      </c>
      <c r="AR1160">
        <v>21</v>
      </c>
      <c r="AS1160">
        <v>18</v>
      </c>
      <c r="AT1160">
        <v>4</v>
      </c>
    </row>
    <row r="1161" spans="1:46">
      <c r="A1161">
        <v>25054</v>
      </c>
      <c r="B1161" t="s">
        <v>7416</v>
      </c>
      <c r="C1161" t="s">
        <v>7417</v>
      </c>
      <c r="D1161" t="s">
        <v>7418</v>
      </c>
      <c r="E1161" t="s">
        <v>7419</v>
      </c>
      <c r="F1161" t="s">
        <v>847</v>
      </c>
      <c r="G1161" t="s">
        <v>652</v>
      </c>
      <c r="H1161" t="s">
        <v>3942</v>
      </c>
      <c r="I1161" t="s">
        <v>3953</v>
      </c>
      <c r="J1161" t="s">
        <v>518</v>
      </c>
      <c r="K1161" t="s">
        <v>519</v>
      </c>
      <c r="M1161" t="s">
        <v>520</v>
      </c>
      <c r="N1161" t="s">
        <v>727</v>
      </c>
      <c r="O1161" t="s">
        <v>848</v>
      </c>
      <c r="P1161" t="s">
        <v>654</v>
      </c>
      <c r="Q1161" t="s">
        <v>638</v>
      </c>
      <c r="R1161" t="s">
        <v>729</v>
      </c>
      <c r="S1161" t="s">
        <v>849</v>
      </c>
      <c r="T1161" t="s">
        <v>709</v>
      </c>
      <c r="U1161">
        <v>151800</v>
      </c>
      <c r="V1161" t="s">
        <v>7420</v>
      </c>
      <c r="W1161" t="s">
        <v>732</v>
      </c>
      <c r="X1161" t="s">
        <v>7421</v>
      </c>
      <c r="Y1161" t="s">
        <v>7422</v>
      </c>
      <c r="Z1161" t="s">
        <v>945</v>
      </c>
      <c r="AA1161" t="s">
        <v>4612</v>
      </c>
      <c r="AB1161" t="s">
        <v>7417</v>
      </c>
      <c r="AC1161">
        <v>99124</v>
      </c>
      <c r="AD1161" t="s">
        <v>4579</v>
      </c>
      <c r="AE1161">
        <v>-36.967457490000001</v>
      </c>
      <c r="AF1161">
        <v>174.82045346000001</v>
      </c>
      <c r="AG1161">
        <v>80</v>
      </c>
      <c r="AH1161">
        <v>10</v>
      </c>
      <c r="AI1161">
        <v>0</v>
      </c>
      <c r="AJ1161">
        <v>4</v>
      </c>
      <c r="AK1161">
        <v>13</v>
      </c>
      <c r="AL1161">
        <v>14</v>
      </c>
      <c r="AM1161">
        <v>24</v>
      </c>
      <c r="AN1161">
        <v>3</v>
      </c>
      <c r="AO1161">
        <v>58</v>
      </c>
      <c r="AP1161">
        <v>12</v>
      </c>
      <c r="AQ1161">
        <v>17</v>
      </c>
      <c r="AR1161">
        <v>48</v>
      </c>
      <c r="AS1161">
        <v>9</v>
      </c>
      <c r="AT1161">
        <v>0</v>
      </c>
    </row>
    <row r="1162" spans="1:46">
      <c r="A1162">
        <v>25055</v>
      </c>
      <c r="B1162" t="s">
        <v>7423</v>
      </c>
      <c r="C1162" t="s">
        <v>7424</v>
      </c>
      <c r="D1162" t="s">
        <v>7425</v>
      </c>
      <c r="E1162" t="s">
        <v>7426</v>
      </c>
      <c r="F1162" t="s">
        <v>1035</v>
      </c>
      <c r="G1162" t="s">
        <v>652</v>
      </c>
      <c r="H1162" t="s">
        <v>3942</v>
      </c>
      <c r="J1162" t="s">
        <v>518</v>
      </c>
      <c r="K1162" t="s">
        <v>519</v>
      </c>
      <c r="M1162" t="s">
        <v>520</v>
      </c>
      <c r="N1162" t="s">
        <v>557</v>
      </c>
      <c r="O1162" t="s">
        <v>728</v>
      </c>
      <c r="P1162" t="s">
        <v>654</v>
      </c>
      <c r="Q1162" t="s">
        <v>638</v>
      </c>
      <c r="R1162" t="s">
        <v>729</v>
      </c>
      <c r="S1162" t="s">
        <v>730</v>
      </c>
      <c r="T1162" t="s">
        <v>709</v>
      </c>
      <c r="U1162">
        <v>154901</v>
      </c>
      <c r="V1162" t="s">
        <v>1091</v>
      </c>
      <c r="W1162" t="s">
        <v>732</v>
      </c>
      <c r="X1162" t="s">
        <v>3943</v>
      </c>
      <c r="Y1162" t="s">
        <v>3944</v>
      </c>
      <c r="Z1162" t="s">
        <v>3945</v>
      </c>
      <c r="AA1162" t="s">
        <v>3946</v>
      </c>
      <c r="AB1162" t="s">
        <v>3947</v>
      </c>
      <c r="AC1162">
        <v>99102</v>
      </c>
      <c r="AD1162" t="s">
        <v>1038</v>
      </c>
      <c r="AE1162">
        <v>-36.978502509999998</v>
      </c>
      <c r="AF1162">
        <v>174.85053895999999</v>
      </c>
      <c r="AG1162">
        <v>50</v>
      </c>
      <c r="AH1162">
        <v>14</v>
      </c>
      <c r="AI1162">
        <v>1</v>
      </c>
      <c r="AJ1162">
        <v>6</v>
      </c>
      <c r="AK1162">
        <v>8</v>
      </c>
      <c r="AL1162">
        <v>18</v>
      </c>
      <c r="AM1162">
        <v>16</v>
      </c>
      <c r="AN1162">
        <v>0</v>
      </c>
      <c r="AO1162">
        <v>49</v>
      </c>
      <c r="AP1162">
        <v>0</v>
      </c>
      <c r="AQ1162">
        <v>2</v>
      </c>
      <c r="AR1162">
        <v>9</v>
      </c>
      <c r="AS1162">
        <v>41</v>
      </c>
      <c r="AT1162">
        <v>0</v>
      </c>
    </row>
    <row r="1163" spans="1:46">
      <c r="A1163">
        <v>25057</v>
      </c>
      <c r="B1163" t="s">
        <v>7427</v>
      </c>
      <c r="C1163" t="s">
        <v>7428</v>
      </c>
      <c r="D1163" t="s">
        <v>7429</v>
      </c>
      <c r="E1163" t="s">
        <v>5444</v>
      </c>
      <c r="G1163" t="s">
        <v>4019</v>
      </c>
      <c r="H1163" t="s">
        <v>3942</v>
      </c>
      <c r="I1163" t="s">
        <v>6828</v>
      </c>
      <c r="J1163" t="s">
        <v>518</v>
      </c>
      <c r="K1163" t="s">
        <v>519</v>
      </c>
      <c r="M1163" t="s">
        <v>520</v>
      </c>
      <c r="N1163" t="s">
        <v>571</v>
      </c>
      <c r="O1163" t="s">
        <v>1233</v>
      </c>
      <c r="P1163" t="s">
        <v>540</v>
      </c>
      <c r="Q1163" t="s">
        <v>638</v>
      </c>
      <c r="R1163" t="s">
        <v>708</v>
      </c>
      <c r="S1163" t="s">
        <v>1234</v>
      </c>
      <c r="T1163" t="s">
        <v>1235</v>
      </c>
      <c r="U1163">
        <v>162901</v>
      </c>
      <c r="V1163" t="s">
        <v>4019</v>
      </c>
      <c r="W1163" t="s">
        <v>1237</v>
      </c>
      <c r="X1163" t="s">
        <v>7430</v>
      </c>
      <c r="Y1163" t="s">
        <v>7431</v>
      </c>
      <c r="Z1163" t="s">
        <v>4019</v>
      </c>
      <c r="AA1163" t="s">
        <v>7432</v>
      </c>
      <c r="AB1163" t="s">
        <v>7433</v>
      </c>
      <c r="AE1163">
        <v>-36.992068199999999</v>
      </c>
      <c r="AF1163">
        <v>175.03705210000001</v>
      </c>
      <c r="AG1163">
        <v>62</v>
      </c>
      <c r="AH1163">
        <v>13</v>
      </c>
      <c r="AI1163">
        <v>1</v>
      </c>
      <c r="AJ1163">
        <v>12</v>
      </c>
      <c r="AK1163">
        <v>15</v>
      </c>
      <c r="AL1163">
        <v>22</v>
      </c>
      <c r="AM1163">
        <v>21</v>
      </c>
      <c r="AN1163">
        <v>2</v>
      </c>
      <c r="AO1163">
        <v>73</v>
      </c>
      <c r="AP1163">
        <v>71</v>
      </c>
      <c r="AQ1163">
        <v>9</v>
      </c>
      <c r="AR1163">
        <v>3</v>
      </c>
      <c r="AS1163">
        <v>6</v>
      </c>
      <c r="AT1163">
        <v>3</v>
      </c>
    </row>
    <row r="1164" spans="1:46">
      <c r="A1164">
        <v>25059</v>
      </c>
      <c r="B1164" t="s">
        <v>7434</v>
      </c>
      <c r="C1164" t="s">
        <v>7435</v>
      </c>
      <c r="D1164" t="s">
        <v>7436</v>
      </c>
      <c r="E1164" t="s">
        <v>7437</v>
      </c>
      <c r="F1164" t="s">
        <v>1072</v>
      </c>
      <c r="G1164" t="s">
        <v>652</v>
      </c>
      <c r="H1164" t="s">
        <v>3942</v>
      </c>
      <c r="I1164" t="s">
        <v>6828</v>
      </c>
      <c r="J1164" t="s">
        <v>518</v>
      </c>
      <c r="K1164" t="s">
        <v>519</v>
      </c>
      <c r="M1164" t="s">
        <v>520</v>
      </c>
      <c r="N1164" t="s">
        <v>521</v>
      </c>
      <c r="O1164" t="s">
        <v>848</v>
      </c>
      <c r="P1164" t="s">
        <v>654</v>
      </c>
      <c r="Q1164" t="s">
        <v>638</v>
      </c>
      <c r="R1164" t="s">
        <v>729</v>
      </c>
      <c r="S1164" t="s">
        <v>730</v>
      </c>
      <c r="T1164" t="s">
        <v>709</v>
      </c>
      <c r="U1164">
        <v>150101</v>
      </c>
      <c r="V1164" t="s">
        <v>4105</v>
      </c>
      <c r="W1164" t="s">
        <v>732</v>
      </c>
      <c r="X1164" t="s">
        <v>7438</v>
      </c>
      <c r="Y1164" t="s">
        <v>7437</v>
      </c>
      <c r="Z1164" t="s">
        <v>1072</v>
      </c>
      <c r="AA1164" t="s">
        <v>4886</v>
      </c>
      <c r="AB1164" t="s">
        <v>7439</v>
      </c>
      <c r="AE1164">
        <v>-36.942752290000001</v>
      </c>
      <c r="AF1164">
        <v>174.84147332000001</v>
      </c>
      <c r="AG1164">
        <v>40</v>
      </c>
      <c r="AH1164">
        <v>0</v>
      </c>
      <c r="AI1164">
        <v>0</v>
      </c>
      <c r="AJ1164">
        <v>0</v>
      </c>
      <c r="AK1164">
        <v>13</v>
      </c>
      <c r="AL1164">
        <v>10</v>
      </c>
      <c r="AM1164">
        <v>17</v>
      </c>
      <c r="AN1164">
        <v>1</v>
      </c>
      <c r="AO1164">
        <v>41</v>
      </c>
      <c r="AP1164">
        <v>4</v>
      </c>
      <c r="AQ1164">
        <v>9</v>
      </c>
      <c r="AR1164">
        <v>31</v>
      </c>
      <c r="AS1164">
        <v>6</v>
      </c>
      <c r="AT1164">
        <v>0</v>
      </c>
    </row>
    <row r="1165" spans="1:46">
      <c r="A1165">
        <v>25061</v>
      </c>
      <c r="B1165" t="s">
        <v>7440</v>
      </c>
      <c r="C1165" t="s">
        <v>7441</v>
      </c>
      <c r="D1165" t="s">
        <v>7442</v>
      </c>
      <c r="E1165" t="s">
        <v>7443</v>
      </c>
      <c r="F1165" t="s">
        <v>1035</v>
      </c>
      <c r="G1165" t="s">
        <v>652</v>
      </c>
      <c r="H1165" t="s">
        <v>3942</v>
      </c>
      <c r="I1165" t="s">
        <v>4165</v>
      </c>
      <c r="J1165" t="s">
        <v>3962</v>
      </c>
      <c r="K1165" t="s">
        <v>519</v>
      </c>
      <c r="M1165" t="s">
        <v>520</v>
      </c>
      <c r="N1165" t="s">
        <v>521</v>
      </c>
      <c r="O1165" t="s">
        <v>728</v>
      </c>
      <c r="P1165" t="s">
        <v>654</v>
      </c>
      <c r="Q1165" t="s">
        <v>638</v>
      </c>
      <c r="R1165" t="s">
        <v>729</v>
      </c>
      <c r="S1165" t="s">
        <v>1036</v>
      </c>
      <c r="T1165" t="s">
        <v>709</v>
      </c>
      <c r="U1165">
        <v>156700</v>
      </c>
      <c r="V1165" t="s">
        <v>7444</v>
      </c>
      <c r="W1165" t="s">
        <v>732</v>
      </c>
      <c r="X1165" t="s">
        <v>7309</v>
      </c>
      <c r="Y1165" t="s">
        <v>7310</v>
      </c>
      <c r="Z1165" t="s">
        <v>763</v>
      </c>
      <c r="AA1165" t="s">
        <v>5899</v>
      </c>
      <c r="AB1165" t="s">
        <v>7311</v>
      </c>
      <c r="AE1165">
        <v>-36.987985969999997</v>
      </c>
      <c r="AF1165">
        <v>174.85982802000001</v>
      </c>
      <c r="AG1165">
        <v>50</v>
      </c>
      <c r="AH1165">
        <v>10</v>
      </c>
      <c r="AI1165">
        <v>2</v>
      </c>
      <c r="AJ1165">
        <v>7</v>
      </c>
      <c r="AK1165">
        <v>8</v>
      </c>
      <c r="AL1165">
        <v>13</v>
      </c>
      <c r="AM1165">
        <v>22</v>
      </c>
      <c r="AN1165">
        <v>3</v>
      </c>
      <c r="AO1165">
        <v>55</v>
      </c>
      <c r="AP1165">
        <v>5</v>
      </c>
      <c r="AQ1165">
        <v>3</v>
      </c>
      <c r="AR1165">
        <v>21</v>
      </c>
      <c r="AS1165">
        <v>34</v>
      </c>
      <c r="AT1165">
        <v>0</v>
      </c>
    </row>
    <row r="1166" spans="1:46">
      <c r="A1166">
        <v>25062</v>
      </c>
      <c r="B1166" t="s">
        <v>7445</v>
      </c>
      <c r="C1166" t="s">
        <v>7446</v>
      </c>
      <c r="D1166" t="s">
        <v>7447</v>
      </c>
      <c r="E1166" t="s">
        <v>7448</v>
      </c>
      <c r="F1166" t="s">
        <v>1036</v>
      </c>
      <c r="G1166" t="s">
        <v>652</v>
      </c>
      <c r="H1166" t="s">
        <v>3942</v>
      </c>
      <c r="I1166" t="s">
        <v>3953</v>
      </c>
      <c r="J1166" t="s">
        <v>518</v>
      </c>
      <c r="K1166" t="s">
        <v>519</v>
      </c>
      <c r="M1166" t="s">
        <v>520</v>
      </c>
      <c r="N1166" t="s">
        <v>521</v>
      </c>
      <c r="O1166" t="s">
        <v>1216</v>
      </c>
      <c r="P1166" t="s">
        <v>654</v>
      </c>
      <c r="Q1166" t="s">
        <v>638</v>
      </c>
      <c r="R1166" t="s">
        <v>729</v>
      </c>
      <c r="S1166" t="s">
        <v>1036</v>
      </c>
      <c r="T1166" t="s">
        <v>709</v>
      </c>
      <c r="U1166">
        <v>159900</v>
      </c>
      <c r="V1166" t="s">
        <v>1241</v>
      </c>
      <c r="W1166" t="s">
        <v>1219</v>
      </c>
      <c r="X1166" t="s">
        <v>7449</v>
      </c>
      <c r="Y1166" t="s">
        <v>7450</v>
      </c>
      <c r="Z1166" t="s">
        <v>1036</v>
      </c>
      <c r="AA1166" t="s">
        <v>7336</v>
      </c>
      <c r="AC1166">
        <v>99211</v>
      </c>
      <c r="AD1166" t="s">
        <v>7277</v>
      </c>
      <c r="AE1166">
        <v>-37.03185714</v>
      </c>
      <c r="AF1166">
        <v>174.87427661000001</v>
      </c>
      <c r="AG1166">
        <v>50</v>
      </c>
      <c r="AH1166">
        <v>4</v>
      </c>
      <c r="AI1166">
        <v>0</v>
      </c>
      <c r="AJ1166">
        <v>0</v>
      </c>
      <c r="AK1166">
        <v>2</v>
      </c>
      <c r="AL1166">
        <v>12</v>
      </c>
      <c r="AM1166">
        <v>16</v>
      </c>
      <c r="AN1166">
        <v>3</v>
      </c>
      <c r="AO1166">
        <v>33</v>
      </c>
      <c r="AP1166">
        <v>9</v>
      </c>
      <c r="AQ1166">
        <v>7</v>
      </c>
      <c r="AR1166">
        <v>24</v>
      </c>
      <c r="AS1166">
        <v>2</v>
      </c>
      <c r="AT1166">
        <v>4</v>
      </c>
    </row>
    <row r="1167" spans="1:46">
      <c r="A1167">
        <v>25064</v>
      </c>
      <c r="B1167" t="s">
        <v>7451</v>
      </c>
      <c r="C1167" t="s">
        <v>7452</v>
      </c>
      <c r="D1167" t="s">
        <v>7453</v>
      </c>
      <c r="E1167" t="s">
        <v>7454</v>
      </c>
      <c r="F1167" t="s">
        <v>879</v>
      </c>
      <c r="G1167" t="s">
        <v>652</v>
      </c>
      <c r="H1167" t="s">
        <v>3942</v>
      </c>
      <c r="I1167" t="s">
        <v>4253</v>
      </c>
      <c r="J1167" t="s">
        <v>518</v>
      </c>
      <c r="K1167" t="s">
        <v>519</v>
      </c>
      <c r="M1167" t="s">
        <v>520</v>
      </c>
      <c r="N1167" t="s">
        <v>727</v>
      </c>
      <c r="O1167" t="s">
        <v>829</v>
      </c>
      <c r="P1167" t="s">
        <v>654</v>
      </c>
      <c r="Q1167" t="s">
        <v>638</v>
      </c>
      <c r="R1167" t="s">
        <v>708</v>
      </c>
      <c r="S1167" t="s">
        <v>880</v>
      </c>
      <c r="T1167" t="s">
        <v>709</v>
      </c>
      <c r="U1167">
        <v>145800</v>
      </c>
      <c r="V1167" t="s">
        <v>881</v>
      </c>
      <c r="W1167" t="s">
        <v>807</v>
      </c>
      <c r="X1167" t="s">
        <v>4254</v>
      </c>
      <c r="Y1167" t="s">
        <v>7455</v>
      </c>
      <c r="Z1167" t="s">
        <v>945</v>
      </c>
      <c r="AA1167" t="s">
        <v>7456</v>
      </c>
      <c r="AE1167">
        <v>-36.877834249999999</v>
      </c>
      <c r="AF1167">
        <v>174.86492346</v>
      </c>
      <c r="AG1167">
        <v>25</v>
      </c>
      <c r="AH1167">
        <v>5</v>
      </c>
      <c r="AI1167">
        <v>0</v>
      </c>
      <c r="AJ1167">
        <v>5</v>
      </c>
      <c r="AK1167">
        <v>9</v>
      </c>
      <c r="AL1167">
        <v>5</v>
      </c>
      <c r="AM1167">
        <v>3</v>
      </c>
      <c r="AN1167">
        <v>0</v>
      </c>
      <c r="AO1167">
        <v>22</v>
      </c>
      <c r="AP1167">
        <v>0</v>
      </c>
      <c r="AQ1167">
        <v>1</v>
      </c>
      <c r="AR1167">
        <v>22</v>
      </c>
      <c r="AS1167">
        <v>0</v>
      </c>
      <c r="AT1167">
        <v>2</v>
      </c>
    </row>
    <row r="1168" spans="1:46">
      <c r="A1168">
        <v>25066</v>
      </c>
      <c r="B1168" t="s">
        <v>7457</v>
      </c>
      <c r="C1168" t="s">
        <v>7458</v>
      </c>
      <c r="E1168" t="s">
        <v>7459</v>
      </c>
      <c r="F1168" t="s">
        <v>847</v>
      </c>
      <c r="G1168" t="s">
        <v>652</v>
      </c>
      <c r="H1168" t="s">
        <v>343</v>
      </c>
      <c r="J1168" t="s">
        <v>518</v>
      </c>
      <c r="K1168" t="s">
        <v>519</v>
      </c>
      <c r="L1168" t="s">
        <v>4205</v>
      </c>
      <c r="M1168" t="s">
        <v>520</v>
      </c>
      <c r="N1168" t="s">
        <v>521</v>
      </c>
      <c r="O1168" t="s">
        <v>848</v>
      </c>
      <c r="P1168" t="s">
        <v>654</v>
      </c>
      <c r="Q1168" t="s">
        <v>638</v>
      </c>
      <c r="R1168" t="s">
        <v>729</v>
      </c>
      <c r="S1168" t="s">
        <v>849</v>
      </c>
      <c r="T1168" t="s">
        <v>709</v>
      </c>
      <c r="U1168">
        <v>148501</v>
      </c>
      <c r="V1168" t="s">
        <v>7460</v>
      </c>
      <c r="W1168" t="s">
        <v>732</v>
      </c>
      <c r="X1168" t="s">
        <v>4207</v>
      </c>
      <c r="Y1168" t="s">
        <v>4208</v>
      </c>
      <c r="Z1168" t="s">
        <v>4209</v>
      </c>
      <c r="AA1168" t="s">
        <v>4210</v>
      </c>
      <c r="AE1168">
        <v>-36.965050130000002</v>
      </c>
      <c r="AF1168">
        <v>174.79622343</v>
      </c>
      <c r="AG1168">
        <v>37</v>
      </c>
      <c r="AH1168">
        <v>10</v>
      </c>
      <c r="AI1168">
        <v>3</v>
      </c>
      <c r="AJ1168">
        <v>3</v>
      </c>
      <c r="AK1168">
        <v>8</v>
      </c>
      <c r="AL1168">
        <v>9</v>
      </c>
      <c r="AM1168">
        <v>4</v>
      </c>
      <c r="AN1168">
        <v>0</v>
      </c>
      <c r="AO1168">
        <v>27</v>
      </c>
      <c r="AP1168">
        <v>0</v>
      </c>
      <c r="AQ1168">
        <v>24</v>
      </c>
      <c r="AR1168">
        <v>3</v>
      </c>
      <c r="AS1168">
        <v>0</v>
      </c>
      <c r="AT1168">
        <v>0</v>
      </c>
    </row>
    <row r="1169" spans="1:46">
      <c r="A1169">
        <v>25068</v>
      </c>
      <c r="B1169" t="s">
        <v>7461</v>
      </c>
      <c r="C1169" t="s">
        <v>7462</v>
      </c>
      <c r="D1169" t="s">
        <v>4630</v>
      </c>
      <c r="E1169" t="s">
        <v>7463</v>
      </c>
      <c r="F1169" t="s">
        <v>1029</v>
      </c>
      <c r="G1169" t="s">
        <v>652</v>
      </c>
      <c r="H1169" t="s">
        <v>3942</v>
      </c>
      <c r="J1169" t="s">
        <v>3962</v>
      </c>
      <c r="K1169" t="s">
        <v>519</v>
      </c>
      <c r="M1169" t="s">
        <v>520</v>
      </c>
      <c r="N1169" t="s">
        <v>571</v>
      </c>
      <c r="O1169" t="s">
        <v>829</v>
      </c>
      <c r="P1169" t="s">
        <v>654</v>
      </c>
      <c r="Q1169" t="s">
        <v>638</v>
      </c>
      <c r="R1169" t="s">
        <v>708</v>
      </c>
      <c r="S1169" t="s">
        <v>730</v>
      </c>
      <c r="T1169" t="s">
        <v>709</v>
      </c>
      <c r="U1169">
        <v>146000</v>
      </c>
      <c r="V1169" t="s">
        <v>7464</v>
      </c>
      <c r="W1169" t="s">
        <v>807</v>
      </c>
      <c r="X1169" t="s">
        <v>4633</v>
      </c>
      <c r="Y1169" t="s">
        <v>7465</v>
      </c>
      <c r="AA1169" t="s">
        <v>7466</v>
      </c>
      <c r="AB1169" t="s">
        <v>4636</v>
      </c>
      <c r="AE1169">
        <v>-36.895800080000001</v>
      </c>
      <c r="AF1169">
        <v>174.84382411000001</v>
      </c>
      <c r="AG1169">
        <v>84</v>
      </c>
      <c r="AH1169">
        <v>25</v>
      </c>
      <c r="AI1169">
        <v>1</v>
      </c>
      <c r="AJ1169">
        <v>8</v>
      </c>
      <c r="AK1169">
        <v>15</v>
      </c>
      <c r="AL1169">
        <v>6</v>
      </c>
      <c r="AM1169">
        <v>8</v>
      </c>
      <c r="AN1169">
        <v>2</v>
      </c>
      <c r="AO1169">
        <v>40</v>
      </c>
      <c r="AP1169">
        <v>21</v>
      </c>
      <c r="AQ1169">
        <v>6</v>
      </c>
      <c r="AR1169">
        <v>9</v>
      </c>
      <c r="AS1169">
        <v>12</v>
      </c>
      <c r="AT1169">
        <v>2</v>
      </c>
    </row>
    <row r="1170" spans="1:46">
      <c r="A1170">
        <v>25069</v>
      </c>
      <c r="B1170" t="s">
        <v>7467</v>
      </c>
      <c r="C1170" t="s">
        <v>7468</v>
      </c>
      <c r="E1170" t="s">
        <v>7469</v>
      </c>
      <c r="F1170" t="s">
        <v>726</v>
      </c>
      <c r="G1170" t="s">
        <v>652</v>
      </c>
      <c r="H1170" t="s">
        <v>343</v>
      </c>
      <c r="J1170" t="s">
        <v>518</v>
      </c>
      <c r="K1170" t="s">
        <v>519</v>
      </c>
      <c r="L1170" t="s">
        <v>4205</v>
      </c>
      <c r="M1170" t="s">
        <v>520</v>
      </c>
      <c r="N1170" t="s">
        <v>521</v>
      </c>
      <c r="O1170" t="s">
        <v>728</v>
      </c>
      <c r="P1170" t="s">
        <v>654</v>
      </c>
      <c r="Q1170" t="s">
        <v>638</v>
      </c>
      <c r="R1170" t="s">
        <v>729</v>
      </c>
      <c r="S1170" t="s">
        <v>778</v>
      </c>
      <c r="T1170" t="s">
        <v>709</v>
      </c>
      <c r="U1170">
        <v>157701</v>
      </c>
      <c r="V1170" t="s">
        <v>4495</v>
      </c>
      <c r="W1170" t="s">
        <v>732</v>
      </c>
      <c r="X1170" t="s">
        <v>4207</v>
      </c>
      <c r="Y1170" t="s">
        <v>4208</v>
      </c>
      <c r="Z1170" t="s">
        <v>4209</v>
      </c>
      <c r="AA1170" t="s">
        <v>4210</v>
      </c>
      <c r="AE1170">
        <v>-36.978312019999997</v>
      </c>
      <c r="AF1170">
        <v>174.89364119000001</v>
      </c>
      <c r="AG1170">
        <v>35</v>
      </c>
      <c r="AH1170">
        <v>8</v>
      </c>
      <c r="AI1170">
        <v>0</v>
      </c>
      <c r="AJ1170">
        <v>8</v>
      </c>
      <c r="AK1170">
        <v>4</v>
      </c>
      <c r="AL1170">
        <v>11</v>
      </c>
      <c r="AM1170">
        <v>8</v>
      </c>
      <c r="AN1170">
        <v>0</v>
      </c>
      <c r="AO1170">
        <v>31</v>
      </c>
      <c r="AP1170">
        <v>0</v>
      </c>
      <c r="AQ1170">
        <v>29</v>
      </c>
      <c r="AR1170">
        <v>1</v>
      </c>
      <c r="AS1170">
        <v>0</v>
      </c>
      <c r="AT1170">
        <v>1</v>
      </c>
    </row>
    <row r="1171" spans="1:46">
      <c r="A1171">
        <v>25072</v>
      </c>
      <c r="B1171" t="s">
        <v>7470</v>
      </c>
      <c r="C1171" t="s">
        <v>7471</v>
      </c>
      <c r="D1171" t="s">
        <v>7472</v>
      </c>
      <c r="E1171" t="s">
        <v>7473</v>
      </c>
      <c r="F1171" t="s">
        <v>1017</v>
      </c>
      <c r="G1171" t="s">
        <v>652</v>
      </c>
      <c r="H1171" t="s">
        <v>3942</v>
      </c>
      <c r="J1171" t="s">
        <v>3962</v>
      </c>
      <c r="K1171" t="s">
        <v>519</v>
      </c>
      <c r="M1171" t="s">
        <v>520</v>
      </c>
      <c r="N1171" t="s">
        <v>571</v>
      </c>
      <c r="O1171" t="s">
        <v>857</v>
      </c>
      <c r="P1171" t="s">
        <v>654</v>
      </c>
      <c r="Q1171" t="s">
        <v>638</v>
      </c>
      <c r="R1171" t="s">
        <v>708</v>
      </c>
      <c r="S1171" t="s">
        <v>913</v>
      </c>
      <c r="T1171" t="s">
        <v>709</v>
      </c>
      <c r="U1171">
        <v>139900</v>
      </c>
      <c r="V1171" t="s">
        <v>5985</v>
      </c>
      <c r="W1171" t="s">
        <v>860</v>
      </c>
      <c r="X1171" t="s">
        <v>7474</v>
      </c>
      <c r="Y1171" t="s">
        <v>7475</v>
      </c>
      <c r="Z1171" t="s">
        <v>1102</v>
      </c>
      <c r="AA1171" t="s">
        <v>5899</v>
      </c>
      <c r="AB1171" t="s">
        <v>7476</v>
      </c>
      <c r="AE1171">
        <v>-36.896556609999998</v>
      </c>
      <c r="AF1171">
        <v>174.74755275000001</v>
      </c>
      <c r="AG1171">
        <v>110</v>
      </c>
      <c r="AH1171">
        <v>40</v>
      </c>
      <c r="AI1171">
        <v>3</v>
      </c>
      <c r="AJ1171">
        <v>24</v>
      </c>
      <c r="AK1171">
        <v>31</v>
      </c>
      <c r="AL1171">
        <v>33</v>
      </c>
      <c r="AM1171">
        <v>29</v>
      </c>
      <c r="AN1171">
        <v>1</v>
      </c>
      <c r="AO1171">
        <v>121</v>
      </c>
      <c r="AP1171">
        <v>88</v>
      </c>
      <c r="AQ1171">
        <v>11</v>
      </c>
      <c r="AR1171">
        <v>4</v>
      </c>
      <c r="AS1171">
        <v>51</v>
      </c>
      <c r="AT1171">
        <v>3</v>
      </c>
    </row>
    <row r="1172" spans="1:46">
      <c r="A1172">
        <v>25077</v>
      </c>
      <c r="B1172" t="s">
        <v>7477</v>
      </c>
      <c r="C1172" t="s">
        <v>7478</v>
      </c>
      <c r="D1172" t="s">
        <v>7479</v>
      </c>
      <c r="E1172" t="s">
        <v>7480</v>
      </c>
      <c r="F1172" t="s">
        <v>3945</v>
      </c>
      <c r="G1172" t="s">
        <v>652</v>
      </c>
      <c r="H1172" t="s">
        <v>3942</v>
      </c>
      <c r="J1172" t="s">
        <v>518</v>
      </c>
      <c r="K1172" t="s">
        <v>519</v>
      </c>
      <c r="M1172" t="s">
        <v>520</v>
      </c>
      <c r="N1172" t="s">
        <v>539</v>
      </c>
      <c r="O1172" t="s">
        <v>1216</v>
      </c>
      <c r="P1172" t="s">
        <v>654</v>
      </c>
      <c r="Q1172" t="s">
        <v>638</v>
      </c>
      <c r="R1172" t="s">
        <v>729</v>
      </c>
      <c r="S1172" t="s">
        <v>1036</v>
      </c>
      <c r="T1172" t="s">
        <v>709</v>
      </c>
      <c r="U1172">
        <v>158401</v>
      </c>
      <c r="V1172" t="s">
        <v>3794</v>
      </c>
      <c r="W1172" t="s">
        <v>1219</v>
      </c>
      <c r="X1172" t="s">
        <v>7481</v>
      </c>
      <c r="Y1172" t="s">
        <v>7480</v>
      </c>
      <c r="Z1172" t="s">
        <v>3945</v>
      </c>
      <c r="AA1172" t="s">
        <v>7482</v>
      </c>
      <c r="AB1172" t="s">
        <v>7478</v>
      </c>
      <c r="AC1172">
        <v>99187</v>
      </c>
      <c r="AD1172" t="s">
        <v>1257</v>
      </c>
      <c r="AE1172">
        <v>-37.000650579999999</v>
      </c>
      <c r="AF1172">
        <v>174.88169730000001</v>
      </c>
      <c r="AG1172">
        <v>75</v>
      </c>
      <c r="AH1172">
        <v>18</v>
      </c>
      <c r="AI1172">
        <v>5</v>
      </c>
      <c r="AJ1172">
        <v>10</v>
      </c>
      <c r="AK1172">
        <v>12</v>
      </c>
      <c r="AL1172">
        <v>10</v>
      </c>
      <c r="AM1172">
        <v>17</v>
      </c>
      <c r="AN1172">
        <v>1</v>
      </c>
      <c r="AO1172">
        <v>55</v>
      </c>
      <c r="AP1172">
        <v>11</v>
      </c>
      <c r="AQ1172">
        <v>14</v>
      </c>
      <c r="AR1172">
        <v>27</v>
      </c>
      <c r="AS1172">
        <v>23</v>
      </c>
      <c r="AT1172">
        <v>0</v>
      </c>
    </row>
    <row r="1173" spans="1:46">
      <c r="A1173">
        <v>25078</v>
      </c>
      <c r="B1173" t="s">
        <v>7483</v>
      </c>
      <c r="C1173" t="s">
        <v>7484</v>
      </c>
      <c r="D1173" t="s">
        <v>7485</v>
      </c>
      <c r="E1173" t="s">
        <v>7486</v>
      </c>
      <c r="G1173" t="s">
        <v>1261</v>
      </c>
      <c r="H1173" t="s">
        <v>3942</v>
      </c>
      <c r="J1173" t="s">
        <v>518</v>
      </c>
      <c r="K1173" t="s">
        <v>519</v>
      </c>
      <c r="M1173" t="s">
        <v>520</v>
      </c>
      <c r="N1173" t="s">
        <v>571</v>
      </c>
      <c r="O1173" t="s">
        <v>1233</v>
      </c>
      <c r="P1173" t="s">
        <v>1262</v>
      </c>
      <c r="Q1173" t="s">
        <v>638</v>
      </c>
      <c r="R1173" t="s">
        <v>729</v>
      </c>
      <c r="S1173" t="s">
        <v>1246</v>
      </c>
      <c r="T1173" t="s">
        <v>1235</v>
      </c>
      <c r="U1173">
        <v>165700</v>
      </c>
      <c r="V1173" t="s">
        <v>1263</v>
      </c>
      <c r="W1173" t="s">
        <v>1237</v>
      </c>
      <c r="X1173" t="s">
        <v>7487</v>
      </c>
      <c r="Y1173" t="s">
        <v>7488</v>
      </c>
      <c r="AA1173" t="s">
        <v>7489</v>
      </c>
      <c r="AC1173">
        <v>99075</v>
      </c>
      <c r="AD1173" t="s">
        <v>1264</v>
      </c>
      <c r="AE1173">
        <v>-37.20201127</v>
      </c>
      <c r="AF1173">
        <v>174.89893411</v>
      </c>
      <c r="AG1173">
        <v>30</v>
      </c>
      <c r="AH1173">
        <v>0</v>
      </c>
      <c r="AI1173">
        <v>0</v>
      </c>
      <c r="AJ1173">
        <v>0</v>
      </c>
      <c r="AK1173">
        <v>5</v>
      </c>
      <c r="AL1173">
        <v>10</v>
      </c>
      <c r="AM1173">
        <v>16</v>
      </c>
      <c r="AN1173">
        <v>1</v>
      </c>
      <c r="AO1173">
        <v>32</v>
      </c>
      <c r="AP1173">
        <v>27</v>
      </c>
      <c r="AQ1173">
        <v>5</v>
      </c>
      <c r="AR1173">
        <v>2</v>
      </c>
      <c r="AS1173">
        <v>4</v>
      </c>
      <c r="AT1173">
        <v>1</v>
      </c>
    </row>
    <row r="1174" spans="1:46">
      <c r="A1174">
        <v>25079</v>
      </c>
      <c r="B1174" t="s">
        <v>7490</v>
      </c>
      <c r="C1174" t="s">
        <v>7491</v>
      </c>
      <c r="D1174" t="s">
        <v>7492</v>
      </c>
      <c r="E1174" t="s">
        <v>7493</v>
      </c>
      <c r="F1174" t="s">
        <v>1096</v>
      </c>
      <c r="G1174" t="s">
        <v>652</v>
      </c>
      <c r="H1174" t="s">
        <v>3942</v>
      </c>
      <c r="J1174" t="s">
        <v>518</v>
      </c>
      <c r="K1174" t="s">
        <v>519</v>
      </c>
      <c r="M1174" t="s">
        <v>520</v>
      </c>
      <c r="N1174" t="s">
        <v>4519</v>
      </c>
      <c r="O1174" t="s">
        <v>957</v>
      </c>
      <c r="P1174" t="s">
        <v>654</v>
      </c>
      <c r="Q1174" t="s">
        <v>638</v>
      </c>
      <c r="R1174" t="s">
        <v>708</v>
      </c>
      <c r="S1174" t="s">
        <v>822</v>
      </c>
      <c r="T1174" t="s">
        <v>709</v>
      </c>
      <c r="U1174">
        <v>137400</v>
      </c>
      <c r="V1174" t="s">
        <v>1097</v>
      </c>
      <c r="W1174" t="s">
        <v>824</v>
      </c>
      <c r="X1174" t="s">
        <v>4075</v>
      </c>
      <c r="Y1174" t="s">
        <v>4076</v>
      </c>
      <c r="Z1174" t="s">
        <v>1096</v>
      </c>
      <c r="AA1174" t="s">
        <v>4077</v>
      </c>
      <c r="AE1174">
        <v>-36.855381889999997</v>
      </c>
      <c r="AF1174">
        <v>174.78987948</v>
      </c>
      <c r="AG1174">
        <v>74</v>
      </c>
      <c r="AH1174">
        <v>24</v>
      </c>
      <c r="AI1174">
        <v>4</v>
      </c>
      <c r="AJ1174">
        <v>11</v>
      </c>
      <c r="AK1174">
        <v>16</v>
      </c>
      <c r="AL1174">
        <v>12</v>
      </c>
      <c r="AM1174">
        <v>8</v>
      </c>
      <c r="AN1174">
        <v>0</v>
      </c>
      <c r="AO1174">
        <v>51</v>
      </c>
      <c r="AP1174">
        <v>37</v>
      </c>
      <c r="AQ1174">
        <v>4</v>
      </c>
      <c r="AR1174">
        <v>2</v>
      </c>
      <c r="AS1174">
        <v>12</v>
      </c>
      <c r="AT1174">
        <v>9</v>
      </c>
    </row>
    <row r="1175" spans="1:46">
      <c r="A1175">
        <v>25080</v>
      </c>
      <c r="B1175" t="s">
        <v>7494</v>
      </c>
      <c r="C1175" t="s">
        <v>7495</v>
      </c>
      <c r="D1175" t="s">
        <v>7496</v>
      </c>
      <c r="E1175" t="s">
        <v>7497</v>
      </c>
      <c r="G1175" t="s">
        <v>1234</v>
      </c>
      <c r="H1175" t="s">
        <v>3942</v>
      </c>
      <c r="J1175" t="s">
        <v>518</v>
      </c>
      <c r="K1175" t="s">
        <v>519</v>
      </c>
      <c r="M1175" t="s">
        <v>520</v>
      </c>
      <c r="N1175" t="s">
        <v>521</v>
      </c>
      <c r="O1175" t="s">
        <v>1268</v>
      </c>
      <c r="P1175" t="s">
        <v>654</v>
      </c>
      <c r="Q1175" t="s">
        <v>638</v>
      </c>
      <c r="R1175" t="s">
        <v>729</v>
      </c>
      <c r="S1175" t="s">
        <v>1234</v>
      </c>
      <c r="T1175" t="s">
        <v>1235</v>
      </c>
      <c r="U1175">
        <v>163502</v>
      </c>
      <c r="V1175" t="s">
        <v>7498</v>
      </c>
      <c r="W1175" t="s">
        <v>1219</v>
      </c>
      <c r="X1175" t="s">
        <v>3943</v>
      </c>
      <c r="Y1175" t="s">
        <v>3944</v>
      </c>
      <c r="Z1175" t="s">
        <v>3945</v>
      </c>
      <c r="AA1175" t="s">
        <v>3946</v>
      </c>
      <c r="AB1175" t="s">
        <v>3947</v>
      </c>
      <c r="AE1175">
        <v>-37.055137780000003</v>
      </c>
      <c r="AF1175">
        <v>174.96474111000001</v>
      </c>
      <c r="AG1175">
        <v>39</v>
      </c>
      <c r="AH1175">
        <v>0</v>
      </c>
      <c r="AI1175">
        <v>0</v>
      </c>
      <c r="AJ1175">
        <v>0</v>
      </c>
      <c r="AK1175">
        <v>8</v>
      </c>
      <c r="AL1175">
        <v>15</v>
      </c>
      <c r="AM1175">
        <v>11</v>
      </c>
      <c r="AN1175">
        <v>3</v>
      </c>
      <c r="AO1175">
        <v>37</v>
      </c>
      <c r="AP1175">
        <v>6</v>
      </c>
      <c r="AQ1175">
        <v>23</v>
      </c>
      <c r="AR1175">
        <v>19</v>
      </c>
      <c r="AS1175">
        <v>3</v>
      </c>
      <c r="AT1175">
        <v>0</v>
      </c>
    </row>
    <row r="1176" spans="1:46">
      <c r="A1176">
        <v>25081</v>
      </c>
      <c r="B1176" t="s">
        <v>7499</v>
      </c>
      <c r="C1176" t="s">
        <v>7500</v>
      </c>
      <c r="E1176" t="s">
        <v>7501</v>
      </c>
      <c r="F1176" t="s">
        <v>777</v>
      </c>
      <c r="G1176" t="s">
        <v>652</v>
      </c>
      <c r="H1176" t="s">
        <v>3942</v>
      </c>
      <c r="J1176" t="s">
        <v>518</v>
      </c>
      <c r="K1176" t="s">
        <v>519</v>
      </c>
      <c r="M1176" t="s">
        <v>520</v>
      </c>
      <c r="N1176" t="s">
        <v>571</v>
      </c>
      <c r="O1176" t="s">
        <v>707</v>
      </c>
      <c r="P1176" t="s">
        <v>654</v>
      </c>
      <c r="Q1176" t="s">
        <v>638</v>
      </c>
      <c r="R1176" t="s">
        <v>708</v>
      </c>
      <c r="S1176" t="s">
        <v>706</v>
      </c>
      <c r="T1176" t="s">
        <v>709</v>
      </c>
      <c r="U1176">
        <v>150600</v>
      </c>
      <c r="V1176" t="s">
        <v>7325</v>
      </c>
      <c r="W1176" t="s">
        <v>711</v>
      </c>
      <c r="X1176" t="s">
        <v>7502</v>
      </c>
      <c r="Y1176" t="s">
        <v>7503</v>
      </c>
      <c r="Z1176" t="s">
        <v>777</v>
      </c>
      <c r="AA1176" t="s">
        <v>7504</v>
      </c>
      <c r="AC1176">
        <v>99127</v>
      </c>
      <c r="AD1176" t="s">
        <v>3936</v>
      </c>
      <c r="AE1176">
        <v>-36.89399435</v>
      </c>
      <c r="AF1176">
        <v>174.93388239999999</v>
      </c>
      <c r="AG1176">
        <v>24</v>
      </c>
      <c r="AH1176">
        <v>8</v>
      </c>
      <c r="AI1176">
        <v>0</v>
      </c>
      <c r="AJ1176">
        <v>0</v>
      </c>
      <c r="AK1176">
        <v>7</v>
      </c>
      <c r="AL1176">
        <v>9</v>
      </c>
      <c r="AM1176">
        <v>25</v>
      </c>
      <c r="AN1176">
        <v>1</v>
      </c>
      <c r="AO1176">
        <v>42</v>
      </c>
      <c r="AP1176">
        <v>36</v>
      </c>
      <c r="AQ1176">
        <v>2</v>
      </c>
      <c r="AR1176">
        <v>0</v>
      </c>
      <c r="AS1176">
        <v>6</v>
      </c>
      <c r="AT1176">
        <v>3</v>
      </c>
    </row>
    <row r="1177" spans="1:46">
      <c r="A1177">
        <v>25082</v>
      </c>
      <c r="B1177" t="s">
        <v>7505</v>
      </c>
      <c r="C1177" t="s">
        <v>7506</v>
      </c>
      <c r="D1177" t="s">
        <v>7507</v>
      </c>
      <c r="E1177" t="s">
        <v>7508</v>
      </c>
      <c r="F1177" t="s">
        <v>911</v>
      </c>
      <c r="G1177" t="s">
        <v>652</v>
      </c>
      <c r="H1177" t="s">
        <v>3942</v>
      </c>
      <c r="J1177" t="s">
        <v>3962</v>
      </c>
      <c r="K1177" t="s">
        <v>519</v>
      </c>
      <c r="M1177" t="s">
        <v>520</v>
      </c>
      <c r="N1177" t="s">
        <v>571</v>
      </c>
      <c r="O1177" t="s">
        <v>912</v>
      </c>
      <c r="P1177" t="s">
        <v>654</v>
      </c>
      <c r="Q1177" t="s">
        <v>638</v>
      </c>
      <c r="R1177" t="s">
        <v>708</v>
      </c>
      <c r="S1177" t="s">
        <v>913</v>
      </c>
      <c r="T1177" t="s">
        <v>709</v>
      </c>
      <c r="U1177">
        <v>142501</v>
      </c>
      <c r="V1177" t="s">
        <v>7509</v>
      </c>
      <c r="W1177" t="s">
        <v>860</v>
      </c>
      <c r="X1177" t="s">
        <v>7510</v>
      </c>
      <c r="Y1177" t="s">
        <v>7511</v>
      </c>
      <c r="Z1177" t="s">
        <v>1023</v>
      </c>
      <c r="AA1177" t="s">
        <v>7512</v>
      </c>
      <c r="AB1177" t="s">
        <v>7506</v>
      </c>
      <c r="AE1177">
        <v>-36.930100539999998</v>
      </c>
      <c r="AF1177">
        <v>174.73022528999999</v>
      </c>
      <c r="AG1177">
        <v>59</v>
      </c>
      <c r="AH1177">
        <v>14</v>
      </c>
      <c r="AI1177">
        <v>1</v>
      </c>
      <c r="AJ1177">
        <v>5</v>
      </c>
      <c r="AK1177">
        <v>10</v>
      </c>
      <c r="AL1177">
        <v>19</v>
      </c>
      <c r="AM1177">
        <v>12</v>
      </c>
      <c r="AN1177">
        <v>0</v>
      </c>
      <c r="AO1177">
        <v>47</v>
      </c>
      <c r="AP1177">
        <v>11</v>
      </c>
      <c r="AQ1177">
        <v>4</v>
      </c>
      <c r="AR1177">
        <v>5</v>
      </c>
      <c r="AS1177">
        <v>34</v>
      </c>
      <c r="AT1177">
        <v>2</v>
      </c>
    </row>
    <row r="1178" spans="1:46">
      <c r="A1178">
        <v>25083</v>
      </c>
      <c r="B1178" t="s">
        <v>7513</v>
      </c>
      <c r="C1178" t="s">
        <v>7514</v>
      </c>
      <c r="D1178" t="s">
        <v>7515</v>
      </c>
      <c r="E1178" t="s">
        <v>7516</v>
      </c>
      <c r="G1178" t="s">
        <v>1245</v>
      </c>
      <c r="H1178" t="s">
        <v>3942</v>
      </c>
      <c r="J1178" t="s">
        <v>518</v>
      </c>
      <c r="K1178" t="s">
        <v>519</v>
      </c>
      <c r="M1178" t="s">
        <v>520</v>
      </c>
      <c r="N1178" t="s">
        <v>571</v>
      </c>
      <c r="O1178" t="s">
        <v>1233</v>
      </c>
      <c r="P1178" t="s">
        <v>523</v>
      </c>
      <c r="Q1178" t="s">
        <v>638</v>
      </c>
      <c r="R1178" t="s">
        <v>729</v>
      </c>
      <c r="S1178" t="s">
        <v>1246</v>
      </c>
      <c r="T1178" t="s">
        <v>1235</v>
      </c>
      <c r="U1178">
        <v>164401</v>
      </c>
      <c r="V1178" t="s">
        <v>7517</v>
      </c>
      <c r="W1178" t="s">
        <v>1237</v>
      </c>
      <c r="X1178" t="s">
        <v>7518</v>
      </c>
      <c r="Y1178" t="s">
        <v>7519</v>
      </c>
      <c r="AA1178" t="s">
        <v>7520</v>
      </c>
      <c r="AB1178" t="s">
        <v>7521</v>
      </c>
      <c r="AC1178">
        <v>99033</v>
      </c>
      <c r="AD1178" t="s">
        <v>1248</v>
      </c>
      <c r="AE1178">
        <v>-37.251652589999999</v>
      </c>
      <c r="AF1178">
        <v>174.72514455999999</v>
      </c>
      <c r="AG1178">
        <v>38</v>
      </c>
      <c r="AH1178">
        <v>8</v>
      </c>
      <c r="AI1178">
        <v>2</v>
      </c>
      <c r="AJ1178">
        <v>5</v>
      </c>
      <c r="AK1178">
        <v>11</v>
      </c>
      <c r="AL1178">
        <v>8</v>
      </c>
      <c r="AM1178">
        <v>13</v>
      </c>
      <c r="AN1178">
        <v>0</v>
      </c>
      <c r="AO1178">
        <v>39</v>
      </c>
      <c r="AP1178">
        <v>32</v>
      </c>
      <c r="AQ1178">
        <v>12</v>
      </c>
      <c r="AR1178">
        <v>3</v>
      </c>
      <c r="AS1178">
        <v>1</v>
      </c>
      <c r="AT1178">
        <v>3</v>
      </c>
    </row>
    <row r="1179" spans="1:46">
      <c r="A1179">
        <v>25086</v>
      </c>
      <c r="B1179" t="s">
        <v>7522</v>
      </c>
      <c r="C1179" t="s">
        <v>7523</v>
      </c>
      <c r="D1179" t="s">
        <v>7524</v>
      </c>
      <c r="E1179" t="s">
        <v>7525</v>
      </c>
      <c r="F1179" t="s">
        <v>945</v>
      </c>
      <c r="G1179" t="s">
        <v>652</v>
      </c>
      <c r="H1179" t="s">
        <v>343</v>
      </c>
      <c r="J1179" t="s">
        <v>518</v>
      </c>
      <c r="K1179" t="s">
        <v>519</v>
      </c>
      <c r="L1179" t="s">
        <v>4205</v>
      </c>
      <c r="M1179" t="s">
        <v>520</v>
      </c>
      <c r="N1179" t="s">
        <v>521</v>
      </c>
      <c r="O1179" t="s">
        <v>848</v>
      </c>
      <c r="P1179" t="s">
        <v>654</v>
      </c>
      <c r="Q1179" t="s">
        <v>638</v>
      </c>
      <c r="R1179" t="s">
        <v>729</v>
      </c>
      <c r="S1179" t="s">
        <v>849</v>
      </c>
      <c r="T1179" t="s">
        <v>709</v>
      </c>
      <c r="U1179">
        <v>150800</v>
      </c>
      <c r="V1179" t="s">
        <v>7526</v>
      </c>
      <c r="W1179" t="s">
        <v>732</v>
      </c>
      <c r="X1179" t="s">
        <v>4207</v>
      </c>
      <c r="Y1179" t="s">
        <v>4208</v>
      </c>
      <c r="Z1179" t="s">
        <v>4209</v>
      </c>
      <c r="AA1179" t="s">
        <v>4210</v>
      </c>
      <c r="AE1179">
        <v>-36.956973439999999</v>
      </c>
      <c r="AF1179">
        <v>174.82221147999999</v>
      </c>
      <c r="AG1179">
        <v>31</v>
      </c>
      <c r="AH1179">
        <v>10</v>
      </c>
      <c r="AI1179">
        <v>2</v>
      </c>
      <c r="AJ1179">
        <v>7</v>
      </c>
      <c r="AK1179">
        <v>8</v>
      </c>
      <c r="AL1179">
        <v>7</v>
      </c>
      <c r="AM1179">
        <v>1</v>
      </c>
      <c r="AN1179">
        <v>0</v>
      </c>
      <c r="AO1179">
        <v>25</v>
      </c>
      <c r="AP1179">
        <v>0</v>
      </c>
      <c r="AQ1179">
        <v>23</v>
      </c>
      <c r="AR1179">
        <v>2</v>
      </c>
      <c r="AS1179">
        <v>0</v>
      </c>
      <c r="AT1179">
        <v>0</v>
      </c>
    </row>
    <row r="1180" spans="1:46">
      <c r="A1180">
        <v>25088</v>
      </c>
      <c r="B1180" t="s">
        <v>7527</v>
      </c>
      <c r="C1180" t="s">
        <v>7528</v>
      </c>
      <c r="D1180" t="s">
        <v>7529</v>
      </c>
      <c r="E1180" t="s">
        <v>7530</v>
      </c>
      <c r="F1180" t="s">
        <v>1114</v>
      </c>
      <c r="G1180" t="s">
        <v>652</v>
      </c>
      <c r="H1180" t="s">
        <v>3942</v>
      </c>
      <c r="I1180" t="s">
        <v>4253</v>
      </c>
      <c r="J1180" t="s">
        <v>518</v>
      </c>
      <c r="K1180" t="s">
        <v>519</v>
      </c>
      <c r="M1180" t="s">
        <v>520</v>
      </c>
      <c r="N1180" t="s">
        <v>539</v>
      </c>
      <c r="O1180" t="s">
        <v>813</v>
      </c>
      <c r="P1180" t="s">
        <v>654</v>
      </c>
      <c r="Q1180" t="s">
        <v>638</v>
      </c>
      <c r="R1180" t="s">
        <v>639</v>
      </c>
      <c r="S1180" t="s">
        <v>899</v>
      </c>
      <c r="T1180" t="s">
        <v>527</v>
      </c>
      <c r="U1180">
        <v>123800</v>
      </c>
      <c r="V1180" t="s">
        <v>1115</v>
      </c>
      <c r="W1180" t="s">
        <v>815</v>
      </c>
      <c r="X1180" t="s">
        <v>4354</v>
      </c>
      <c r="Y1180" t="s">
        <v>7530</v>
      </c>
      <c r="Z1180" t="s">
        <v>1114</v>
      </c>
      <c r="AA1180" t="s">
        <v>3964</v>
      </c>
      <c r="AB1180" t="s">
        <v>4357</v>
      </c>
      <c r="AE1180">
        <v>-36.866445679999998</v>
      </c>
      <c r="AF1180">
        <v>174.60921279999999</v>
      </c>
      <c r="AG1180">
        <v>50</v>
      </c>
      <c r="AH1180">
        <v>15</v>
      </c>
      <c r="AI1180">
        <v>1</v>
      </c>
      <c r="AJ1180">
        <v>4</v>
      </c>
      <c r="AK1180">
        <v>10</v>
      </c>
      <c r="AL1180">
        <v>8</v>
      </c>
      <c r="AM1180">
        <v>7</v>
      </c>
      <c r="AN1180">
        <v>0</v>
      </c>
      <c r="AO1180">
        <v>30</v>
      </c>
      <c r="AP1180">
        <v>4</v>
      </c>
      <c r="AQ1180">
        <v>3</v>
      </c>
      <c r="AR1180">
        <v>29</v>
      </c>
      <c r="AS1180">
        <v>1</v>
      </c>
      <c r="AT1180">
        <v>0</v>
      </c>
    </row>
    <row r="1181" spans="1:46">
      <c r="A1181">
        <v>25089</v>
      </c>
      <c r="B1181" t="s">
        <v>7531</v>
      </c>
      <c r="C1181" t="s">
        <v>7532</v>
      </c>
      <c r="D1181" t="s">
        <v>7533</v>
      </c>
      <c r="E1181" t="s">
        <v>7534</v>
      </c>
      <c r="F1181" t="s">
        <v>1029</v>
      </c>
      <c r="G1181" t="s">
        <v>652</v>
      </c>
      <c r="H1181" t="s">
        <v>3942</v>
      </c>
      <c r="J1181" t="s">
        <v>3962</v>
      </c>
      <c r="K1181" t="s">
        <v>519</v>
      </c>
      <c r="M1181" t="s">
        <v>520</v>
      </c>
      <c r="N1181" t="s">
        <v>557</v>
      </c>
      <c r="O1181" t="s">
        <v>829</v>
      </c>
      <c r="P1181" t="s">
        <v>654</v>
      </c>
      <c r="Q1181" t="s">
        <v>638</v>
      </c>
      <c r="R1181" t="s">
        <v>708</v>
      </c>
      <c r="S1181" t="s">
        <v>805</v>
      </c>
      <c r="T1181" t="s">
        <v>709</v>
      </c>
      <c r="U1181">
        <v>146201</v>
      </c>
      <c r="V1181" t="s">
        <v>5199</v>
      </c>
      <c r="W1181" t="s">
        <v>807</v>
      </c>
      <c r="X1181" t="s">
        <v>7535</v>
      </c>
      <c r="Y1181" t="s">
        <v>4107</v>
      </c>
      <c r="AA1181" t="s">
        <v>3982</v>
      </c>
      <c r="AE1181">
        <v>-36.900149409999997</v>
      </c>
      <c r="AF1181">
        <v>174.83067753</v>
      </c>
      <c r="AG1181">
        <v>130</v>
      </c>
      <c r="AH1181">
        <v>22</v>
      </c>
      <c r="AI1181">
        <v>2</v>
      </c>
      <c r="AJ1181">
        <v>17</v>
      </c>
      <c r="AK1181">
        <v>26</v>
      </c>
      <c r="AL1181">
        <v>30</v>
      </c>
      <c r="AM1181">
        <v>43</v>
      </c>
      <c r="AN1181">
        <v>0</v>
      </c>
      <c r="AO1181">
        <v>118</v>
      </c>
      <c r="AP1181">
        <v>10</v>
      </c>
      <c r="AQ1181">
        <v>8</v>
      </c>
      <c r="AR1181">
        <v>22</v>
      </c>
      <c r="AS1181">
        <v>88</v>
      </c>
      <c r="AT1181">
        <v>7</v>
      </c>
    </row>
    <row r="1182" spans="1:46">
      <c r="A1182">
        <v>25090</v>
      </c>
      <c r="B1182" t="s">
        <v>7536</v>
      </c>
      <c r="C1182" t="s">
        <v>5253</v>
      </c>
      <c r="D1182" t="s">
        <v>5254</v>
      </c>
      <c r="E1182" t="s">
        <v>7537</v>
      </c>
      <c r="F1182" t="s">
        <v>706</v>
      </c>
      <c r="G1182" t="s">
        <v>652</v>
      </c>
      <c r="H1182" t="s">
        <v>3942</v>
      </c>
      <c r="J1182" t="s">
        <v>3962</v>
      </c>
      <c r="K1182" t="s">
        <v>519</v>
      </c>
      <c r="M1182" t="s">
        <v>520</v>
      </c>
      <c r="N1182" t="s">
        <v>571</v>
      </c>
      <c r="O1182" t="s">
        <v>707</v>
      </c>
      <c r="P1182" t="s">
        <v>654</v>
      </c>
      <c r="Q1182" t="s">
        <v>638</v>
      </c>
      <c r="R1182" t="s">
        <v>708</v>
      </c>
      <c r="S1182" t="s">
        <v>706</v>
      </c>
      <c r="T1182" t="s">
        <v>709</v>
      </c>
      <c r="U1182">
        <v>149800</v>
      </c>
      <c r="V1182" t="s">
        <v>5256</v>
      </c>
      <c r="W1182" t="s">
        <v>711</v>
      </c>
      <c r="X1182" t="s">
        <v>5257</v>
      </c>
      <c r="Y1182" t="s">
        <v>4107</v>
      </c>
      <c r="AA1182" t="s">
        <v>3982</v>
      </c>
      <c r="AB1182" t="s">
        <v>5253</v>
      </c>
      <c r="AE1182">
        <v>-36.914333900000003</v>
      </c>
      <c r="AF1182">
        <v>174.87941248000001</v>
      </c>
      <c r="AG1182">
        <v>120</v>
      </c>
      <c r="AH1182">
        <v>0</v>
      </c>
      <c r="AI1182">
        <v>0</v>
      </c>
      <c r="AJ1182">
        <v>0</v>
      </c>
      <c r="AK1182">
        <v>0</v>
      </c>
      <c r="AL1182">
        <v>26</v>
      </c>
      <c r="AM1182">
        <v>34</v>
      </c>
      <c r="AN1182">
        <v>5</v>
      </c>
      <c r="AO1182">
        <v>65</v>
      </c>
      <c r="AP1182">
        <v>13</v>
      </c>
      <c r="AQ1182">
        <v>8</v>
      </c>
      <c r="AR1182">
        <v>13</v>
      </c>
      <c r="AS1182">
        <v>35</v>
      </c>
      <c r="AT1182">
        <v>4</v>
      </c>
    </row>
    <row r="1183" spans="1:46">
      <c r="A1183">
        <v>25091</v>
      </c>
      <c r="B1183" t="s">
        <v>7538</v>
      </c>
      <c r="C1183" t="s">
        <v>7539</v>
      </c>
      <c r="D1183" t="s">
        <v>7540</v>
      </c>
      <c r="E1183" t="s">
        <v>7541</v>
      </c>
      <c r="F1183" t="s">
        <v>1072</v>
      </c>
      <c r="G1183" t="s">
        <v>652</v>
      </c>
      <c r="H1183" t="s">
        <v>3942</v>
      </c>
      <c r="I1183" t="s">
        <v>6806</v>
      </c>
      <c r="J1183" t="s">
        <v>518</v>
      </c>
      <c r="K1183" t="s">
        <v>519</v>
      </c>
      <c r="M1183" t="s">
        <v>520</v>
      </c>
      <c r="N1183" t="s">
        <v>521</v>
      </c>
      <c r="O1183" t="s">
        <v>848</v>
      </c>
      <c r="P1183" t="s">
        <v>654</v>
      </c>
      <c r="Q1183" t="s">
        <v>638</v>
      </c>
      <c r="R1183" t="s">
        <v>729</v>
      </c>
      <c r="S1183" t="s">
        <v>730</v>
      </c>
      <c r="T1183" t="s">
        <v>709</v>
      </c>
      <c r="U1183">
        <v>151400</v>
      </c>
      <c r="V1183" t="s">
        <v>7542</v>
      </c>
      <c r="W1183" t="s">
        <v>732</v>
      </c>
      <c r="X1183" t="s">
        <v>7543</v>
      </c>
      <c r="Y1183" t="s">
        <v>7544</v>
      </c>
      <c r="Z1183" t="s">
        <v>1072</v>
      </c>
      <c r="AA1183" t="s">
        <v>4886</v>
      </c>
      <c r="AB1183" t="s">
        <v>7545</v>
      </c>
      <c r="AC1183">
        <v>99151</v>
      </c>
      <c r="AD1183" t="s">
        <v>1074</v>
      </c>
      <c r="AE1183">
        <v>-36.95383906</v>
      </c>
      <c r="AF1183">
        <v>174.84628916</v>
      </c>
      <c r="AG1183">
        <v>35</v>
      </c>
      <c r="AH1183">
        <v>10</v>
      </c>
      <c r="AI1183">
        <v>3</v>
      </c>
      <c r="AJ1183">
        <v>2</v>
      </c>
      <c r="AK1183">
        <v>4</v>
      </c>
      <c r="AL1183">
        <v>6</v>
      </c>
      <c r="AM1183">
        <v>5</v>
      </c>
      <c r="AN1183">
        <v>0</v>
      </c>
      <c r="AO1183">
        <v>20</v>
      </c>
      <c r="AP1183">
        <v>7</v>
      </c>
      <c r="AQ1183">
        <v>6</v>
      </c>
      <c r="AR1183">
        <v>11</v>
      </c>
      <c r="AS1183">
        <v>5</v>
      </c>
      <c r="AT1183">
        <v>1</v>
      </c>
    </row>
    <row r="1184" spans="1:46">
      <c r="A1184">
        <v>25095</v>
      </c>
      <c r="B1184" t="s">
        <v>7546</v>
      </c>
      <c r="C1184" t="s">
        <v>7547</v>
      </c>
      <c r="E1184" t="s">
        <v>7548</v>
      </c>
      <c r="F1184" t="s">
        <v>7549</v>
      </c>
      <c r="G1184" t="s">
        <v>652</v>
      </c>
      <c r="H1184" t="s">
        <v>3942</v>
      </c>
      <c r="J1184" t="s">
        <v>518</v>
      </c>
      <c r="K1184" t="s">
        <v>519</v>
      </c>
      <c r="M1184" t="s">
        <v>520</v>
      </c>
      <c r="N1184" t="s">
        <v>539</v>
      </c>
      <c r="O1184" t="s">
        <v>1216</v>
      </c>
      <c r="P1184" t="s">
        <v>654</v>
      </c>
      <c r="Q1184" t="s">
        <v>638</v>
      </c>
      <c r="R1184" t="s">
        <v>729</v>
      </c>
      <c r="S1184" t="s">
        <v>1036</v>
      </c>
      <c r="T1184" t="s">
        <v>709</v>
      </c>
      <c r="U1184">
        <v>160202</v>
      </c>
      <c r="V1184" t="s">
        <v>7550</v>
      </c>
      <c r="W1184" t="s">
        <v>1219</v>
      </c>
      <c r="X1184" t="s">
        <v>5248</v>
      </c>
      <c r="Y1184" t="s">
        <v>5249</v>
      </c>
      <c r="Z1184" t="s">
        <v>1036</v>
      </c>
      <c r="AA1184" t="s">
        <v>5250</v>
      </c>
      <c r="AB1184" t="s">
        <v>5251</v>
      </c>
      <c r="AC1184">
        <v>99211</v>
      </c>
      <c r="AD1184" t="s">
        <v>7277</v>
      </c>
      <c r="AE1184">
        <v>-37.03482502</v>
      </c>
      <c r="AF1184">
        <v>174.86788203</v>
      </c>
      <c r="AG1184">
        <v>39</v>
      </c>
      <c r="AH1184">
        <v>20</v>
      </c>
      <c r="AI1184">
        <v>4</v>
      </c>
      <c r="AJ1184">
        <v>4</v>
      </c>
      <c r="AK1184">
        <v>7</v>
      </c>
      <c r="AL1184">
        <v>2</v>
      </c>
      <c r="AM1184">
        <v>5</v>
      </c>
      <c r="AN1184">
        <v>0</v>
      </c>
      <c r="AO1184">
        <v>22</v>
      </c>
      <c r="AP1184">
        <v>5</v>
      </c>
      <c r="AQ1184">
        <v>15</v>
      </c>
      <c r="AR1184">
        <v>12</v>
      </c>
      <c r="AS1184">
        <v>1</v>
      </c>
      <c r="AT1184">
        <v>3</v>
      </c>
    </row>
    <row r="1185" spans="1:46">
      <c r="A1185">
        <v>25097</v>
      </c>
      <c r="B1185" t="s">
        <v>7551</v>
      </c>
      <c r="C1185" t="s">
        <v>7552</v>
      </c>
      <c r="D1185" t="s">
        <v>7553</v>
      </c>
      <c r="E1185" t="s">
        <v>7554</v>
      </c>
      <c r="G1185" t="s">
        <v>1234</v>
      </c>
      <c r="H1185" t="s">
        <v>3942</v>
      </c>
      <c r="J1185" t="s">
        <v>518</v>
      </c>
      <c r="K1185" t="s">
        <v>519</v>
      </c>
      <c r="M1185" t="s">
        <v>520</v>
      </c>
      <c r="N1185" t="s">
        <v>557</v>
      </c>
      <c r="O1185" t="s">
        <v>1268</v>
      </c>
      <c r="P1185" t="s">
        <v>654</v>
      </c>
      <c r="Q1185" t="s">
        <v>638</v>
      </c>
      <c r="R1185" t="s">
        <v>729</v>
      </c>
      <c r="S1185" t="s">
        <v>1234</v>
      </c>
      <c r="T1185" t="s">
        <v>1235</v>
      </c>
      <c r="U1185">
        <v>163600</v>
      </c>
      <c r="V1185" t="s">
        <v>7555</v>
      </c>
      <c r="W1185" t="s">
        <v>1219</v>
      </c>
      <c r="X1185" t="s">
        <v>3943</v>
      </c>
      <c r="Y1185" t="s">
        <v>3944</v>
      </c>
      <c r="Z1185" t="s">
        <v>3945</v>
      </c>
      <c r="AA1185" t="s">
        <v>3946</v>
      </c>
      <c r="AB1185" t="s">
        <v>3947</v>
      </c>
      <c r="AE1185">
        <v>-37.066755759999999</v>
      </c>
      <c r="AF1185">
        <v>174.95092045999999</v>
      </c>
      <c r="AG1185">
        <v>76</v>
      </c>
      <c r="AH1185">
        <v>25</v>
      </c>
      <c r="AI1185">
        <v>5</v>
      </c>
      <c r="AJ1185">
        <v>10</v>
      </c>
      <c r="AK1185">
        <v>19</v>
      </c>
      <c r="AL1185">
        <v>26</v>
      </c>
      <c r="AM1185">
        <v>16</v>
      </c>
      <c r="AN1185">
        <v>3</v>
      </c>
      <c r="AO1185">
        <v>79</v>
      </c>
      <c r="AP1185">
        <v>22</v>
      </c>
      <c r="AQ1185">
        <v>32</v>
      </c>
      <c r="AR1185">
        <v>22</v>
      </c>
      <c r="AS1185">
        <v>22</v>
      </c>
      <c r="AT1185">
        <v>7</v>
      </c>
    </row>
    <row r="1186" spans="1:46">
      <c r="A1186">
        <v>25104</v>
      </c>
      <c r="B1186" t="s">
        <v>7556</v>
      </c>
      <c r="C1186" t="s">
        <v>7557</v>
      </c>
      <c r="D1186" t="s">
        <v>7558</v>
      </c>
      <c r="E1186" t="s">
        <v>7559</v>
      </c>
      <c r="F1186" t="s">
        <v>4204</v>
      </c>
      <c r="G1186" t="s">
        <v>652</v>
      </c>
      <c r="H1186" t="s">
        <v>3942</v>
      </c>
      <c r="J1186" t="s">
        <v>3962</v>
      </c>
      <c r="K1186" t="s">
        <v>519</v>
      </c>
      <c r="M1186" t="s">
        <v>520</v>
      </c>
      <c r="N1186" t="s">
        <v>557</v>
      </c>
      <c r="O1186" t="s">
        <v>1216</v>
      </c>
      <c r="P1186" t="s">
        <v>654</v>
      </c>
      <c r="Q1186" t="s">
        <v>638</v>
      </c>
      <c r="R1186" t="s">
        <v>729</v>
      </c>
      <c r="S1186" t="s">
        <v>1217</v>
      </c>
      <c r="T1186" t="s">
        <v>709</v>
      </c>
      <c r="U1186">
        <v>158501</v>
      </c>
      <c r="V1186" t="s">
        <v>7560</v>
      </c>
      <c r="W1186" t="s">
        <v>1219</v>
      </c>
      <c r="X1186" t="s">
        <v>7561</v>
      </c>
      <c r="Y1186" t="s">
        <v>7562</v>
      </c>
      <c r="Z1186" t="s">
        <v>1283</v>
      </c>
      <c r="AA1186" t="s">
        <v>5000</v>
      </c>
      <c r="AB1186" t="s">
        <v>7563</v>
      </c>
      <c r="AE1186">
        <v>-36.997860760000002</v>
      </c>
      <c r="AF1186">
        <v>174.89415389000001</v>
      </c>
      <c r="AG1186">
        <v>37</v>
      </c>
      <c r="AH1186">
        <v>0</v>
      </c>
      <c r="AI1186">
        <v>0</v>
      </c>
      <c r="AJ1186">
        <v>0</v>
      </c>
      <c r="AK1186">
        <v>8</v>
      </c>
      <c r="AL1186">
        <v>14</v>
      </c>
      <c r="AM1186">
        <v>13</v>
      </c>
      <c r="AN1186">
        <v>1</v>
      </c>
      <c r="AO1186">
        <v>36</v>
      </c>
      <c r="AP1186">
        <v>2</v>
      </c>
      <c r="AQ1186">
        <v>5</v>
      </c>
      <c r="AR1186">
        <v>13</v>
      </c>
      <c r="AS1186">
        <v>23</v>
      </c>
      <c r="AT1186">
        <v>0</v>
      </c>
    </row>
    <row r="1187" spans="1:46">
      <c r="A1187">
        <v>25105</v>
      </c>
      <c r="B1187" t="s">
        <v>7564</v>
      </c>
      <c r="C1187" t="s">
        <v>7565</v>
      </c>
      <c r="D1187" t="s">
        <v>7566</v>
      </c>
      <c r="E1187" t="s">
        <v>7567</v>
      </c>
      <c r="F1187" t="s">
        <v>706</v>
      </c>
      <c r="G1187" t="s">
        <v>652</v>
      </c>
      <c r="H1187" t="s">
        <v>3942</v>
      </c>
      <c r="J1187" t="s">
        <v>3962</v>
      </c>
      <c r="K1187" t="s">
        <v>519</v>
      </c>
      <c r="M1187" t="s">
        <v>520</v>
      </c>
      <c r="N1187" t="s">
        <v>557</v>
      </c>
      <c r="O1187" t="s">
        <v>707</v>
      </c>
      <c r="P1187" t="s">
        <v>654</v>
      </c>
      <c r="Q1187" t="s">
        <v>638</v>
      </c>
      <c r="R1187" t="s">
        <v>708</v>
      </c>
      <c r="S1187" t="s">
        <v>706</v>
      </c>
      <c r="T1187" t="s">
        <v>709</v>
      </c>
      <c r="U1187">
        <v>151500</v>
      </c>
      <c r="V1187" t="s">
        <v>1086</v>
      </c>
      <c r="W1187" t="s">
        <v>711</v>
      </c>
      <c r="X1187" t="s">
        <v>7568</v>
      </c>
      <c r="Y1187" t="s">
        <v>7569</v>
      </c>
      <c r="Z1187" t="s">
        <v>706</v>
      </c>
      <c r="AA1187" t="s">
        <v>4484</v>
      </c>
      <c r="AB1187" t="s">
        <v>7570</v>
      </c>
      <c r="AC1187">
        <v>99098</v>
      </c>
      <c r="AD1187" t="s">
        <v>712</v>
      </c>
      <c r="AE1187">
        <v>-36.919901170000003</v>
      </c>
      <c r="AF1187">
        <v>174.88831031000001</v>
      </c>
      <c r="AG1187">
        <v>44</v>
      </c>
      <c r="AH1187">
        <v>10</v>
      </c>
      <c r="AI1187">
        <v>2</v>
      </c>
      <c r="AJ1187">
        <v>3</v>
      </c>
      <c r="AK1187">
        <v>6</v>
      </c>
      <c r="AL1187">
        <v>8</v>
      </c>
      <c r="AM1187">
        <v>11</v>
      </c>
      <c r="AN1187">
        <v>0</v>
      </c>
      <c r="AO1187">
        <v>30</v>
      </c>
      <c r="AP1187">
        <v>12</v>
      </c>
      <c r="AQ1187">
        <v>10</v>
      </c>
      <c r="AR1187">
        <v>10</v>
      </c>
      <c r="AS1187">
        <v>8</v>
      </c>
      <c r="AT1187">
        <v>1</v>
      </c>
    </row>
    <row r="1188" spans="1:46">
      <c r="A1188">
        <v>25106</v>
      </c>
      <c r="B1188" t="s">
        <v>7571</v>
      </c>
      <c r="C1188" t="s">
        <v>7572</v>
      </c>
      <c r="D1188" t="s">
        <v>7573</v>
      </c>
      <c r="E1188" t="s">
        <v>7574</v>
      </c>
      <c r="F1188" t="s">
        <v>847</v>
      </c>
      <c r="G1188" t="s">
        <v>652</v>
      </c>
      <c r="H1188" t="s">
        <v>3942</v>
      </c>
      <c r="I1188" t="s">
        <v>4575</v>
      </c>
      <c r="J1188" t="s">
        <v>518</v>
      </c>
      <c r="K1188" t="s">
        <v>519</v>
      </c>
      <c r="M1188" t="s">
        <v>520</v>
      </c>
      <c r="N1188" t="s">
        <v>727</v>
      </c>
      <c r="O1188" t="s">
        <v>848</v>
      </c>
      <c r="P1188" t="s">
        <v>654</v>
      </c>
      <c r="Q1188" t="s">
        <v>638</v>
      </c>
      <c r="R1188" t="s">
        <v>729</v>
      </c>
      <c r="S1188" t="s">
        <v>849</v>
      </c>
      <c r="T1188" t="s">
        <v>709</v>
      </c>
      <c r="U1188">
        <v>147500</v>
      </c>
      <c r="V1188" t="s">
        <v>7575</v>
      </c>
      <c r="W1188" t="s">
        <v>732</v>
      </c>
      <c r="X1188" t="s">
        <v>7576</v>
      </c>
      <c r="Y1188" t="s">
        <v>7577</v>
      </c>
      <c r="Z1188" t="s">
        <v>975</v>
      </c>
      <c r="AA1188" t="s">
        <v>7578</v>
      </c>
      <c r="AB1188" t="s">
        <v>7579</v>
      </c>
      <c r="AE1188">
        <v>-36.950760410000001</v>
      </c>
      <c r="AF1188">
        <v>174.79215363</v>
      </c>
      <c r="AG1188">
        <v>30</v>
      </c>
      <c r="AH1188">
        <v>5</v>
      </c>
      <c r="AI1188">
        <v>2</v>
      </c>
      <c r="AJ1188">
        <v>2</v>
      </c>
      <c r="AK1188">
        <v>3</v>
      </c>
      <c r="AL1188">
        <v>6</v>
      </c>
      <c r="AM1188">
        <v>4</v>
      </c>
      <c r="AN1188">
        <v>2</v>
      </c>
      <c r="AO1188">
        <v>19</v>
      </c>
      <c r="AP1188">
        <v>3</v>
      </c>
      <c r="AQ1188">
        <v>10</v>
      </c>
      <c r="AR1188">
        <v>17</v>
      </c>
      <c r="AS1188">
        <v>0</v>
      </c>
      <c r="AT1188">
        <v>0</v>
      </c>
    </row>
    <row r="1189" spans="1:46">
      <c r="A1189">
        <v>25109</v>
      </c>
      <c r="B1189" t="s">
        <v>7580</v>
      </c>
      <c r="C1189" t="s">
        <v>7581</v>
      </c>
      <c r="E1189" t="s">
        <v>7582</v>
      </c>
      <c r="G1189" t="s">
        <v>1234</v>
      </c>
      <c r="H1189" t="s">
        <v>343</v>
      </c>
      <c r="J1189" t="s">
        <v>518</v>
      </c>
      <c r="K1189" t="s">
        <v>519</v>
      </c>
      <c r="L1189" t="s">
        <v>4205</v>
      </c>
      <c r="M1189" t="s">
        <v>520</v>
      </c>
      <c r="N1189" t="s">
        <v>727</v>
      </c>
      <c r="O1189" t="s">
        <v>1268</v>
      </c>
      <c r="P1189" t="s">
        <v>654</v>
      </c>
      <c r="Q1189" t="s">
        <v>638</v>
      </c>
      <c r="R1189" t="s">
        <v>729</v>
      </c>
      <c r="S1189" t="s">
        <v>1234</v>
      </c>
      <c r="T1189" t="s">
        <v>1235</v>
      </c>
      <c r="U1189">
        <v>163502</v>
      </c>
      <c r="V1189" t="s">
        <v>7498</v>
      </c>
      <c r="W1189" t="s">
        <v>1219</v>
      </c>
      <c r="X1189" t="s">
        <v>4207</v>
      </c>
      <c r="Y1189" t="s">
        <v>4208</v>
      </c>
      <c r="Z1189" t="s">
        <v>4209</v>
      </c>
      <c r="AA1189" t="s">
        <v>4210</v>
      </c>
      <c r="AE1189">
        <v>-37.06294055</v>
      </c>
      <c r="AF1189">
        <v>174.96194840000001</v>
      </c>
      <c r="AG1189">
        <v>23</v>
      </c>
      <c r="AH1189">
        <v>5</v>
      </c>
      <c r="AI1189">
        <v>0</v>
      </c>
      <c r="AJ1189">
        <v>2</v>
      </c>
      <c r="AK1189">
        <v>4</v>
      </c>
      <c r="AL1189">
        <v>4</v>
      </c>
      <c r="AM1189">
        <v>8</v>
      </c>
      <c r="AN1189">
        <v>0</v>
      </c>
      <c r="AO1189">
        <v>18</v>
      </c>
      <c r="AP1189">
        <v>0</v>
      </c>
      <c r="AQ1189">
        <v>17</v>
      </c>
      <c r="AR1189">
        <v>1</v>
      </c>
      <c r="AS1189">
        <v>0</v>
      </c>
      <c r="AT1189">
        <v>0</v>
      </c>
    </row>
    <row r="1190" spans="1:46">
      <c r="A1190">
        <v>25110</v>
      </c>
      <c r="B1190" t="s">
        <v>7583</v>
      </c>
      <c r="C1190" t="s">
        <v>7584</v>
      </c>
      <c r="D1190" t="s">
        <v>7585</v>
      </c>
      <c r="E1190" t="s">
        <v>7586</v>
      </c>
      <c r="G1190" t="s">
        <v>1234</v>
      </c>
      <c r="H1190" t="s">
        <v>3942</v>
      </c>
      <c r="I1190" t="s">
        <v>4165</v>
      </c>
      <c r="J1190" t="s">
        <v>518</v>
      </c>
      <c r="K1190" t="s">
        <v>519</v>
      </c>
      <c r="M1190" t="s">
        <v>520</v>
      </c>
      <c r="N1190" t="s">
        <v>521</v>
      </c>
      <c r="O1190" t="s">
        <v>1268</v>
      </c>
      <c r="P1190" t="s">
        <v>654</v>
      </c>
      <c r="Q1190" t="s">
        <v>638</v>
      </c>
      <c r="R1190" t="s">
        <v>729</v>
      </c>
      <c r="S1190" t="s">
        <v>1234</v>
      </c>
      <c r="T1190" t="s">
        <v>1235</v>
      </c>
      <c r="U1190">
        <v>163502</v>
      </c>
      <c r="V1190" t="s">
        <v>7498</v>
      </c>
      <c r="W1190" t="s">
        <v>1219</v>
      </c>
      <c r="X1190" t="s">
        <v>7587</v>
      </c>
      <c r="Y1190" t="s">
        <v>7588</v>
      </c>
      <c r="Z1190" t="s">
        <v>1234</v>
      </c>
      <c r="AA1190" t="s">
        <v>5162</v>
      </c>
      <c r="AE1190">
        <v>-37.064574729999997</v>
      </c>
      <c r="AF1190">
        <v>174.96484712</v>
      </c>
      <c r="AG1190">
        <v>40</v>
      </c>
      <c r="AH1190">
        <v>12</v>
      </c>
      <c r="AI1190">
        <v>1</v>
      </c>
      <c r="AJ1190">
        <v>7</v>
      </c>
      <c r="AK1190">
        <v>7</v>
      </c>
      <c r="AL1190">
        <v>5</v>
      </c>
      <c r="AM1190">
        <v>9</v>
      </c>
      <c r="AN1190">
        <v>1</v>
      </c>
      <c r="AO1190">
        <v>30</v>
      </c>
      <c r="AP1190">
        <v>4</v>
      </c>
      <c r="AQ1190">
        <v>1</v>
      </c>
      <c r="AR1190">
        <v>29</v>
      </c>
      <c r="AS1190">
        <v>0</v>
      </c>
      <c r="AT1190">
        <v>0</v>
      </c>
    </row>
    <row r="1191" spans="1:46">
      <c r="A1191">
        <v>25111</v>
      </c>
      <c r="B1191" t="s">
        <v>7589</v>
      </c>
      <c r="C1191" t="s">
        <v>7590</v>
      </c>
      <c r="E1191" t="s">
        <v>7591</v>
      </c>
      <c r="G1191" t="s">
        <v>1245</v>
      </c>
      <c r="H1191" t="s">
        <v>517</v>
      </c>
      <c r="J1191" t="s">
        <v>518</v>
      </c>
      <c r="K1191" t="s">
        <v>519</v>
      </c>
      <c r="M1191" t="s">
        <v>520</v>
      </c>
      <c r="N1191" t="s">
        <v>571</v>
      </c>
      <c r="O1191" t="s">
        <v>1233</v>
      </c>
      <c r="P1191" t="s">
        <v>572</v>
      </c>
      <c r="Q1191" t="s">
        <v>638</v>
      </c>
      <c r="R1191" t="s">
        <v>729</v>
      </c>
      <c r="S1191" t="s">
        <v>1246</v>
      </c>
      <c r="T1191" t="s">
        <v>1235</v>
      </c>
      <c r="U1191">
        <v>162400</v>
      </c>
      <c r="V1191" t="s">
        <v>7592</v>
      </c>
      <c r="W1191" t="s">
        <v>1237</v>
      </c>
      <c r="X1191" t="s">
        <v>1220</v>
      </c>
      <c r="Y1191" t="s">
        <v>1221</v>
      </c>
      <c r="Z1191" t="s">
        <v>1217</v>
      </c>
      <c r="AA1191" t="s">
        <v>1222</v>
      </c>
      <c r="AB1191" t="s">
        <v>1223</v>
      </c>
      <c r="AC1191">
        <v>99033</v>
      </c>
      <c r="AD1191" t="s">
        <v>1248</v>
      </c>
      <c r="AE1191">
        <v>-37.191422320000001</v>
      </c>
      <c r="AF1191">
        <v>174.76025509999999</v>
      </c>
      <c r="AG1191">
        <v>30</v>
      </c>
      <c r="AH1191">
        <v>0</v>
      </c>
      <c r="AI1191">
        <v>0</v>
      </c>
      <c r="AJ1191">
        <v>0</v>
      </c>
      <c r="AK1191">
        <v>10</v>
      </c>
      <c r="AL1191">
        <v>9</v>
      </c>
      <c r="AM1191">
        <v>14</v>
      </c>
      <c r="AN1191">
        <v>0</v>
      </c>
      <c r="AO1191">
        <v>33</v>
      </c>
      <c r="AP1191">
        <v>26</v>
      </c>
      <c r="AQ1191">
        <v>2</v>
      </c>
      <c r="AR1191">
        <v>2</v>
      </c>
      <c r="AS1191">
        <v>7</v>
      </c>
      <c r="AT1191">
        <v>3</v>
      </c>
    </row>
    <row r="1192" spans="1:46">
      <c r="A1192">
        <v>25113</v>
      </c>
      <c r="B1192" t="s">
        <v>7593</v>
      </c>
      <c r="C1192" t="s">
        <v>7594</v>
      </c>
      <c r="E1192" t="s">
        <v>7595</v>
      </c>
      <c r="G1192" t="s">
        <v>1234</v>
      </c>
      <c r="H1192" t="s">
        <v>343</v>
      </c>
      <c r="J1192" t="s">
        <v>518</v>
      </c>
      <c r="K1192" t="s">
        <v>519</v>
      </c>
      <c r="L1192" t="s">
        <v>4205</v>
      </c>
      <c r="M1192" t="s">
        <v>520</v>
      </c>
      <c r="N1192" t="s">
        <v>521</v>
      </c>
      <c r="O1192" t="s">
        <v>1268</v>
      </c>
      <c r="P1192" t="s">
        <v>654</v>
      </c>
      <c r="Q1192" t="s">
        <v>638</v>
      </c>
      <c r="R1192" t="s">
        <v>729</v>
      </c>
      <c r="S1192" t="s">
        <v>1234</v>
      </c>
      <c r="T1192" t="s">
        <v>1235</v>
      </c>
      <c r="U1192">
        <v>163700</v>
      </c>
      <c r="V1192" t="s">
        <v>7596</v>
      </c>
      <c r="W1192" t="s">
        <v>1219</v>
      </c>
      <c r="X1192" t="s">
        <v>4207</v>
      </c>
      <c r="Y1192" t="s">
        <v>4208</v>
      </c>
      <c r="Z1192" t="s">
        <v>4209</v>
      </c>
      <c r="AA1192" t="s">
        <v>4210</v>
      </c>
      <c r="AC1192">
        <v>99152</v>
      </c>
      <c r="AD1192" t="s">
        <v>1270</v>
      </c>
      <c r="AE1192">
        <v>-37.07400543</v>
      </c>
      <c r="AF1192">
        <v>174.93710282000001</v>
      </c>
      <c r="AG1192">
        <v>28</v>
      </c>
      <c r="AH1192">
        <v>8</v>
      </c>
      <c r="AI1192">
        <v>2</v>
      </c>
      <c r="AJ1192">
        <v>5</v>
      </c>
      <c r="AK1192">
        <v>9</v>
      </c>
      <c r="AL1192">
        <v>3</v>
      </c>
      <c r="AM1192">
        <v>6</v>
      </c>
      <c r="AN1192">
        <v>0</v>
      </c>
      <c r="AO1192">
        <v>25</v>
      </c>
      <c r="AP1192">
        <v>0</v>
      </c>
      <c r="AQ1192">
        <v>25</v>
      </c>
      <c r="AR1192">
        <v>0</v>
      </c>
      <c r="AS1192">
        <v>0</v>
      </c>
      <c r="AT1192">
        <v>0</v>
      </c>
    </row>
    <row r="1193" spans="1:46">
      <c r="A1193">
        <v>25118</v>
      </c>
      <c r="B1193" t="s">
        <v>7597</v>
      </c>
      <c r="C1193" t="s">
        <v>7598</v>
      </c>
      <c r="E1193" t="s">
        <v>7599</v>
      </c>
      <c r="F1193" t="s">
        <v>726</v>
      </c>
      <c r="G1193" t="s">
        <v>652</v>
      </c>
      <c r="H1193" t="s">
        <v>343</v>
      </c>
      <c r="J1193" t="s">
        <v>518</v>
      </c>
      <c r="K1193" t="s">
        <v>519</v>
      </c>
      <c r="L1193" t="s">
        <v>4205</v>
      </c>
      <c r="M1193" t="s">
        <v>520</v>
      </c>
      <c r="N1193" t="s">
        <v>521</v>
      </c>
      <c r="O1193" t="s">
        <v>728</v>
      </c>
      <c r="P1193" t="s">
        <v>654</v>
      </c>
      <c r="Q1193" t="s">
        <v>638</v>
      </c>
      <c r="R1193" t="s">
        <v>729</v>
      </c>
      <c r="S1193" t="s">
        <v>730</v>
      </c>
      <c r="T1193" t="s">
        <v>709</v>
      </c>
      <c r="U1193">
        <v>153000</v>
      </c>
      <c r="V1193" t="s">
        <v>7600</v>
      </c>
      <c r="W1193" t="s">
        <v>732</v>
      </c>
      <c r="X1193" t="s">
        <v>4207</v>
      </c>
      <c r="Y1193" t="s">
        <v>4208</v>
      </c>
      <c r="Z1193" t="s">
        <v>4209</v>
      </c>
      <c r="AA1193" t="s">
        <v>4210</v>
      </c>
      <c r="AE1193">
        <v>-36.951170609999998</v>
      </c>
      <c r="AF1193">
        <v>174.85647681</v>
      </c>
      <c r="AG1193">
        <v>35</v>
      </c>
      <c r="AH1193">
        <v>12</v>
      </c>
      <c r="AI1193">
        <v>0</v>
      </c>
      <c r="AJ1193">
        <v>3</v>
      </c>
      <c r="AK1193">
        <v>6</v>
      </c>
      <c r="AL1193">
        <v>7</v>
      </c>
      <c r="AM1193">
        <v>4</v>
      </c>
      <c r="AN1193">
        <v>0</v>
      </c>
      <c r="AO1193">
        <v>20</v>
      </c>
      <c r="AP1193">
        <v>0</v>
      </c>
      <c r="AQ1193">
        <v>19</v>
      </c>
      <c r="AR1193">
        <v>1</v>
      </c>
      <c r="AS1193">
        <v>0</v>
      </c>
      <c r="AT1193">
        <v>0</v>
      </c>
    </row>
    <row r="1194" spans="1:46">
      <c r="A1194">
        <v>25124</v>
      </c>
      <c r="B1194" t="s">
        <v>7601</v>
      </c>
      <c r="C1194" t="s">
        <v>7602</v>
      </c>
      <c r="E1194" t="s">
        <v>7603</v>
      </c>
      <c r="F1194" t="s">
        <v>4739</v>
      </c>
      <c r="G1194" t="s">
        <v>652</v>
      </c>
      <c r="H1194" t="s">
        <v>3942</v>
      </c>
      <c r="J1194" t="s">
        <v>3962</v>
      </c>
      <c r="K1194" t="s">
        <v>519</v>
      </c>
      <c r="M1194" t="s">
        <v>520</v>
      </c>
      <c r="N1194" t="s">
        <v>557</v>
      </c>
      <c r="O1194" t="s">
        <v>848</v>
      </c>
      <c r="P1194" t="s">
        <v>654</v>
      </c>
      <c r="Q1194" t="s">
        <v>638</v>
      </c>
      <c r="R1194" t="s">
        <v>729</v>
      </c>
      <c r="S1194" t="s">
        <v>849</v>
      </c>
      <c r="T1194" t="s">
        <v>709</v>
      </c>
      <c r="U1194">
        <v>147900</v>
      </c>
      <c r="V1194" t="s">
        <v>4739</v>
      </c>
      <c r="W1194" t="s">
        <v>732</v>
      </c>
      <c r="X1194" t="s">
        <v>7604</v>
      </c>
      <c r="Y1194" t="s">
        <v>4658</v>
      </c>
      <c r="Z1194" t="s">
        <v>958</v>
      </c>
      <c r="AA1194" t="s">
        <v>4659</v>
      </c>
      <c r="AB1194" t="s">
        <v>7605</v>
      </c>
      <c r="AE1194">
        <v>-37.005555029999996</v>
      </c>
      <c r="AF1194">
        <v>174.78236609999999</v>
      </c>
      <c r="AG1194">
        <v>80</v>
      </c>
      <c r="AH1194">
        <v>20</v>
      </c>
      <c r="AI1194">
        <v>5</v>
      </c>
      <c r="AJ1194">
        <v>11</v>
      </c>
      <c r="AK1194">
        <v>11</v>
      </c>
      <c r="AL1194">
        <v>9</v>
      </c>
      <c r="AM1194">
        <v>16</v>
      </c>
      <c r="AN1194">
        <v>0</v>
      </c>
      <c r="AO1194">
        <v>52</v>
      </c>
      <c r="AP1194">
        <v>15</v>
      </c>
      <c r="AQ1194">
        <v>6</v>
      </c>
      <c r="AR1194">
        <v>22</v>
      </c>
      <c r="AS1194">
        <v>19</v>
      </c>
      <c r="AT1194">
        <v>1</v>
      </c>
    </row>
    <row r="1195" spans="1:46">
      <c r="A1195">
        <v>25125</v>
      </c>
      <c r="B1195" t="s">
        <v>7606</v>
      </c>
      <c r="C1195" t="s">
        <v>7607</v>
      </c>
      <c r="D1195" t="s">
        <v>7608</v>
      </c>
      <c r="E1195" t="s">
        <v>7609</v>
      </c>
      <c r="F1195" t="s">
        <v>1108</v>
      </c>
      <c r="G1195" t="s">
        <v>652</v>
      </c>
      <c r="H1195" t="s">
        <v>3942</v>
      </c>
      <c r="I1195" t="s">
        <v>4951</v>
      </c>
      <c r="J1195" t="s">
        <v>518</v>
      </c>
      <c r="K1195" t="s">
        <v>519</v>
      </c>
      <c r="M1195" t="s">
        <v>520</v>
      </c>
      <c r="N1195" t="s">
        <v>521</v>
      </c>
      <c r="O1195" t="s">
        <v>829</v>
      </c>
      <c r="P1195" t="s">
        <v>654</v>
      </c>
      <c r="Q1195" t="s">
        <v>638</v>
      </c>
      <c r="R1195" t="s">
        <v>708</v>
      </c>
      <c r="S1195" t="s">
        <v>730</v>
      </c>
      <c r="T1195" t="s">
        <v>709</v>
      </c>
      <c r="U1195">
        <v>146301</v>
      </c>
      <c r="V1195" t="s">
        <v>1109</v>
      </c>
      <c r="W1195" t="s">
        <v>807</v>
      </c>
      <c r="X1195" t="s">
        <v>7610</v>
      </c>
      <c r="Y1195" t="s">
        <v>7611</v>
      </c>
      <c r="Z1195" t="s">
        <v>879</v>
      </c>
      <c r="AA1195" t="s">
        <v>4356</v>
      </c>
      <c r="AB1195" t="s">
        <v>7607</v>
      </c>
      <c r="AE1195">
        <v>-36.882270400000003</v>
      </c>
      <c r="AF1195">
        <v>174.86550256999999</v>
      </c>
      <c r="AG1195">
        <v>28</v>
      </c>
      <c r="AH1195">
        <v>5</v>
      </c>
      <c r="AI1195">
        <v>0</v>
      </c>
      <c r="AJ1195">
        <v>5</v>
      </c>
      <c r="AK1195">
        <v>5</v>
      </c>
      <c r="AL1195">
        <v>6</v>
      </c>
      <c r="AM1195">
        <v>11</v>
      </c>
      <c r="AN1195">
        <v>0</v>
      </c>
      <c r="AO1195">
        <v>27</v>
      </c>
      <c r="AP1195">
        <v>4</v>
      </c>
      <c r="AQ1195">
        <v>15</v>
      </c>
      <c r="AR1195">
        <v>23</v>
      </c>
      <c r="AS1195">
        <v>0</v>
      </c>
      <c r="AT1195">
        <v>0</v>
      </c>
    </row>
    <row r="1196" spans="1:46">
      <c r="A1196">
        <v>25126</v>
      </c>
      <c r="B1196" t="s">
        <v>7612</v>
      </c>
      <c r="C1196" t="s">
        <v>7613</v>
      </c>
      <c r="D1196" t="s">
        <v>7614</v>
      </c>
      <c r="E1196" t="s">
        <v>7615</v>
      </c>
      <c r="F1196" t="s">
        <v>4841</v>
      </c>
      <c r="G1196" t="s">
        <v>652</v>
      </c>
      <c r="H1196" t="s">
        <v>3942</v>
      </c>
      <c r="I1196" t="s">
        <v>3953</v>
      </c>
      <c r="J1196" t="s">
        <v>3962</v>
      </c>
      <c r="K1196" t="s">
        <v>519</v>
      </c>
      <c r="M1196" t="s">
        <v>520</v>
      </c>
      <c r="N1196" t="s">
        <v>571</v>
      </c>
      <c r="O1196" t="s">
        <v>707</v>
      </c>
      <c r="P1196" t="s">
        <v>654</v>
      </c>
      <c r="Q1196" t="s">
        <v>638</v>
      </c>
      <c r="R1196" t="s">
        <v>708</v>
      </c>
      <c r="S1196" t="s">
        <v>706</v>
      </c>
      <c r="T1196" t="s">
        <v>709</v>
      </c>
      <c r="U1196">
        <v>148800</v>
      </c>
      <c r="V1196" t="s">
        <v>3862</v>
      </c>
      <c r="W1196" t="s">
        <v>711</v>
      </c>
      <c r="X1196" t="s">
        <v>7616</v>
      </c>
      <c r="Y1196" t="s">
        <v>7617</v>
      </c>
      <c r="Z1196" t="s">
        <v>3945</v>
      </c>
      <c r="AA1196" t="s">
        <v>4585</v>
      </c>
      <c r="AE1196">
        <v>-36.888057170000003</v>
      </c>
      <c r="AF1196">
        <v>174.90501090000001</v>
      </c>
      <c r="AG1196">
        <v>33</v>
      </c>
      <c r="AH1196">
        <v>8</v>
      </c>
      <c r="AI1196">
        <v>0</v>
      </c>
      <c r="AJ1196">
        <v>3</v>
      </c>
      <c r="AK1196">
        <v>8</v>
      </c>
      <c r="AL1196">
        <v>5</v>
      </c>
      <c r="AM1196">
        <v>8</v>
      </c>
      <c r="AN1196">
        <v>0</v>
      </c>
      <c r="AO1196">
        <v>24</v>
      </c>
      <c r="AP1196">
        <v>12</v>
      </c>
      <c r="AQ1196">
        <v>1</v>
      </c>
      <c r="AR1196">
        <v>1</v>
      </c>
      <c r="AS1196">
        <v>12</v>
      </c>
      <c r="AT1196">
        <v>1</v>
      </c>
    </row>
    <row r="1197" spans="1:46">
      <c r="A1197">
        <v>25131</v>
      </c>
      <c r="B1197" t="s">
        <v>7618</v>
      </c>
      <c r="C1197" t="s">
        <v>7619</v>
      </c>
      <c r="E1197" t="s">
        <v>7620</v>
      </c>
      <c r="G1197" t="s">
        <v>1261</v>
      </c>
      <c r="H1197" t="s">
        <v>3942</v>
      </c>
      <c r="J1197" t="s">
        <v>3962</v>
      </c>
      <c r="K1197" t="s">
        <v>519</v>
      </c>
      <c r="M1197" t="s">
        <v>520</v>
      </c>
      <c r="N1197" t="s">
        <v>571</v>
      </c>
      <c r="O1197" t="s">
        <v>1233</v>
      </c>
      <c r="P1197" t="s">
        <v>1262</v>
      </c>
      <c r="Q1197" t="s">
        <v>638</v>
      </c>
      <c r="R1197" t="s">
        <v>729</v>
      </c>
      <c r="S1197" t="s">
        <v>1246</v>
      </c>
      <c r="T1197" t="s">
        <v>1235</v>
      </c>
      <c r="U1197">
        <v>165301</v>
      </c>
      <c r="V1197" t="s">
        <v>7621</v>
      </c>
      <c r="W1197" t="s">
        <v>1237</v>
      </c>
      <c r="X1197" t="s">
        <v>7622</v>
      </c>
      <c r="Y1197" t="s">
        <v>4658</v>
      </c>
      <c r="Z1197" t="s">
        <v>958</v>
      </c>
      <c r="AA1197" t="s">
        <v>4659</v>
      </c>
      <c r="AB1197" t="s">
        <v>7623</v>
      </c>
      <c r="AE1197">
        <v>-37.190556860000001</v>
      </c>
      <c r="AF1197">
        <v>174.90363550000001</v>
      </c>
      <c r="AG1197">
        <v>50</v>
      </c>
      <c r="AH1197">
        <v>20</v>
      </c>
      <c r="AI1197">
        <v>4</v>
      </c>
      <c r="AJ1197">
        <v>10</v>
      </c>
      <c r="AK1197">
        <v>9</v>
      </c>
      <c r="AL1197">
        <v>10</v>
      </c>
      <c r="AM1197">
        <v>9</v>
      </c>
      <c r="AN1197">
        <v>1</v>
      </c>
      <c r="AO1197">
        <v>43</v>
      </c>
      <c r="AP1197">
        <v>21</v>
      </c>
      <c r="AQ1197">
        <v>8</v>
      </c>
      <c r="AR1197">
        <v>8</v>
      </c>
      <c r="AS1197">
        <v>17</v>
      </c>
      <c r="AT1197">
        <v>1</v>
      </c>
    </row>
    <row r="1198" spans="1:46">
      <c r="A1198">
        <v>25132</v>
      </c>
      <c r="B1198" t="s">
        <v>7624</v>
      </c>
      <c r="C1198" t="s">
        <v>7625</v>
      </c>
      <c r="E1198" t="s">
        <v>7626</v>
      </c>
      <c r="F1198" t="s">
        <v>726</v>
      </c>
      <c r="G1198" t="s">
        <v>652</v>
      </c>
      <c r="H1198" t="s">
        <v>343</v>
      </c>
      <c r="J1198" t="s">
        <v>518</v>
      </c>
      <c r="K1198" t="s">
        <v>519</v>
      </c>
      <c r="L1198" t="s">
        <v>4205</v>
      </c>
      <c r="M1198" t="s">
        <v>520</v>
      </c>
      <c r="N1198" t="s">
        <v>539</v>
      </c>
      <c r="O1198" t="s">
        <v>728</v>
      </c>
      <c r="P1198" t="s">
        <v>654</v>
      </c>
      <c r="Q1198" t="s">
        <v>638</v>
      </c>
      <c r="R1198" t="s">
        <v>729</v>
      </c>
      <c r="S1198" t="s">
        <v>730</v>
      </c>
      <c r="T1198" t="s">
        <v>709</v>
      </c>
      <c r="U1198">
        <v>153500</v>
      </c>
      <c r="V1198" t="s">
        <v>731</v>
      </c>
      <c r="W1198" t="s">
        <v>732</v>
      </c>
      <c r="X1198" t="s">
        <v>4207</v>
      </c>
      <c r="Y1198" t="s">
        <v>4208</v>
      </c>
      <c r="Z1198" t="s">
        <v>4209</v>
      </c>
      <c r="AA1198" t="s">
        <v>4210</v>
      </c>
      <c r="AE1198">
        <v>-36.950606710000002</v>
      </c>
      <c r="AF1198">
        <v>174.87214041999999</v>
      </c>
      <c r="AG1198">
        <v>39</v>
      </c>
      <c r="AH1198">
        <v>12</v>
      </c>
      <c r="AI1198">
        <v>2</v>
      </c>
      <c r="AJ1198">
        <v>5</v>
      </c>
      <c r="AK1198">
        <v>4</v>
      </c>
      <c r="AL1198">
        <v>5</v>
      </c>
      <c r="AM1198">
        <v>6</v>
      </c>
      <c r="AN1198">
        <v>0</v>
      </c>
      <c r="AO1198">
        <v>22</v>
      </c>
      <c r="AP1198">
        <v>0</v>
      </c>
      <c r="AQ1198">
        <v>22</v>
      </c>
      <c r="AR1198">
        <v>0</v>
      </c>
      <c r="AS1198">
        <v>0</v>
      </c>
      <c r="AT1198">
        <v>0</v>
      </c>
    </row>
    <row r="1199" spans="1:46">
      <c r="A1199">
        <v>25133</v>
      </c>
      <c r="B1199" t="s">
        <v>7627</v>
      </c>
      <c r="C1199" t="s">
        <v>7628</v>
      </c>
      <c r="E1199" t="s">
        <v>7629</v>
      </c>
      <c r="G1199" t="s">
        <v>1261</v>
      </c>
      <c r="H1199" t="s">
        <v>343</v>
      </c>
      <c r="J1199" t="s">
        <v>518</v>
      </c>
      <c r="K1199" t="s">
        <v>519</v>
      </c>
      <c r="L1199" t="s">
        <v>4205</v>
      </c>
      <c r="M1199" t="s">
        <v>1297</v>
      </c>
      <c r="N1199" t="s">
        <v>727</v>
      </c>
      <c r="O1199" t="s">
        <v>1233</v>
      </c>
      <c r="P1199" t="s">
        <v>1262</v>
      </c>
      <c r="Q1199" t="s">
        <v>638</v>
      </c>
      <c r="R1199" t="s">
        <v>1300</v>
      </c>
      <c r="S1199" t="s">
        <v>1246</v>
      </c>
      <c r="T1199" t="s">
        <v>1235</v>
      </c>
      <c r="U1199">
        <v>165501</v>
      </c>
      <c r="V1199" t="s">
        <v>3987</v>
      </c>
      <c r="W1199" t="s">
        <v>1237</v>
      </c>
      <c r="X1199" t="s">
        <v>7630</v>
      </c>
      <c r="Y1199" t="s">
        <v>4208</v>
      </c>
      <c r="Z1199" t="s">
        <v>4209</v>
      </c>
      <c r="AA1199" t="s">
        <v>4210</v>
      </c>
      <c r="AB1199" t="s">
        <v>7631</v>
      </c>
      <c r="AE1199">
        <v>-37.190280199999997</v>
      </c>
      <c r="AF1199">
        <v>174.89200819999999</v>
      </c>
      <c r="AG1199">
        <v>35</v>
      </c>
      <c r="AH1199">
        <v>10</v>
      </c>
      <c r="AI1199">
        <v>0</v>
      </c>
      <c r="AJ1199">
        <v>6</v>
      </c>
      <c r="AK1199">
        <v>4</v>
      </c>
      <c r="AL1199">
        <v>3</v>
      </c>
      <c r="AM1199">
        <v>1</v>
      </c>
      <c r="AN1199">
        <v>0</v>
      </c>
      <c r="AO1199">
        <v>14</v>
      </c>
      <c r="AP1199">
        <v>0</v>
      </c>
      <c r="AQ1199">
        <v>14</v>
      </c>
      <c r="AR1199">
        <v>0</v>
      </c>
      <c r="AS1199">
        <v>0</v>
      </c>
      <c r="AT1199">
        <v>0</v>
      </c>
    </row>
    <row r="1200" spans="1:46">
      <c r="A1200">
        <v>25136</v>
      </c>
      <c r="B1200" t="s">
        <v>7632</v>
      </c>
      <c r="C1200" t="s">
        <v>7633</v>
      </c>
      <c r="E1200" t="s">
        <v>7634</v>
      </c>
      <c r="F1200" t="s">
        <v>847</v>
      </c>
      <c r="G1200" t="s">
        <v>652</v>
      </c>
      <c r="H1200" t="s">
        <v>343</v>
      </c>
      <c r="J1200" t="s">
        <v>518</v>
      </c>
      <c r="K1200" t="s">
        <v>519</v>
      </c>
      <c r="L1200" t="s">
        <v>4205</v>
      </c>
      <c r="M1200" t="s">
        <v>520</v>
      </c>
      <c r="N1200" t="s">
        <v>539</v>
      </c>
      <c r="O1200" t="s">
        <v>848</v>
      </c>
      <c r="P1200" t="s">
        <v>654</v>
      </c>
      <c r="Q1200" t="s">
        <v>638</v>
      </c>
      <c r="R1200" t="s">
        <v>729</v>
      </c>
      <c r="S1200" t="s">
        <v>849</v>
      </c>
      <c r="T1200" t="s">
        <v>709</v>
      </c>
      <c r="U1200">
        <v>150200</v>
      </c>
      <c r="V1200" t="s">
        <v>940</v>
      </c>
      <c r="W1200" t="s">
        <v>732</v>
      </c>
      <c r="X1200" t="s">
        <v>4207</v>
      </c>
      <c r="Y1200" t="s">
        <v>4208</v>
      </c>
      <c r="Z1200" t="s">
        <v>4209</v>
      </c>
      <c r="AA1200" t="s">
        <v>4210</v>
      </c>
      <c r="AE1200">
        <v>-36.968111049999997</v>
      </c>
      <c r="AF1200">
        <v>174.79479273999999</v>
      </c>
      <c r="AG1200">
        <v>50</v>
      </c>
      <c r="AH1200">
        <v>10</v>
      </c>
      <c r="AI1200">
        <v>2</v>
      </c>
      <c r="AJ1200">
        <v>2</v>
      </c>
      <c r="AK1200">
        <v>6</v>
      </c>
      <c r="AL1200">
        <v>1</v>
      </c>
      <c r="AM1200">
        <v>3</v>
      </c>
      <c r="AN1200">
        <v>0</v>
      </c>
      <c r="AO1200">
        <v>14</v>
      </c>
      <c r="AP1200">
        <v>0</v>
      </c>
      <c r="AQ1200">
        <v>14</v>
      </c>
      <c r="AR1200">
        <v>0</v>
      </c>
      <c r="AS1200">
        <v>0</v>
      </c>
      <c r="AT1200">
        <v>0</v>
      </c>
    </row>
    <row r="1201" spans="1:46">
      <c r="A1201">
        <v>25139</v>
      </c>
      <c r="B1201" t="s">
        <v>7635</v>
      </c>
      <c r="C1201" t="s">
        <v>7636</v>
      </c>
      <c r="E1201" t="s">
        <v>7637</v>
      </c>
      <c r="F1201" t="s">
        <v>1036</v>
      </c>
      <c r="G1201" t="s">
        <v>652</v>
      </c>
      <c r="H1201" t="s">
        <v>343</v>
      </c>
      <c r="J1201" t="s">
        <v>518</v>
      </c>
      <c r="K1201" t="s">
        <v>519</v>
      </c>
      <c r="L1201" t="s">
        <v>4205</v>
      </c>
      <c r="M1201" t="s">
        <v>520</v>
      </c>
      <c r="N1201" t="s">
        <v>727</v>
      </c>
      <c r="O1201" t="s">
        <v>1216</v>
      </c>
      <c r="P1201" t="s">
        <v>654</v>
      </c>
      <c r="Q1201" t="s">
        <v>638</v>
      </c>
      <c r="R1201" t="s">
        <v>729</v>
      </c>
      <c r="S1201" t="s">
        <v>1217</v>
      </c>
      <c r="T1201" t="s">
        <v>709</v>
      </c>
      <c r="U1201">
        <v>160800</v>
      </c>
      <c r="V1201" t="s">
        <v>1218</v>
      </c>
      <c r="W1201" t="s">
        <v>1219</v>
      </c>
      <c r="X1201" t="s">
        <v>4207</v>
      </c>
      <c r="Y1201" t="s">
        <v>4208</v>
      </c>
      <c r="Z1201" t="s">
        <v>4209</v>
      </c>
      <c r="AA1201" t="s">
        <v>4210</v>
      </c>
      <c r="AE1201">
        <v>-37.029836009999997</v>
      </c>
      <c r="AF1201">
        <v>174.90512242</v>
      </c>
      <c r="AG1201">
        <v>20</v>
      </c>
      <c r="AH1201">
        <v>8</v>
      </c>
      <c r="AI1201">
        <v>0</v>
      </c>
      <c r="AJ1201">
        <v>4</v>
      </c>
      <c r="AK1201">
        <v>0</v>
      </c>
      <c r="AL1201">
        <v>4</v>
      </c>
      <c r="AM1201">
        <v>2</v>
      </c>
      <c r="AN1201">
        <v>0</v>
      </c>
      <c r="AO1201">
        <v>10</v>
      </c>
      <c r="AP1201">
        <v>0</v>
      </c>
      <c r="AQ1201">
        <v>10</v>
      </c>
      <c r="AR1201">
        <v>0</v>
      </c>
      <c r="AS1201">
        <v>0</v>
      </c>
      <c r="AT1201">
        <v>0</v>
      </c>
    </row>
    <row r="1202" spans="1:46">
      <c r="A1202">
        <v>25142</v>
      </c>
      <c r="B1202" t="s">
        <v>7638</v>
      </c>
      <c r="C1202" t="s">
        <v>7639</v>
      </c>
      <c r="E1202" t="s">
        <v>7640</v>
      </c>
      <c r="F1202" t="s">
        <v>1036</v>
      </c>
      <c r="G1202" t="s">
        <v>652</v>
      </c>
      <c r="H1202" t="s">
        <v>343</v>
      </c>
      <c r="J1202" t="s">
        <v>518</v>
      </c>
      <c r="K1202" t="s">
        <v>519</v>
      </c>
      <c r="L1202" t="s">
        <v>4205</v>
      </c>
      <c r="M1202" t="s">
        <v>520</v>
      </c>
      <c r="N1202" t="s">
        <v>521</v>
      </c>
      <c r="O1202" t="s">
        <v>1216</v>
      </c>
      <c r="P1202" t="s">
        <v>654</v>
      </c>
      <c r="Q1202" t="s">
        <v>638</v>
      </c>
      <c r="R1202" t="s">
        <v>729</v>
      </c>
      <c r="S1202" t="s">
        <v>1036</v>
      </c>
      <c r="T1202" t="s">
        <v>709</v>
      </c>
      <c r="U1202">
        <v>159202</v>
      </c>
      <c r="V1202" t="s">
        <v>7399</v>
      </c>
      <c r="W1202" t="s">
        <v>1219</v>
      </c>
      <c r="X1202" t="s">
        <v>4207</v>
      </c>
      <c r="Y1202" t="s">
        <v>4208</v>
      </c>
      <c r="Z1202" t="s">
        <v>4209</v>
      </c>
      <c r="AA1202" t="s">
        <v>4210</v>
      </c>
      <c r="AE1202">
        <v>-37.017184960000002</v>
      </c>
      <c r="AF1202">
        <v>174.87815868000001</v>
      </c>
      <c r="AG1202">
        <v>48</v>
      </c>
      <c r="AH1202">
        <v>10</v>
      </c>
      <c r="AI1202">
        <v>1</v>
      </c>
      <c r="AJ1202">
        <v>6</v>
      </c>
      <c r="AK1202">
        <v>11</v>
      </c>
      <c r="AL1202">
        <v>7</v>
      </c>
      <c r="AM1202">
        <v>7</v>
      </c>
      <c r="AN1202">
        <v>0</v>
      </c>
      <c r="AO1202">
        <v>32</v>
      </c>
      <c r="AP1202">
        <v>0</v>
      </c>
      <c r="AQ1202">
        <v>29</v>
      </c>
      <c r="AR1202">
        <v>3</v>
      </c>
      <c r="AS1202">
        <v>0</v>
      </c>
      <c r="AT1202">
        <v>0</v>
      </c>
    </row>
    <row r="1203" spans="1:46">
      <c r="A1203">
        <v>25143</v>
      </c>
      <c r="B1203" t="s">
        <v>7641</v>
      </c>
      <c r="C1203" t="s">
        <v>7642</v>
      </c>
      <c r="E1203" t="s">
        <v>7643</v>
      </c>
      <c r="F1203" t="s">
        <v>3793</v>
      </c>
      <c r="G1203" t="s">
        <v>652</v>
      </c>
      <c r="H1203" t="s">
        <v>343</v>
      </c>
      <c r="J1203" t="s">
        <v>518</v>
      </c>
      <c r="K1203" t="s">
        <v>519</v>
      </c>
      <c r="L1203" t="s">
        <v>4205</v>
      </c>
      <c r="M1203" t="s">
        <v>520</v>
      </c>
      <c r="N1203" t="s">
        <v>727</v>
      </c>
      <c r="O1203" t="s">
        <v>1216</v>
      </c>
      <c r="P1203" t="s">
        <v>654</v>
      </c>
      <c r="Q1203" t="s">
        <v>638</v>
      </c>
      <c r="R1203" t="s">
        <v>729</v>
      </c>
      <c r="S1203" t="s">
        <v>1036</v>
      </c>
      <c r="T1203" t="s">
        <v>709</v>
      </c>
      <c r="U1203">
        <v>158401</v>
      </c>
      <c r="V1203" t="s">
        <v>3794</v>
      </c>
      <c r="W1203" t="s">
        <v>1219</v>
      </c>
      <c r="X1203" t="s">
        <v>4207</v>
      </c>
      <c r="Y1203" t="s">
        <v>4208</v>
      </c>
      <c r="Z1203" t="s">
        <v>4209</v>
      </c>
      <c r="AA1203" t="s">
        <v>4210</v>
      </c>
      <c r="AE1203">
        <v>-37.002455789999999</v>
      </c>
      <c r="AF1203">
        <v>174.88631244999999</v>
      </c>
      <c r="AG1203">
        <v>21</v>
      </c>
      <c r="AH1203">
        <v>5</v>
      </c>
      <c r="AI1203">
        <v>1</v>
      </c>
      <c r="AJ1203">
        <v>2</v>
      </c>
      <c r="AK1203">
        <v>5</v>
      </c>
      <c r="AL1203">
        <v>6</v>
      </c>
      <c r="AM1203">
        <v>1</v>
      </c>
      <c r="AN1203">
        <v>0</v>
      </c>
      <c r="AO1203">
        <v>15</v>
      </c>
      <c r="AP1203">
        <v>0</v>
      </c>
      <c r="AQ1203">
        <v>13</v>
      </c>
      <c r="AR1203">
        <v>1</v>
      </c>
      <c r="AS1203">
        <v>0</v>
      </c>
      <c r="AT1203">
        <v>1</v>
      </c>
    </row>
    <row r="1204" spans="1:46">
      <c r="A1204">
        <v>25144</v>
      </c>
      <c r="B1204" t="s">
        <v>7644</v>
      </c>
      <c r="C1204" t="s">
        <v>7645</v>
      </c>
      <c r="D1204" t="s">
        <v>7646</v>
      </c>
      <c r="E1204" t="s">
        <v>7647</v>
      </c>
      <c r="F1204" t="s">
        <v>726</v>
      </c>
      <c r="G1204" t="s">
        <v>652</v>
      </c>
      <c r="H1204" t="s">
        <v>3942</v>
      </c>
      <c r="J1204" t="s">
        <v>518</v>
      </c>
      <c r="K1204" t="s">
        <v>519</v>
      </c>
      <c r="M1204" t="s">
        <v>520</v>
      </c>
      <c r="N1204" t="s">
        <v>727</v>
      </c>
      <c r="O1204" t="s">
        <v>728</v>
      </c>
      <c r="P1204" t="s">
        <v>654</v>
      </c>
      <c r="Q1204" t="s">
        <v>638</v>
      </c>
      <c r="R1204" t="s">
        <v>729</v>
      </c>
      <c r="S1204" t="s">
        <v>778</v>
      </c>
      <c r="T1204" t="s">
        <v>709</v>
      </c>
      <c r="U1204">
        <v>157200</v>
      </c>
      <c r="V1204" t="s">
        <v>5046</v>
      </c>
      <c r="W1204" t="s">
        <v>732</v>
      </c>
      <c r="X1204" t="s">
        <v>7648</v>
      </c>
      <c r="Y1204" t="s">
        <v>4068</v>
      </c>
      <c r="Z1204" t="s">
        <v>821</v>
      </c>
      <c r="AA1204" t="s">
        <v>4069</v>
      </c>
      <c r="AB1204" t="s">
        <v>7258</v>
      </c>
      <c r="AE1204">
        <v>-36.973652350000002</v>
      </c>
      <c r="AF1204">
        <v>174.89214655000001</v>
      </c>
      <c r="AG1204">
        <v>34</v>
      </c>
      <c r="AH1204">
        <v>20</v>
      </c>
      <c r="AI1204">
        <v>3</v>
      </c>
      <c r="AJ1204">
        <v>4</v>
      </c>
      <c r="AK1204">
        <v>8</v>
      </c>
      <c r="AL1204">
        <v>10</v>
      </c>
      <c r="AM1204">
        <v>8</v>
      </c>
      <c r="AN1204">
        <v>1</v>
      </c>
      <c r="AO1204">
        <v>34</v>
      </c>
      <c r="AP1204">
        <v>8</v>
      </c>
      <c r="AQ1204">
        <v>13</v>
      </c>
      <c r="AR1204">
        <v>27</v>
      </c>
      <c r="AS1204">
        <v>2</v>
      </c>
      <c r="AT1204">
        <v>1</v>
      </c>
    </row>
    <row r="1205" spans="1:46">
      <c r="A1205">
        <v>25148</v>
      </c>
      <c r="B1205" t="s">
        <v>7649</v>
      </c>
      <c r="C1205" t="s">
        <v>7650</v>
      </c>
      <c r="D1205" t="s">
        <v>7651</v>
      </c>
      <c r="E1205" t="s">
        <v>7652</v>
      </c>
      <c r="F1205" t="s">
        <v>726</v>
      </c>
      <c r="G1205" t="s">
        <v>652</v>
      </c>
      <c r="H1205" t="s">
        <v>3942</v>
      </c>
      <c r="I1205" t="s">
        <v>4253</v>
      </c>
      <c r="J1205" t="s">
        <v>518</v>
      </c>
      <c r="K1205" t="s">
        <v>519</v>
      </c>
      <c r="M1205" t="s">
        <v>520</v>
      </c>
      <c r="N1205" t="s">
        <v>727</v>
      </c>
      <c r="O1205" t="s">
        <v>728</v>
      </c>
      <c r="P1205" t="s">
        <v>654</v>
      </c>
      <c r="Q1205" t="s">
        <v>638</v>
      </c>
      <c r="R1205" t="s">
        <v>729</v>
      </c>
      <c r="S1205" t="s">
        <v>730</v>
      </c>
      <c r="T1205" t="s">
        <v>709</v>
      </c>
      <c r="U1205">
        <v>155801</v>
      </c>
      <c r="V1205" t="s">
        <v>1212</v>
      </c>
      <c r="W1205" t="s">
        <v>732</v>
      </c>
      <c r="X1205" t="s">
        <v>7653</v>
      </c>
      <c r="Y1205" t="s">
        <v>7654</v>
      </c>
      <c r="Z1205" t="s">
        <v>726</v>
      </c>
      <c r="AA1205" t="s">
        <v>4498</v>
      </c>
      <c r="AB1205" t="s">
        <v>7655</v>
      </c>
      <c r="AE1205">
        <v>-36.965416230000002</v>
      </c>
      <c r="AF1205">
        <v>174.87590926999999</v>
      </c>
      <c r="AG1205">
        <v>33</v>
      </c>
      <c r="AH1205">
        <v>10</v>
      </c>
      <c r="AI1205">
        <v>0</v>
      </c>
      <c r="AJ1205">
        <v>6</v>
      </c>
      <c r="AK1205">
        <v>8</v>
      </c>
      <c r="AL1205">
        <v>4</v>
      </c>
      <c r="AM1205">
        <v>9</v>
      </c>
      <c r="AN1205">
        <v>0</v>
      </c>
      <c r="AO1205">
        <v>27</v>
      </c>
      <c r="AP1205">
        <v>6</v>
      </c>
      <c r="AQ1205">
        <v>1</v>
      </c>
      <c r="AR1205">
        <v>27</v>
      </c>
      <c r="AS1205">
        <v>0</v>
      </c>
      <c r="AT1205">
        <v>1</v>
      </c>
    </row>
    <row r="1206" spans="1:46">
      <c r="A1206">
        <v>25149</v>
      </c>
      <c r="B1206" t="s">
        <v>7656</v>
      </c>
      <c r="C1206" t="s">
        <v>7657</v>
      </c>
      <c r="D1206" t="s">
        <v>7658</v>
      </c>
      <c r="E1206" t="s">
        <v>7659</v>
      </c>
      <c r="G1206" t="s">
        <v>7660</v>
      </c>
      <c r="H1206" t="s">
        <v>3942</v>
      </c>
      <c r="J1206" t="s">
        <v>3962</v>
      </c>
      <c r="K1206" t="s">
        <v>519</v>
      </c>
      <c r="M1206" t="s">
        <v>520</v>
      </c>
      <c r="N1206" t="s">
        <v>4519</v>
      </c>
      <c r="O1206" t="s">
        <v>707</v>
      </c>
      <c r="P1206" t="s">
        <v>654</v>
      </c>
      <c r="Q1206" t="s">
        <v>638</v>
      </c>
      <c r="R1206" t="s">
        <v>708</v>
      </c>
      <c r="S1206" t="s">
        <v>778</v>
      </c>
      <c r="T1206" t="s">
        <v>709</v>
      </c>
      <c r="U1206">
        <v>154701</v>
      </c>
      <c r="V1206" t="s">
        <v>7661</v>
      </c>
      <c r="W1206" t="s">
        <v>711</v>
      </c>
      <c r="X1206" t="s">
        <v>7662</v>
      </c>
      <c r="Y1206" t="s">
        <v>7663</v>
      </c>
      <c r="Z1206" t="s">
        <v>644</v>
      </c>
      <c r="AA1206" t="s">
        <v>645</v>
      </c>
      <c r="AB1206" t="s">
        <v>7664</v>
      </c>
      <c r="AE1206">
        <v>-36.921056059999998</v>
      </c>
      <c r="AF1206">
        <v>174.93118666999999</v>
      </c>
      <c r="AG1206">
        <v>150</v>
      </c>
      <c r="AH1206">
        <v>25</v>
      </c>
      <c r="AI1206">
        <v>5</v>
      </c>
      <c r="AJ1206">
        <v>17</v>
      </c>
      <c r="AK1206">
        <v>31</v>
      </c>
      <c r="AL1206">
        <v>37</v>
      </c>
      <c r="AM1206">
        <v>23</v>
      </c>
      <c r="AN1206">
        <v>0</v>
      </c>
      <c r="AO1206">
        <v>113</v>
      </c>
      <c r="AP1206">
        <v>35</v>
      </c>
      <c r="AQ1206">
        <v>5</v>
      </c>
      <c r="AR1206">
        <v>2</v>
      </c>
      <c r="AS1206">
        <v>77</v>
      </c>
      <c r="AT1206">
        <v>8</v>
      </c>
    </row>
    <row r="1207" spans="1:46">
      <c r="A1207">
        <v>25150</v>
      </c>
      <c r="B1207" t="s">
        <v>7665</v>
      </c>
      <c r="C1207" t="s">
        <v>7666</v>
      </c>
      <c r="D1207" t="s">
        <v>7667</v>
      </c>
      <c r="E1207" t="s">
        <v>7668</v>
      </c>
      <c r="F1207" t="s">
        <v>945</v>
      </c>
      <c r="G1207" t="s">
        <v>652</v>
      </c>
      <c r="H1207" t="s">
        <v>3942</v>
      </c>
      <c r="I1207" t="s">
        <v>7669</v>
      </c>
      <c r="J1207" t="s">
        <v>518</v>
      </c>
      <c r="K1207" t="s">
        <v>519</v>
      </c>
      <c r="M1207" t="s">
        <v>520</v>
      </c>
      <c r="N1207" t="s">
        <v>727</v>
      </c>
      <c r="O1207" t="s">
        <v>848</v>
      </c>
      <c r="P1207" t="s">
        <v>654</v>
      </c>
      <c r="Q1207" t="s">
        <v>638</v>
      </c>
      <c r="R1207" t="s">
        <v>729</v>
      </c>
      <c r="S1207" t="s">
        <v>849</v>
      </c>
      <c r="T1207" t="s">
        <v>709</v>
      </c>
      <c r="U1207">
        <v>149600</v>
      </c>
      <c r="V1207" t="s">
        <v>7670</v>
      </c>
      <c r="W1207" t="s">
        <v>732</v>
      </c>
      <c r="X1207" t="s">
        <v>7671</v>
      </c>
      <c r="Y1207" t="s">
        <v>7672</v>
      </c>
      <c r="AA1207" t="s">
        <v>4037</v>
      </c>
      <c r="AE1207">
        <v>-36.958989500000001</v>
      </c>
      <c r="AF1207">
        <v>174.8325237</v>
      </c>
      <c r="AG1207">
        <v>40</v>
      </c>
      <c r="AH1207">
        <v>12</v>
      </c>
      <c r="AI1207">
        <v>4</v>
      </c>
      <c r="AJ1207">
        <v>5</v>
      </c>
      <c r="AK1207">
        <v>8</v>
      </c>
      <c r="AL1207">
        <v>9</v>
      </c>
      <c r="AM1207">
        <v>8</v>
      </c>
      <c r="AN1207">
        <v>0</v>
      </c>
      <c r="AO1207">
        <v>34</v>
      </c>
      <c r="AP1207">
        <v>0</v>
      </c>
      <c r="AQ1207">
        <v>1</v>
      </c>
      <c r="AR1207">
        <v>1</v>
      </c>
      <c r="AS1207">
        <v>7</v>
      </c>
      <c r="AT1207">
        <v>25</v>
      </c>
    </row>
    <row r="1208" spans="1:46">
      <c r="A1208">
        <v>25153</v>
      </c>
      <c r="B1208" t="s">
        <v>7673</v>
      </c>
      <c r="C1208" t="s">
        <v>7674</v>
      </c>
      <c r="E1208" t="s">
        <v>7675</v>
      </c>
      <c r="F1208" t="s">
        <v>1036</v>
      </c>
      <c r="G1208" t="s">
        <v>652</v>
      </c>
      <c r="H1208" t="s">
        <v>343</v>
      </c>
      <c r="J1208" t="s">
        <v>518</v>
      </c>
      <c r="K1208" t="s">
        <v>519</v>
      </c>
      <c r="L1208" t="s">
        <v>4205</v>
      </c>
      <c r="M1208" t="s">
        <v>520</v>
      </c>
      <c r="N1208" t="s">
        <v>539</v>
      </c>
      <c r="O1208" t="s">
        <v>1216</v>
      </c>
      <c r="P1208" t="s">
        <v>654</v>
      </c>
      <c r="Q1208" t="s">
        <v>638</v>
      </c>
      <c r="R1208" t="s">
        <v>729</v>
      </c>
      <c r="S1208" t="s">
        <v>1036</v>
      </c>
      <c r="T1208" t="s">
        <v>709</v>
      </c>
      <c r="U1208">
        <v>159900</v>
      </c>
      <c r="V1208" t="s">
        <v>1241</v>
      </c>
      <c r="W1208" t="s">
        <v>1219</v>
      </c>
      <c r="X1208" t="s">
        <v>4207</v>
      </c>
      <c r="Y1208" t="s">
        <v>4208</v>
      </c>
      <c r="Z1208" t="s">
        <v>4209</v>
      </c>
      <c r="AA1208" t="s">
        <v>4210</v>
      </c>
      <c r="AE1208">
        <v>-37.029121590000003</v>
      </c>
      <c r="AF1208">
        <v>174.86822283999999</v>
      </c>
      <c r="AG1208">
        <v>30</v>
      </c>
      <c r="AH1208">
        <v>10</v>
      </c>
      <c r="AI1208">
        <v>1</v>
      </c>
      <c r="AJ1208">
        <v>3</v>
      </c>
      <c r="AK1208">
        <v>7</v>
      </c>
      <c r="AL1208">
        <v>6</v>
      </c>
      <c r="AM1208">
        <v>2</v>
      </c>
      <c r="AN1208">
        <v>0</v>
      </c>
      <c r="AO1208">
        <v>19</v>
      </c>
      <c r="AP1208">
        <v>0</v>
      </c>
      <c r="AQ1208">
        <v>19</v>
      </c>
      <c r="AR1208">
        <v>0</v>
      </c>
      <c r="AS1208">
        <v>0</v>
      </c>
      <c r="AT1208">
        <v>0</v>
      </c>
    </row>
    <row r="1209" spans="1:46">
      <c r="A1209">
        <v>25155</v>
      </c>
      <c r="B1209" t="s">
        <v>7676</v>
      </c>
      <c r="C1209" t="s">
        <v>7677</v>
      </c>
      <c r="E1209" t="s">
        <v>7678</v>
      </c>
      <c r="F1209" t="s">
        <v>1036</v>
      </c>
      <c r="G1209" t="s">
        <v>652</v>
      </c>
      <c r="H1209" t="s">
        <v>343</v>
      </c>
      <c r="J1209" t="s">
        <v>518</v>
      </c>
      <c r="K1209" t="s">
        <v>519</v>
      </c>
      <c r="L1209" t="s">
        <v>4205</v>
      </c>
      <c r="M1209" t="s">
        <v>520</v>
      </c>
      <c r="N1209" t="s">
        <v>727</v>
      </c>
      <c r="O1209" t="s">
        <v>1216</v>
      </c>
      <c r="P1209" t="s">
        <v>654</v>
      </c>
      <c r="Q1209" t="s">
        <v>638</v>
      </c>
      <c r="R1209" t="s">
        <v>729</v>
      </c>
      <c r="S1209" t="s">
        <v>1036</v>
      </c>
      <c r="T1209" t="s">
        <v>709</v>
      </c>
      <c r="U1209">
        <v>160601</v>
      </c>
      <c r="V1209" t="s">
        <v>7679</v>
      </c>
      <c r="W1209" t="s">
        <v>1219</v>
      </c>
      <c r="X1209" t="s">
        <v>4207</v>
      </c>
      <c r="Y1209" t="s">
        <v>4208</v>
      </c>
      <c r="Z1209" t="s">
        <v>4209</v>
      </c>
      <c r="AA1209" t="s">
        <v>4210</v>
      </c>
      <c r="AE1209">
        <v>-37.027356959999999</v>
      </c>
      <c r="AF1209">
        <v>174.88823633999999</v>
      </c>
      <c r="AG1209">
        <v>18</v>
      </c>
      <c r="AH1209">
        <v>6</v>
      </c>
      <c r="AI1209">
        <v>0</v>
      </c>
      <c r="AJ1209">
        <v>0</v>
      </c>
      <c r="AK1209">
        <v>3</v>
      </c>
      <c r="AL1209">
        <v>3</v>
      </c>
      <c r="AM1209">
        <v>4</v>
      </c>
      <c r="AN1209">
        <v>0</v>
      </c>
      <c r="AO1209">
        <v>10</v>
      </c>
      <c r="AP1209">
        <v>0</v>
      </c>
      <c r="AQ1209">
        <v>10</v>
      </c>
      <c r="AR1209">
        <v>0</v>
      </c>
      <c r="AS1209">
        <v>0</v>
      </c>
      <c r="AT1209">
        <v>0</v>
      </c>
    </row>
    <row r="1210" spans="1:46">
      <c r="A1210">
        <v>25157</v>
      </c>
      <c r="B1210" t="s">
        <v>7680</v>
      </c>
      <c r="C1210" t="s">
        <v>7681</v>
      </c>
      <c r="E1210" t="s">
        <v>7682</v>
      </c>
      <c r="F1210" t="s">
        <v>1217</v>
      </c>
      <c r="G1210" t="s">
        <v>652</v>
      </c>
      <c r="H1210" t="s">
        <v>343</v>
      </c>
      <c r="J1210" t="s">
        <v>518</v>
      </c>
      <c r="K1210" t="s">
        <v>519</v>
      </c>
      <c r="L1210" t="s">
        <v>4205</v>
      </c>
      <c r="M1210" t="s">
        <v>520</v>
      </c>
      <c r="N1210" t="s">
        <v>557</v>
      </c>
      <c r="O1210" t="s">
        <v>1268</v>
      </c>
      <c r="P1210" t="s">
        <v>654</v>
      </c>
      <c r="Q1210" t="s">
        <v>638</v>
      </c>
      <c r="R1210" t="s">
        <v>729</v>
      </c>
      <c r="S1210" t="s">
        <v>1217</v>
      </c>
      <c r="T1210" t="s">
        <v>709</v>
      </c>
      <c r="U1210">
        <v>162000</v>
      </c>
      <c r="V1210" t="s">
        <v>4049</v>
      </c>
      <c r="W1210" t="s">
        <v>1219</v>
      </c>
      <c r="X1210" t="s">
        <v>4207</v>
      </c>
      <c r="Y1210" t="s">
        <v>4208</v>
      </c>
      <c r="Z1210" t="s">
        <v>4209</v>
      </c>
      <c r="AA1210" t="s">
        <v>4210</v>
      </c>
      <c r="AE1210">
        <v>-37.040470740000004</v>
      </c>
      <c r="AF1210">
        <v>174.92209374999999</v>
      </c>
      <c r="AG1210">
        <v>40</v>
      </c>
      <c r="AH1210">
        <v>12</v>
      </c>
      <c r="AI1210">
        <v>1</v>
      </c>
      <c r="AJ1210">
        <v>5</v>
      </c>
      <c r="AK1210">
        <v>7</v>
      </c>
      <c r="AL1210">
        <v>9</v>
      </c>
      <c r="AM1210">
        <v>7</v>
      </c>
      <c r="AN1210">
        <v>0</v>
      </c>
      <c r="AO1210">
        <v>29</v>
      </c>
      <c r="AP1210">
        <v>0</v>
      </c>
      <c r="AQ1210">
        <v>29</v>
      </c>
      <c r="AR1210">
        <v>0</v>
      </c>
      <c r="AS1210">
        <v>0</v>
      </c>
      <c r="AT1210">
        <v>0</v>
      </c>
    </row>
    <row r="1211" spans="1:46">
      <c r="A1211">
        <v>25161</v>
      </c>
      <c r="B1211" t="s">
        <v>7683</v>
      </c>
      <c r="C1211" t="s">
        <v>7684</v>
      </c>
      <c r="E1211" t="s">
        <v>7685</v>
      </c>
      <c r="G1211" t="s">
        <v>1234</v>
      </c>
      <c r="H1211" t="s">
        <v>343</v>
      </c>
      <c r="J1211" t="s">
        <v>518</v>
      </c>
      <c r="K1211" t="s">
        <v>519</v>
      </c>
      <c r="L1211" t="s">
        <v>4205</v>
      </c>
      <c r="M1211" t="s">
        <v>520</v>
      </c>
      <c r="N1211" t="s">
        <v>727</v>
      </c>
      <c r="O1211" t="s">
        <v>1268</v>
      </c>
      <c r="P1211" t="s">
        <v>654</v>
      </c>
      <c r="Q1211" t="s">
        <v>638</v>
      </c>
      <c r="R1211" t="s">
        <v>729</v>
      </c>
      <c r="S1211" t="s">
        <v>1234</v>
      </c>
      <c r="T1211" t="s">
        <v>1235</v>
      </c>
      <c r="U1211">
        <v>163001</v>
      </c>
      <c r="V1211" t="s">
        <v>1277</v>
      </c>
      <c r="W1211" t="s">
        <v>1219</v>
      </c>
      <c r="X1211" t="s">
        <v>4207</v>
      </c>
      <c r="Y1211" t="s">
        <v>4208</v>
      </c>
      <c r="Z1211" t="s">
        <v>4209</v>
      </c>
      <c r="AA1211" t="s">
        <v>4210</v>
      </c>
      <c r="AE1211">
        <v>-37.0560118</v>
      </c>
      <c r="AF1211">
        <v>174.94468108000001</v>
      </c>
      <c r="AG1211">
        <v>35</v>
      </c>
      <c r="AH1211">
        <v>8</v>
      </c>
      <c r="AI1211">
        <v>2</v>
      </c>
      <c r="AJ1211">
        <v>5</v>
      </c>
      <c r="AK1211">
        <v>9</v>
      </c>
      <c r="AL1211">
        <v>10</v>
      </c>
      <c r="AM1211">
        <v>4</v>
      </c>
      <c r="AN1211">
        <v>0</v>
      </c>
      <c r="AO1211">
        <v>30</v>
      </c>
      <c r="AP1211">
        <v>0</v>
      </c>
      <c r="AQ1211">
        <v>27</v>
      </c>
      <c r="AR1211">
        <v>2</v>
      </c>
      <c r="AS1211">
        <v>0</v>
      </c>
      <c r="AT1211">
        <v>1</v>
      </c>
    </row>
    <row r="1212" spans="1:46">
      <c r="A1212">
        <v>25163</v>
      </c>
      <c r="B1212" t="s">
        <v>7686</v>
      </c>
      <c r="C1212" t="s">
        <v>7687</v>
      </c>
      <c r="E1212" t="s">
        <v>7688</v>
      </c>
      <c r="F1212" t="s">
        <v>726</v>
      </c>
      <c r="G1212" t="s">
        <v>652</v>
      </c>
      <c r="H1212" t="s">
        <v>343</v>
      </c>
      <c r="J1212" t="s">
        <v>518</v>
      </c>
      <c r="K1212" t="s">
        <v>519</v>
      </c>
      <c r="L1212" t="s">
        <v>4205</v>
      </c>
      <c r="M1212" t="s">
        <v>520</v>
      </c>
      <c r="N1212" t="s">
        <v>521</v>
      </c>
      <c r="O1212" t="s">
        <v>728</v>
      </c>
      <c r="P1212" t="s">
        <v>654</v>
      </c>
      <c r="Q1212" t="s">
        <v>638</v>
      </c>
      <c r="R1212" t="s">
        <v>729</v>
      </c>
      <c r="S1212" t="s">
        <v>730</v>
      </c>
      <c r="T1212" t="s">
        <v>709</v>
      </c>
      <c r="U1212">
        <v>155702</v>
      </c>
      <c r="V1212" t="s">
        <v>866</v>
      </c>
      <c r="W1212" t="s">
        <v>732</v>
      </c>
      <c r="X1212" t="s">
        <v>4207</v>
      </c>
      <c r="Y1212" t="s">
        <v>4208</v>
      </c>
      <c r="Z1212" t="s">
        <v>4209</v>
      </c>
      <c r="AA1212" t="s">
        <v>4210</v>
      </c>
      <c r="AE1212">
        <v>-36.97677238</v>
      </c>
      <c r="AF1212">
        <v>174.88125342999999</v>
      </c>
      <c r="AG1212">
        <v>22</v>
      </c>
      <c r="AH1212">
        <v>8</v>
      </c>
      <c r="AI1212">
        <v>1</v>
      </c>
      <c r="AJ1212">
        <v>5</v>
      </c>
      <c r="AK1212">
        <v>5</v>
      </c>
      <c r="AL1212">
        <v>4</v>
      </c>
      <c r="AM1212">
        <v>3</v>
      </c>
      <c r="AN1212">
        <v>0</v>
      </c>
      <c r="AO1212">
        <v>18</v>
      </c>
      <c r="AP1212">
        <v>0</v>
      </c>
      <c r="AQ1212">
        <v>17</v>
      </c>
      <c r="AR1212">
        <v>1</v>
      </c>
      <c r="AS1212">
        <v>0</v>
      </c>
      <c r="AT1212">
        <v>0</v>
      </c>
    </row>
    <row r="1213" spans="1:46">
      <c r="A1213">
        <v>25166</v>
      </c>
      <c r="B1213" t="s">
        <v>7689</v>
      </c>
      <c r="C1213" t="s">
        <v>7690</v>
      </c>
      <c r="D1213" t="s">
        <v>7691</v>
      </c>
      <c r="E1213" t="s">
        <v>7692</v>
      </c>
      <c r="F1213" t="s">
        <v>4338</v>
      </c>
      <c r="G1213" t="s">
        <v>652</v>
      </c>
      <c r="H1213" t="s">
        <v>3942</v>
      </c>
      <c r="J1213" t="s">
        <v>518</v>
      </c>
      <c r="K1213" t="s">
        <v>519</v>
      </c>
      <c r="M1213" t="s">
        <v>520</v>
      </c>
      <c r="N1213" t="s">
        <v>557</v>
      </c>
      <c r="O1213" t="s">
        <v>1216</v>
      </c>
      <c r="P1213" t="s">
        <v>654</v>
      </c>
      <c r="Q1213" t="s">
        <v>638</v>
      </c>
      <c r="R1213" t="s">
        <v>729</v>
      </c>
      <c r="S1213" t="s">
        <v>1217</v>
      </c>
      <c r="T1213" t="s">
        <v>709</v>
      </c>
      <c r="U1213">
        <v>158501</v>
      </c>
      <c r="V1213" t="s">
        <v>7560</v>
      </c>
      <c r="W1213" t="s">
        <v>1219</v>
      </c>
      <c r="X1213" t="s">
        <v>3943</v>
      </c>
      <c r="Y1213" t="s">
        <v>3944</v>
      </c>
      <c r="Z1213" t="s">
        <v>3945</v>
      </c>
      <c r="AA1213" t="s">
        <v>3946</v>
      </c>
      <c r="AB1213" t="s">
        <v>3947</v>
      </c>
      <c r="AC1213">
        <v>99186</v>
      </c>
      <c r="AD1213" t="s">
        <v>1224</v>
      </c>
      <c r="AE1213">
        <v>-36.99812506</v>
      </c>
      <c r="AF1213">
        <v>174.89411421</v>
      </c>
      <c r="AG1213">
        <v>20</v>
      </c>
      <c r="AH1213">
        <v>20</v>
      </c>
      <c r="AI1213">
        <v>1</v>
      </c>
      <c r="AJ1213">
        <v>12</v>
      </c>
      <c r="AK1213">
        <v>4</v>
      </c>
      <c r="AL1213">
        <v>0</v>
      </c>
      <c r="AM1213">
        <v>0</v>
      </c>
      <c r="AN1213">
        <v>0</v>
      </c>
      <c r="AO1213">
        <v>17</v>
      </c>
      <c r="AP1213">
        <v>6</v>
      </c>
      <c r="AQ1213">
        <v>1</v>
      </c>
      <c r="AR1213">
        <v>3</v>
      </c>
      <c r="AS1213">
        <v>10</v>
      </c>
      <c r="AT1213">
        <v>0</v>
      </c>
    </row>
    <row r="1214" spans="1:46">
      <c r="A1214">
        <v>25171</v>
      </c>
      <c r="B1214" t="s">
        <v>7693</v>
      </c>
      <c r="C1214" t="s">
        <v>7694</v>
      </c>
      <c r="D1214" t="s">
        <v>7695</v>
      </c>
      <c r="E1214" t="s">
        <v>7696</v>
      </c>
      <c r="G1214" t="s">
        <v>1234</v>
      </c>
      <c r="H1214" t="s">
        <v>3942</v>
      </c>
      <c r="J1214" t="s">
        <v>518</v>
      </c>
      <c r="K1214" t="s">
        <v>519</v>
      </c>
      <c r="M1214" t="s">
        <v>520</v>
      </c>
      <c r="N1214" t="s">
        <v>521</v>
      </c>
      <c r="O1214" t="s">
        <v>1268</v>
      </c>
      <c r="P1214" t="s">
        <v>654</v>
      </c>
      <c r="Q1214" t="s">
        <v>638</v>
      </c>
      <c r="R1214" t="s">
        <v>729</v>
      </c>
      <c r="S1214" t="s">
        <v>1234</v>
      </c>
      <c r="T1214" t="s">
        <v>1235</v>
      </c>
      <c r="U1214">
        <v>163502</v>
      </c>
      <c r="V1214" t="s">
        <v>7498</v>
      </c>
      <c r="W1214" t="s">
        <v>1219</v>
      </c>
      <c r="X1214" t="s">
        <v>7697</v>
      </c>
      <c r="Y1214" t="s">
        <v>7698</v>
      </c>
      <c r="Z1214" t="s">
        <v>1234</v>
      </c>
      <c r="AA1214" t="s">
        <v>6018</v>
      </c>
      <c r="AE1214">
        <v>-37.06273479</v>
      </c>
      <c r="AF1214">
        <v>174.96126418</v>
      </c>
      <c r="AG1214">
        <v>35</v>
      </c>
      <c r="AH1214">
        <v>0</v>
      </c>
      <c r="AI1214">
        <v>0</v>
      </c>
      <c r="AJ1214">
        <v>0</v>
      </c>
      <c r="AK1214">
        <v>3</v>
      </c>
      <c r="AL1214">
        <v>7</v>
      </c>
      <c r="AM1214">
        <v>4</v>
      </c>
      <c r="AN1214">
        <v>0</v>
      </c>
      <c r="AO1214">
        <v>14</v>
      </c>
      <c r="AP1214">
        <v>1</v>
      </c>
      <c r="AQ1214">
        <v>7</v>
      </c>
      <c r="AR1214">
        <v>5</v>
      </c>
      <c r="AS1214">
        <v>4</v>
      </c>
      <c r="AT1214">
        <v>0</v>
      </c>
    </row>
    <row r="1215" spans="1:46">
      <c r="A1215">
        <v>25172</v>
      </c>
      <c r="B1215" t="s">
        <v>7699</v>
      </c>
      <c r="C1215" t="s">
        <v>7700</v>
      </c>
      <c r="E1215" t="s">
        <v>7701</v>
      </c>
      <c r="G1215" t="s">
        <v>3811</v>
      </c>
      <c r="H1215" t="s">
        <v>343</v>
      </c>
      <c r="J1215" t="s">
        <v>518</v>
      </c>
      <c r="K1215" t="s">
        <v>519</v>
      </c>
      <c r="L1215" t="s">
        <v>4205</v>
      </c>
      <c r="M1215" t="s">
        <v>1297</v>
      </c>
      <c r="N1215" t="s">
        <v>521</v>
      </c>
      <c r="O1215" t="s">
        <v>1351</v>
      </c>
      <c r="P1215" t="s">
        <v>572</v>
      </c>
      <c r="Q1215" t="s">
        <v>1299</v>
      </c>
      <c r="R1215" t="s">
        <v>1300</v>
      </c>
      <c r="S1215" t="s">
        <v>1246</v>
      </c>
      <c r="T1215" t="s">
        <v>1235</v>
      </c>
      <c r="U1215">
        <v>170101</v>
      </c>
      <c r="V1215" t="s">
        <v>7702</v>
      </c>
      <c r="W1215" t="s">
        <v>7703</v>
      </c>
      <c r="X1215" t="s">
        <v>7630</v>
      </c>
      <c r="Y1215" t="s">
        <v>4208</v>
      </c>
      <c r="Z1215" t="s">
        <v>4209</v>
      </c>
      <c r="AA1215" t="s">
        <v>4210</v>
      </c>
      <c r="AB1215" t="s">
        <v>7631</v>
      </c>
      <c r="AE1215">
        <v>-37.425781100000002</v>
      </c>
      <c r="AF1215">
        <v>174.74235959999999</v>
      </c>
      <c r="AG1215">
        <v>25</v>
      </c>
      <c r="AH1215">
        <v>9</v>
      </c>
      <c r="AI1215">
        <v>0</v>
      </c>
      <c r="AJ1215">
        <v>3</v>
      </c>
      <c r="AK1215">
        <v>4</v>
      </c>
      <c r="AL1215">
        <v>1</v>
      </c>
      <c r="AM1215">
        <v>9</v>
      </c>
      <c r="AN1215">
        <v>0</v>
      </c>
      <c r="AO1215">
        <v>17</v>
      </c>
      <c r="AP1215">
        <v>0</v>
      </c>
      <c r="AQ1215">
        <v>17</v>
      </c>
      <c r="AR1215">
        <v>0</v>
      </c>
      <c r="AS1215">
        <v>0</v>
      </c>
      <c r="AT1215">
        <v>0</v>
      </c>
    </row>
    <row r="1216" spans="1:46">
      <c r="A1216">
        <v>25174</v>
      </c>
      <c r="B1216" t="s">
        <v>7704</v>
      </c>
      <c r="C1216" t="s">
        <v>7705</v>
      </c>
      <c r="D1216" t="s">
        <v>7706</v>
      </c>
      <c r="E1216" t="s">
        <v>7707</v>
      </c>
      <c r="F1216" t="s">
        <v>7237</v>
      </c>
      <c r="G1216" t="s">
        <v>3763</v>
      </c>
      <c r="H1216" t="s">
        <v>3942</v>
      </c>
      <c r="J1216" t="s">
        <v>3962</v>
      </c>
      <c r="K1216" t="s">
        <v>519</v>
      </c>
      <c r="M1216" t="s">
        <v>520</v>
      </c>
      <c r="N1216" t="s">
        <v>571</v>
      </c>
      <c r="O1216" t="s">
        <v>3764</v>
      </c>
      <c r="P1216" t="s">
        <v>523</v>
      </c>
      <c r="Q1216" t="s">
        <v>638</v>
      </c>
      <c r="R1216" t="s">
        <v>708</v>
      </c>
      <c r="S1216" t="s">
        <v>958</v>
      </c>
      <c r="T1216" t="s">
        <v>709</v>
      </c>
      <c r="U1216">
        <v>148700</v>
      </c>
      <c r="V1216" t="s">
        <v>7237</v>
      </c>
      <c r="W1216" t="s">
        <v>959</v>
      </c>
      <c r="X1216" t="s">
        <v>7708</v>
      </c>
      <c r="Y1216" t="s">
        <v>7709</v>
      </c>
      <c r="Z1216" t="s">
        <v>3763</v>
      </c>
      <c r="AA1216" t="s">
        <v>7710</v>
      </c>
      <c r="AB1216" t="s">
        <v>7711</v>
      </c>
      <c r="AE1216">
        <v>-36.794950610000001</v>
      </c>
      <c r="AF1216">
        <v>175.04587921000001</v>
      </c>
      <c r="AG1216">
        <v>38</v>
      </c>
      <c r="AH1216">
        <v>10</v>
      </c>
      <c r="AI1216">
        <v>3</v>
      </c>
      <c r="AJ1216">
        <v>9</v>
      </c>
      <c r="AK1216">
        <v>8</v>
      </c>
      <c r="AL1216">
        <v>5</v>
      </c>
      <c r="AM1216">
        <v>1</v>
      </c>
      <c r="AN1216">
        <v>1</v>
      </c>
      <c r="AO1216">
        <v>27</v>
      </c>
      <c r="AP1216">
        <v>36</v>
      </c>
      <c r="AQ1216">
        <v>2</v>
      </c>
      <c r="AR1216">
        <v>1</v>
      </c>
      <c r="AS1216">
        <v>4</v>
      </c>
      <c r="AT1216">
        <v>6</v>
      </c>
    </row>
    <row r="1217" spans="1:46">
      <c r="A1217">
        <v>25178</v>
      </c>
      <c r="B1217" t="s">
        <v>7712</v>
      </c>
      <c r="C1217" t="s">
        <v>7713</v>
      </c>
      <c r="E1217" t="s">
        <v>7714</v>
      </c>
      <c r="F1217" t="s">
        <v>812</v>
      </c>
      <c r="G1217" t="s">
        <v>652</v>
      </c>
      <c r="H1217" t="s">
        <v>3942</v>
      </c>
      <c r="J1217" t="s">
        <v>518</v>
      </c>
      <c r="K1217" t="s">
        <v>519</v>
      </c>
      <c r="M1217" t="s">
        <v>520</v>
      </c>
      <c r="N1217" t="s">
        <v>539</v>
      </c>
      <c r="O1217" t="s">
        <v>813</v>
      </c>
      <c r="P1217" t="s">
        <v>654</v>
      </c>
      <c r="Q1217" t="s">
        <v>638</v>
      </c>
      <c r="R1217" t="s">
        <v>639</v>
      </c>
      <c r="S1217" t="s">
        <v>640</v>
      </c>
      <c r="T1217" t="s">
        <v>527</v>
      </c>
      <c r="U1217">
        <v>119600</v>
      </c>
      <c r="V1217" t="s">
        <v>4834</v>
      </c>
      <c r="W1217" t="s">
        <v>815</v>
      </c>
      <c r="X1217" t="s">
        <v>7715</v>
      </c>
      <c r="Y1217" t="s">
        <v>7716</v>
      </c>
      <c r="Z1217" t="s">
        <v>644</v>
      </c>
      <c r="AA1217" t="s">
        <v>645</v>
      </c>
      <c r="AB1217" t="s">
        <v>7717</v>
      </c>
      <c r="AC1217">
        <v>99125</v>
      </c>
      <c r="AD1217" t="s">
        <v>816</v>
      </c>
      <c r="AE1217">
        <v>-36.831588359999998</v>
      </c>
      <c r="AF1217">
        <v>174.61741719</v>
      </c>
      <c r="AG1217">
        <v>40</v>
      </c>
      <c r="AH1217">
        <v>0</v>
      </c>
      <c r="AI1217">
        <v>0</v>
      </c>
      <c r="AJ1217">
        <v>0</v>
      </c>
      <c r="AK1217">
        <v>6</v>
      </c>
      <c r="AL1217">
        <v>8</v>
      </c>
      <c r="AM1217">
        <v>15</v>
      </c>
      <c r="AN1217">
        <v>2</v>
      </c>
      <c r="AO1217">
        <v>31</v>
      </c>
      <c r="AP1217">
        <v>11</v>
      </c>
      <c r="AQ1217">
        <v>5</v>
      </c>
      <c r="AR1217">
        <v>11</v>
      </c>
      <c r="AS1217">
        <v>9</v>
      </c>
      <c r="AT1217">
        <v>2</v>
      </c>
    </row>
    <row r="1218" spans="1:46">
      <c r="A1218">
        <v>25184</v>
      </c>
      <c r="B1218" t="s">
        <v>7718</v>
      </c>
      <c r="C1218" t="s">
        <v>7719</v>
      </c>
      <c r="D1218" t="s">
        <v>7720</v>
      </c>
      <c r="E1218" t="s">
        <v>7721</v>
      </c>
      <c r="F1218" t="s">
        <v>5104</v>
      </c>
      <c r="G1218" t="s">
        <v>4204</v>
      </c>
      <c r="H1218" t="s">
        <v>3942</v>
      </c>
      <c r="I1218" t="s">
        <v>4165</v>
      </c>
      <c r="J1218" t="s">
        <v>518</v>
      </c>
      <c r="K1218" t="s">
        <v>519</v>
      </c>
      <c r="M1218" t="s">
        <v>520</v>
      </c>
      <c r="N1218" t="s">
        <v>4519</v>
      </c>
      <c r="O1218" t="s">
        <v>728</v>
      </c>
      <c r="P1218" t="s">
        <v>654</v>
      </c>
      <c r="Q1218" t="s">
        <v>638</v>
      </c>
      <c r="R1218" t="s">
        <v>729</v>
      </c>
      <c r="S1218" t="s">
        <v>778</v>
      </c>
      <c r="T1218" t="s">
        <v>709</v>
      </c>
      <c r="U1218">
        <v>157200</v>
      </c>
      <c r="V1218" t="s">
        <v>5046</v>
      </c>
      <c r="W1218" t="s">
        <v>732</v>
      </c>
      <c r="X1218" t="s">
        <v>7722</v>
      </c>
      <c r="Y1218" t="s">
        <v>7723</v>
      </c>
      <c r="Z1218" t="s">
        <v>5104</v>
      </c>
      <c r="AA1218" t="s">
        <v>4498</v>
      </c>
      <c r="AB1218" t="s">
        <v>7719</v>
      </c>
      <c r="AC1218">
        <v>99200</v>
      </c>
      <c r="AD1218" t="s">
        <v>867</v>
      </c>
      <c r="AE1218">
        <v>-36.97640157</v>
      </c>
      <c r="AF1218">
        <v>174.89533921</v>
      </c>
      <c r="AG1218">
        <v>28</v>
      </c>
      <c r="AH1218">
        <v>4</v>
      </c>
      <c r="AI1218">
        <v>0</v>
      </c>
      <c r="AJ1218">
        <v>6</v>
      </c>
      <c r="AK1218">
        <v>12</v>
      </c>
      <c r="AL1218">
        <v>8</v>
      </c>
      <c r="AM1218">
        <v>5</v>
      </c>
      <c r="AN1218">
        <v>0</v>
      </c>
      <c r="AO1218">
        <v>31</v>
      </c>
      <c r="AP1218">
        <v>1</v>
      </c>
      <c r="AQ1218">
        <v>1</v>
      </c>
      <c r="AR1218">
        <v>30</v>
      </c>
      <c r="AS1218">
        <v>3</v>
      </c>
      <c r="AT1218">
        <v>1</v>
      </c>
    </row>
    <row r="1219" spans="1:46">
      <c r="A1219">
        <v>25185</v>
      </c>
      <c r="B1219" t="s">
        <v>7724</v>
      </c>
      <c r="C1219" t="s">
        <v>7725</v>
      </c>
      <c r="E1219" t="s">
        <v>7726</v>
      </c>
      <c r="F1219" t="s">
        <v>737</v>
      </c>
      <c r="G1219" t="s">
        <v>652</v>
      </c>
      <c r="H1219" t="s">
        <v>3942</v>
      </c>
      <c r="J1219" t="s">
        <v>3962</v>
      </c>
      <c r="K1219" t="s">
        <v>519</v>
      </c>
      <c r="M1219" t="s">
        <v>520</v>
      </c>
      <c r="N1219" t="s">
        <v>4519</v>
      </c>
      <c r="O1219" t="s">
        <v>738</v>
      </c>
      <c r="P1219" t="s">
        <v>654</v>
      </c>
      <c r="Q1219" t="s">
        <v>638</v>
      </c>
      <c r="R1219" t="s">
        <v>639</v>
      </c>
      <c r="S1219" t="s">
        <v>756</v>
      </c>
      <c r="T1219" t="s">
        <v>527</v>
      </c>
      <c r="U1219">
        <v>124600</v>
      </c>
      <c r="V1219" t="s">
        <v>6895</v>
      </c>
      <c r="W1219" t="s">
        <v>741</v>
      </c>
      <c r="X1219" t="s">
        <v>7727</v>
      </c>
      <c r="Y1219" t="s">
        <v>7728</v>
      </c>
      <c r="Z1219" t="s">
        <v>3706</v>
      </c>
      <c r="AA1219" t="s">
        <v>7729</v>
      </c>
      <c r="AB1219" t="s">
        <v>7730</v>
      </c>
      <c r="AE1219">
        <v>-36.783803659999997</v>
      </c>
      <c r="AF1219">
        <v>174.73512084000001</v>
      </c>
      <c r="AG1219">
        <v>40</v>
      </c>
      <c r="AH1219">
        <v>0</v>
      </c>
      <c r="AI1219">
        <v>0</v>
      </c>
      <c r="AJ1219">
        <v>0</v>
      </c>
      <c r="AK1219">
        <v>3</v>
      </c>
      <c r="AL1219">
        <v>13</v>
      </c>
      <c r="AM1219">
        <v>18</v>
      </c>
      <c r="AN1219">
        <v>0</v>
      </c>
      <c r="AO1219">
        <v>34</v>
      </c>
      <c r="AP1219">
        <v>9</v>
      </c>
      <c r="AQ1219">
        <v>3</v>
      </c>
      <c r="AR1219">
        <v>3</v>
      </c>
      <c r="AS1219">
        <v>23</v>
      </c>
      <c r="AT1219">
        <v>9</v>
      </c>
    </row>
    <row r="1220" spans="1:46">
      <c r="A1220">
        <v>25187</v>
      </c>
      <c r="B1220" t="s">
        <v>7731</v>
      </c>
      <c r="C1220" t="s">
        <v>7732</v>
      </c>
      <c r="E1220" t="s">
        <v>7733</v>
      </c>
      <c r="G1220" t="s">
        <v>1234</v>
      </c>
      <c r="H1220" t="s">
        <v>3942</v>
      </c>
      <c r="J1220" t="s">
        <v>3962</v>
      </c>
      <c r="K1220" t="s">
        <v>519</v>
      </c>
      <c r="M1220" t="s">
        <v>520</v>
      </c>
      <c r="N1220" t="s">
        <v>539</v>
      </c>
      <c r="O1220" t="s">
        <v>1268</v>
      </c>
      <c r="P1220" t="s">
        <v>654</v>
      </c>
      <c r="Q1220" t="s">
        <v>638</v>
      </c>
      <c r="R1220" t="s">
        <v>729</v>
      </c>
      <c r="S1220" t="s">
        <v>1234</v>
      </c>
      <c r="T1220" t="s">
        <v>1235</v>
      </c>
      <c r="U1220">
        <v>163700</v>
      </c>
      <c r="V1220" t="s">
        <v>7596</v>
      </c>
      <c r="W1220" t="s">
        <v>1219</v>
      </c>
      <c r="X1220" t="s">
        <v>5160</v>
      </c>
      <c r="Y1220" t="s">
        <v>5161</v>
      </c>
      <c r="Z1220" t="s">
        <v>1234</v>
      </c>
      <c r="AA1220" t="s">
        <v>5162</v>
      </c>
      <c r="AB1220" t="s">
        <v>5163</v>
      </c>
      <c r="AE1220">
        <v>-37.076850870000001</v>
      </c>
      <c r="AF1220">
        <v>174.93122962000001</v>
      </c>
      <c r="AG1220">
        <v>35</v>
      </c>
      <c r="AH1220">
        <v>15</v>
      </c>
      <c r="AI1220">
        <v>0</v>
      </c>
      <c r="AJ1220">
        <v>1</v>
      </c>
      <c r="AK1220">
        <v>8</v>
      </c>
      <c r="AL1220">
        <v>11</v>
      </c>
      <c r="AM1220">
        <v>9</v>
      </c>
      <c r="AN1220">
        <v>2</v>
      </c>
      <c r="AO1220">
        <v>31</v>
      </c>
      <c r="AP1220">
        <v>7</v>
      </c>
      <c r="AQ1220">
        <v>14</v>
      </c>
      <c r="AR1220">
        <v>16</v>
      </c>
      <c r="AS1220">
        <v>4</v>
      </c>
      <c r="AT1220">
        <v>0</v>
      </c>
    </row>
    <row r="1221" spans="1:46">
      <c r="A1221">
        <v>25189</v>
      </c>
      <c r="B1221" t="s">
        <v>7734</v>
      </c>
      <c r="C1221" t="s">
        <v>7735</v>
      </c>
      <c r="D1221" t="s">
        <v>7736</v>
      </c>
      <c r="E1221" t="s">
        <v>7737</v>
      </c>
      <c r="F1221" t="s">
        <v>1072</v>
      </c>
      <c r="G1221" t="s">
        <v>652</v>
      </c>
      <c r="H1221" t="s">
        <v>3942</v>
      </c>
      <c r="I1221" t="s">
        <v>4065</v>
      </c>
      <c r="J1221" t="s">
        <v>3962</v>
      </c>
      <c r="K1221" t="s">
        <v>519</v>
      </c>
      <c r="M1221" t="s">
        <v>520</v>
      </c>
      <c r="N1221" t="s">
        <v>539</v>
      </c>
      <c r="O1221" t="s">
        <v>848</v>
      </c>
      <c r="P1221" t="s">
        <v>654</v>
      </c>
      <c r="Q1221" t="s">
        <v>638</v>
      </c>
      <c r="R1221" t="s">
        <v>729</v>
      </c>
      <c r="S1221" t="s">
        <v>730</v>
      </c>
      <c r="T1221" t="s">
        <v>709</v>
      </c>
      <c r="U1221">
        <v>151400</v>
      </c>
      <c r="V1221" t="s">
        <v>7542</v>
      </c>
      <c r="W1221" t="s">
        <v>732</v>
      </c>
      <c r="X1221" t="s">
        <v>7738</v>
      </c>
      <c r="Y1221" t="s">
        <v>7739</v>
      </c>
      <c r="AA1221" t="s">
        <v>7740</v>
      </c>
      <c r="AE1221">
        <v>-36.950899769999999</v>
      </c>
      <c r="AF1221">
        <v>174.83697504</v>
      </c>
      <c r="AG1221">
        <v>50</v>
      </c>
      <c r="AH1221">
        <v>18</v>
      </c>
      <c r="AI1221">
        <v>2</v>
      </c>
      <c r="AJ1221">
        <v>7</v>
      </c>
      <c r="AK1221">
        <v>5</v>
      </c>
      <c r="AL1221">
        <v>7</v>
      </c>
      <c r="AM1221">
        <v>4</v>
      </c>
      <c r="AN1221">
        <v>0</v>
      </c>
      <c r="AO1221">
        <v>25</v>
      </c>
      <c r="AP1221">
        <v>14</v>
      </c>
      <c r="AQ1221">
        <v>2</v>
      </c>
      <c r="AR1221">
        <v>2</v>
      </c>
      <c r="AS1221">
        <v>11</v>
      </c>
      <c r="AT1221">
        <v>2</v>
      </c>
    </row>
    <row r="1222" spans="1:46">
      <c r="A1222">
        <v>25193</v>
      </c>
      <c r="B1222" t="s">
        <v>7741</v>
      </c>
      <c r="C1222" t="s">
        <v>7742</v>
      </c>
      <c r="D1222" t="s">
        <v>7743</v>
      </c>
      <c r="E1222" t="s">
        <v>7744</v>
      </c>
      <c r="F1222" t="s">
        <v>1035</v>
      </c>
      <c r="G1222" t="s">
        <v>652</v>
      </c>
      <c r="H1222" t="s">
        <v>3942</v>
      </c>
      <c r="J1222" t="s">
        <v>518</v>
      </c>
      <c r="K1222" t="s">
        <v>519</v>
      </c>
      <c r="M1222" t="s">
        <v>520</v>
      </c>
      <c r="N1222" t="s">
        <v>539</v>
      </c>
      <c r="O1222" t="s">
        <v>728</v>
      </c>
      <c r="P1222" t="s">
        <v>654</v>
      </c>
      <c r="Q1222" t="s">
        <v>638</v>
      </c>
      <c r="R1222" t="s">
        <v>729</v>
      </c>
      <c r="S1222" t="s">
        <v>1036</v>
      </c>
      <c r="T1222" t="s">
        <v>709</v>
      </c>
      <c r="U1222">
        <v>154802</v>
      </c>
      <c r="V1222" t="s">
        <v>4347</v>
      </c>
      <c r="W1222" t="s">
        <v>732</v>
      </c>
      <c r="X1222" t="s">
        <v>3943</v>
      </c>
      <c r="Y1222" t="s">
        <v>3944</v>
      </c>
      <c r="Z1222" t="s">
        <v>3945</v>
      </c>
      <c r="AA1222" t="s">
        <v>3946</v>
      </c>
      <c r="AB1222" t="s">
        <v>3947</v>
      </c>
      <c r="AC1222">
        <v>99102</v>
      </c>
      <c r="AD1222" t="s">
        <v>1038</v>
      </c>
      <c r="AE1222">
        <v>-36.982174499999999</v>
      </c>
      <c r="AF1222">
        <v>174.85066266000001</v>
      </c>
      <c r="AG1222">
        <v>150</v>
      </c>
      <c r="AH1222">
        <v>20</v>
      </c>
      <c r="AI1222">
        <v>3</v>
      </c>
      <c r="AJ1222">
        <v>13</v>
      </c>
      <c r="AK1222">
        <v>30</v>
      </c>
      <c r="AL1222">
        <v>42</v>
      </c>
      <c r="AM1222">
        <v>40</v>
      </c>
      <c r="AN1222">
        <v>3</v>
      </c>
      <c r="AO1222">
        <v>131</v>
      </c>
      <c r="AP1222">
        <v>16</v>
      </c>
      <c r="AQ1222">
        <v>14</v>
      </c>
      <c r="AR1222">
        <v>29</v>
      </c>
      <c r="AS1222">
        <v>90</v>
      </c>
      <c r="AT1222">
        <v>4</v>
      </c>
    </row>
    <row r="1223" spans="1:46">
      <c r="A1223">
        <v>25194</v>
      </c>
      <c r="B1223" t="s">
        <v>7745</v>
      </c>
      <c r="C1223" t="s">
        <v>7746</v>
      </c>
      <c r="D1223" t="s">
        <v>7747</v>
      </c>
      <c r="E1223" t="s">
        <v>7748</v>
      </c>
      <c r="F1223" t="s">
        <v>777</v>
      </c>
      <c r="G1223" t="s">
        <v>652</v>
      </c>
      <c r="H1223" t="s">
        <v>3942</v>
      </c>
      <c r="J1223" t="s">
        <v>518</v>
      </c>
      <c r="K1223" t="s">
        <v>519</v>
      </c>
      <c r="M1223" t="s">
        <v>520</v>
      </c>
      <c r="N1223" t="s">
        <v>571</v>
      </c>
      <c r="O1223" t="s">
        <v>707</v>
      </c>
      <c r="P1223" t="s">
        <v>654</v>
      </c>
      <c r="Q1223" t="s">
        <v>638</v>
      </c>
      <c r="R1223" t="s">
        <v>708</v>
      </c>
      <c r="S1223" t="s">
        <v>706</v>
      </c>
      <c r="T1223" t="s">
        <v>709</v>
      </c>
      <c r="U1223">
        <v>152000</v>
      </c>
      <c r="V1223" t="s">
        <v>926</v>
      </c>
      <c r="W1223" t="s">
        <v>711</v>
      </c>
      <c r="X1223" t="s">
        <v>3943</v>
      </c>
      <c r="Y1223" t="s">
        <v>3944</v>
      </c>
      <c r="Z1223" t="s">
        <v>3945</v>
      </c>
      <c r="AA1223" t="s">
        <v>3946</v>
      </c>
      <c r="AB1223" t="s">
        <v>3947</v>
      </c>
      <c r="AE1223">
        <v>-36.898267769999997</v>
      </c>
      <c r="AF1223">
        <v>174.92055999999999</v>
      </c>
      <c r="AG1223">
        <v>47</v>
      </c>
      <c r="AH1223">
        <v>8</v>
      </c>
      <c r="AI1223">
        <v>1</v>
      </c>
      <c r="AJ1223">
        <v>9</v>
      </c>
      <c r="AK1223">
        <v>15</v>
      </c>
      <c r="AL1223">
        <v>9</v>
      </c>
      <c r="AM1223">
        <v>18</v>
      </c>
      <c r="AN1223">
        <v>0</v>
      </c>
      <c r="AO1223">
        <v>52</v>
      </c>
      <c r="AP1223">
        <v>21</v>
      </c>
      <c r="AQ1223">
        <v>3</v>
      </c>
      <c r="AR1223">
        <v>4</v>
      </c>
      <c r="AS1223">
        <v>32</v>
      </c>
      <c r="AT1223">
        <v>8</v>
      </c>
    </row>
    <row r="1224" spans="1:46">
      <c r="A1224">
        <v>25200</v>
      </c>
      <c r="B1224" t="s">
        <v>7749</v>
      </c>
      <c r="C1224" t="s">
        <v>7750</v>
      </c>
      <c r="D1224" t="s">
        <v>6813</v>
      </c>
      <c r="E1224" t="s">
        <v>7751</v>
      </c>
      <c r="G1224" t="s">
        <v>7752</v>
      </c>
      <c r="H1224" t="s">
        <v>298</v>
      </c>
      <c r="J1224" t="s">
        <v>518</v>
      </c>
      <c r="K1224" t="s">
        <v>519</v>
      </c>
      <c r="M1224" t="s">
        <v>520</v>
      </c>
      <c r="N1224" t="s">
        <v>571</v>
      </c>
      <c r="O1224" t="s">
        <v>1233</v>
      </c>
      <c r="P1224" t="s">
        <v>540</v>
      </c>
      <c r="Q1224" t="s">
        <v>638</v>
      </c>
      <c r="R1224" t="s">
        <v>729</v>
      </c>
      <c r="S1224" t="s">
        <v>1234</v>
      </c>
      <c r="T1224" t="s">
        <v>1235</v>
      </c>
      <c r="U1224">
        <v>166301</v>
      </c>
      <c r="V1224" t="s">
        <v>7753</v>
      </c>
      <c r="W1224" t="s">
        <v>1237</v>
      </c>
      <c r="X1224" t="s">
        <v>6816</v>
      </c>
      <c r="Y1224" t="s">
        <v>5187</v>
      </c>
      <c r="AA1224" t="s">
        <v>5188</v>
      </c>
      <c r="AE1224">
        <v>-37.185717959999998</v>
      </c>
      <c r="AF1224">
        <v>174.9948675</v>
      </c>
      <c r="AG1224">
        <v>30</v>
      </c>
      <c r="AH1224">
        <v>15</v>
      </c>
      <c r="AI1224">
        <v>0</v>
      </c>
      <c r="AJ1224">
        <v>2</v>
      </c>
      <c r="AK1224">
        <v>4</v>
      </c>
      <c r="AL1224">
        <v>4</v>
      </c>
      <c r="AM1224">
        <v>3</v>
      </c>
      <c r="AN1224">
        <v>0</v>
      </c>
      <c r="AO1224">
        <v>13</v>
      </c>
      <c r="AP1224">
        <v>13</v>
      </c>
      <c r="AQ1224">
        <v>0</v>
      </c>
      <c r="AR1224">
        <v>0</v>
      </c>
      <c r="AS1224">
        <v>1</v>
      </c>
      <c r="AT1224">
        <v>0</v>
      </c>
    </row>
    <row r="1225" spans="1:46">
      <c r="A1225">
        <v>25201</v>
      </c>
      <c r="B1225" t="s">
        <v>7754</v>
      </c>
      <c r="C1225" t="s">
        <v>7755</v>
      </c>
      <c r="E1225" t="s">
        <v>7756</v>
      </c>
      <c r="G1225" t="s">
        <v>4064</v>
      </c>
      <c r="H1225" t="s">
        <v>298</v>
      </c>
      <c r="J1225" t="s">
        <v>518</v>
      </c>
      <c r="K1225" t="s">
        <v>519</v>
      </c>
      <c r="M1225" t="s">
        <v>520</v>
      </c>
      <c r="N1225" t="s">
        <v>571</v>
      </c>
      <c r="O1225" t="s">
        <v>1268</v>
      </c>
      <c r="P1225" t="s">
        <v>654</v>
      </c>
      <c r="Q1225" t="s">
        <v>638</v>
      </c>
      <c r="R1225" t="s">
        <v>729</v>
      </c>
      <c r="S1225" t="s">
        <v>1234</v>
      </c>
      <c r="T1225" t="s">
        <v>1235</v>
      </c>
      <c r="U1225">
        <v>164302</v>
      </c>
      <c r="V1225" t="s">
        <v>4066</v>
      </c>
      <c r="W1225" t="s">
        <v>1219</v>
      </c>
      <c r="X1225" t="s">
        <v>6816</v>
      </c>
      <c r="Y1225" t="s">
        <v>5187</v>
      </c>
      <c r="AA1225" t="s">
        <v>5188</v>
      </c>
      <c r="AE1225">
        <v>-37.098035520000003</v>
      </c>
      <c r="AF1225">
        <v>174.95109298</v>
      </c>
      <c r="AG1225">
        <v>29</v>
      </c>
      <c r="AH1225">
        <v>15</v>
      </c>
      <c r="AI1225">
        <v>15</v>
      </c>
      <c r="AJ1225">
        <v>3</v>
      </c>
      <c r="AK1225">
        <v>3</v>
      </c>
      <c r="AL1225">
        <v>3</v>
      </c>
      <c r="AM1225">
        <v>4</v>
      </c>
      <c r="AN1225">
        <v>0</v>
      </c>
      <c r="AO1225">
        <v>28</v>
      </c>
      <c r="AP1225">
        <v>24</v>
      </c>
      <c r="AQ1225">
        <v>5</v>
      </c>
      <c r="AR1225">
        <v>4</v>
      </c>
      <c r="AS1225">
        <v>2</v>
      </c>
      <c r="AT1225">
        <v>4</v>
      </c>
    </row>
    <row r="1226" spans="1:46">
      <c r="A1226">
        <v>25202</v>
      </c>
      <c r="B1226" t="s">
        <v>7757</v>
      </c>
      <c r="C1226" t="s">
        <v>7758</v>
      </c>
      <c r="E1226" t="s">
        <v>7759</v>
      </c>
      <c r="G1226" t="s">
        <v>7760</v>
      </c>
      <c r="H1226" t="s">
        <v>298</v>
      </c>
      <c r="J1226" t="s">
        <v>518</v>
      </c>
      <c r="K1226" t="s">
        <v>519</v>
      </c>
      <c r="M1226" t="s">
        <v>520</v>
      </c>
      <c r="N1226" t="s">
        <v>571</v>
      </c>
      <c r="O1226" t="s">
        <v>1233</v>
      </c>
      <c r="P1226" t="s">
        <v>540</v>
      </c>
      <c r="Q1226" t="s">
        <v>638</v>
      </c>
      <c r="R1226" t="s">
        <v>729</v>
      </c>
      <c r="S1226" t="s">
        <v>1234</v>
      </c>
      <c r="T1226" t="s">
        <v>1235</v>
      </c>
      <c r="U1226">
        <v>165200</v>
      </c>
      <c r="V1226" t="s">
        <v>7760</v>
      </c>
      <c r="W1226" t="s">
        <v>1237</v>
      </c>
      <c r="X1226" t="s">
        <v>6816</v>
      </c>
      <c r="Y1226" t="s">
        <v>5187</v>
      </c>
      <c r="AA1226" t="s">
        <v>5188</v>
      </c>
      <c r="AE1226">
        <v>-37.080286049999998</v>
      </c>
      <c r="AF1226">
        <v>175.07447400000001</v>
      </c>
      <c r="AG1226">
        <v>26</v>
      </c>
      <c r="AH1226">
        <v>10</v>
      </c>
      <c r="AI1226">
        <v>1</v>
      </c>
      <c r="AJ1226">
        <v>2</v>
      </c>
      <c r="AK1226">
        <v>3</v>
      </c>
      <c r="AL1226">
        <v>4</v>
      </c>
      <c r="AM1226">
        <v>6</v>
      </c>
      <c r="AN1226">
        <v>0</v>
      </c>
      <c r="AO1226">
        <v>16</v>
      </c>
      <c r="AP1226">
        <v>15</v>
      </c>
      <c r="AQ1226">
        <v>4</v>
      </c>
      <c r="AR1226">
        <v>2</v>
      </c>
      <c r="AS1226">
        <v>1</v>
      </c>
      <c r="AT1226">
        <v>0</v>
      </c>
    </row>
    <row r="1227" spans="1:46">
      <c r="A1227">
        <v>25203</v>
      </c>
      <c r="B1227" t="s">
        <v>7761</v>
      </c>
      <c r="C1227" t="s">
        <v>7762</v>
      </c>
      <c r="D1227" t="s">
        <v>6813</v>
      </c>
      <c r="E1227" t="s">
        <v>7763</v>
      </c>
      <c r="G1227" t="s">
        <v>5018</v>
      </c>
      <c r="H1227" t="s">
        <v>298</v>
      </c>
      <c r="J1227" t="s">
        <v>518</v>
      </c>
      <c r="K1227" t="s">
        <v>519</v>
      </c>
      <c r="M1227" t="s">
        <v>520</v>
      </c>
      <c r="N1227" t="s">
        <v>571</v>
      </c>
      <c r="O1227" t="s">
        <v>1233</v>
      </c>
      <c r="P1227" t="s">
        <v>572</v>
      </c>
      <c r="Q1227" t="s">
        <v>638</v>
      </c>
      <c r="R1227" t="s">
        <v>729</v>
      </c>
      <c r="S1227" t="s">
        <v>1234</v>
      </c>
      <c r="T1227" t="s">
        <v>1235</v>
      </c>
      <c r="U1227">
        <v>161400</v>
      </c>
      <c r="V1227" t="s">
        <v>7764</v>
      </c>
      <c r="W1227" t="s">
        <v>1237</v>
      </c>
      <c r="X1227" t="s">
        <v>6816</v>
      </c>
      <c r="Y1227" t="s">
        <v>5187</v>
      </c>
      <c r="AA1227" t="s">
        <v>5188</v>
      </c>
      <c r="AE1227">
        <v>-37.100264920000001</v>
      </c>
      <c r="AF1227">
        <v>174.88023541999999</v>
      </c>
      <c r="AG1227">
        <v>28</v>
      </c>
      <c r="AH1227">
        <v>15</v>
      </c>
      <c r="AI1227">
        <v>13</v>
      </c>
      <c r="AJ1227">
        <v>6</v>
      </c>
      <c r="AK1227">
        <v>3</v>
      </c>
      <c r="AL1227">
        <v>7</v>
      </c>
      <c r="AM1227">
        <v>2</v>
      </c>
      <c r="AN1227">
        <v>0</v>
      </c>
      <c r="AO1227">
        <v>31</v>
      </c>
      <c r="AP1227">
        <v>26</v>
      </c>
      <c r="AQ1227">
        <v>9</v>
      </c>
      <c r="AR1227">
        <v>2</v>
      </c>
      <c r="AS1227">
        <v>4</v>
      </c>
      <c r="AT1227">
        <v>0</v>
      </c>
    </row>
    <row r="1228" spans="1:46">
      <c r="A1228">
        <v>25204</v>
      </c>
      <c r="B1228" t="s">
        <v>7765</v>
      </c>
      <c r="C1228" t="s">
        <v>7766</v>
      </c>
      <c r="D1228" t="s">
        <v>6813</v>
      </c>
      <c r="E1228" t="s">
        <v>7767</v>
      </c>
      <c r="F1228" t="s">
        <v>7768</v>
      </c>
      <c r="G1228" t="s">
        <v>1245</v>
      </c>
      <c r="H1228" t="s">
        <v>298</v>
      </c>
      <c r="J1228" t="s">
        <v>518</v>
      </c>
      <c r="K1228" t="s">
        <v>519</v>
      </c>
      <c r="M1228" t="s">
        <v>520</v>
      </c>
      <c r="N1228" t="s">
        <v>571</v>
      </c>
      <c r="O1228" t="s">
        <v>1233</v>
      </c>
      <c r="P1228" t="s">
        <v>572</v>
      </c>
      <c r="Q1228" t="s">
        <v>638</v>
      </c>
      <c r="R1228" t="s">
        <v>729</v>
      </c>
      <c r="S1228" t="s">
        <v>1246</v>
      </c>
      <c r="T1228" t="s">
        <v>1235</v>
      </c>
      <c r="U1228">
        <v>149901</v>
      </c>
      <c r="V1228" t="s">
        <v>7769</v>
      </c>
      <c r="W1228" t="s">
        <v>1237</v>
      </c>
      <c r="X1228" t="s">
        <v>6816</v>
      </c>
      <c r="Y1228" t="s">
        <v>5187</v>
      </c>
      <c r="AA1228" t="s">
        <v>5188</v>
      </c>
      <c r="AE1228">
        <v>-37.113337809999997</v>
      </c>
      <c r="AF1228">
        <v>174.61294186999999</v>
      </c>
      <c r="AG1228">
        <v>30</v>
      </c>
      <c r="AH1228">
        <v>10</v>
      </c>
      <c r="AI1228">
        <v>1</v>
      </c>
      <c r="AJ1228">
        <v>2</v>
      </c>
      <c r="AK1228">
        <v>2</v>
      </c>
      <c r="AL1228">
        <v>1</v>
      </c>
      <c r="AM1228">
        <v>2</v>
      </c>
      <c r="AN1228">
        <v>0</v>
      </c>
      <c r="AO1228">
        <v>8</v>
      </c>
      <c r="AP1228">
        <v>4</v>
      </c>
      <c r="AQ1228">
        <v>4</v>
      </c>
      <c r="AR1228">
        <v>0</v>
      </c>
      <c r="AS1228">
        <v>0</v>
      </c>
      <c r="AT1228">
        <v>1</v>
      </c>
    </row>
    <row r="1229" spans="1:46">
      <c r="A1229">
        <v>25205</v>
      </c>
      <c r="B1229" t="s">
        <v>7770</v>
      </c>
      <c r="C1229" t="s">
        <v>7771</v>
      </c>
      <c r="D1229" t="s">
        <v>6813</v>
      </c>
      <c r="E1229" t="s">
        <v>7772</v>
      </c>
      <c r="G1229" t="s">
        <v>7773</v>
      </c>
      <c r="H1229" t="s">
        <v>298</v>
      </c>
      <c r="J1229" t="s">
        <v>518</v>
      </c>
      <c r="K1229" t="s">
        <v>519</v>
      </c>
      <c r="M1229" t="s">
        <v>520</v>
      </c>
      <c r="N1229" t="s">
        <v>571</v>
      </c>
      <c r="O1229" t="s">
        <v>1351</v>
      </c>
      <c r="P1229" t="s">
        <v>572</v>
      </c>
      <c r="Q1229" t="s">
        <v>1299</v>
      </c>
      <c r="R1229" t="s">
        <v>729</v>
      </c>
      <c r="S1229" t="s">
        <v>1246</v>
      </c>
      <c r="T1229" t="s">
        <v>1235</v>
      </c>
      <c r="U1229">
        <v>170700</v>
      </c>
      <c r="V1229" t="s">
        <v>7773</v>
      </c>
      <c r="W1229" t="s">
        <v>7703</v>
      </c>
      <c r="X1229" t="s">
        <v>6816</v>
      </c>
      <c r="Y1229" t="s">
        <v>5187</v>
      </c>
      <c r="AA1229" t="s">
        <v>5188</v>
      </c>
      <c r="AE1229">
        <v>-37.25050804</v>
      </c>
      <c r="AF1229">
        <v>175.22765390999999</v>
      </c>
      <c r="AG1229">
        <v>25</v>
      </c>
      <c r="AH1229">
        <v>10</v>
      </c>
      <c r="AI1229">
        <v>0</v>
      </c>
      <c r="AJ1229">
        <v>0</v>
      </c>
      <c r="AK1229">
        <v>1</v>
      </c>
      <c r="AL1229">
        <v>0</v>
      </c>
      <c r="AM1229">
        <v>0</v>
      </c>
      <c r="AN1229">
        <v>0</v>
      </c>
      <c r="AO1229">
        <v>1</v>
      </c>
      <c r="AP1229">
        <v>1</v>
      </c>
      <c r="AQ1229">
        <v>0</v>
      </c>
      <c r="AR1229">
        <v>0</v>
      </c>
      <c r="AS1229">
        <v>0</v>
      </c>
      <c r="AT1229">
        <v>0</v>
      </c>
    </row>
    <row r="1230" spans="1:46">
      <c r="A1230">
        <v>25207</v>
      </c>
      <c r="B1230" t="s">
        <v>7774</v>
      </c>
      <c r="C1230" t="s">
        <v>7775</v>
      </c>
      <c r="E1230" t="s">
        <v>7776</v>
      </c>
      <c r="G1230" t="s">
        <v>7777</v>
      </c>
      <c r="H1230" t="s">
        <v>298</v>
      </c>
      <c r="J1230" t="s">
        <v>518</v>
      </c>
      <c r="K1230" t="s">
        <v>519</v>
      </c>
      <c r="M1230" t="s">
        <v>520</v>
      </c>
      <c r="N1230" t="s">
        <v>571</v>
      </c>
      <c r="O1230" t="s">
        <v>1351</v>
      </c>
      <c r="P1230" t="s">
        <v>572</v>
      </c>
      <c r="Q1230" t="s">
        <v>1299</v>
      </c>
      <c r="R1230" t="s">
        <v>729</v>
      </c>
      <c r="S1230" t="s">
        <v>1246</v>
      </c>
      <c r="T1230" t="s">
        <v>1235</v>
      </c>
      <c r="U1230">
        <v>169700</v>
      </c>
      <c r="V1230" t="s">
        <v>7778</v>
      </c>
      <c r="W1230" t="s">
        <v>7703</v>
      </c>
      <c r="X1230" t="s">
        <v>6816</v>
      </c>
      <c r="Y1230" t="s">
        <v>5187</v>
      </c>
      <c r="AA1230" t="s">
        <v>5188</v>
      </c>
      <c r="AE1230">
        <v>-37.306229979999998</v>
      </c>
      <c r="AF1230">
        <v>174.74296568</v>
      </c>
      <c r="AG1230">
        <v>29</v>
      </c>
      <c r="AH1230">
        <v>15</v>
      </c>
      <c r="AI1230">
        <v>3</v>
      </c>
      <c r="AJ1230">
        <v>6</v>
      </c>
      <c r="AK1230">
        <v>3</v>
      </c>
      <c r="AL1230">
        <v>7</v>
      </c>
      <c r="AM1230">
        <v>2</v>
      </c>
      <c r="AN1230">
        <v>1</v>
      </c>
      <c r="AO1230">
        <v>22</v>
      </c>
      <c r="AP1230">
        <v>21</v>
      </c>
      <c r="AQ1230">
        <v>5</v>
      </c>
      <c r="AR1230">
        <v>2</v>
      </c>
      <c r="AS1230">
        <v>1</v>
      </c>
      <c r="AT1230">
        <v>0</v>
      </c>
    </row>
    <row r="1231" spans="1:46">
      <c r="A1231">
        <v>25208</v>
      </c>
      <c r="B1231" t="s">
        <v>7779</v>
      </c>
      <c r="C1231" t="s">
        <v>7780</v>
      </c>
      <c r="D1231" t="s">
        <v>6813</v>
      </c>
      <c r="E1231" t="s">
        <v>7781</v>
      </c>
      <c r="G1231" t="s">
        <v>1234</v>
      </c>
      <c r="H1231" t="s">
        <v>298</v>
      </c>
      <c r="J1231" t="s">
        <v>518</v>
      </c>
      <c r="K1231" t="s">
        <v>519</v>
      </c>
      <c r="M1231" t="s">
        <v>520</v>
      </c>
      <c r="N1231" t="s">
        <v>571</v>
      </c>
      <c r="O1231" t="s">
        <v>1268</v>
      </c>
      <c r="P1231" t="s">
        <v>654</v>
      </c>
      <c r="Q1231" t="s">
        <v>638</v>
      </c>
      <c r="R1231" t="s">
        <v>729</v>
      </c>
      <c r="S1231" t="s">
        <v>1234</v>
      </c>
      <c r="T1231" t="s">
        <v>1235</v>
      </c>
      <c r="U1231">
        <v>163200</v>
      </c>
      <c r="V1231" t="s">
        <v>4044</v>
      </c>
      <c r="W1231" t="s">
        <v>1219</v>
      </c>
      <c r="X1231" t="s">
        <v>6816</v>
      </c>
      <c r="Y1231" t="s">
        <v>5187</v>
      </c>
      <c r="AA1231" t="s">
        <v>5188</v>
      </c>
      <c r="AE1231">
        <v>-37.068727090000003</v>
      </c>
      <c r="AF1231">
        <v>174.94546951000001</v>
      </c>
      <c r="AG1231">
        <v>30</v>
      </c>
      <c r="AH1231">
        <v>15</v>
      </c>
      <c r="AI1231">
        <v>1</v>
      </c>
      <c r="AJ1231">
        <v>8</v>
      </c>
      <c r="AK1231">
        <v>9</v>
      </c>
      <c r="AL1231">
        <v>2</v>
      </c>
      <c r="AM1231">
        <v>1</v>
      </c>
      <c r="AN1231">
        <v>0</v>
      </c>
      <c r="AO1231">
        <v>21</v>
      </c>
      <c r="AP1231">
        <v>16</v>
      </c>
      <c r="AQ1231">
        <v>10</v>
      </c>
      <c r="AR1231">
        <v>6</v>
      </c>
      <c r="AS1231">
        <v>3</v>
      </c>
      <c r="AT1231">
        <v>2</v>
      </c>
    </row>
    <row r="1232" spans="1:46">
      <c r="A1232">
        <v>25209</v>
      </c>
      <c r="B1232" t="s">
        <v>7782</v>
      </c>
      <c r="C1232" t="s">
        <v>7783</v>
      </c>
      <c r="E1232" t="s">
        <v>7784</v>
      </c>
      <c r="G1232" t="s">
        <v>7785</v>
      </c>
      <c r="H1232" t="s">
        <v>298</v>
      </c>
      <c r="J1232" t="s">
        <v>518</v>
      </c>
      <c r="K1232" t="s">
        <v>519</v>
      </c>
      <c r="M1232" t="s">
        <v>520</v>
      </c>
      <c r="N1232" t="s">
        <v>571</v>
      </c>
      <c r="O1232" t="s">
        <v>1233</v>
      </c>
      <c r="P1232" t="s">
        <v>523</v>
      </c>
      <c r="Q1232" t="s">
        <v>638</v>
      </c>
      <c r="R1232" t="s">
        <v>729</v>
      </c>
      <c r="S1232" t="s">
        <v>1246</v>
      </c>
      <c r="T1232" t="s">
        <v>1235</v>
      </c>
      <c r="U1232">
        <v>163801</v>
      </c>
      <c r="V1232" t="s">
        <v>7786</v>
      </c>
      <c r="W1232" t="s">
        <v>1237</v>
      </c>
      <c r="X1232" t="s">
        <v>6816</v>
      </c>
      <c r="Y1232" t="s">
        <v>5187</v>
      </c>
      <c r="AA1232" t="s">
        <v>5188</v>
      </c>
      <c r="AE1232">
        <v>-37.187497559999997</v>
      </c>
      <c r="AF1232">
        <v>174.83196409999999</v>
      </c>
      <c r="AG1232">
        <v>30</v>
      </c>
      <c r="AH1232">
        <v>10</v>
      </c>
      <c r="AI1232">
        <v>2</v>
      </c>
      <c r="AJ1232">
        <v>5</v>
      </c>
      <c r="AK1232">
        <v>6</v>
      </c>
      <c r="AL1232">
        <v>5</v>
      </c>
      <c r="AM1232">
        <v>2</v>
      </c>
      <c r="AN1232">
        <v>0</v>
      </c>
      <c r="AO1232">
        <v>20</v>
      </c>
      <c r="AP1232">
        <v>17</v>
      </c>
      <c r="AQ1232">
        <v>0</v>
      </c>
      <c r="AR1232">
        <v>1</v>
      </c>
      <c r="AS1232">
        <v>3</v>
      </c>
      <c r="AT1232">
        <v>1</v>
      </c>
    </row>
    <row r="1233" spans="1:46">
      <c r="A1233">
        <v>25211</v>
      </c>
      <c r="B1233" t="s">
        <v>7787</v>
      </c>
      <c r="C1233" t="s">
        <v>7788</v>
      </c>
      <c r="E1233" t="s">
        <v>7789</v>
      </c>
      <c r="G1233" t="s">
        <v>7790</v>
      </c>
      <c r="H1233" t="s">
        <v>298</v>
      </c>
      <c r="J1233" t="s">
        <v>518</v>
      </c>
      <c r="K1233" t="s">
        <v>519</v>
      </c>
      <c r="M1233" t="s">
        <v>520</v>
      </c>
      <c r="N1233" t="s">
        <v>571</v>
      </c>
      <c r="O1233" t="s">
        <v>1351</v>
      </c>
      <c r="P1233" t="s">
        <v>572</v>
      </c>
      <c r="Q1233" t="s">
        <v>1299</v>
      </c>
      <c r="R1233" t="s">
        <v>729</v>
      </c>
      <c r="S1233" t="s">
        <v>1246</v>
      </c>
      <c r="T1233" t="s">
        <v>1235</v>
      </c>
      <c r="U1233">
        <v>170600</v>
      </c>
      <c r="V1233" t="s">
        <v>7790</v>
      </c>
      <c r="W1233" t="s">
        <v>7703</v>
      </c>
      <c r="X1233" t="s">
        <v>6816</v>
      </c>
      <c r="Y1233" t="s">
        <v>5187</v>
      </c>
      <c r="AA1233" t="s">
        <v>5188</v>
      </c>
      <c r="AE1233">
        <v>-37.334934369999999</v>
      </c>
      <c r="AF1233">
        <v>174.991829</v>
      </c>
      <c r="AG1233">
        <v>25</v>
      </c>
      <c r="AH1233">
        <v>15</v>
      </c>
      <c r="AI1233">
        <v>0</v>
      </c>
      <c r="AJ1233">
        <v>0</v>
      </c>
      <c r="AK1233">
        <v>2</v>
      </c>
      <c r="AL1233">
        <v>1</v>
      </c>
      <c r="AM1233">
        <v>0</v>
      </c>
      <c r="AN1233">
        <v>0</v>
      </c>
      <c r="AO1233">
        <v>3</v>
      </c>
      <c r="AP1233">
        <v>3</v>
      </c>
      <c r="AQ1233">
        <v>0</v>
      </c>
      <c r="AR1233">
        <v>0</v>
      </c>
      <c r="AS1233">
        <v>0</v>
      </c>
      <c r="AT1233">
        <v>0</v>
      </c>
    </row>
    <row r="1234" spans="1:46">
      <c r="A1234">
        <v>25212</v>
      </c>
      <c r="B1234" t="s">
        <v>7791</v>
      </c>
      <c r="C1234" t="s">
        <v>7792</v>
      </c>
      <c r="D1234" t="s">
        <v>6813</v>
      </c>
      <c r="E1234" t="s">
        <v>7793</v>
      </c>
      <c r="G1234" t="s">
        <v>1261</v>
      </c>
      <c r="H1234" t="s">
        <v>298</v>
      </c>
      <c r="J1234" t="s">
        <v>518</v>
      </c>
      <c r="K1234" t="s">
        <v>519</v>
      </c>
      <c r="M1234" t="s">
        <v>520</v>
      </c>
      <c r="N1234" t="s">
        <v>571</v>
      </c>
      <c r="O1234" t="s">
        <v>1233</v>
      </c>
      <c r="P1234" t="s">
        <v>1262</v>
      </c>
      <c r="Q1234" t="s">
        <v>638</v>
      </c>
      <c r="R1234" t="s">
        <v>729</v>
      </c>
      <c r="S1234" t="s">
        <v>1246</v>
      </c>
      <c r="T1234" t="s">
        <v>1235</v>
      </c>
      <c r="U1234">
        <v>165502</v>
      </c>
      <c r="V1234" t="s">
        <v>7794</v>
      </c>
      <c r="W1234" t="s">
        <v>1237</v>
      </c>
      <c r="X1234" t="s">
        <v>6816</v>
      </c>
      <c r="Y1234" t="s">
        <v>5187</v>
      </c>
      <c r="AA1234" t="s">
        <v>5188</v>
      </c>
      <c r="AE1234">
        <v>-37.204276669999999</v>
      </c>
      <c r="AF1234">
        <v>174.8890658</v>
      </c>
      <c r="AG1234">
        <v>30</v>
      </c>
      <c r="AH1234">
        <v>15</v>
      </c>
      <c r="AI1234">
        <v>3</v>
      </c>
      <c r="AJ1234">
        <v>11</v>
      </c>
      <c r="AK1234">
        <v>6</v>
      </c>
      <c r="AL1234">
        <v>5</v>
      </c>
      <c r="AM1234">
        <v>5</v>
      </c>
      <c r="AN1234">
        <v>0</v>
      </c>
      <c r="AO1234">
        <v>30</v>
      </c>
      <c r="AP1234">
        <v>27</v>
      </c>
      <c r="AQ1234">
        <v>3</v>
      </c>
      <c r="AR1234">
        <v>3</v>
      </c>
      <c r="AS1234">
        <v>3</v>
      </c>
      <c r="AT1234">
        <v>0</v>
      </c>
    </row>
    <row r="1235" spans="1:46">
      <c r="A1235">
        <v>25216</v>
      </c>
      <c r="B1235" t="s">
        <v>7795</v>
      </c>
      <c r="C1235" t="s">
        <v>7143</v>
      </c>
      <c r="E1235" t="s">
        <v>7796</v>
      </c>
      <c r="G1235" t="s">
        <v>7797</v>
      </c>
      <c r="H1235" t="s">
        <v>298</v>
      </c>
      <c r="J1235" t="s">
        <v>518</v>
      </c>
      <c r="K1235" t="s">
        <v>519</v>
      </c>
      <c r="M1235" t="s">
        <v>520</v>
      </c>
      <c r="N1235" t="s">
        <v>557</v>
      </c>
      <c r="O1235" t="s">
        <v>1351</v>
      </c>
      <c r="P1235" t="s">
        <v>523</v>
      </c>
      <c r="Q1235" t="s">
        <v>1299</v>
      </c>
      <c r="R1235" t="s">
        <v>729</v>
      </c>
      <c r="S1235" t="s">
        <v>1246</v>
      </c>
      <c r="T1235" t="s">
        <v>1235</v>
      </c>
      <c r="U1235">
        <v>171101</v>
      </c>
      <c r="V1235" t="s">
        <v>7798</v>
      </c>
      <c r="W1235" t="s">
        <v>7799</v>
      </c>
      <c r="X1235" t="s">
        <v>6816</v>
      </c>
      <c r="Y1235" t="s">
        <v>5187</v>
      </c>
      <c r="AA1235" t="s">
        <v>5188</v>
      </c>
      <c r="AC1235">
        <v>99193</v>
      </c>
      <c r="AD1235" t="s">
        <v>7800</v>
      </c>
      <c r="AE1235">
        <v>-37.403757370000001</v>
      </c>
      <c r="AF1235">
        <v>175.14891560999999</v>
      </c>
      <c r="AG1235">
        <v>27</v>
      </c>
      <c r="AH1235">
        <v>10</v>
      </c>
      <c r="AI1235">
        <v>2</v>
      </c>
      <c r="AJ1235">
        <v>5</v>
      </c>
      <c r="AK1235">
        <v>5</v>
      </c>
      <c r="AL1235">
        <v>1</v>
      </c>
      <c r="AM1235">
        <v>2</v>
      </c>
      <c r="AN1235">
        <v>0</v>
      </c>
      <c r="AO1235">
        <v>15</v>
      </c>
      <c r="AP1235">
        <v>14</v>
      </c>
      <c r="AQ1235">
        <v>2</v>
      </c>
      <c r="AR1235">
        <v>0</v>
      </c>
      <c r="AS1235">
        <v>1</v>
      </c>
      <c r="AT1235">
        <v>2</v>
      </c>
    </row>
    <row r="1236" spans="1:46">
      <c r="A1236">
        <v>25218</v>
      </c>
      <c r="B1236" t="s">
        <v>7801</v>
      </c>
      <c r="C1236" t="s">
        <v>7802</v>
      </c>
      <c r="D1236" t="s">
        <v>6813</v>
      </c>
      <c r="E1236" t="s">
        <v>7803</v>
      </c>
      <c r="G1236" t="s">
        <v>3811</v>
      </c>
      <c r="H1236" t="s">
        <v>298</v>
      </c>
      <c r="J1236" t="s">
        <v>518</v>
      </c>
      <c r="K1236" t="s">
        <v>519</v>
      </c>
      <c r="M1236" t="s">
        <v>520</v>
      </c>
      <c r="N1236" t="s">
        <v>557</v>
      </c>
      <c r="O1236" t="s">
        <v>1351</v>
      </c>
      <c r="P1236" t="s">
        <v>523</v>
      </c>
      <c r="Q1236" t="s">
        <v>1299</v>
      </c>
      <c r="R1236" t="s">
        <v>729</v>
      </c>
      <c r="S1236" t="s">
        <v>1246</v>
      </c>
      <c r="T1236" t="s">
        <v>1235</v>
      </c>
      <c r="U1236">
        <v>170001</v>
      </c>
      <c r="V1236" t="s">
        <v>4542</v>
      </c>
      <c r="W1236" t="s">
        <v>3813</v>
      </c>
      <c r="X1236" t="s">
        <v>6816</v>
      </c>
      <c r="Y1236" t="s">
        <v>5187</v>
      </c>
      <c r="AA1236" t="s">
        <v>5188</v>
      </c>
      <c r="AE1236">
        <v>-37.259117869999997</v>
      </c>
      <c r="AF1236">
        <v>174.94515580000001</v>
      </c>
      <c r="AG1236">
        <v>30</v>
      </c>
      <c r="AH1236">
        <v>15</v>
      </c>
      <c r="AI1236">
        <v>2</v>
      </c>
      <c r="AJ1236">
        <v>6</v>
      </c>
      <c r="AK1236">
        <v>2</v>
      </c>
      <c r="AL1236">
        <v>1</v>
      </c>
      <c r="AM1236">
        <v>4</v>
      </c>
      <c r="AN1236">
        <v>0</v>
      </c>
      <c r="AO1236">
        <v>15</v>
      </c>
      <c r="AP1236">
        <v>14</v>
      </c>
      <c r="AQ1236">
        <v>2</v>
      </c>
      <c r="AR1236">
        <v>0</v>
      </c>
      <c r="AS1236">
        <v>0</v>
      </c>
      <c r="AT1236">
        <v>0</v>
      </c>
    </row>
    <row r="1237" spans="1:46">
      <c r="A1237">
        <v>25220</v>
      </c>
      <c r="B1237" t="s">
        <v>7804</v>
      </c>
      <c r="C1237" t="s">
        <v>7805</v>
      </c>
      <c r="D1237" t="s">
        <v>6813</v>
      </c>
      <c r="E1237" t="s">
        <v>7806</v>
      </c>
      <c r="F1237" t="s">
        <v>975</v>
      </c>
      <c r="G1237" t="s">
        <v>652</v>
      </c>
      <c r="H1237" t="s">
        <v>298</v>
      </c>
      <c r="J1237" t="s">
        <v>518</v>
      </c>
      <c r="K1237" t="s">
        <v>519</v>
      </c>
      <c r="M1237" t="s">
        <v>520</v>
      </c>
      <c r="N1237" t="s">
        <v>571</v>
      </c>
      <c r="O1237" t="s">
        <v>848</v>
      </c>
      <c r="P1237" t="s">
        <v>654</v>
      </c>
      <c r="Q1237" t="s">
        <v>638</v>
      </c>
      <c r="R1237" t="s">
        <v>708</v>
      </c>
      <c r="S1237" t="s">
        <v>849</v>
      </c>
      <c r="T1237" t="s">
        <v>709</v>
      </c>
      <c r="U1237">
        <v>147500</v>
      </c>
      <c r="V1237" t="s">
        <v>7575</v>
      </c>
      <c r="W1237" t="s">
        <v>732</v>
      </c>
      <c r="X1237" t="s">
        <v>6816</v>
      </c>
      <c r="Y1237" t="s">
        <v>5187</v>
      </c>
      <c r="AA1237" t="s">
        <v>5188</v>
      </c>
      <c r="AB1237" t="s">
        <v>6817</v>
      </c>
      <c r="AE1237">
        <v>-36.946777390000001</v>
      </c>
      <c r="AF1237">
        <v>174.78641665000001</v>
      </c>
      <c r="AG1237">
        <v>30</v>
      </c>
      <c r="AH1237">
        <v>15</v>
      </c>
      <c r="AI1237">
        <v>9</v>
      </c>
      <c r="AJ1237">
        <v>6</v>
      </c>
      <c r="AK1237">
        <v>5</v>
      </c>
      <c r="AL1237">
        <v>9</v>
      </c>
      <c r="AM1237">
        <v>2</v>
      </c>
      <c r="AN1237">
        <v>1</v>
      </c>
      <c r="AO1237">
        <v>32</v>
      </c>
      <c r="AP1237">
        <v>30</v>
      </c>
      <c r="AQ1237">
        <v>2</v>
      </c>
      <c r="AR1237">
        <v>0</v>
      </c>
      <c r="AS1237">
        <v>2</v>
      </c>
      <c r="AT1237">
        <v>1</v>
      </c>
    </row>
    <row r="1238" spans="1:46">
      <c r="A1238">
        <v>25223</v>
      </c>
      <c r="B1238" t="s">
        <v>7807</v>
      </c>
      <c r="C1238" t="s">
        <v>7808</v>
      </c>
      <c r="D1238" t="s">
        <v>6813</v>
      </c>
      <c r="E1238" t="s">
        <v>7809</v>
      </c>
      <c r="F1238" t="s">
        <v>7810</v>
      </c>
      <c r="G1238" t="s">
        <v>652</v>
      </c>
      <c r="H1238" t="s">
        <v>298</v>
      </c>
      <c r="J1238" t="s">
        <v>518</v>
      </c>
      <c r="K1238" t="s">
        <v>519</v>
      </c>
      <c r="M1238" t="s">
        <v>520</v>
      </c>
      <c r="N1238" t="s">
        <v>571</v>
      </c>
      <c r="O1238" t="s">
        <v>1233</v>
      </c>
      <c r="P1238" t="s">
        <v>523</v>
      </c>
      <c r="Q1238" t="s">
        <v>638</v>
      </c>
      <c r="R1238" t="s">
        <v>708</v>
      </c>
      <c r="S1238" t="s">
        <v>1234</v>
      </c>
      <c r="T1238" t="s">
        <v>1235</v>
      </c>
      <c r="U1238">
        <v>155000</v>
      </c>
      <c r="V1238" t="s">
        <v>7811</v>
      </c>
      <c r="W1238" t="s">
        <v>1237</v>
      </c>
      <c r="X1238" t="s">
        <v>6816</v>
      </c>
      <c r="Y1238" t="s">
        <v>5187</v>
      </c>
      <c r="AA1238" t="s">
        <v>5188</v>
      </c>
      <c r="AB1238" t="s">
        <v>6817</v>
      </c>
      <c r="AE1238">
        <v>-36.884828370000001</v>
      </c>
      <c r="AF1238">
        <v>174.9999684</v>
      </c>
      <c r="AG1238">
        <v>30</v>
      </c>
      <c r="AH1238">
        <v>15</v>
      </c>
      <c r="AI1238">
        <v>1</v>
      </c>
      <c r="AJ1238">
        <v>6</v>
      </c>
      <c r="AK1238">
        <v>2</v>
      </c>
      <c r="AL1238">
        <v>5</v>
      </c>
      <c r="AM1238">
        <v>3</v>
      </c>
      <c r="AN1238">
        <v>1</v>
      </c>
      <c r="AO1238">
        <v>18</v>
      </c>
      <c r="AP1238">
        <v>16</v>
      </c>
      <c r="AQ1238">
        <v>2</v>
      </c>
      <c r="AR1238">
        <v>0</v>
      </c>
      <c r="AS1238">
        <v>2</v>
      </c>
      <c r="AT1238">
        <v>2</v>
      </c>
    </row>
    <row r="1239" spans="1:46">
      <c r="A1239">
        <v>25224</v>
      </c>
      <c r="B1239" t="s">
        <v>7812</v>
      </c>
      <c r="C1239" t="s">
        <v>7813</v>
      </c>
      <c r="D1239" t="s">
        <v>6813</v>
      </c>
      <c r="E1239" t="s">
        <v>7814</v>
      </c>
      <c r="F1239" t="s">
        <v>791</v>
      </c>
      <c r="G1239" t="s">
        <v>652</v>
      </c>
      <c r="H1239" t="s">
        <v>298</v>
      </c>
      <c r="J1239" t="s">
        <v>518</v>
      </c>
      <c r="K1239" t="s">
        <v>519</v>
      </c>
      <c r="M1239" t="s">
        <v>520</v>
      </c>
      <c r="N1239" t="s">
        <v>571</v>
      </c>
      <c r="O1239" t="s">
        <v>707</v>
      </c>
      <c r="P1239" t="s">
        <v>654</v>
      </c>
      <c r="Q1239" t="s">
        <v>638</v>
      </c>
      <c r="R1239" t="s">
        <v>708</v>
      </c>
      <c r="S1239" t="s">
        <v>706</v>
      </c>
      <c r="T1239" t="s">
        <v>709</v>
      </c>
      <c r="U1239">
        <v>146400</v>
      </c>
      <c r="V1239" t="s">
        <v>7815</v>
      </c>
      <c r="W1239" t="s">
        <v>711</v>
      </c>
      <c r="X1239" t="s">
        <v>6816</v>
      </c>
      <c r="Y1239" t="s">
        <v>5187</v>
      </c>
      <c r="AA1239" t="s">
        <v>5188</v>
      </c>
      <c r="AB1239" t="s">
        <v>6817</v>
      </c>
      <c r="AE1239">
        <v>-36.868838750000002</v>
      </c>
      <c r="AF1239">
        <v>174.90366408</v>
      </c>
      <c r="AG1239">
        <v>30</v>
      </c>
      <c r="AH1239">
        <v>15</v>
      </c>
      <c r="AI1239">
        <v>11</v>
      </c>
      <c r="AJ1239">
        <v>6</v>
      </c>
      <c r="AK1239">
        <v>3</v>
      </c>
      <c r="AL1239">
        <v>5</v>
      </c>
      <c r="AM1239">
        <v>3</v>
      </c>
      <c r="AN1239">
        <v>0</v>
      </c>
      <c r="AO1239">
        <v>28</v>
      </c>
      <c r="AP1239">
        <v>24</v>
      </c>
      <c r="AQ1239">
        <v>2</v>
      </c>
      <c r="AR1239">
        <v>0</v>
      </c>
      <c r="AS1239">
        <v>6</v>
      </c>
      <c r="AT1239">
        <v>0</v>
      </c>
    </row>
    <row r="1240" spans="1:46">
      <c r="A1240">
        <v>25226</v>
      </c>
      <c r="B1240" t="s">
        <v>7816</v>
      </c>
      <c r="C1240" t="s">
        <v>7817</v>
      </c>
      <c r="D1240" t="s">
        <v>6813</v>
      </c>
      <c r="E1240" t="s">
        <v>7818</v>
      </c>
      <c r="F1240" t="s">
        <v>7819</v>
      </c>
      <c r="G1240" t="s">
        <v>652</v>
      </c>
      <c r="H1240" t="s">
        <v>298</v>
      </c>
      <c r="J1240" t="s">
        <v>518</v>
      </c>
      <c r="K1240" t="s">
        <v>519</v>
      </c>
      <c r="M1240" t="s">
        <v>520</v>
      </c>
      <c r="N1240" t="s">
        <v>571</v>
      </c>
      <c r="O1240" t="s">
        <v>707</v>
      </c>
      <c r="P1240" t="s">
        <v>654</v>
      </c>
      <c r="Q1240" t="s">
        <v>638</v>
      </c>
      <c r="R1240" t="s">
        <v>708</v>
      </c>
      <c r="S1240" t="s">
        <v>778</v>
      </c>
      <c r="T1240" t="s">
        <v>709</v>
      </c>
      <c r="U1240">
        <v>153400</v>
      </c>
      <c r="V1240" t="s">
        <v>7819</v>
      </c>
      <c r="W1240" t="s">
        <v>711</v>
      </c>
      <c r="X1240" t="s">
        <v>6816</v>
      </c>
      <c r="Y1240" t="s">
        <v>5187</v>
      </c>
      <c r="AA1240" t="s">
        <v>5188</v>
      </c>
      <c r="AB1240" t="s">
        <v>6817</v>
      </c>
      <c r="AE1240">
        <v>-36.901778550000003</v>
      </c>
      <c r="AF1240">
        <v>174.94885221999999</v>
      </c>
      <c r="AG1240">
        <v>30</v>
      </c>
      <c r="AH1240">
        <v>15</v>
      </c>
      <c r="AI1240">
        <v>16</v>
      </c>
      <c r="AJ1240">
        <v>9</v>
      </c>
      <c r="AK1240">
        <v>6</v>
      </c>
      <c r="AL1240">
        <v>4</v>
      </c>
      <c r="AM1240">
        <v>2</v>
      </c>
      <c r="AN1240">
        <v>0</v>
      </c>
      <c r="AO1240">
        <v>37</v>
      </c>
      <c r="AP1240">
        <v>29</v>
      </c>
      <c r="AQ1240">
        <v>3</v>
      </c>
      <c r="AR1240">
        <v>0</v>
      </c>
      <c r="AS1240">
        <v>12</v>
      </c>
      <c r="AT1240">
        <v>3</v>
      </c>
    </row>
    <row r="1241" spans="1:46">
      <c r="A1241">
        <v>25227</v>
      </c>
      <c r="B1241" t="s">
        <v>7820</v>
      </c>
      <c r="C1241" t="s">
        <v>7821</v>
      </c>
      <c r="D1241" t="s">
        <v>6813</v>
      </c>
      <c r="E1241" t="s">
        <v>7822</v>
      </c>
      <c r="F1241" t="s">
        <v>777</v>
      </c>
      <c r="G1241" t="s">
        <v>652</v>
      </c>
      <c r="H1241" t="s">
        <v>298</v>
      </c>
      <c r="J1241" t="s">
        <v>518</v>
      </c>
      <c r="K1241" t="s">
        <v>519</v>
      </c>
      <c r="M1241" t="s">
        <v>520</v>
      </c>
      <c r="N1241" t="s">
        <v>571</v>
      </c>
      <c r="O1241" t="s">
        <v>707</v>
      </c>
      <c r="P1241" t="s">
        <v>654</v>
      </c>
      <c r="Q1241" t="s">
        <v>638</v>
      </c>
      <c r="R1241" t="s">
        <v>708</v>
      </c>
      <c r="S1241" t="s">
        <v>706</v>
      </c>
      <c r="T1241" t="s">
        <v>709</v>
      </c>
      <c r="U1241">
        <v>152000</v>
      </c>
      <c r="V1241" t="s">
        <v>926</v>
      </c>
      <c r="W1241" t="s">
        <v>711</v>
      </c>
      <c r="X1241" t="s">
        <v>6816</v>
      </c>
      <c r="Y1241" t="s">
        <v>5187</v>
      </c>
      <c r="AA1241" t="s">
        <v>5188</v>
      </c>
      <c r="AB1241" t="s">
        <v>6817</v>
      </c>
      <c r="AE1241">
        <v>-36.898289599999998</v>
      </c>
      <c r="AF1241">
        <v>174.92615119999999</v>
      </c>
      <c r="AG1241">
        <v>30</v>
      </c>
      <c r="AH1241">
        <v>20</v>
      </c>
      <c r="AI1241">
        <v>17</v>
      </c>
      <c r="AJ1241">
        <v>4</v>
      </c>
      <c r="AK1241">
        <v>8</v>
      </c>
      <c r="AL1241">
        <v>4</v>
      </c>
      <c r="AM1241">
        <v>3</v>
      </c>
      <c r="AN1241">
        <v>1</v>
      </c>
      <c r="AO1241">
        <v>37</v>
      </c>
      <c r="AP1241">
        <v>30</v>
      </c>
      <c r="AQ1241">
        <v>1</v>
      </c>
      <c r="AR1241">
        <v>1</v>
      </c>
      <c r="AS1241">
        <v>11</v>
      </c>
      <c r="AT1241">
        <v>4</v>
      </c>
    </row>
    <row r="1242" spans="1:46">
      <c r="A1242">
        <v>25228</v>
      </c>
      <c r="B1242" t="s">
        <v>7823</v>
      </c>
      <c r="C1242" t="s">
        <v>7824</v>
      </c>
      <c r="D1242" t="s">
        <v>6813</v>
      </c>
      <c r="E1242" t="s">
        <v>7825</v>
      </c>
      <c r="F1242" t="s">
        <v>1036</v>
      </c>
      <c r="G1242" t="s">
        <v>652</v>
      </c>
      <c r="H1242" t="s">
        <v>298</v>
      </c>
      <c r="J1242" t="s">
        <v>518</v>
      </c>
      <c r="K1242" t="s">
        <v>519</v>
      </c>
      <c r="M1242" t="s">
        <v>520</v>
      </c>
      <c r="N1242" t="s">
        <v>521</v>
      </c>
      <c r="O1242" t="s">
        <v>1216</v>
      </c>
      <c r="P1242" t="s">
        <v>654</v>
      </c>
      <c r="Q1242" t="s">
        <v>638</v>
      </c>
      <c r="R1242" t="s">
        <v>729</v>
      </c>
      <c r="S1242" t="s">
        <v>1036</v>
      </c>
      <c r="T1242" t="s">
        <v>709</v>
      </c>
      <c r="U1242">
        <v>160100</v>
      </c>
      <c r="V1242" t="s">
        <v>6877</v>
      </c>
      <c r="W1242" t="s">
        <v>1219</v>
      </c>
      <c r="X1242" t="s">
        <v>6816</v>
      </c>
      <c r="Y1242" t="s">
        <v>5187</v>
      </c>
      <c r="AA1242" t="s">
        <v>5188</v>
      </c>
      <c r="AE1242">
        <v>-37.023447900000001</v>
      </c>
      <c r="AF1242">
        <v>174.8934658</v>
      </c>
      <c r="AG1242">
        <v>30</v>
      </c>
      <c r="AH1242">
        <v>15</v>
      </c>
      <c r="AI1242">
        <v>1</v>
      </c>
      <c r="AJ1242">
        <v>5</v>
      </c>
      <c r="AK1242">
        <v>6</v>
      </c>
      <c r="AL1242">
        <v>2</v>
      </c>
      <c r="AM1242">
        <v>11</v>
      </c>
      <c r="AN1242">
        <v>0</v>
      </c>
      <c r="AO1242">
        <v>25</v>
      </c>
      <c r="AP1242">
        <v>17</v>
      </c>
      <c r="AQ1242">
        <v>3</v>
      </c>
      <c r="AR1242">
        <v>5</v>
      </c>
      <c r="AS1242">
        <v>7</v>
      </c>
      <c r="AT1242">
        <v>3</v>
      </c>
    </row>
    <row r="1243" spans="1:46">
      <c r="A1243">
        <v>25233</v>
      </c>
      <c r="B1243" t="s">
        <v>7826</v>
      </c>
      <c r="C1243" t="s">
        <v>7827</v>
      </c>
      <c r="D1243" t="s">
        <v>6813</v>
      </c>
      <c r="E1243" t="s">
        <v>7828</v>
      </c>
      <c r="F1243" t="s">
        <v>706</v>
      </c>
      <c r="G1243" t="s">
        <v>652</v>
      </c>
      <c r="H1243" t="s">
        <v>298</v>
      </c>
      <c r="J1243" t="s">
        <v>518</v>
      </c>
      <c r="K1243" t="s">
        <v>519</v>
      </c>
      <c r="M1243" t="s">
        <v>520</v>
      </c>
      <c r="N1243" t="s">
        <v>571</v>
      </c>
      <c r="O1243" t="s">
        <v>707</v>
      </c>
      <c r="P1243" t="s">
        <v>654</v>
      </c>
      <c r="Q1243" t="s">
        <v>638</v>
      </c>
      <c r="R1243" t="s">
        <v>708</v>
      </c>
      <c r="S1243" t="s">
        <v>706</v>
      </c>
      <c r="T1243" t="s">
        <v>709</v>
      </c>
      <c r="U1243">
        <v>149800</v>
      </c>
      <c r="V1243" t="s">
        <v>5256</v>
      </c>
      <c r="W1243" t="s">
        <v>711</v>
      </c>
      <c r="X1243" t="s">
        <v>6816</v>
      </c>
      <c r="Y1243" t="s">
        <v>5187</v>
      </c>
      <c r="AA1243" t="s">
        <v>5188</v>
      </c>
      <c r="AB1243" t="s">
        <v>6817</v>
      </c>
      <c r="AE1243">
        <v>-36.91202191</v>
      </c>
      <c r="AF1243">
        <v>174.88088909000001</v>
      </c>
      <c r="AG1243">
        <v>25</v>
      </c>
      <c r="AH1243">
        <v>20</v>
      </c>
      <c r="AI1243">
        <v>11</v>
      </c>
      <c r="AJ1243">
        <v>12</v>
      </c>
      <c r="AK1243">
        <v>3</v>
      </c>
      <c r="AL1243">
        <v>3</v>
      </c>
      <c r="AM1243">
        <v>1</v>
      </c>
      <c r="AN1243">
        <v>0</v>
      </c>
      <c r="AO1243">
        <v>30</v>
      </c>
      <c r="AP1243">
        <v>22</v>
      </c>
      <c r="AQ1243">
        <v>2</v>
      </c>
      <c r="AR1243">
        <v>2</v>
      </c>
      <c r="AS1243">
        <v>14</v>
      </c>
      <c r="AT1243">
        <v>0</v>
      </c>
    </row>
    <row r="1244" spans="1:46">
      <c r="A1244">
        <v>25234</v>
      </c>
      <c r="B1244" t="s">
        <v>7829</v>
      </c>
      <c r="C1244" t="s">
        <v>7143</v>
      </c>
      <c r="D1244" t="s">
        <v>7830</v>
      </c>
      <c r="E1244" t="s">
        <v>7831</v>
      </c>
      <c r="F1244" t="s">
        <v>1035</v>
      </c>
      <c r="G1244" t="s">
        <v>652</v>
      </c>
      <c r="H1244" t="s">
        <v>298</v>
      </c>
      <c r="J1244" t="s">
        <v>518</v>
      </c>
      <c r="K1244" t="s">
        <v>519</v>
      </c>
      <c r="M1244" t="s">
        <v>520</v>
      </c>
      <c r="N1244" t="s">
        <v>557</v>
      </c>
      <c r="O1244" t="s">
        <v>728</v>
      </c>
      <c r="P1244" t="s">
        <v>654</v>
      </c>
      <c r="Q1244" t="s">
        <v>638</v>
      </c>
      <c r="R1244" t="s">
        <v>729</v>
      </c>
      <c r="S1244" t="s">
        <v>730</v>
      </c>
      <c r="T1244" t="s">
        <v>709</v>
      </c>
      <c r="U1244">
        <v>154902</v>
      </c>
      <c r="V1244" t="s">
        <v>7832</v>
      </c>
      <c r="W1244" t="s">
        <v>732</v>
      </c>
      <c r="X1244" t="s">
        <v>6816</v>
      </c>
      <c r="Y1244" t="s">
        <v>5187</v>
      </c>
      <c r="AA1244" t="s">
        <v>5188</v>
      </c>
      <c r="AE1244">
        <v>-36.974282010000003</v>
      </c>
      <c r="AF1244">
        <v>174.85716547999999</v>
      </c>
      <c r="AG1244">
        <v>30</v>
      </c>
      <c r="AH1244">
        <v>15</v>
      </c>
      <c r="AI1244">
        <v>3</v>
      </c>
      <c r="AJ1244">
        <v>9</v>
      </c>
      <c r="AK1244">
        <v>5</v>
      </c>
      <c r="AL1244">
        <v>3</v>
      </c>
      <c r="AM1244">
        <v>3</v>
      </c>
      <c r="AN1244">
        <v>0</v>
      </c>
      <c r="AO1244">
        <v>23</v>
      </c>
      <c r="AP1244">
        <v>20</v>
      </c>
      <c r="AQ1244">
        <v>8</v>
      </c>
      <c r="AR1244">
        <v>0</v>
      </c>
      <c r="AS1244">
        <v>5</v>
      </c>
      <c r="AT1244">
        <v>0</v>
      </c>
    </row>
    <row r="1245" spans="1:46">
      <c r="A1245">
        <v>25237</v>
      </c>
      <c r="B1245" t="s">
        <v>7833</v>
      </c>
      <c r="C1245" t="s">
        <v>7834</v>
      </c>
      <c r="D1245" t="s">
        <v>6813</v>
      </c>
      <c r="E1245" t="s">
        <v>7835</v>
      </c>
      <c r="F1245" t="s">
        <v>4203</v>
      </c>
      <c r="G1245" t="s">
        <v>652</v>
      </c>
      <c r="H1245" t="s">
        <v>298</v>
      </c>
      <c r="J1245" t="s">
        <v>518</v>
      </c>
      <c r="K1245" t="s">
        <v>519</v>
      </c>
      <c r="M1245" t="s">
        <v>520</v>
      </c>
      <c r="N1245" t="s">
        <v>539</v>
      </c>
      <c r="O1245" t="s">
        <v>1216</v>
      </c>
      <c r="P1245" t="s">
        <v>654</v>
      </c>
      <c r="Q1245" t="s">
        <v>638</v>
      </c>
      <c r="R1245" t="s">
        <v>729</v>
      </c>
      <c r="S1245" t="s">
        <v>1036</v>
      </c>
      <c r="T1245" t="s">
        <v>709</v>
      </c>
      <c r="U1245">
        <v>160700</v>
      </c>
      <c r="V1245" t="s">
        <v>7275</v>
      </c>
      <c r="W1245" t="s">
        <v>1219</v>
      </c>
      <c r="X1245" t="s">
        <v>6816</v>
      </c>
      <c r="Y1245" t="s">
        <v>5187</v>
      </c>
      <c r="AA1245" t="s">
        <v>5188</v>
      </c>
      <c r="AE1245">
        <v>-37.045750239999997</v>
      </c>
      <c r="AF1245">
        <v>174.86389333</v>
      </c>
      <c r="AG1245">
        <v>25</v>
      </c>
      <c r="AH1245">
        <v>20</v>
      </c>
      <c r="AI1245">
        <v>1</v>
      </c>
      <c r="AJ1245">
        <v>4</v>
      </c>
      <c r="AK1245">
        <v>3</v>
      </c>
      <c r="AL1245">
        <v>1</v>
      </c>
      <c r="AM1245">
        <v>2</v>
      </c>
      <c r="AN1245">
        <v>0</v>
      </c>
      <c r="AO1245">
        <v>11</v>
      </c>
      <c r="AP1245">
        <v>9</v>
      </c>
      <c r="AQ1245">
        <v>3</v>
      </c>
      <c r="AR1245">
        <v>2</v>
      </c>
      <c r="AS1245">
        <v>2</v>
      </c>
      <c r="AT1245">
        <v>0</v>
      </c>
    </row>
    <row r="1246" spans="1:46">
      <c r="A1246">
        <v>25238</v>
      </c>
      <c r="B1246" t="s">
        <v>7836</v>
      </c>
      <c r="C1246" t="s">
        <v>7837</v>
      </c>
      <c r="D1246" t="s">
        <v>6813</v>
      </c>
      <c r="E1246" t="s">
        <v>7838</v>
      </c>
      <c r="G1246" t="s">
        <v>7660</v>
      </c>
      <c r="H1246" t="s">
        <v>298</v>
      </c>
      <c r="J1246" t="s">
        <v>518</v>
      </c>
      <c r="K1246" t="s">
        <v>519</v>
      </c>
      <c r="M1246" t="s">
        <v>520</v>
      </c>
      <c r="N1246" t="s">
        <v>571</v>
      </c>
      <c r="O1246" t="s">
        <v>1233</v>
      </c>
      <c r="P1246" t="s">
        <v>572</v>
      </c>
      <c r="Q1246" t="s">
        <v>638</v>
      </c>
      <c r="R1246" t="s">
        <v>708</v>
      </c>
      <c r="S1246" t="s">
        <v>1234</v>
      </c>
      <c r="T1246" t="s">
        <v>1235</v>
      </c>
      <c r="U1246">
        <v>157101</v>
      </c>
      <c r="V1246" t="s">
        <v>7839</v>
      </c>
      <c r="W1246" t="s">
        <v>1237</v>
      </c>
      <c r="X1246" t="s">
        <v>6816</v>
      </c>
      <c r="Y1246" t="s">
        <v>5187</v>
      </c>
      <c r="AA1246" t="s">
        <v>5188</v>
      </c>
      <c r="AB1246" t="s">
        <v>6817</v>
      </c>
      <c r="AE1246">
        <v>-36.943160429999999</v>
      </c>
      <c r="AF1246">
        <v>174.96952754</v>
      </c>
      <c r="AG1246">
        <v>25</v>
      </c>
      <c r="AH1246">
        <v>15</v>
      </c>
      <c r="AI1246">
        <v>15</v>
      </c>
      <c r="AJ1246">
        <v>5</v>
      </c>
      <c r="AK1246">
        <v>6</v>
      </c>
      <c r="AL1246">
        <v>7</v>
      </c>
      <c r="AM1246">
        <v>0</v>
      </c>
      <c r="AN1246">
        <v>0</v>
      </c>
      <c r="AO1246">
        <v>33</v>
      </c>
      <c r="AP1246">
        <v>28</v>
      </c>
      <c r="AQ1246">
        <v>7</v>
      </c>
      <c r="AR1246">
        <v>1</v>
      </c>
      <c r="AS1246">
        <v>9</v>
      </c>
      <c r="AT1246">
        <v>0</v>
      </c>
    </row>
    <row r="1247" spans="1:46">
      <c r="A1247">
        <v>25240</v>
      </c>
      <c r="B1247" t="s">
        <v>7840</v>
      </c>
      <c r="C1247" t="s">
        <v>7841</v>
      </c>
      <c r="D1247" t="s">
        <v>7842</v>
      </c>
      <c r="E1247" t="s">
        <v>7843</v>
      </c>
      <c r="G1247" t="s">
        <v>1261</v>
      </c>
      <c r="H1247" t="s">
        <v>3942</v>
      </c>
      <c r="J1247" t="s">
        <v>518</v>
      </c>
      <c r="K1247" t="s">
        <v>519</v>
      </c>
      <c r="M1247" t="s">
        <v>520</v>
      </c>
      <c r="N1247" t="s">
        <v>571</v>
      </c>
      <c r="O1247" t="s">
        <v>1233</v>
      </c>
      <c r="P1247" t="s">
        <v>1262</v>
      </c>
      <c r="Q1247" t="s">
        <v>638</v>
      </c>
      <c r="R1247" t="s">
        <v>729</v>
      </c>
      <c r="S1247" t="s">
        <v>1246</v>
      </c>
      <c r="T1247" t="s">
        <v>1235</v>
      </c>
      <c r="U1247">
        <v>166000</v>
      </c>
      <c r="V1247" t="s">
        <v>1280</v>
      </c>
      <c r="W1247" t="s">
        <v>1237</v>
      </c>
      <c r="X1247" t="s">
        <v>7844</v>
      </c>
      <c r="Y1247" t="s">
        <v>7843</v>
      </c>
      <c r="Z1247" t="s">
        <v>1261</v>
      </c>
      <c r="AA1247" t="s">
        <v>4006</v>
      </c>
      <c r="AB1247" t="s">
        <v>7845</v>
      </c>
      <c r="AC1247">
        <v>99075</v>
      </c>
      <c r="AD1247" t="s">
        <v>1264</v>
      </c>
      <c r="AE1247">
        <v>-37.207384449999999</v>
      </c>
      <c r="AF1247">
        <v>174.90479386999999</v>
      </c>
      <c r="AG1247">
        <v>48</v>
      </c>
      <c r="AH1247">
        <v>10</v>
      </c>
      <c r="AI1247">
        <v>1</v>
      </c>
      <c r="AJ1247">
        <v>10</v>
      </c>
      <c r="AK1247">
        <v>11</v>
      </c>
      <c r="AL1247">
        <v>15</v>
      </c>
      <c r="AM1247">
        <v>14</v>
      </c>
      <c r="AN1247">
        <v>0</v>
      </c>
      <c r="AO1247">
        <v>51</v>
      </c>
      <c r="AP1247">
        <v>49</v>
      </c>
      <c r="AQ1247">
        <v>14</v>
      </c>
      <c r="AR1247">
        <v>7</v>
      </c>
      <c r="AS1247">
        <v>4</v>
      </c>
      <c r="AT1247">
        <v>0</v>
      </c>
    </row>
    <row r="1248" spans="1:46">
      <c r="A1248">
        <v>25242</v>
      </c>
      <c r="B1248" t="s">
        <v>7846</v>
      </c>
      <c r="C1248" t="s">
        <v>7847</v>
      </c>
      <c r="E1248" t="s">
        <v>7848</v>
      </c>
      <c r="F1248" t="s">
        <v>726</v>
      </c>
      <c r="G1248" t="s">
        <v>652</v>
      </c>
      <c r="H1248" t="s">
        <v>343</v>
      </c>
      <c r="J1248" t="s">
        <v>518</v>
      </c>
      <c r="K1248" t="s">
        <v>519</v>
      </c>
      <c r="L1248" t="s">
        <v>4205</v>
      </c>
      <c r="M1248" t="s">
        <v>520</v>
      </c>
      <c r="N1248" t="s">
        <v>521</v>
      </c>
      <c r="O1248" t="s">
        <v>728</v>
      </c>
      <c r="P1248" t="s">
        <v>654</v>
      </c>
      <c r="Q1248" t="s">
        <v>638</v>
      </c>
      <c r="R1248" t="s">
        <v>729</v>
      </c>
      <c r="S1248" t="s">
        <v>730</v>
      </c>
      <c r="T1248" t="s">
        <v>709</v>
      </c>
      <c r="U1248">
        <v>153500</v>
      </c>
      <c r="V1248" t="s">
        <v>731</v>
      </c>
      <c r="W1248" t="s">
        <v>732</v>
      </c>
      <c r="X1248" t="s">
        <v>4207</v>
      </c>
      <c r="Y1248" t="s">
        <v>4208</v>
      </c>
      <c r="Z1248" t="s">
        <v>4209</v>
      </c>
      <c r="AA1248" t="s">
        <v>4210</v>
      </c>
      <c r="AE1248">
        <v>-36.960475420000002</v>
      </c>
      <c r="AF1248">
        <v>174.86985541000001</v>
      </c>
      <c r="AG1248">
        <v>50</v>
      </c>
      <c r="AH1248">
        <v>12</v>
      </c>
      <c r="AI1248">
        <v>0</v>
      </c>
      <c r="AJ1248">
        <v>0</v>
      </c>
      <c r="AK1248">
        <v>9</v>
      </c>
      <c r="AL1248">
        <v>12</v>
      </c>
      <c r="AM1248">
        <v>5</v>
      </c>
      <c r="AN1248">
        <v>0</v>
      </c>
      <c r="AO1248">
        <v>26</v>
      </c>
      <c r="AP1248">
        <v>0</v>
      </c>
      <c r="AQ1248">
        <v>23</v>
      </c>
      <c r="AR1248">
        <v>3</v>
      </c>
      <c r="AS1248">
        <v>0</v>
      </c>
      <c r="AT1248">
        <v>0</v>
      </c>
    </row>
    <row r="1249" spans="1:46">
      <c r="A1249">
        <v>25245</v>
      </c>
      <c r="B1249" t="s">
        <v>7849</v>
      </c>
      <c r="C1249" t="s">
        <v>7850</v>
      </c>
      <c r="E1249" t="s">
        <v>7851</v>
      </c>
      <c r="F1249" t="s">
        <v>879</v>
      </c>
      <c r="G1249" t="s">
        <v>652</v>
      </c>
      <c r="H1249" t="s">
        <v>343</v>
      </c>
      <c r="J1249" t="s">
        <v>518</v>
      </c>
      <c r="K1249" t="s">
        <v>519</v>
      </c>
      <c r="L1249" t="s">
        <v>4205</v>
      </c>
      <c r="M1249" t="s">
        <v>520</v>
      </c>
      <c r="N1249" t="s">
        <v>727</v>
      </c>
      <c r="O1249" t="s">
        <v>829</v>
      </c>
      <c r="P1249" t="s">
        <v>654</v>
      </c>
      <c r="Q1249" t="s">
        <v>638</v>
      </c>
      <c r="R1249" t="s">
        <v>708</v>
      </c>
      <c r="S1249" t="s">
        <v>880</v>
      </c>
      <c r="T1249" t="s">
        <v>709</v>
      </c>
      <c r="U1249">
        <v>144700</v>
      </c>
      <c r="V1249" t="s">
        <v>4826</v>
      </c>
      <c r="W1249" t="s">
        <v>807</v>
      </c>
      <c r="X1249" t="s">
        <v>4207</v>
      </c>
      <c r="Y1249" t="s">
        <v>4208</v>
      </c>
      <c r="Z1249" t="s">
        <v>4209</v>
      </c>
      <c r="AA1249" t="s">
        <v>4210</v>
      </c>
      <c r="AE1249">
        <v>-36.873440160000001</v>
      </c>
      <c r="AF1249">
        <v>174.86002690999999</v>
      </c>
      <c r="AG1249">
        <v>50</v>
      </c>
      <c r="AH1249">
        <v>25</v>
      </c>
      <c r="AI1249">
        <v>2</v>
      </c>
      <c r="AJ1249">
        <v>14</v>
      </c>
      <c r="AK1249">
        <v>10</v>
      </c>
      <c r="AL1249">
        <v>13</v>
      </c>
      <c r="AM1249">
        <v>4</v>
      </c>
      <c r="AN1249">
        <v>0</v>
      </c>
      <c r="AO1249">
        <v>43</v>
      </c>
      <c r="AP1249">
        <v>0</v>
      </c>
      <c r="AQ1249">
        <v>43</v>
      </c>
      <c r="AR1249">
        <v>0</v>
      </c>
      <c r="AS1249">
        <v>0</v>
      </c>
      <c r="AT1249">
        <v>0</v>
      </c>
    </row>
    <row r="1250" spans="1:46">
      <c r="A1250">
        <v>25248</v>
      </c>
      <c r="B1250" t="s">
        <v>7852</v>
      </c>
      <c r="C1250" t="s">
        <v>7853</v>
      </c>
      <c r="D1250" t="s">
        <v>7854</v>
      </c>
      <c r="E1250" t="s">
        <v>7855</v>
      </c>
      <c r="F1250" t="s">
        <v>1036</v>
      </c>
      <c r="G1250" t="s">
        <v>652</v>
      </c>
      <c r="H1250" t="s">
        <v>3942</v>
      </c>
      <c r="J1250" t="s">
        <v>3962</v>
      </c>
      <c r="K1250" t="s">
        <v>519</v>
      </c>
      <c r="M1250" t="s">
        <v>520</v>
      </c>
      <c r="N1250" t="s">
        <v>539</v>
      </c>
      <c r="O1250" t="s">
        <v>1216</v>
      </c>
      <c r="P1250" t="s">
        <v>654</v>
      </c>
      <c r="Q1250" t="s">
        <v>638</v>
      </c>
      <c r="R1250" t="s">
        <v>729</v>
      </c>
      <c r="S1250" t="s">
        <v>1036</v>
      </c>
      <c r="T1250" t="s">
        <v>709</v>
      </c>
      <c r="U1250">
        <v>160100</v>
      </c>
      <c r="V1250" t="s">
        <v>6877</v>
      </c>
      <c r="W1250" t="s">
        <v>1219</v>
      </c>
      <c r="X1250" t="s">
        <v>7856</v>
      </c>
      <c r="Y1250" t="s">
        <v>7857</v>
      </c>
      <c r="Z1250" t="s">
        <v>4204</v>
      </c>
      <c r="AA1250" t="s">
        <v>5095</v>
      </c>
      <c r="AC1250">
        <v>99186</v>
      </c>
      <c r="AD1250" t="s">
        <v>1224</v>
      </c>
      <c r="AE1250">
        <v>-37.019832839999999</v>
      </c>
      <c r="AF1250">
        <v>174.89303889999999</v>
      </c>
      <c r="AG1250">
        <v>30</v>
      </c>
      <c r="AH1250">
        <v>10</v>
      </c>
      <c r="AI1250">
        <v>1</v>
      </c>
      <c r="AJ1250">
        <v>5</v>
      </c>
      <c r="AK1250">
        <v>7</v>
      </c>
      <c r="AL1250">
        <v>9</v>
      </c>
      <c r="AM1250">
        <v>3</v>
      </c>
      <c r="AN1250">
        <v>2</v>
      </c>
      <c r="AO1250">
        <v>27</v>
      </c>
      <c r="AP1250">
        <v>17</v>
      </c>
      <c r="AQ1250">
        <v>14</v>
      </c>
      <c r="AR1250">
        <v>9</v>
      </c>
      <c r="AS1250">
        <v>6</v>
      </c>
      <c r="AT1250">
        <v>0</v>
      </c>
    </row>
    <row r="1251" spans="1:46">
      <c r="A1251">
        <v>25253</v>
      </c>
      <c r="B1251" t="s">
        <v>7858</v>
      </c>
      <c r="C1251" t="s">
        <v>7859</v>
      </c>
      <c r="D1251" t="s">
        <v>7860</v>
      </c>
      <c r="E1251" t="s">
        <v>7861</v>
      </c>
      <c r="F1251" t="s">
        <v>3945</v>
      </c>
      <c r="G1251" t="s">
        <v>652</v>
      </c>
      <c r="H1251" t="s">
        <v>3942</v>
      </c>
      <c r="J1251" t="s">
        <v>518</v>
      </c>
      <c r="K1251" t="s">
        <v>519</v>
      </c>
      <c r="M1251" t="s">
        <v>520</v>
      </c>
      <c r="N1251" t="s">
        <v>557</v>
      </c>
      <c r="O1251" t="s">
        <v>1216</v>
      </c>
      <c r="P1251" t="s">
        <v>654</v>
      </c>
      <c r="Q1251" t="s">
        <v>638</v>
      </c>
      <c r="R1251" t="s">
        <v>729</v>
      </c>
      <c r="S1251" t="s">
        <v>1217</v>
      </c>
      <c r="T1251" t="s">
        <v>709</v>
      </c>
      <c r="U1251">
        <v>158502</v>
      </c>
      <c r="V1251" t="s">
        <v>7862</v>
      </c>
      <c r="W1251" t="s">
        <v>1219</v>
      </c>
      <c r="X1251" t="s">
        <v>3943</v>
      </c>
      <c r="Y1251" t="s">
        <v>3944</v>
      </c>
      <c r="Z1251" t="s">
        <v>3945</v>
      </c>
      <c r="AA1251" t="s">
        <v>3946</v>
      </c>
      <c r="AB1251" t="s">
        <v>3947</v>
      </c>
      <c r="AC1251">
        <v>99186</v>
      </c>
      <c r="AD1251" t="s">
        <v>1224</v>
      </c>
      <c r="AE1251">
        <v>-36.997813120000004</v>
      </c>
      <c r="AF1251">
        <v>174.89476128999999</v>
      </c>
      <c r="AG1251">
        <v>50</v>
      </c>
      <c r="AH1251">
        <v>0</v>
      </c>
      <c r="AI1251">
        <v>0</v>
      </c>
      <c r="AJ1251">
        <v>0</v>
      </c>
      <c r="AK1251">
        <v>15</v>
      </c>
      <c r="AL1251">
        <v>12</v>
      </c>
      <c r="AM1251">
        <v>32</v>
      </c>
      <c r="AN1251">
        <v>3</v>
      </c>
      <c r="AO1251">
        <v>62</v>
      </c>
      <c r="AP1251">
        <v>14</v>
      </c>
      <c r="AQ1251">
        <v>9</v>
      </c>
      <c r="AR1251">
        <v>15</v>
      </c>
      <c r="AS1251">
        <v>31</v>
      </c>
      <c r="AT1251">
        <v>11</v>
      </c>
    </row>
    <row r="1252" spans="1:46">
      <c r="A1252">
        <v>25258</v>
      </c>
      <c r="B1252" t="s">
        <v>7863</v>
      </c>
      <c r="C1252" t="s">
        <v>7864</v>
      </c>
      <c r="D1252" t="s">
        <v>7865</v>
      </c>
      <c r="E1252" t="s">
        <v>7866</v>
      </c>
      <c r="F1252" t="s">
        <v>1072</v>
      </c>
      <c r="G1252" t="s">
        <v>652</v>
      </c>
      <c r="H1252" t="s">
        <v>3942</v>
      </c>
      <c r="J1252" t="s">
        <v>3962</v>
      </c>
      <c r="K1252" t="s">
        <v>519</v>
      </c>
      <c r="M1252" t="s">
        <v>520</v>
      </c>
      <c r="N1252" t="s">
        <v>521</v>
      </c>
      <c r="O1252" t="s">
        <v>848</v>
      </c>
      <c r="P1252" t="s">
        <v>654</v>
      </c>
      <c r="Q1252" t="s">
        <v>638</v>
      </c>
      <c r="R1252" t="s">
        <v>729</v>
      </c>
      <c r="S1252" t="s">
        <v>730</v>
      </c>
      <c r="T1252" t="s">
        <v>709</v>
      </c>
      <c r="U1252">
        <v>150301</v>
      </c>
      <c r="V1252" t="s">
        <v>7867</v>
      </c>
      <c r="W1252" t="s">
        <v>732</v>
      </c>
      <c r="X1252" t="s">
        <v>4969</v>
      </c>
      <c r="Y1252" t="s">
        <v>6640</v>
      </c>
      <c r="AA1252" t="s">
        <v>4365</v>
      </c>
      <c r="AB1252" t="s">
        <v>4971</v>
      </c>
      <c r="AE1252">
        <v>-36.939774149999998</v>
      </c>
      <c r="AF1252">
        <v>174.84535432000001</v>
      </c>
      <c r="AG1252">
        <v>98</v>
      </c>
      <c r="AH1252">
        <v>20</v>
      </c>
      <c r="AI1252">
        <v>2</v>
      </c>
      <c r="AJ1252">
        <v>9</v>
      </c>
      <c r="AK1252">
        <v>20</v>
      </c>
      <c r="AL1252">
        <v>20</v>
      </c>
      <c r="AM1252">
        <v>28</v>
      </c>
      <c r="AN1252">
        <v>1</v>
      </c>
      <c r="AO1252">
        <v>80</v>
      </c>
      <c r="AP1252">
        <v>4</v>
      </c>
      <c r="AQ1252">
        <v>8</v>
      </c>
      <c r="AR1252">
        <v>64</v>
      </c>
      <c r="AS1252">
        <v>13</v>
      </c>
      <c r="AT1252">
        <v>0</v>
      </c>
    </row>
    <row r="1253" spans="1:46">
      <c r="A1253">
        <v>25261</v>
      </c>
      <c r="B1253" t="s">
        <v>7868</v>
      </c>
      <c r="C1253" t="s">
        <v>7869</v>
      </c>
      <c r="E1253" t="s">
        <v>7870</v>
      </c>
      <c r="G1253" t="s">
        <v>1234</v>
      </c>
      <c r="H1253" t="s">
        <v>343</v>
      </c>
      <c r="J1253" t="s">
        <v>518</v>
      </c>
      <c r="K1253" t="s">
        <v>519</v>
      </c>
      <c r="L1253" t="s">
        <v>4205</v>
      </c>
      <c r="M1253" t="s">
        <v>520</v>
      </c>
      <c r="N1253" t="s">
        <v>727</v>
      </c>
      <c r="O1253" t="s">
        <v>1268</v>
      </c>
      <c r="P1253" t="s">
        <v>654</v>
      </c>
      <c r="Q1253" t="s">
        <v>638</v>
      </c>
      <c r="R1253" t="s">
        <v>729</v>
      </c>
      <c r="S1253" t="s">
        <v>1234</v>
      </c>
      <c r="T1253" t="s">
        <v>1235</v>
      </c>
      <c r="U1253">
        <v>163600</v>
      </c>
      <c r="V1253" t="s">
        <v>7555</v>
      </c>
      <c r="W1253" t="s">
        <v>1219</v>
      </c>
      <c r="X1253" t="s">
        <v>4207</v>
      </c>
      <c r="Y1253" t="s">
        <v>4208</v>
      </c>
      <c r="Z1253" t="s">
        <v>4209</v>
      </c>
      <c r="AA1253" t="s">
        <v>4210</v>
      </c>
      <c r="AE1253">
        <v>-37.067654490000002</v>
      </c>
      <c r="AF1253">
        <v>174.9556211</v>
      </c>
      <c r="AG1253">
        <v>20</v>
      </c>
      <c r="AH1253">
        <v>5</v>
      </c>
      <c r="AI1253">
        <v>0</v>
      </c>
      <c r="AJ1253">
        <v>1</v>
      </c>
      <c r="AK1253">
        <v>4</v>
      </c>
      <c r="AL1253">
        <v>3</v>
      </c>
      <c r="AM1253">
        <v>0</v>
      </c>
      <c r="AN1253">
        <v>0</v>
      </c>
      <c r="AO1253">
        <v>8</v>
      </c>
      <c r="AP1253">
        <v>0</v>
      </c>
      <c r="AQ1253">
        <v>8</v>
      </c>
      <c r="AR1253">
        <v>0</v>
      </c>
      <c r="AS1253">
        <v>0</v>
      </c>
      <c r="AT1253">
        <v>0</v>
      </c>
    </row>
    <row r="1254" spans="1:46">
      <c r="A1254">
        <v>25265</v>
      </c>
      <c r="B1254" t="s">
        <v>7871</v>
      </c>
      <c r="C1254" t="s">
        <v>7872</v>
      </c>
      <c r="D1254" t="s">
        <v>7873</v>
      </c>
      <c r="E1254" t="s">
        <v>7874</v>
      </c>
      <c r="F1254" t="s">
        <v>706</v>
      </c>
      <c r="G1254" t="s">
        <v>652</v>
      </c>
      <c r="H1254" t="s">
        <v>3942</v>
      </c>
      <c r="J1254" t="s">
        <v>518</v>
      </c>
      <c r="K1254" t="s">
        <v>519</v>
      </c>
      <c r="M1254" t="s">
        <v>520</v>
      </c>
      <c r="N1254" t="s">
        <v>571</v>
      </c>
      <c r="O1254" t="s">
        <v>707</v>
      </c>
      <c r="P1254" t="s">
        <v>654</v>
      </c>
      <c r="Q1254" t="s">
        <v>638</v>
      </c>
      <c r="R1254" t="s">
        <v>708</v>
      </c>
      <c r="S1254" t="s">
        <v>706</v>
      </c>
      <c r="T1254" t="s">
        <v>709</v>
      </c>
      <c r="U1254">
        <v>149800</v>
      </c>
      <c r="V1254" t="s">
        <v>5256</v>
      </c>
      <c r="W1254" t="s">
        <v>711</v>
      </c>
      <c r="X1254" t="s">
        <v>7875</v>
      </c>
      <c r="Y1254" t="s">
        <v>6369</v>
      </c>
      <c r="Z1254" t="s">
        <v>4555</v>
      </c>
      <c r="AA1254" t="s">
        <v>4556</v>
      </c>
      <c r="AB1254" t="s">
        <v>7876</v>
      </c>
      <c r="AE1254">
        <v>-36.913557640000001</v>
      </c>
      <c r="AF1254">
        <v>174.8729055</v>
      </c>
      <c r="AG1254">
        <v>36</v>
      </c>
      <c r="AH1254">
        <v>5</v>
      </c>
      <c r="AI1254">
        <v>0</v>
      </c>
      <c r="AJ1254">
        <v>5</v>
      </c>
      <c r="AK1254">
        <v>6</v>
      </c>
      <c r="AL1254">
        <v>6</v>
      </c>
      <c r="AM1254">
        <v>11</v>
      </c>
      <c r="AN1254">
        <v>0</v>
      </c>
      <c r="AO1254">
        <v>28</v>
      </c>
      <c r="AP1254">
        <v>10</v>
      </c>
      <c r="AQ1254">
        <v>3</v>
      </c>
      <c r="AR1254">
        <v>6</v>
      </c>
      <c r="AS1254">
        <v>13</v>
      </c>
      <c r="AT1254">
        <v>4</v>
      </c>
    </row>
    <row r="1255" spans="1:46">
      <c r="A1255">
        <v>25269</v>
      </c>
      <c r="B1255" t="s">
        <v>7877</v>
      </c>
      <c r="C1255" t="s">
        <v>7878</v>
      </c>
      <c r="D1255" t="s">
        <v>7879</v>
      </c>
      <c r="E1255" t="s">
        <v>7880</v>
      </c>
      <c r="G1255" t="s">
        <v>636</v>
      </c>
      <c r="H1255" t="s">
        <v>3942</v>
      </c>
      <c r="J1255" t="s">
        <v>3962</v>
      </c>
      <c r="K1255" t="s">
        <v>519</v>
      </c>
      <c r="M1255" t="s">
        <v>520</v>
      </c>
      <c r="N1255" t="s">
        <v>571</v>
      </c>
      <c r="O1255" t="s">
        <v>637</v>
      </c>
      <c r="P1255" t="s">
        <v>523</v>
      </c>
      <c r="Q1255" t="s">
        <v>638</v>
      </c>
      <c r="R1255" t="s">
        <v>639</v>
      </c>
      <c r="S1255" t="s">
        <v>640</v>
      </c>
      <c r="T1255" t="s">
        <v>527</v>
      </c>
      <c r="U1255">
        <v>110501</v>
      </c>
      <c r="V1255" t="s">
        <v>636</v>
      </c>
      <c r="W1255" t="s">
        <v>641</v>
      </c>
      <c r="X1255" t="s">
        <v>7881</v>
      </c>
      <c r="Y1255" t="s">
        <v>7882</v>
      </c>
      <c r="Z1255" t="s">
        <v>699</v>
      </c>
      <c r="AA1255" t="s">
        <v>7883</v>
      </c>
      <c r="AB1255" t="s">
        <v>7884</v>
      </c>
      <c r="AC1255">
        <v>99118</v>
      </c>
      <c r="AD1255" t="s">
        <v>5315</v>
      </c>
      <c r="AE1255">
        <v>-36.300995159999999</v>
      </c>
      <c r="AF1255">
        <v>174.52898952999999</v>
      </c>
      <c r="AG1255">
        <v>50</v>
      </c>
      <c r="AH1255">
        <v>8</v>
      </c>
      <c r="AI1255">
        <v>0</v>
      </c>
      <c r="AJ1255">
        <v>9</v>
      </c>
      <c r="AK1255">
        <v>9</v>
      </c>
      <c r="AL1255">
        <v>18</v>
      </c>
      <c r="AM1255">
        <v>13</v>
      </c>
      <c r="AN1255">
        <v>1</v>
      </c>
      <c r="AO1255">
        <v>50</v>
      </c>
      <c r="AP1255">
        <v>45</v>
      </c>
      <c r="AQ1255">
        <v>12</v>
      </c>
      <c r="AR1255">
        <v>2</v>
      </c>
      <c r="AS1255">
        <v>2</v>
      </c>
      <c r="AT1255">
        <v>5</v>
      </c>
    </row>
    <row r="1256" spans="1:46">
      <c r="A1256">
        <v>25271</v>
      </c>
      <c r="B1256" t="s">
        <v>7885</v>
      </c>
      <c r="C1256" t="s">
        <v>7886</v>
      </c>
      <c r="D1256" t="s">
        <v>7887</v>
      </c>
      <c r="E1256" t="s">
        <v>7888</v>
      </c>
      <c r="F1256" t="s">
        <v>5207</v>
      </c>
      <c r="G1256" t="s">
        <v>652</v>
      </c>
      <c r="H1256" t="s">
        <v>3942</v>
      </c>
      <c r="J1256" t="s">
        <v>3962</v>
      </c>
      <c r="K1256" t="s">
        <v>519</v>
      </c>
      <c r="M1256" t="s">
        <v>520</v>
      </c>
      <c r="N1256" t="s">
        <v>571</v>
      </c>
      <c r="O1256" t="s">
        <v>957</v>
      </c>
      <c r="P1256" t="s">
        <v>654</v>
      </c>
      <c r="Q1256" t="s">
        <v>638</v>
      </c>
      <c r="R1256" t="s">
        <v>708</v>
      </c>
      <c r="S1256" t="s">
        <v>958</v>
      </c>
      <c r="T1256" t="s">
        <v>709</v>
      </c>
      <c r="U1256">
        <v>136001</v>
      </c>
      <c r="V1256" t="s">
        <v>4978</v>
      </c>
      <c r="W1256" t="s">
        <v>860</v>
      </c>
      <c r="X1256" t="s">
        <v>6131</v>
      </c>
      <c r="Y1256" t="s">
        <v>7889</v>
      </c>
      <c r="Z1256" t="s">
        <v>4153</v>
      </c>
      <c r="AA1256" t="s">
        <v>7890</v>
      </c>
      <c r="AB1256" t="s">
        <v>6133</v>
      </c>
      <c r="AC1256">
        <v>99188</v>
      </c>
      <c r="AD1256" t="s">
        <v>786</v>
      </c>
      <c r="AE1256">
        <v>-36.863424190000003</v>
      </c>
      <c r="AF1256">
        <v>174.75626457000001</v>
      </c>
      <c r="AG1256">
        <v>23</v>
      </c>
      <c r="AH1256">
        <v>15</v>
      </c>
      <c r="AI1256">
        <v>3</v>
      </c>
      <c r="AJ1256">
        <v>9</v>
      </c>
      <c r="AK1256">
        <v>9</v>
      </c>
      <c r="AL1256">
        <v>3</v>
      </c>
      <c r="AM1256">
        <v>1</v>
      </c>
      <c r="AN1256">
        <v>0</v>
      </c>
      <c r="AO1256">
        <v>25</v>
      </c>
      <c r="AP1256">
        <v>12</v>
      </c>
      <c r="AQ1256">
        <v>0</v>
      </c>
      <c r="AR1256">
        <v>2</v>
      </c>
      <c r="AS1256">
        <v>4</v>
      </c>
      <c r="AT1256">
        <v>13</v>
      </c>
    </row>
    <row r="1257" spans="1:46">
      <c r="A1257">
        <v>25273</v>
      </c>
      <c r="B1257" t="s">
        <v>7891</v>
      </c>
      <c r="C1257" t="s">
        <v>7892</v>
      </c>
      <c r="E1257" t="s">
        <v>7893</v>
      </c>
      <c r="G1257" t="s">
        <v>1246</v>
      </c>
      <c r="H1257" t="s">
        <v>343</v>
      </c>
      <c r="J1257" t="s">
        <v>518</v>
      </c>
      <c r="K1257" t="s">
        <v>519</v>
      </c>
      <c r="L1257" t="s">
        <v>4205</v>
      </c>
      <c r="M1257" t="s">
        <v>520</v>
      </c>
      <c r="N1257" t="s">
        <v>727</v>
      </c>
      <c r="O1257" t="s">
        <v>1351</v>
      </c>
      <c r="P1257" t="s">
        <v>540</v>
      </c>
      <c r="Q1257" t="s">
        <v>1299</v>
      </c>
      <c r="R1257" t="s">
        <v>729</v>
      </c>
      <c r="S1257" t="s">
        <v>1246</v>
      </c>
      <c r="T1257" t="s">
        <v>1235</v>
      </c>
      <c r="U1257">
        <v>170400</v>
      </c>
      <c r="V1257" t="s">
        <v>7894</v>
      </c>
      <c r="W1257" t="s">
        <v>7895</v>
      </c>
      <c r="X1257" t="s">
        <v>4207</v>
      </c>
      <c r="Y1257" t="s">
        <v>4208</v>
      </c>
      <c r="Z1257" t="s">
        <v>4209</v>
      </c>
      <c r="AA1257" t="s">
        <v>4210</v>
      </c>
      <c r="AE1257">
        <v>-37.391037429999997</v>
      </c>
      <c r="AF1257">
        <v>174.72681933000001</v>
      </c>
      <c r="AG1257">
        <v>20</v>
      </c>
      <c r="AH1257">
        <v>4</v>
      </c>
      <c r="AI1257">
        <v>0</v>
      </c>
      <c r="AJ1257">
        <v>0</v>
      </c>
      <c r="AK1257">
        <v>4</v>
      </c>
      <c r="AL1257">
        <v>6</v>
      </c>
      <c r="AM1257">
        <v>5</v>
      </c>
      <c r="AN1257">
        <v>0</v>
      </c>
      <c r="AO1257">
        <v>15</v>
      </c>
      <c r="AP1257">
        <v>0</v>
      </c>
      <c r="AQ1257">
        <v>14</v>
      </c>
      <c r="AR1257">
        <v>0</v>
      </c>
      <c r="AS1257">
        <v>0</v>
      </c>
      <c r="AT1257">
        <v>1</v>
      </c>
    </row>
    <row r="1258" spans="1:46">
      <c r="A1258">
        <v>25275</v>
      </c>
      <c r="B1258" t="s">
        <v>7896</v>
      </c>
      <c r="C1258" t="s">
        <v>7897</v>
      </c>
      <c r="D1258" t="s">
        <v>7898</v>
      </c>
      <c r="E1258" t="s">
        <v>7899</v>
      </c>
      <c r="F1258" t="s">
        <v>5104</v>
      </c>
      <c r="G1258" t="s">
        <v>652</v>
      </c>
      <c r="H1258" t="s">
        <v>3942</v>
      </c>
      <c r="J1258" t="s">
        <v>518</v>
      </c>
      <c r="K1258" t="s">
        <v>519</v>
      </c>
      <c r="M1258" t="s">
        <v>520</v>
      </c>
      <c r="N1258" t="s">
        <v>539</v>
      </c>
      <c r="O1258" t="s">
        <v>707</v>
      </c>
      <c r="P1258" t="s">
        <v>654</v>
      </c>
      <c r="Q1258" t="s">
        <v>638</v>
      </c>
      <c r="R1258" t="s">
        <v>729</v>
      </c>
      <c r="S1258" t="s">
        <v>778</v>
      </c>
      <c r="T1258" t="s">
        <v>709</v>
      </c>
      <c r="U1258">
        <v>157500</v>
      </c>
      <c r="V1258" t="s">
        <v>6406</v>
      </c>
      <c r="W1258" t="s">
        <v>711</v>
      </c>
      <c r="X1258" t="s">
        <v>7900</v>
      </c>
      <c r="Y1258" t="s">
        <v>7901</v>
      </c>
      <c r="Z1258" t="s">
        <v>6408</v>
      </c>
      <c r="AA1258" t="s">
        <v>7902</v>
      </c>
      <c r="AB1258" t="s">
        <v>7897</v>
      </c>
      <c r="AE1258">
        <v>-36.979449279999997</v>
      </c>
      <c r="AF1258">
        <v>174.90055565</v>
      </c>
      <c r="AG1258">
        <v>40</v>
      </c>
      <c r="AH1258">
        <v>0</v>
      </c>
      <c r="AI1258">
        <v>0</v>
      </c>
      <c r="AJ1258">
        <v>0</v>
      </c>
      <c r="AK1258">
        <v>0</v>
      </c>
      <c r="AL1258">
        <v>14</v>
      </c>
      <c r="AM1258">
        <v>25</v>
      </c>
      <c r="AN1258">
        <v>0</v>
      </c>
      <c r="AO1258">
        <v>39</v>
      </c>
      <c r="AP1258">
        <v>5</v>
      </c>
      <c r="AQ1258">
        <v>5</v>
      </c>
      <c r="AR1258">
        <v>22</v>
      </c>
      <c r="AS1258">
        <v>17</v>
      </c>
      <c r="AT1258">
        <v>0</v>
      </c>
    </row>
    <row r="1259" spans="1:46">
      <c r="A1259">
        <v>25277</v>
      </c>
      <c r="B1259" t="s">
        <v>7903</v>
      </c>
      <c r="C1259" t="s">
        <v>7270</v>
      </c>
      <c r="D1259" t="s">
        <v>7266</v>
      </c>
      <c r="E1259" t="s">
        <v>7267</v>
      </c>
      <c r="G1259" t="s">
        <v>1234</v>
      </c>
      <c r="H1259" t="s">
        <v>3942</v>
      </c>
      <c r="J1259" t="s">
        <v>3962</v>
      </c>
      <c r="K1259" t="s">
        <v>519</v>
      </c>
      <c r="M1259" t="s">
        <v>520</v>
      </c>
      <c r="N1259" t="s">
        <v>571</v>
      </c>
      <c r="O1259" t="s">
        <v>1268</v>
      </c>
      <c r="P1259" t="s">
        <v>654</v>
      </c>
      <c r="Q1259" t="s">
        <v>638</v>
      </c>
      <c r="R1259" t="s">
        <v>729</v>
      </c>
      <c r="S1259" t="s">
        <v>1234</v>
      </c>
      <c r="T1259" t="s">
        <v>1235</v>
      </c>
      <c r="U1259">
        <v>162500</v>
      </c>
      <c r="V1259" t="s">
        <v>5019</v>
      </c>
      <c r="W1259" t="s">
        <v>1219</v>
      </c>
      <c r="X1259" t="s">
        <v>7268</v>
      </c>
      <c r="Y1259" t="s">
        <v>7269</v>
      </c>
      <c r="Z1259" t="s">
        <v>1234</v>
      </c>
      <c r="AA1259" t="s">
        <v>6018</v>
      </c>
      <c r="AB1259" t="s">
        <v>7270</v>
      </c>
      <c r="AE1259">
        <v>-37.069441869999999</v>
      </c>
      <c r="AF1259">
        <v>174.926411</v>
      </c>
      <c r="AG1259">
        <v>90</v>
      </c>
      <c r="AH1259">
        <v>50</v>
      </c>
      <c r="AI1259">
        <v>4</v>
      </c>
      <c r="AJ1259">
        <v>27</v>
      </c>
      <c r="AK1259">
        <v>9</v>
      </c>
      <c r="AL1259">
        <v>16</v>
      </c>
      <c r="AM1259">
        <v>12</v>
      </c>
      <c r="AN1259">
        <v>0</v>
      </c>
      <c r="AO1259">
        <v>68</v>
      </c>
      <c r="AP1259">
        <v>44</v>
      </c>
      <c r="AQ1259">
        <v>17</v>
      </c>
      <c r="AR1259">
        <v>10</v>
      </c>
      <c r="AS1259">
        <v>23</v>
      </c>
      <c r="AT1259">
        <v>2</v>
      </c>
    </row>
    <row r="1260" spans="1:46">
      <c r="A1260">
        <v>25278</v>
      </c>
      <c r="B1260" t="s">
        <v>7904</v>
      </c>
      <c r="C1260" t="s">
        <v>7905</v>
      </c>
      <c r="D1260" t="s">
        <v>7906</v>
      </c>
      <c r="E1260" t="s">
        <v>7907</v>
      </c>
      <c r="F1260" t="s">
        <v>1036</v>
      </c>
      <c r="G1260" t="s">
        <v>652</v>
      </c>
      <c r="H1260" t="s">
        <v>3942</v>
      </c>
      <c r="J1260" t="s">
        <v>518</v>
      </c>
      <c r="K1260" t="s">
        <v>519</v>
      </c>
      <c r="M1260" t="s">
        <v>520</v>
      </c>
      <c r="N1260" t="s">
        <v>539</v>
      </c>
      <c r="O1260" t="s">
        <v>1216</v>
      </c>
      <c r="P1260" t="s">
        <v>654</v>
      </c>
      <c r="Q1260" t="s">
        <v>638</v>
      </c>
      <c r="R1260" t="s">
        <v>729</v>
      </c>
      <c r="S1260" t="s">
        <v>1217</v>
      </c>
      <c r="T1260" t="s">
        <v>709</v>
      </c>
      <c r="U1260">
        <v>161201</v>
      </c>
      <c r="V1260" t="s">
        <v>7908</v>
      </c>
      <c r="W1260" t="s">
        <v>1219</v>
      </c>
      <c r="X1260" t="s">
        <v>3943</v>
      </c>
      <c r="Y1260" t="s">
        <v>3944</v>
      </c>
      <c r="Z1260" t="s">
        <v>3945</v>
      </c>
      <c r="AA1260" t="s">
        <v>3946</v>
      </c>
      <c r="AB1260" t="s">
        <v>3947</v>
      </c>
      <c r="AC1260">
        <v>99186</v>
      </c>
      <c r="AD1260" t="s">
        <v>1224</v>
      </c>
      <c r="AE1260">
        <v>-37.03982362</v>
      </c>
      <c r="AF1260">
        <v>174.89669408</v>
      </c>
      <c r="AG1260">
        <v>70</v>
      </c>
      <c r="AH1260">
        <v>20</v>
      </c>
      <c r="AI1260">
        <v>4</v>
      </c>
      <c r="AJ1260">
        <v>10</v>
      </c>
      <c r="AK1260">
        <v>17</v>
      </c>
      <c r="AL1260">
        <v>17</v>
      </c>
      <c r="AM1260">
        <v>16</v>
      </c>
      <c r="AN1260">
        <v>0</v>
      </c>
      <c r="AO1260">
        <v>64</v>
      </c>
      <c r="AP1260">
        <v>9</v>
      </c>
      <c r="AQ1260">
        <v>17</v>
      </c>
      <c r="AR1260">
        <v>27</v>
      </c>
      <c r="AS1260">
        <v>31</v>
      </c>
      <c r="AT1260">
        <v>2</v>
      </c>
    </row>
    <row r="1261" spans="1:46">
      <c r="A1261">
        <v>25281</v>
      </c>
      <c r="B1261" t="s">
        <v>7909</v>
      </c>
      <c r="C1261" t="s">
        <v>7910</v>
      </c>
      <c r="D1261" t="s">
        <v>7911</v>
      </c>
      <c r="E1261" t="s">
        <v>7912</v>
      </c>
      <c r="F1261" t="s">
        <v>7819</v>
      </c>
      <c r="G1261" t="s">
        <v>652</v>
      </c>
      <c r="H1261" t="s">
        <v>3942</v>
      </c>
      <c r="J1261" t="s">
        <v>3962</v>
      </c>
      <c r="K1261" t="s">
        <v>519</v>
      </c>
      <c r="M1261" t="s">
        <v>520</v>
      </c>
      <c r="N1261" t="s">
        <v>4519</v>
      </c>
      <c r="O1261" t="s">
        <v>707</v>
      </c>
      <c r="P1261" t="s">
        <v>654</v>
      </c>
      <c r="Q1261" t="s">
        <v>638</v>
      </c>
      <c r="R1261" t="s">
        <v>708</v>
      </c>
      <c r="S1261" t="s">
        <v>778</v>
      </c>
      <c r="T1261" t="s">
        <v>709</v>
      </c>
      <c r="U1261">
        <v>153400</v>
      </c>
      <c r="V1261" t="s">
        <v>7819</v>
      </c>
      <c r="W1261" t="s">
        <v>711</v>
      </c>
      <c r="X1261" t="s">
        <v>4483</v>
      </c>
      <c r="Y1261" t="s">
        <v>7913</v>
      </c>
      <c r="Z1261" t="s">
        <v>777</v>
      </c>
      <c r="AA1261" t="s">
        <v>5171</v>
      </c>
      <c r="AC1261">
        <v>99127</v>
      </c>
      <c r="AD1261" t="s">
        <v>3936</v>
      </c>
      <c r="AE1261">
        <v>-36.896635860000004</v>
      </c>
      <c r="AF1261">
        <v>174.94512764000001</v>
      </c>
      <c r="AG1261">
        <v>38</v>
      </c>
      <c r="AH1261">
        <v>10</v>
      </c>
      <c r="AI1261">
        <v>0</v>
      </c>
      <c r="AJ1261">
        <v>0</v>
      </c>
      <c r="AK1261">
        <v>2</v>
      </c>
      <c r="AL1261">
        <v>12</v>
      </c>
      <c r="AM1261">
        <v>7</v>
      </c>
      <c r="AN1261">
        <v>1</v>
      </c>
      <c r="AO1261">
        <v>22</v>
      </c>
      <c r="AP1261">
        <v>17</v>
      </c>
      <c r="AQ1261">
        <v>1</v>
      </c>
      <c r="AR1261">
        <v>0</v>
      </c>
      <c r="AS1261">
        <v>4</v>
      </c>
      <c r="AT1261">
        <v>1</v>
      </c>
    </row>
    <row r="1262" spans="1:46">
      <c r="A1262">
        <v>25282</v>
      </c>
      <c r="B1262" t="s">
        <v>7914</v>
      </c>
      <c r="D1262" t="s">
        <v>7915</v>
      </c>
      <c r="E1262" t="s">
        <v>7916</v>
      </c>
      <c r="G1262" t="s">
        <v>6510</v>
      </c>
      <c r="H1262" t="s">
        <v>3942</v>
      </c>
      <c r="I1262" t="s">
        <v>3953</v>
      </c>
      <c r="J1262" t="s">
        <v>518</v>
      </c>
      <c r="K1262" t="s">
        <v>519</v>
      </c>
      <c r="M1262" t="s">
        <v>520</v>
      </c>
      <c r="N1262" t="s">
        <v>571</v>
      </c>
      <c r="O1262" t="s">
        <v>637</v>
      </c>
      <c r="P1262" t="s">
        <v>523</v>
      </c>
      <c r="Q1262" t="s">
        <v>638</v>
      </c>
      <c r="R1262" t="s">
        <v>639</v>
      </c>
      <c r="S1262" t="s">
        <v>640</v>
      </c>
      <c r="T1262" t="s">
        <v>527</v>
      </c>
      <c r="U1262">
        <v>111700</v>
      </c>
      <c r="V1262" t="s">
        <v>6510</v>
      </c>
      <c r="W1262" t="s">
        <v>641</v>
      </c>
      <c r="X1262" t="s">
        <v>6184</v>
      </c>
      <c r="Y1262" t="s">
        <v>6185</v>
      </c>
      <c r="AA1262" t="s">
        <v>4513</v>
      </c>
      <c r="AC1262">
        <v>99210</v>
      </c>
      <c r="AD1262" t="s">
        <v>3957</v>
      </c>
      <c r="AE1262">
        <v>-36.429244240000003</v>
      </c>
      <c r="AF1262">
        <v>174.73087781999999</v>
      </c>
      <c r="AG1262">
        <v>50</v>
      </c>
      <c r="AH1262">
        <v>15</v>
      </c>
      <c r="AI1262">
        <v>0</v>
      </c>
      <c r="AJ1262">
        <v>0</v>
      </c>
      <c r="AK1262">
        <v>6</v>
      </c>
      <c r="AL1262">
        <v>6</v>
      </c>
      <c r="AM1262">
        <v>14</v>
      </c>
      <c r="AN1262">
        <v>4</v>
      </c>
      <c r="AO1262">
        <v>30</v>
      </c>
      <c r="AP1262">
        <v>23</v>
      </c>
      <c r="AQ1262">
        <v>3</v>
      </c>
      <c r="AR1262">
        <v>3</v>
      </c>
      <c r="AS1262">
        <v>4</v>
      </c>
      <c r="AT1262">
        <v>0</v>
      </c>
    </row>
    <row r="1263" spans="1:46">
      <c r="A1263">
        <v>25283</v>
      </c>
      <c r="B1263" t="s">
        <v>7917</v>
      </c>
      <c r="C1263" t="s">
        <v>7918</v>
      </c>
      <c r="D1263" t="s">
        <v>7919</v>
      </c>
      <c r="E1263" t="s">
        <v>7920</v>
      </c>
      <c r="F1263" t="s">
        <v>726</v>
      </c>
      <c r="G1263" t="s">
        <v>652</v>
      </c>
      <c r="H1263" t="s">
        <v>3942</v>
      </c>
      <c r="I1263" t="s">
        <v>7921</v>
      </c>
      <c r="J1263" t="s">
        <v>518</v>
      </c>
      <c r="K1263" t="s">
        <v>519</v>
      </c>
      <c r="M1263" t="s">
        <v>520</v>
      </c>
      <c r="N1263" t="s">
        <v>521</v>
      </c>
      <c r="O1263" t="s">
        <v>728</v>
      </c>
      <c r="P1263" t="s">
        <v>654</v>
      </c>
      <c r="Q1263" t="s">
        <v>638</v>
      </c>
      <c r="R1263" t="s">
        <v>729</v>
      </c>
      <c r="S1263" t="s">
        <v>730</v>
      </c>
      <c r="T1263" t="s">
        <v>709</v>
      </c>
      <c r="U1263">
        <v>155701</v>
      </c>
      <c r="V1263" t="s">
        <v>5005</v>
      </c>
      <c r="W1263" t="s">
        <v>732</v>
      </c>
      <c r="X1263" t="s">
        <v>7922</v>
      </c>
      <c r="Y1263" t="s">
        <v>4225</v>
      </c>
      <c r="Z1263" t="s">
        <v>726</v>
      </c>
      <c r="AA1263" t="s">
        <v>7923</v>
      </c>
      <c r="AE1263">
        <v>-36.968682489999999</v>
      </c>
      <c r="AF1263">
        <v>174.87848880000001</v>
      </c>
      <c r="AG1263">
        <v>100</v>
      </c>
      <c r="AH1263">
        <v>15</v>
      </c>
      <c r="AI1263">
        <v>0</v>
      </c>
      <c r="AJ1263">
        <v>0</v>
      </c>
      <c r="AK1263">
        <v>4</v>
      </c>
      <c r="AL1263">
        <v>7</v>
      </c>
      <c r="AM1263">
        <v>6</v>
      </c>
      <c r="AN1263">
        <v>1</v>
      </c>
      <c r="AO1263">
        <v>18</v>
      </c>
      <c r="AP1263">
        <v>0</v>
      </c>
      <c r="AQ1263">
        <v>1</v>
      </c>
      <c r="AR1263">
        <v>17</v>
      </c>
      <c r="AS1263">
        <v>0</v>
      </c>
      <c r="AT1263">
        <v>0</v>
      </c>
    </row>
    <row r="1264" spans="1:46">
      <c r="A1264">
        <v>25284</v>
      </c>
      <c r="B1264" t="s">
        <v>7924</v>
      </c>
      <c r="C1264" t="s">
        <v>7925</v>
      </c>
      <c r="D1264" t="s">
        <v>6813</v>
      </c>
      <c r="E1264" t="s">
        <v>7926</v>
      </c>
      <c r="G1264" t="s">
        <v>1261</v>
      </c>
      <c r="H1264" t="s">
        <v>298</v>
      </c>
      <c r="J1264" t="s">
        <v>518</v>
      </c>
      <c r="K1264" t="s">
        <v>519</v>
      </c>
      <c r="M1264" t="s">
        <v>520</v>
      </c>
      <c r="N1264" t="s">
        <v>571</v>
      </c>
      <c r="O1264" t="s">
        <v>1233</v>
      </c>
      <c r="P1264" t="s">
        <v>1262</v>
      </c>
      <c r="Q1264" t="s">
        <v>638</v>
      </c>
      <c r="R1264" t="s">
        <v>729</v>
      </c>
      <c r="S1264" t="s">
        <v>1246</v>
      </c>
      <c r="T1264" t="s">
        <v>1235</v>
      </c>
      <c r="U1264">
        <v>165400</v>
      </c>
      <c r="V1264" t="s">
        <v>7927</v>
      </c>
      <c r="W1264" t="s">
        <v>1237</v>
      </c>
      <c r="X1264" t="s">
        <v>6816</v>
      </c>
      <c r="Y1264" t="s">
        <v>5187</v>
      </c>
      <c r="AA1264" t="s">
        <v>5188</v>
      </c>
      <c r="AE1264">
        <v>-37.184750739999998</v>
      </c>
      <c r="AF1264">
        <v>174.94497659999999</v>
      </c>
      <c r="AG1264">
        <v>30</v>
      </c>
      <c r="AH1264">
        <v>10</v>
      </c>
      <c r="AI1264">
        <v>1</v>
      </c>
      <c r="AJ1264">
        <v>1</v>
      </c>
      <c r="AK1264">
        <v>2</v>
      </c>
      <c r="AL1264">
        <v>2</v>
      </c>
      <c r="AM1264">
        <v>0</v>
      </c>
      <c r="AN1264">
        <v>0</v>
      </c>
      <c r="AO1264">
        <v>6</v>
      </c>
      <c r="AP1264">
        <v>5</v>
      </c>
      <c r="AQ1264">
        <v>0</v>
      </c>
      <c r="AR1264">
        <v>0</v>
      </c>
      <c r="AS1264">
        <v>4</v>
      </c>
      <c r="AT1264">
        <v>0</v>
      </c>
    </row>
    <row r="1265" spans="1:46">
      <c r="A1265">
        <v>25286</v>
      </c>
      <c r="B1265" t="s">
        <v>7928</v>
      </c>
      <c r="C1265" t="s">
        <v>7929</v>
      </c>
      <c r="D1265" t="s">
        <v>7930</v>
      </c>
      <c r="E1265" t="s">
        <v>7931</v>
      </c>
      <c r="F1265" t="s">
        <v>4122</v>
      </c>
      <c r="G1265" t="s">
        <v>652</v>
      </c>
      <c r="H1265" t="s">
        <v>3942</v>
      </c>
      <c r="I1265" t="s">
        <v>3953</v>
      </c>
      <c r="J1265" t="s">
        <v>518</v>
      </c>
      <c r="K1265" t="s">
        <v>519</v>
      </c>
      <c r="M1265" t="s">
        <v>520</v>
      </c>
      <c r="N1265" t="s">
        <v>4519</v>
      </c>
      <c r="O1265" t="s">
        <v>707</v>
      </c>
      <c r="P1265" t="s">
        <v>654</v>
      </c>
      <c r="Q1265" t="s">
        <v>638</v>
      </c>
      <c r="R1265" t="s">
        <v>708</v>
      </c>
      <c r="S1265" t="s">
        <v>706</v>
      </c>
      <c r="T1265" t="s">
        <v>709</v>
      </c>
      <c r="U1265">
        <v>151301</v>
      </c>
      <c r="V1265" t="s">
        <v>4123</v>
      </c>
      <c r="W1265" t="s">
        <v>711</v>
      </c>
      <c r="X1265" t="s">
        <v>7932</v>
      </c>
      <c r="Y1265" t="s">
        <v>7931</v>
      </c>
      <c r="Z1265" t="s">
        <v>4125</v>
      </c>
      <c r="AA1265" t="s">
        <v>7933</v>
      </c>
      <c r="AB1265" t="s">
        <v>7929</v>
      </c>
      <c r="AE1265">
        <v>-36.902861059999999</v>
      </c>
      <c r="AF1265">
        <v>174.9047889</v>
      </c>
      <c r="AG1265">
        <v>16</v>
      </c>
      <c r="AH1265">
        <v>5</v>
      </c>
      <c r="AI1265">
        <v>0</v>
      </c>
      <c r="AJ1265">
        <v>1</v>
      </c>
      <c r="AK1265">
        <v>13</v>
      </c>
      <c r="AL1265">
        <v>9</v>
      </c>
      <c r="AM1265">
        <v>2</v>
      </c>
      <c r="AN1265">
        <v>1</v>
      </c>
      <c r="AO1265">
        <v>26</v>
      </c>
      <c r="AP1265">
        <v>23</v>
      </c>
      <c r="AQ1265">
        <v>2</v>
      </c>
      <c r="AR1265">
        <v>1</v>
      </c>
      <c r="AS1265">
        <v>4</v>
      </c>
      <c r="AT1265">
        <v>3</v>
      </c>
    </row>
    <row r="1266" spans="1:46">
      <c r="A1266">
        <v>25288</v>
      </c>
      <c r="B1266" t="s">
        <v>7934</v>
      </c>
      <c r="C1266" t="s">
        <v>4755</v>
      </c>
      <c r="E1266" t="s">
        <v>7935</v>
      </c>
      <c r="F1266" t="s">
        <v>1072</v>
      </c>
      <c r="G1266" t="s">
        <v>652</v>
      </c>
      <c r="H1266" t="s">
        <v>4032</v>
      </c>
      <c r="I1266" t="s">
        <v>4033</v>
      </c>
      <c r="J1266" t="s">
        <v>518</v>
      </c>
      <c r="K1266" t="s">
        <v>519</v>
      </c>
      <c r="M1266" t="s">
        <v>520</v>
      </c>
      <c r="N1266" t="s">
        <v>727</v>
      </c>
      <c r="O1266" t="s">
        <v>728</v>
      </c>
      <c r="P1266" t="s">
        <v>654</v>
      </c>
      <c r="Q1266" t="s">
        <v>638</v>
      </c>
      <c r="R1266" t="s">
        <v>729</v>
      </c>
      <c r="S1266" t="s">
        <v>730</v>
      </c>
      <c r="T1266" t="s">
        <v>709</v>
      </c>
      <c r="U1266">
        <v>152700</v>
      </c>
      <c r="V1266" t="s">
        <v>4757</v>
      </c>
      <c r="W1266" t="s">
        <v>732</v>
      </c>
      <c r="X1266" t="s">
        <v>4758</v>
      </c>
      <c r="Y1266" t="s">
        <v>4759</v>
      </c>
      <c r="AA1266" t="s">
        <v>4760</v>
      </c>
      <c r="AE1266">
        <v>-36.96327445</v>
      </c>
      <c r="AF1266">
        <v>174.84000061</v>
      </c>
      <c r="AG1266">
        <v>26</v>
      </c>
      <c r="AH1266">
        <v>15</v>
      </c>
    </row>
    <row r="1267" spans="1:46">
      <c r="A1267">
        <v>25291</v>
      </c>
      <c r="B1267" t="s">
        <v>7936</v>
      </c>
      <c r="C1267" t="s">
        <v>7937</v>
      </c>
      <c r="D1267" t="s">
        <v>7558</v>
      </c>
      <c r="E1267" t="s">
        <v>7938</v>
      </c>
      <c r="F1267" t="s">
        <v>1035</v>
      </c>
      <c r="G1267" t="s">
        <v>652</v>
      </c>
      <c r="H1267" t="s">
        <v>3942</v>
      </c>
      <c r="J1267" t="s">
        <v>3962</v>
      </c>
      <c r="K1267" t="s">
        <v>519</v>
      </c>
      <c r="M1267" t="s">
        <v>520</v>
      </c>
      <c r="N1267" t="s">
        <v>539</v>
      </c>
      <c r="O1267" t="s">
        <v>728</v>
      </c>
      <c r="P1267" t="s">
        <v>654</v>
      </c>
      <c r="Q1267" t="s">
        <v>638</v>
      </c>
      <c r="R1267" t="s">
        <v>729</v>
      </c>
      <c r="S1267" t="s">
        <v>730</v>
      </c>
      <c r="T1267" t="s">
        <v>709</v>
      </c>
      <c r="U1267">
        <v>154902</v>
      </c>
      <c r="V1267" t="s">
        <v>7832</v>
      </c>
      <c r="W1267" t="s">
        <v>732</v>
      </c>
      <c r="X1267" t="s">
        <v>7561</v>
      </c>
      <c r="Y1267" t="s">
        <v>7562</v>
      </c>
      <c r="Z1267" t="s">
        <v>1283</v>
      </c>
      <c r="AA1267" t="s">
        <v>5000</v>
      </c>
      <c r="AB1267" t="s">
        <v>7563</v>
      </c>
      <c r="AE1267">
        <v>-36.973282750000003</v>
      </c>
      <c r="AF1267">
        <v>174.86379908000001</v>
      </c>
      <c r="AG1267">
        <v>50</v>
      </c>
      <c r="AH1267">
        <v>0</v>
      </c>
      <c r="AI1267">
        <v>0</v>
      </c>
      <c r="AJ1267">
        <v>0</v>
      </c>
      <c r="AK1267">
        <v>4</v>
      </c>
      <c r="AL1267">
        <v>20</v>
      </c>
      <c r="AM1267">
        <v>17</v>
      </c>
      <c r="AN1267">
        <v>4</v>
      </c>
      <c r="AO1267">
        <v>45</v>
      </c>
      <c r="AP1267">
        <v>1</v>
      </c>
      <c r="AQ1267">
        <v>3</v>
      </c>
      <c r="AR1267">
        <v>11</v>
      </c>
      <c r="AS1267">
        <v>32</v>
      </c>
      <c r="AT1267">
        <v>0</v>
      </c>
    </row>
    <row r="1268" spans="1:46">
      <c r="A1268">
        <v>25292</v>
      </c>
      <c r="B1268" t="s">
        <v>7939</v>
      </c>
      <c r="C1268" t="s">
        <v>7940</v>
      </c>
      <c r="D1268" t="s">
        <v>7941</v>
      </c>
      <c r="E1268" t="s">
        <v>7942</v>
      </c>
      <c r="F1268" t="s">
        <v>791</v>
      </c>
      <c r="G1268" t="s">
        <v>652</v>
      </c>
      <c r="H1268" t="s">
        <v>3942</v>
      </c>
      <c r="J1268" t="s">
        <v>3962</v>
      </c>
      <c r="K1268" t="s">
        <v>519</v>
      </c>
      <c r="M1268" t="s">
        <v>520</v>
      </c>
      <c r="N1268" t="s">
        <v>4519</v>
      </c>
      <c r="O1268" t="s">
        <v>707</v>
      </c>
      <c r="P1268" t="s">
        <v>654</v>
      </c>
      <c r="Q1268" t="s">
        <v>638</v>
      </c>
      <c r="R1268" t="s">
        <v>708</v>
      </c>
      <c r="S1268" t="s">
        <v>706</v>
      </c>
      <c r="T1268" t="s">
        <v>709</v>
      </c>
      <c r="U1268">
        <v>150400</v>
      </c>
      <c r="V1268" t="s">
        <v>7294</v>
      </c>
      <c r="W1268" t="s">
        <v>711</v>
      </c>
      <c r="X1268" t="s">
        <v>7943</v>
      </c>
      <c r="Y1268" t="s">
        <v>7944</v>
      </c>
      <c r="Z1268" t="s">
        <v>791</v>
      </c>
      <c r="AA1268" t="s">
        <v>5171</v>
      </c>
      <c r="AB1268" t="s">
        <v>7945</v>
      </c>
      <c r="AE1268">
        <v>-36.89447054</v>
      </c>
      <c r="AF1268">
        <v>174.9133425</v>
      </c>
      <c r="AG1268">
        <v>55</v>
      </c>
      <c r="AH1268">
        <v>15</v>
      </c>
      <c r="AI1268">
        <v>1</v>
      </c>
      <c r="AJ1268">
        <v>9</v>
      </c>
      <c r="AK1268">
        <v>15</v>
      </c>
      <c r="AL1268">
        <v>19</v>
      </c>
      <c r="AM1268">
        <v>16</v>
      </c>
      <c r="AN1268">
        <v>0</v>
      </c>
      <c r="AO1268">
        <v>60</v>
      </c>
      <c r="AP1268">
        <v>47</v>
      </c>
      <c r="AQ1268">
        <v>4</v>
      </c>
      <c r="AR1268">
        <v>1</v>
      </c>
      <c r="AS1268">
        <v>17</v>
      </c>
      <c r="AT1268">
        <v>2</v>
      </c>
    </row>
    <row r="1269" spans="1:46">
      <c r="A1269">
        <v>25298</v>
      </c>
      <c r="B1269" t="s">
        <v>7946</v>
      </c>
      <c r="C1269" t="s">
        <v>7947</v>
      </c>
      <c r="D1269" t="s">
        <v>7948</v>
      </c>
      <c r="E1269" t="s">
        <v>7949</v>
      </c>
      <c r="F1269" t="s">
        <v>1036</v>
      </c>
      <c r="G1269" t="s">
        <v>652</v>
      </c>
      <c r="H1269" t="s">
        <v>3942</v>
      </c>
      <c r="J1269" t="s">
        <v>518</v>
      </c>
      <c r="K1269" t="s">
        <v>519</v>
      </c>
      <c r="M1269" t="s">
        <v>520</v>
      </c>
      <c r="N1269" t="s">
        <v>521</v>
      </c>
      <c r="O1269" t="s">
        <v>1216</v>
      </c>
      <c r="P1269" t="s">
        <v>654</v>
      </c>
      <c r="Q1269" t="s">
        <v>638</v>
      </c>
      <c r="R1269" t="s">
        <v>729</v>
      </c>
      <c r="S1269" t="s">
        <v>1036</v>
      </c>
      <c r="T1269" t="s">
        <v>709</v>
      </c>
      <c r="U1269">
        <v>159202</v>
      </c>
      <c r="V1269" t="s">
        <v>7399</v>
      </c>
      <c r="W1269" t="s">
        <v>1219</v>
      </c>
      <c r="X1269" t="s">
        <v>3943</v>
      </c>
      <c r="Y1269" t="s">
        <v>3944</v>
      </c>
      <c r="Z1269" t="s">
        <v>3945</v>
      </c>
      <c r="AA1269" t="s">
        <v>3946</v>
      </c>
      <c r="AB1269" t="s">
        <v>3947</v>
      </c>
      <c r="AE1269">
        <v>-37.020205199999999</v>
      </c>
      <c r="AF1269">
        <v>174.88171578999999</v>
      </c>
      <c r="AG1269">
        <v>67</v>
      </c>
      <c r="AH1269">
        <v>15</v>
      </c>
      <c r="AI1269">
        <v>1</v>
      </c>
      <c r="AJ1269">
        <v>8</v>
      </c>
      <c r="AK1269">
        <v>16</v>
      </c>
      <c r="AL1269">
        <v>23</v>
      </c>
      <c r="AM1269">
        <v>24</v>
      </c>
      <c r="AN1269">
        <v>0</v>
      </c>
      <c r="AO1269">
        <v>72</v>
      </c>
      <c r="AP1269">
        <v>13</v>
      </c>
      <c r="AQ1269">
        <v>13</v>
      </c>
      <c r="AR1269">
        <v>36</v>
      </c>
      <c r="AS1269">
        <v>28</v>
      </c>
      <c r="AT1269">
        <v>7</v>
      </c>
    </row>
    <row r="1270" spans="1:46">
      <c r="A1270">
        <v>25299</v>
      </c>
      <c r="B1270" t="s">
        <v>7950</v>
      </c>
      <c r="C1270" t="s">
        <v>7951</v>
      </c>
      <c r="E1270" t="s">
        <v>7952</v>
      </c>
      <c r="F1270" t="s">
        <v>726</v>
      </c>
      <c r="G1270" t="s">
        <v>652</v>
      </c>
      <c r="H1270" t="s">
        <v>343</v>
      </c>
      <c r="J1270" t="s">
        <v>518</v>
      </c>
      <c r="K1270" t="s">
        <v>519</v>
      </c>
      <c r="L1270" t="s">
        <v>4205</v>
      </c>
      <c r="M1270" t="s">
        <v>520</v>
      </c>
      <c r="N1270" t="s">
        <v>727</v>
      </c>
      <c r="O1270" t="s">
        <v>728</v>
      </c>
      <c r="P1270" t="s">
        <v>654</v>
      </c>
      <c r="Q1270" t="s">
        <v>638</v>
      </c>
      <c r="R1270" t="s">
        <v>729</v>
      </c>
      <c r="S1270" t="s">
        <v>730</v>
      </c>
      <c r="T1270" t="s">
        <v>709</v>
      </c>
      <c r="U1270">
        <v>155801</v>
      </c>
      <c r="V1270" t="s">
        <v>1212</v>
      </c>
      <c r="W1270" t="s">
        <v>732</v>
      </c>
      <c r="X1270" t="s">
        <v>4207</v>
      </c>
      <c r="Y1270" t="s">
        <v>4208</v>
      </c>
      <c r="Z1270" t="s">
        <v>4209</v>
      </c>
      <c r="AA1270" t="s">
        <v>4210</v>
      </c>
      <c r="AE1270">
        <v>-36.961558080000003</v>
      </c>
      <c r="AF1270">
        <v>174.88677225000001</v>
      </c>
      <c r="AG1270">
        <v>20</v>
      </c>
      <c r="AH1270">
        <v>4</v>
      </c>
      <c r="AI1270">
        <v>0</v>
      </c>
      <c r="AJ1270">
        <v>1</v>
      </c>
      <c r="AK1270">
        <v>4</v>
      </c>
      <c r="AL1270">
        <v>6</v>
      </c>
      <c r="AM1270">
        <v>5</v>
      </c>
      <c r="AN1270">
        <v>0</v>
      </c>
      <c r="AO1270">
        <v>16</v>
      </c>
      <c r="AP1270">
        <v>0</v>
      </c>
      <c r="AQ1270">
        <v>16</v>
      </c>
      <c r="AR1270">
        <v>0</v>
      </c>
      <c r="AS1270">
        <v>0</v>
      </c>
      <c r="AT1270">
        <v>0</v>
      </c>
    </row>
    <row r="1271" spans="1:46">
      <c r="A1271">
        <v>25300</v>
      </c>
      <c r="B1271" t="s">
        <v>7953</v>
      </c>
      <c r="C1271" t="s">
        <v>7954</v>
      </c>
      <c r="D1271" t="s">
        <v>7955</v>
      </c>
      <c r="E1271" t="s">
        <v>7956</v>
      </c>
      <c r="F1271" t="s">
        <v>1036</v>
      </c>
      <c r="G1271" t="s">
        <v>652</v>
      </c>
      <c r="H1271" t="s">
        <v>3942</v>
      </c>
      <c r="J1271" t="s">
        <v>518</v>
      </c>
      <c r="K1271" t="s">
        <v>519</v>
      </c>
      <c r="M1271" t="s">
        <v>520</v>
      </c>
      <c r="N1271" t="s">
        <v>557</v>
      </c>
      <c r="O1271" t="s">
        <v>1216</v>
      </c>
      <c r="P1271" t="s">
        <v>654</v>
      </c>
      <c r="Q1271" t="s">
        <v>638</v>
      </c>
      <c r="R1271" t="s">
        <v>729</v>
      </c>
      <c r="S1271" t="s">
        <v>1036</v>
      </c>
      <c r="T1271" t="s">
        <v>709</v>
      </c>
      <c r="U1271">
        <v>159900</v>
      </c>
      <c r="V1271" t="s">
        <v>1241</v>
      </c>
      <c r="W1271" t="s">
        <v>1219</v>
      </c>
      <c r="X1271" t="s">
        <v>7957</v>
      </c>
      <c r="Y1271" t="s">
        <v>7958</v>
      </c>
      <c r="Z1271" t="s">
        <v>1036</v>
      </c>
      <c r="AA1271" t="s">
        <v>5202</v>
      </c>
      <c r="AB1271" t="s">
        <v>7959</v>
      </c>
      <c r="AE1271">
        <v>-37.032694880000001</v>
      </c>
      <c r="AF1271">
        <v>174.87196800999999</v>
      </c>
      <c r="AG1271">
        <v>24</v>
      </c>
      <c r="AH1271">
        <v>9</v>
      </c>
      <c r="AI1271">
        <v>0</v>
      </c>
      <c r="AJ1271">
        <v>2</v>
      </c>
      <c r="AK1271">
        <v>2</v>
      </c>
      <c r="AL1271">
        <v>6</v>
      </c>
      <c r="AM1271">
        <v>9</v>
      </c>
      <c r="AN1271">
        <v>0</v>
      </c>
      <c r="AO1271">
        <v>19</v>
      </c>
      <c r="AP1271">
        <v>2</v>
      </c>
      <c r="AQ1271">
        <v>7</v>
      </c>
      <c r="AR1271">
        <v>11</v>
      </c>
      <c r="AS1271">
        <v>4</v>
      </c>
      <c r="AT1271">
        <v>0</v>
      </c>
    </row>
    <row r="1272" spans="1:46">
      <c r="A1272">
        <v>25301</v>
      </c>
      <c r="B1272" t="s">
        <v>7960</v>
      </c>
      <c r="C1272" t="s">
        <v>7961</v>
      </c>
      <c r="D1272" t="s">
        <v>7962</v>
      </c>
      <c r="E1272" t="s">
        <v>7963</v>
      </c>
      <c r="F1272" t="s">
        <v>945</v>
      </c>
      <c r="G1272" t="s">
        <v>652</v>
      </c>
      <c r="H1272" t="s">
        <v>3942</v>
      </c>
      <c r="J1272" t="s">
        <v>518</v>
      </c>
      <c r="K1272" t="s">
        <v>519</v>
      </c>
      <c r="M1272" t="s">
        <v>520</v>
      </c>
      <c r="N1272" t="s">
        <v>727</v>
      </c>
      <c r="O1272" t="s">
        <v>848</v>
      </c>
      <c r="P1272" t="s">
        <v>654</v>
      </c>
      <c r="Q1272" t="s">
        <v>638</v>
      </c>
      <c r="R1272" t="s">
        <v>729</v>
      </c>
      <c r="S1272" t="s">
        <v>849</v>
      </c>
      <c r="T1272" t="s">
        <v>709</v>
      </c>
      <c r="U1272">
        <v>151800</v>
      </c>
      <c r="V1272" t="s">
        <v>7420</v>
      </c>
      <c r="W1272" t="s">
        <v>732</v>
      </c>
      <c r="X1272" t="s">
        <v>7964</v>
      </c>
      <c r="Y1272" t="s">
        <v>7965</v>
      </c>
      <c r="Z1272" t="s">
        <v>945</v>
      </c>
      <c r="AA1272" t="s">
        <v>7966</v>
      </c>
      <c r="AC1272">
        <v>99124</v>
      </c>
      <c r="AD1272" t="s">
        <v>4579</v>
      </c>
      <c r="AE1272">
        <v>-36.963230920000001</v>
      </c>
      <c r="AF1272">
        <v>174.82588416999999</v>
      </c>
      <c r="AG1272">
        <v>75</v>
      </c>
      <c r="AH1272">
        <v>15</v>
      </c>
      <c r="AI1272">
        <v>0</v>
      </c>
      <c r="AJ1272">
        <v>8</v>
      </c>
      <c r="AK1272">
        <v>8</v>
      </c>
      <c r="AL1272">
        <v>10</v>
      </c>
      <c r="AM1272">
        <v>15</v>
      </c>
      <c r="AN1272">
        <v>0</v>
      </c>
      <c r="AO1272">
        <v>41</v>
      </c>
      <c r="AP1272">
        <v>4</v>
      </c>
      <c r="AQ1272">
        <v>23</v>
      </c>
      <c r="AR1272">
        <v>27</v>
      </c>
      <c r="AS1272">
        <v>4</v>
      </c>
      <c r="AT1272">
        <v>2</v>
      </c>
    </row>
    <row r="1273" spans="1:46">
      <c r="A1273">
        <v>25302</v>
      </c>
      <c r="B1273" t="s">
        <v>7967</v>
      </c>
      <c r="C1273" t="s">
        <v>7968</v>
      </c>
      <c r="D1273" t="s">
        <v>7100</v>
      </c>
      <c r="E1273" t="s">
        <v>7969</v>
      </c>
      <c r="G1273" t="s">
        <v>636</v>
      </c>
      <c r="H1273" t="s">
        <v>298</v>
      </c>
      <c r="J1273" t="s">
        <v>518</v>
      </c>
      <c r="K1273" t="s">
        <v>519</v>
      </c>
      <c r="M1273" t="s">
        <v>520</v>
      </c>
      <c r="N1273" t="s">
        <v>571</v>
      </c>
      <c r="O1273" t="s">
        <v>637</v>
      </c>
      <c r="P1273" t="s">
        <v>572</v>
      </c>
      <c r="Q1273" t="s">
        <v>638</v>
      </c>
      <c r="R1273" t="s">
        <v>639</v>
      </c>
      <c r="S1273" t="s">
        <v>640</v>
      </c>
      <c r="T1273" t="s">
        <v>527</v>
      </c>
      <c r="U1273">
        <v>110400</v>
      </c>
      <c r="V1273" t="s">
        <v>6680</v>
      </c>
      <c r="W1273" t="s">
        <v>641</v>
      </c>
      <c r="X1273" t="s">
        <v>7094</v>
      </c>
      <c r="Y1273" t="s">
        <v>5187</v>
      </c>
      <c r="AA1273" t="s">
        <v>5188</v>
      </c>
      <c r="AE1273">
        <v>-36.23156024</v>
      </c>
      <c r="AF1273">
        <v>174.63866426999999</v>
      </c>
      <c r="AG1273">
        <v>30</v>
      </c>
      <c r="AH1273">
        <v>15</v>
      </c>
      <c r="AI1273">
        <v>3</v>
      </c>
      <c r="AJ1273">
        <v>2</v>
      </c>
      <c r="AK1273">
        <v>9</v>
      </c>
      <c r="AL1273">
        <v>1</v>
      </c>
      <c r="AM1273">
        <v>4</v>
      </c>
      <c r="AN1273">
        <v>0</v>
      </c>
      <c r="AO1273">
        <v>19</v>
      </c>
      <c r="AP1273">
        <v>19</v>
      </c>
      <c r="AQ1273">
        <v>2</v>
      </c>
      <c r="AR1273">
        <v>0</v>
      </c>
      <c r="AS1273">
        <v>0</v>
      </c>
      <c r="AT1273">
        <v>0</v>
      </c>
    </row>
    <row r="1274" spans="1:46">
      <c r="A1274">
        <v>25304</v>
      </c>
      <c r="B1274" t="s">
        <v>7970</v>
      </c>
      <c r="C1274" t="s">
        <v>7971</v>
      </c>
      <c r="D1274" t="s">
        <v>7972</v>
      </c>
      <c r="E1274" t="s">
        <v>7973</v>
      </c>
      <c r="F1274" t="s">
        <v>1072</v>
      </c>
      <c r="G1274" t="s">
        <v>652</v>
      </c>
      <c r="H1274" t="s">
        <v>3942</v>
      </c>
      <c r="I1274" t="s">
        <v>4165</v>
      </c>
      <c r="J1274" t="s">
        <v>518</v>
      </c>
      <c r="K1274" t="s">
        <v>519</v>
      </c>
      <c r="M1274" t="s">
        <v>520</v>
      </c>
      <c r="N1274" t="s">
        <v>521</v>
      </c>
      <c r="O1274" t="s">
        <v>848</v>
      </c>
      <c r="P1274" t="s">
        <v>654</v>
      </c>
      <c r="Q1274" t="s">
        <v>638</v>
      </c>
      <c r="R1274" t="s">
        <v>729</v>
      </c>
      <c r="S1274" t="s">
        <v>730</v>
      </c>
      <c r="T1274" t="s">
        <v>709</v>
      </c>
      <c r="U1274">
        <v>151400</v>
      </c>
      <c r="V1274" t="s">
        <v>7542</v>
      </c>
      <c r="W1274" t="s">
        <v>732</v>
      </c>
      <c r="X1274" t="s">
        <v>7974</v>
      </c>
      <c r="Y1274" t="s">
        <v>7975</v>
      </c>
      <c r="Z1274" t="s">
        <v>1072</v>
      </c>
      <c r="AA1274" t="s">
        <v>4760</v>
      </c>
      <c r="AB1274" t="s">
        <v>7976</v>
      </c>
      <c r="AE1274">
        <v>-36.944614090000002</v>
      </c>
      <c r="AF1274">
        <v>174.83869086000001</v>
      </c>
      <c r="AG1274">
        <v>60</v>
      </c>
      <c r="AH1274">
        <v>18</v>
      </c>
      <c r="AI1274">
        <v>3</v>
      </c>
      <c r="AJ1274">
        <v>4</v>
      </c>
      <c r="AK1274">
        <v>16</v>
      </c>
      <c r="AL1274">
        <v>13</v>
      </c>
      <c r="AM1274">
        <v>16</v>
      </c>
      <c r="AN1274">
        <v>0</v>
      </c>
      <c r="AO1274">
        <v>52</v>
      </c>
      <c r="AP1274">
        <v>3</v>
      </c>
      <c r="AQ1274">
        <v>0</v>
      </c>
      <c r="AR1274">
        <v>52</v>
      </c>
      <c r="AS1274">
        <v>3</v>
      </c>
      <c r="AT1274">
        <v>0</v>
      </c>
    </row>
    <row r="1275" spans="1:46">
      <c r="A1275">
        <v>25310</v>
      </c>
      <c r="B1275" t="s">
        <v>7977</v>
      </c>
      <c r="C1275" t="s">
        <v>7978</v>
      </c>
      <c r="E1275" t="s">
        <v>7979</v>
      </c>
      <c r="F1275" t="s">
        <v>847</v>
      </c>
      <c r="G1275" t="s">
        <v>652</v>
      </c>
      <c r="H1275" t="s">
        <v>343</v>
      </c>
      <c r="J1275" t="s">
        <v>518</v>
      </c>
      <c r="K1275" t="s">
        <v>519</v>
      </c>
      <c r="L1275" t="s">
        <v>4205</v>
      </c>
      <c r="M1275" t="s">
        <v>1297</v>
      </c>
      <c r="N1275" t="s">
        <v>521</v>
      </c>
      <c r="O1275" t="s">
        <v>848</v>
      </c>
      <c r="P1275" t="s">
        <v>654</v>
      </c>
      <c r="Q1275" t="s">
        <v>638</v>
      </c>
      <c r="R1275" t="s">
        <v>1300</v>
      </c>
      <c r="S1275" t="s">
        <v>849</v>
      </c>
      <c r="T1275" t="s">
        <v>709</v>
      </c>
      <c r="U1275">
        <v>146800</v>
      </c>
      <c r="V1275" t="s">
        <v>4943</v>
      </c>
      <c r="W1275" t="s">
        <v>732</v>
      </c>
      <c r="X1275" t="s">
        <v>7630</v>
      </c>
      <c r="Y1275" t="s">
        <v>4208</v>
      </c>
      <c r="Z1275" t="s">
        <v>4209</v>
      </c>
      <c r="AA1275" t="s">
        <v>4210</v>
      </c>
      <c r="AB1275" t="s">
        <v>7631</v>
      </c>
      <c r="AE1275">
        <v>-36.941880900000001</v>
      </c>
      <c r="AF1275">
        <v>174.79198840000001</v>
      </c>
      <c r="AG1275">
        <v>33</v>
      </c>
      <c r="AH1275">
        <v>12</v>
      </c>
      <c r="AI1275">
        <v>2</v>
      </c>
      <c r="AJ1275">
        <v>8</v>
      </c>
      <c r="AK1275">
        <v>10</v>
      </c>
      <c r="AL1275">
        <v>5</v>
      </c>
      <c r="AM1275">
        <v>6</v>
      </c>
      <c r="AN1275">
        <v>0</v>
      </c>
      <c r="AO1275">
        <v>31</v>
      </c>
      <c r="AP1275">
        <v>0</v>
      </c>
      <c r="AQ1275">
        <v>30</v>
      </c>
      <c r="AR1275">
        <v>1</v>
      </c>
      <c r="AS1275">
        <v>0</v>
      </c>
      <c r="AT1275">
        <v>0</v>
      </c>
    </row>
    <row r="1276" spans="1:46">
      <c r="A1276">
        <v>25312</v>
      </c>
      <c r="B1276" t="s">
        <v>7980</v>
      </c>
      <c r="C1276" t="s">
        <v>7981</v>
      </c>
      <c r="D1276" t="s">
        <v>7982</v>
      </c>
      <c r="E1276" t="s">
        <v>7983</v>
      </c>
      <c r="F1276" t="s">
        <v>726</v>
      </c>
      <c r="G1276" t="s">
        <v>652</v>
      </c>
      <c r="H1276" t="s">
        <v>3942</v>
      </c>
      <c r="I1276" t="s">
        <v>7984</v>
      </c>
      <c r="J1276" t="s">
        <v>518</v>
      </c>
      <c r="K1276" t="s">
        <v>519</v>
      </c>
      <c r="M1276" t="s">
        <v>520</v>
      </c>
      <c r="N1276" t="s">
        <v>521</v>
      </c>
      <c r="O1276" t="s">
        <v>728</v>
      </c>
      <c r="P1276" t="s">
        <v>654</v>
      </c>
      <c r="Q1276" t="s">
        <v>638</v>
      </c>
      <c r="R1276" t="s">
        <v>729</v>
      </c>
      <c r="S1276" t="s">
        <v>778</v>
      </c>
      <c r="T1276" t="s">
        <v>709</v>
      </c>
      <c r="U1276">
        <v>156800</v>
      </c>
      <c r="V1276" t="s">
        <v>4649</v>
      </c>
      <c r="W1276" t="s">
        <v>732</v>
      </c>
      <c r="X1276" t="s">
        <v>7985</v>
      </c>
      <c r="Y1276" t="s">
        <v>7986</v>
      </c>
      <c r="Z1276" t="s">
        <v>726</v>
      </c>
      <c r="AA1276" t="s">
        <v>3991</v>
      </c>
      <c r="AB1276" t="s">
        <v>7987</v>
      </c>
      <c r="AE1276">
        <v>-36.961813929999998</v>
      </c>
      <c r="AF1276">
        <v>174.8896373</v>
      </c>
      <c r="AG1276">
        <v>35</v>
      </c>
      <c r="AH1276">
        <v>5</v>
      </c>
      <c r="AI1276">
        <v>0</v>
      </c>
      <c r="AJ1276">
        <v>2</v>
      </c>
      <c r="AK1276">
        <v>4</v>
      </c>
      <c r="AL1276">
        <v>3</v>
      </c>
      <c r="AM1276">
        <v>8</v>
      </c>
      <c r="AN1276">
        <v>0</v>
      </c>
      <c r="AO1276">
        <v>17</v>
      </c>
      <c r="AP1276">
        <v>0</v>
      </c>
      <c r="AQ1276">
        <v>0</v>
      </c>
      <c r="AR1276">
        <v>17</v>
      </c>
      <c r="AS1276">
        <v>0</v>
      </c>
      <c r="AT1276">
        <v>0</v>
      </c>
    </row>
    <row r="1277" spans="1:46">
      <c r="A1277">
        <v>25322</v>
      </c>
      <c r="B1277" t="s">
        <v>7988</v>
      </c>
      <c r="C1277" t="s">
        <v>7989</v>
      </c>
      <c r="D1277" t="s">
        <v>7990</v>
      </c>
      <c r="E1277" t="s">
        <v>7991</v>
      </c>
      <c r="F1277" t="s">
        <v>1183</v>
      </c>
      <c r="G1277" t="s">
        <v>652</v>
      </c>
      <c r="H1277" t="s">
        <v>3942</v>
      </c>
      <c r="I1277" t="s">
        <v>4868</v>
      </c>
      <c r="J1277" t="s">
        <v>518</v>
      </c>
      <c r="K1277" t="s">
        <v>519</v>
      </c>
      <c r="M1277" t="s">
        <v>520</v>
      </c>
      <c r="N1277" t="s">
        <v>571</v>
      </c>
      <c r="O1277" t="s">
        <v>813</v>
      </c>
      <c r="P1277" t="s">
        <v>654</v>
      </c>
      <c r="Q1277" t="s">
        <v>638</v>
      </c>
      <c r="R1277" t="s">
        <v>639</v>
      </c>
      <c r="S1277" t="s">
        <v>899</v>
      </c>
      <c r="T1277" t="s">
        <v>527</v>
      </c>
      <c r="U1277">
        <v>124500</v>
      </c>
      <c r="V1277" t="s">
        <v>1184</v>
      </c>
      <c r="W1277" t="s">
        <v>815</v>
      </c>
      <c r="X1277" t="s">
        <v>7992</v>
      </c>
      <c r="Y1277" t="s">
        <v>7993</v>
      </c>
      <c r="Z1277" t="s">
        <v>1183</v>
      </c>
      <c r="AA1277" t="s">
        <v>7994</v>
      </c>
      <c r="AB1277" t="s">
        <v>7989</v>
      </c>
      <c r="AE1277">
        <v>-36.840739550000002</v>
      </c>
      <c r="AF1277">
        <v>174.65427781</v>
      </c>
      <c r="AG1277">
        <v>30</v>
      </c>
      <c r="AH1277">
        <v>5</v>
      </c>
      <c r="AI1277">
        <v>1</v>
      </c>
      <c r="AJ1277">
        <v>4</v>
      </c>
      <c r="AK1277">
        <v>7</v>
      </c>
      <c r="AL1277">
        <v>5</v>
      </c>
      <c r="AM1277">
        <v>2</v>
      </c>
      <c r="AN1277">
        <v>1</v>
      </c>
      <c r="AO1277">
        <v>20</v>
      </c>
      <c r="AP1277">
        <v>5</v>
      </c>
      <c r="AQ1277">
        <v>8</v>
      </c>
      <c r="AR1277">
        <v>17</v>
      </c>
      <c r="AS1277">
        <v>2</v>
      </c>
      <c r="AT1277">
        <v>1</v>
      </c>
    </row>
    <row r="1278" spans="1:46">
      <c r="A1278">
        <v>25324</v>
      </c>
      <c r="B1278" t="s">
        <v>7995</v>
      </c>
      <c r="C1278" t="s">
        <v>7996</v>
      </c>
      <c r="D1278" t="s">
        <v>7997</v>
      </c>
      <c r="E1278" t="s">
        <v>7998</v>
      </c>
      <c r="F1278" t="s">
        <v>855</v>
      </c>
      <c r="G1278" t="s">
        <v>652</v>
      </c>
      <c r="H1278" t="s">
        <v>3942</v>
      </c>
      <c r="J1278" t="s">
        <v>3962</v>
      </c>
      <c r="K1278" t="s">
        <v>519</v>
      </c>
      <c r="M1278" t="s">
        <v>520</v>
      </c>
      <c r="N1278" t="s">
        <v>571</v>
      </c>
      <c r="O1278" t="s">
        <v>857</v>
      </c>
      <c r="P1278" t="s">
        <v>654</v>
      </c>
      <c r="Q1278" t="s">
        <v>638</v>
      </c>
      <c r="R1278" t="s">
        <v>708</v>
      </c>
      <c r="S1278" t="s">
        <v>858</v>
      </c>
      <c r="T1278" t="s">
        <v>709</v>
      </c>
      <c r="U1278">
        <v>137000</v>
      </c>
      <c r="V1278" t="s">
        <v>4641</v>
      </c>
      <c r="W1278" t="s">
        <v>860</v>
      </c>
      <c r="X1278" t="s">
        <v>7999</v>
      </c>
      <c r="Y1278" t="s">
        <v>8000</v>
      </c>
      <c r="Z1278" t="s">
        <v>8001</v>
      </c>
      <c r="AA1278" t="s">
        <v>4876</v>
      </c>
      <c r="AB1278" t="s">
        <v>8002</v>
      </c>
      <c r="AE1278">
        <v>-36.885368219999997</v>
      </c>
      <c r="AF1278">
        <v>174.73790590999999</v>
      </c>
      <c r="AG1278">
        <v>113</v>
      </c>
      <c r="AH1278">
        <v>29</v>
      </c>
      <c r="AI1278">
        <v>6</v>
      </c>
      <c r="AJ1278">
        <v>22</v>
      </c>
      <c r="AK1278">
        <v>33</v>
      </c>
      <c r="AL1278">
        <v>33</v>
      </c>
      <c r="AM1278">
        <v>30</v>
      </c>
      <c r="AN1278">
        <v>6</v>
      </c>
      <c r="AO1278">
        <v>130</v>
      </c>
      <c r="AP1278">
        <v>59</v>
      </c>
      <c r="AQ1278">
        <v>6</v>
      </c>
      <c r="AR1278">
        <v>5</v>
      </c>
      <c r="AS1278">
        <v>71</v>
      </c>
      <c r="AT1278">
        <v>10</v>
      </c>
    </row>
    <row r="1279" spans="1:46">
      <c r="A1279">
        <v>25327</v>
      </c>
      <c r="B1279" t="s">
        <v>8003</v>
      </c>
      <c r="C1279" t="s">
        <v>8004</v>
      </c>
      <c r="D1279" t="s">
        <v>8005</v>
      </c>
      <c r="E1279" t="s">
        <v>8006</v>
      </c>
      <c r="F1279" t="s">
        <v>1157</v>
      </c>
      <c r="G1279" t="s">
        <v>652</v>
      </c>
      <c r="H1279" t="s">
        <v>3942</v>
      </c>
      <c r="J1279" t="s">
        <v>518</v>
      </c>
      <c r="K1279" t="s">
        <v>519</v>
      </c>
      <c r="M1279" t="s">
        <v>520</v>
      </c>
      <c r="N1279" t="s">
        <v>571</v>
      </c>
      <c r="O1279" t="s">
        <v>857</v>
      </c>
      <c r="P1279" t="s">
        <v>654</v>
      </c>
      <c r="Q1279" t="s">
        <v>638</v>
      </c>
      <c r="R1279" t="s">
        <v>708</v>
      </c>
      <c r="S1279" t="s">
        <v>858</v>
      </c>
      <c r="T1279" t="s">
        <v>709</v>
      </c>
      <c r="U1279">
        <v>137000</v>
      </c>
      <c r="V1279" t="s">
        <v>4641</v>
      </c>
      <c r="W1279" t="s">
        <v>860</v>
      </c>
      <c r="X1279" t="s">
        <v>642</v>
      </c>
      <c r="Y1279" t="s">
        <v>643</v>
      </c>
      <c r="Z1279" t="s">
        <v>644</v>
      </c>
      <c r="AA1279" t="s">
        <v>645</v>
      </c>
      <c r="AB1279" t="s">
        <v>646</v>
      </c>
      <c r="AC1279">
        <v>99150</v>
      </c>
      <c r="AD1279" t="s">
        <v>861</v>
      </c>
      <c r="AE1279">
        <v>-36.887733279999999</v>
      </c>
      <c r="AF1279">
        <v>174.73534369999999</v>
      </c>
      <c r="AG1279">
        <v>40</v>
      </c>
      <c r="AH1279">
        <v>0</v>
      </c>
      <c r="AI1279">
        <v>0</v>
      </c>
      <c r="AJ1279">
        <v>0</v>
      </c>
      <c r="AK1279">
        <v>6</v>
      </c>
      <c r="AL1279">
        <v>18</v>
      </c>
      <c r="AM1279">
        <v>22</v>
      </c>
      <c r="AN1279">
        <v>0</v>
      </c>
      <c r="AO1279">
        <v>46</v>
      </c>
      <c r="AP1279">
        <v>32</v>
      </c>
      <c r="AQ1279">
        <v>2</v>
      </c>
      <c r="AR1279">
        <v>7</v>
      </c>
      <c r="AS1279">
        <v>16</v>
      </c>
      <c r="AT1279">
        <v>3</v>
      </c>
    </row>
    <row r="1280" spans="1:46">
      <c r="A1280">
        <v>25328</v>
      </c>
      <c r="B1280" t="s">
        <v>8007</v>
      </c>
      <c r="C1280" t="s">
        <v>8008</v>
      </c>
      <c r="E1280" t="s">
        <v>8009</v>
      </c>
      <c r="F1280" t="s">
        <v>4655</v>
      </c>
      <c r="G1280" t="s">
        <v>652</v>
      </c>
      <c r="H1280" t="s">
        <v>3942</v>
      </c>
      <c r="J1280" t="s">
        <v>3962</v>
      </c>
      <c r="K1280" t="s">
        <v>519</v>
      </c>
      <c r="M1280" t="s">
        <v>520</v>
      </c>
      <c r="N1280" t="s">
        <v>4519</v>
      </c>
      <c r="O1280" t="s">
        <v>957</v>
      </c>
      <c r="P1280" t="s">
        <v>654</v>
      </c>
      <c r="Q1280" t="s">
        <v>638</v>
      </c>
      <c r="R1280" t="s">
        <v>708</v>
      </c>
      <c r="S1280" t="s">
        <v>958</v>
      </c>
      <c r="T1280" t="s">
        <v>709</v>
      </c>
      <c r="U1280">
        <v>130200</v>
      </c>
      <c r="V1280" t="s">
        <v>8010</v>
      </c>
      <c r="W1280" t="s">
        <v>959</v>
      </c>
      <c r="X1280" t="s">
        <v>5236</v>
      </c>
      <c r="Y1280" t="s">
        <v>4689</v>
      </c>
      <c r="Z1280" t="s">
        <v>4690</v>
      </c>
      <c r="AA1280" t="s">
        <v>4691</v>
      </c>
      <c r="AB1280" t="s">
        <v>5237</v>
      </c>
      <c r="AE1280">
        <v>-36.842836869999999</v>
      </c>
      <c r="AF1280">
        <v>174.74212650000001</v>
      </c>
      <c r="AG1280">
        <v>75</v>
      </c>
      <c r="AH1280">
        <v>25</v>
      </c>
      <c r="AI1280">
        <v>3</v>
      </c>
      <c r="AJ1280">
        <v>27</v>
      </c>
      <c r="AK1280">
        <v>21</v>
      </c>
      <c r="AL1280">
        <v>22</v>
      </c>
      <c r="AM1280">
        <v>11</v>
      </c>
      <c r="AN1280">
        <v>0</v>
      </c>
      <c r="AO1280">
        <v>84</v>
      </c>
      <c r="AP1280">
        <v>80</v>
      </c>
      <c r="AQ1280">
        <v>7</v>
      </c>
      <c r="AR1280">
        <v>1</v>
      </c>
      <c r="AS1280">
        <v>7</v>
      </c>
      <c r="AT1280">
        <v>5</v>
      </c>
    </row>
    <row r="1281" spans="1:46">
      <c r="A1281">
        <v>25329</v>
      </c>
      <c r="B1281" t="s">
        <v>8011</v>
      </c>
      <c r="C1281" t="s">
        <v>8012</v>
      </c>
      <c r="E1281" t="s">
        <v>8013</v>
      </c>
      <c r="F1281" t="s">
        <v>872</v>
      </c>
      <c r="G1281" t="s">
        <v>652</v>
      </c>
      <c r="H1281" t="s">
        <v>3942</v>
      </c>
      <c r="J1281" t="s">
        <v>3962</v>
      </c>
      <c r="K1281" t="s">
        <v>519</v>
      </c>
      <c r="M1281" t="s">
        <v>520</v>
      </c>
      <c r="N1281" t="s">
        <v>571</v>
      </c>
      <c r="O1281" t="s">
        <v>873</v>
      </c>
      <c r="P1281" t="s">
        <v>654</v>
      </c>
      <c r="Q1281" t="s">
        <v>638</v>
      </c>
      <c r="R1281" t="s">
        <v>639</v>
      </c>
      <c r="S1281" t="s">
        <v>719</v>
      </c>
      <c r="T1281" t="s">
        <v>709</v>
      </c>
      <c r="U1281">
        <v>131500</v>
      </c>
      <c r="V1281" t="s">
        <v>6246</v>
      </c>
      <c r="W1281" t="s">
        <v>815</v>
      </c>
      <c r="X1281" t="s">
        <v>8014</v>
      </c>
      <c r="Y1281" t="s">
        <v>8015</v>
      </c>
      <c r="AA1281" t="s">
        <v>8016</v>
      </c>
      <c r="AB1281" t="s">
        <v>8017</v>
      </c>
      <c r="AE1281">
        <v>-36.909308029999998</v>
      </c>
      <c r="AF1281">
        <v>174.64739976999999</v>
      </c>
      <c r="AG1281">
        <v>40</v>
      </c>
      <c r="AH1281">
        <v>12</v>
      </c>
      <c r="AI1281">
        <v>2</v>
      </c>
      <c r="AJ1281">
        <v>6</v>
      </c>
      <c r="AK1281">
        <v>5</v>
      </c>
      <c r="AL1281">
        <v>10</v>
      </c>
      <c r="AM1281">
        <v>4</v>
      </c>
      <c r="AN1281">
        <v>0</v>
      </c>
      <c r="AO1281">
        <v>27</v>
      </c>
      <c r="AP1281">
        <v>12</v>
      </c>
      <c r="AQ1281">
        <v>10</v>
      </c>
      <c r="AR1281">
        <v>9</v>
      </c>
      <c r="AS1281">
        <v>7</v>
      </c>
      <c r="AT1281">
        <v>0</v>
      </c>
    </row>
    <row r="1282" spans="1:46">
      <c r="A1282">
        <v>25331</v>
      </c>
      <c r="B1282" t="s">
        <v>8018</v>
      </c>
      <c r="C1282" t="s">
        <v>8019</v>
      </c>
      <c r="D1282" t="s">
        <v>4022</v>
      </c>
      <c r="E1282" t="s">
        <v>8020</v>
      </c>
      <c r="G1282" t="s">
        <v>8021</v>
      </c>
      <c r="H1282" t="s">
        <v>3942</v>
      </c>
      <c r="J1282" t="s">
        <v>3962</v>
      </c>
      <c r="K1282" t="s">
        <v>519</v>
      </c>
      <c r="M1282" t="s">
        <v>520</v>
      </c>
      <c r="N1282" t="s">
        <v>571</v>
      </c>
      <c r="O1282" t="s">
        <v>1233</v>
      </c>
      <c r="P1282" t="s">
        <v>523</v>
      </c>
      <c r="Q1282" t="s">
        <v>638</v>
      </c>
      <c r="R1282" t="s">
        <v>729</v>
      </c>
      <c r="S1282" t="s">
        <v>1246</v>
      </c>
      <c r="T1282" t="s">
        <v>1235</v>
      </c>
      <c r="U1282">
        <v>159401</v>
      </c>
      <c r="V1282" t="s">
        <v>8021</v>
      </c>
      <c r="W1282" t="s">
        <v>1237</v>
      </c>
      <c r="X1282" t="s">
        <v>8022</v>
      </c>
      <c r="Y1282" t="s">
        <v>4026</v>
      </c>
      <c r="Z1282" t="s">
        <v>3915</v>
      </c>
      <c r="AA1282" t="s">
        <v>4027</v>
      </c>
      <c r="AB1282" t="s">
        <v>4028</v>
      </c>
      <c r="AE1282">
        <v>-37.134043480000003</v>
      </c>
      <c r="AF1282">
        <v>174.70786084</v>
      </c>
      <c r="AG1282">
        <v>39</v>
      </c>
      <c r="AH1282">
        <v>5</v>
      </c>
      <c r="AI1282">
        <v>0</v>
      </c>
      <c r="AJ1282">
        <v>0</v>
      </c>
      <c r="AK1282">
        <v>1</v>
      </c>
      <c r="AL1282">
        <v>20</v>
      </c>
      <c r="AM1282">
        <v>24</v>
      </c>
      <c r="AN1282">
        <v>9</v>
      </c>
      <c r="AO1282">
        <v>54</v>
      </c>
      <c r="AP1282">
        <v>51</v>
      </c>
      <c r="AQ1282">
        <v>6</v>
      </c>
      <c r="AR1282">
        <v>3</v>
      </c>
      <c r="AS1282">
        <v>5</v>
      </c>
      <c r="AT1282">
        <v>1</v>
      </c>
    </row>
    <row r="1283" spans="1:46">
      <c r="A1283">
        <v>25335</v>
      </c>
      <c r="B1283" t="s">
        <v>8023</v>
      </c>
      <c r="C1283" t="s">
        <v>8024</v>
      </c>
      <c r="D1283" t="s">
        <v>8025</v>
      </c>
      <c r="E1283" t="s">
        <v>8026</v>
      </c>
      <c r="F1283" t="s">
        <v>1102</v>
      </c>
      <c r="G1283" t="s">
        <v>652</v>
      </c>
      <c r="H1283" t="s">
        <v>3942</v>
      </c>
      <c r="J1283" t="s">
        <v>3962</v>
      </c>
      <c r="K1283" t="s">
        <v>519</v>
      </c>
      <c r="M1283" t="s">
        <v>520</v>
      </c>
      <c r="N1283" t="s">
        <v>4519</v>
      </c>
      <c r="O1283" t="s">
        <v>957</v>
      </c>
      <c r="P1283" t="s">
        <v>654</v>
      </c>
      <c r="Q1283" t="s">
        <v>638</v>
      </c>
      <c r="R1283" t="s">
        <v>708</v>
      </c>
      <c r="S1283" t="s">
        <v>958</v>
      </c>
      <c r="T1283" t="s">
        <v>709</v>
      </c>
      <c r="U1283">
        <v>131200</v>
      </c>
      <c r="V1283" t="s">
        <v>1103</v>
      </c>
      <c r="W1283" t="s">
        <v>959</v>
      </c>
      <c r="X1283" t="s">
        <v>8027</v>
      </c>
      <c r="Y1283" t="s">
        <v>8028</v>
      </c>
      <c r="Z1283" t="s">
        <v>1102</v>
      </c>
      <c r="AA1283" t="s">
        <v>6809</v>
      </c>
      <c r="AB1283" t="s">
        <v>8024</v>
      </c>
      <c r="AE1283">
        <v>-36.853661090000003</v>
      </c>
      <c r="AF1283">
        <v>174.74009307</v>
      </c>
      <c r="AG1283">
        <v>50</v>
      </c>
      <c r="AH1283">
        <v>20</v>
      </c>
      <c r="AI1283">
        <v>1</v>
      </c>
      <c r="AJ1283">
        <v>11</v>
      </c>
      <c r="AK1283">
        <v>10</v>
      </c>
      <c r="AL1283">
        <v>9</v>
      </c>
      <c r="AM1283">
        <v>14</v>
      </c>
      <c r="AN1283">
        <v>0</v>
      </c>
      <c r="AO1283">
        <v>45</v>
      </c>
      <c r="AP1283">
        <v>41</v>
      </c>
      <c r="AQ1283">
        <v>4</v>
      </c>
      <c r="AR1283">
        <v>3</v>
      </c>
      <c r="AS1283">
        <v>7</v>
      </c>
      <c r="AT1283">
        <v>4</v>
      </c>
    </row>
    <row r="1284" spans="1:46">
      <c r="A1284">
        <v>25337</v>
      </c>
      <c r="B1284" t="s">
        <v>8029</v>
      </c>
      <c r="C1284" t="s">
        <v>8030</v>
      </c>
      <c r="D1284" t="s">
        <v>8031</v>
      </c>
      <c r="E1284" t="s">
        <v>8032</v>
      </c>
      <c r="F1284" t="s">
        <v>4204</v>
      </c>
      <c r="G1284" t="s">
        <v>652</v>
      </c>
      <c r="H1284" t="s">
        <v>3942</v>
      </c>
      <c r="J1284" t="s">
        <v>518</v>
      </c>
      <c r="K1284" t="s">
        <v>519</v>
      </c>
      <c r="M1284" t="s">
        <v>520</v>
      </c>
      <c r="N1284" t="s">
        <v>539</v>
      </c>
      <c r="O1284" t="s">
        <v>728</v>
      </c>
      <c r="P1284" t="s">
        <v>654</v>
      </c>
      <c r="Q1284" t="s">
        <v>638</v>
      </c>
      <c r="R1284" t="s">
        <v>729</v>
      </c>
      <c r="S1284" t="s">
        <v>1036</v>
      </c>
      <c r="T1284" t="s">
        <v>709</v>
      </c>
      <c r="U1284">
        <v>155500</v>
      </c>
      <c r="V1284" t="s">
        <v>4338</v>
      </c>
      <c r="W1284" t="s">
        <v>732</v>
      </c>
      <c r="X1284" t="s">
        <v>3943</v>
      </c>
      <c r="Y1284" t="s">
        <v>3944</v>
      </c>
      <c r="Z1284" t="s">
        <v>3945</v>
      </c>
      <c r="AA1284" t="s">
        <v>3946</v>
      </c>
      <c r="AB1284" t="s">
        <v>3947</v>
      </c>
      <c r="AE1284">
        <v>-36.982075039999998</v>
      </c>
      <c r="AF1284">
        <v>174.87739680000001</v>
      </c>
      <c r="AG1284">
        <v>100</v>
      </c>
      <c r="AH1284">
        <v>15</v>
      </c>
      <c r="AI1284">
        <v>3</v>
      </c>
      <c r="AJ1284">
        <v>9</v>
      </c>
      <c r="AK1284">
        <v>22</v>
      </c>
      <c r="AL1284">
        <v>34</v>
      </c>
      <c r="AM1284">
        <v>45</v>
      </c>
      <c r="AN1284">
        <v>3</v>
      </c>
      <c r="AO1284">
        <v>116</v>
      </c>
      <c r="AP1284">
        <v>11</v>
      </c>
      <c r="AQ1284">
        <v>13</v>
      </c>
      <c r="AR1284">
        <v>25</v>
      </c>
      <c r="AS1284">
        <v>78</v>
      </c>
      <c r="AT1284">
        <v>7</v>
      </c>
    </row>
    <row r="1285" spans="1:46">
      <c r="A1285">
        <v>25338</v>
      </c>
      <c r="B1285" t="s">
        <v>8033</v>
      </c>
      <c r="C1285" t="s">
        <v>8034</v>
      </c>
      <c r="D1285" t="s">
        <v>8035</v>
      </c>
      <c r="E1285" t="s">
        <v>8036</v>
      </c>
      <c r="F1285" t="s">
        <v>3793</v>
      </c>
      <c r="G1285" t="s">
        <v>652</v>
      </c>
      <c r="H1285" t="s">
        <v>3942</v>
      </c>
      <c r="J1285" t="s">
        <v>3962</v>
      </c>
      <c r="K1285" t="s">
        <v>519</v>
      </c>
      <c r="M1285" t="s">
        <v>520</v>
      </c>
      <c r="N1285" t="s">
        <v>727</v>
      </c>
      <c r="O1285" t="s">
        <v>1216</v>
      </c>
      <c r="P1285" t="s">
        <v>654</v>
      </c>
      <c r="Q1285" t="s">
        <v>638</v>
      </c>
      <c r="R1285" t="s">
        <v>729</v>
      </c>
      <c r="S1285" t="s">
        <v>1036</v>
      </c>
      <c r="T1285" t="s">
        <v>709</v>
      </c>
      <c r="U1285">
        <v>158401</v>
      </c>
      <c r="V1285" t="s">
        <v>3794</v>
      </c>
      <c r="W1285" t="s">
        <v>1219</v>
      </c>
      <c r="X1285" t="s">
        <v>8037</v>
      </c>
      <c r="Y1285" t="s">
        <v>8038</v>
      </c>
      <c r="AA1285" t="s">
        <v>8039</v>
      </c>
      <c r="AB1285" t="s">
        <v>8040</v>
      </c>
      <c r="AC1285">
        <v>99187</v>
      </c>
      <c r="AD1285" t="s">
        <v>1257</v>
      </c>
      <c r="AE1285">
        <v>-37.000121239999999</v>
      </c>
      <c r="AF1285">
        <v>174.88496307</v>
      </c>
      <c r="AG1285">
        <v>40</v>
      </c>
      <c r="AH1285">
        <v>10</v>
      </c>
      <c r="AI1285">
        <v>7</v>
      </c>
      <c r="AJ1285">
        <v>4</v>
      </c>
      <c r="AK1285">
        <v>15</v>
      </c>
      <c r="AL1285">
        <v>7</v>
      </c>
      <c r="AM1285">
        <v>12</v>
      </c>
      <c r="AN1285">
        <v>1</v>
      </c>
      <c r="AO1285">
        <v>46</v>
      </c>
      <c r="AP1285">
        <v>0</v>
      </c>
      <c r="AQ1285">
        <v>11</v>
      </c>
      <c r="AR1285">
        <v>29</v>
      </c>
      <c r="AS1285">
        <v>14</v>
      </c>
      <c r="AT1285">
        <v>0</v>
      </c>
    </row>
    <row r="1286" spans="1:46">
      <c r="A1286">
        <v>25340</v>
      </c>
      <c r="B1286" t="s">
        <v>8041</v>
      </c>
      <c r="C1286" t="s">
        <v>8042</v>
      </c>
      <c r="D1286" t="s">
        <v>8043</v>
      </c>
      <c r="E1286" t="s">
        <v>8044</v>
      </c>
      <c r="F1286" t="s">
        <v>726</v>
      </c>
      <c r="G1286" t="s">
        <v>652</v>
      </c>
      <c r="H1286" t="s">
        <v>3942</v>
      </c>
      <c r="J1286" t="s">
        <v>518</v>
      </c>
      <c r="K1286" t="s">
        <v>519</v>
      </c>
      <c r="M1286" t="s">
        <v>520</v>
      </c>
      <c r="N1286" t="s">
        <v>727</v>
      </c>
      <c r="O1286" t="s">
        <v>728</v>
      </c>
      <c r="P1286" t="s">
        <v>654</v>
      </c>
      <c r="Q1286" t="s">
        <v>638</v>
      </c>
      <c r="R1286" t="s">
        <v>729</v>
      </c>
      <c r="S1286" t="s">
        <v>730</v>
      </c>
      <c r="T1286" t="s">
        <v>709</v>
      </c>
      <c r="U1286">
        <v>154400</v>
      </c>
      <c r="V1286" t="s">
        <v>7351</v>
      </c>
      <c r="W1286" t="s">
        <v>732</v>
      </c>
      <c r="X1286" t="s">
        <v>642</v>
      </c>
      <c r="Y1286" t="s">
        <v>643</v>
      </c>
      <c r="Z1286" t="s">
        <v>644</v>
      </c>
      <c r="AA1286" t="s">
        <v>645</v>
      </c>
      <c r="AB1286" t="s">
        <v>646</v>
      </c>
      <c r="AC1286">
        <v>99199</v>
      </c>
      <c r="AD1286" t="s">
        <v>8045</v>
      </c>
      <c r="AE1286">
        <v>-36.953533909999997</v>
      </c>
      <c r="AF1286">
        <v>174.87233155000001</v>
      </c>
      <c r="AG1286">
        <v>50</v>
      </c>
      <c r="AH1286">
        <v>12</v>
      </c>
      <c r="AI1286">
        <v>0</v>
      </c>
      <c r="AJ1286">
        <v>0</v>
      </c>
      <c r="AK1286">
        <v>11</v>
      </c>
      <c r="AL1286">
        <v>6</v>
      </c>
      <c r="AM1286">
        <v>20</v>
      </c>
      <c r="AN1286">
        <v>1</v>
      </c>
      <c r="AO1286">
        <v>38</v>
      </c>
      <c r="AP1286">
        <v>1</v>
      </c>
      <c r="AQ1286">
        <v>14</v>
      </c>
      <c r="AR1286">
        <v>27</v>
      </c>
      <c r="AS1286">
        <v>5</v>
      </c>
      <c r="AT1286">
        <v>0</v>
      </c>
    </row>
    <row r="1287" spans="1:46">
      <c r="A1287">
        <v>25341</v>
      </c>
      <c r="B1287" t="s">
        <v>8046</v>
      </c>
      <c r="C1287" t="s">
        <v>8047</v>
      </c>
      <c r="D1287" t="s">
        <v>8048</v>
      </c>
      <c r="E1287" t="s">
        <v>8049</v>
      </c>
      <c r="F1287" t="s">
        <v>1059</v>
      </c>
      <c r="G1287" t="s">
        <v>652</v>
      </c>
      <c r="H1287" t="s">
        <v>3942</v>
      </c>
      <c r="I1287" t="s">
        <v>6218</v>
      </c>
      <c r="J1287" t="s">
        <v>518</v>
      </c>
      <c r="K1287" t="s">
        <v>519</v>
      </c>
      <c r="M1287" t="s">
        <v>520</v>
      </c>
      <c r="N1287" t="s">
        <v>557</v>
      </c>
      <c r="O1287" t="s">
        <v>804</v>
      </c>
      <c r="P1287" t="s">
        <v>654</v>
      </c>
      <c r="Q1287" t="s">
        <v>638</v>
      </c>
      <c r="R1287" t="s">
        <v>708</v>
      </c>
      <c r="S1287" t="s">
        <v>880</v>
      </c>
      <c r="T1287" t="s">
        <v>709</v>
      </c>
      <c r="U1287">
        <v>140100</v>
      </c>
      <c r="V1287" t="s">
        <v>6829</v>
      </c>
      <c r="W1287" t="s">
        <v>824</v>
      </c>
      <c r="X1287" t="s">
        <v>8050</v>
      </c>
      <c r="Y1287" t="s">
        <v>8051</v>
      </c>
      <c r="Z1287" t="s">
        <v>1059</v>
      </c>
      <c r="AA1287" t="s">
        <v>4431</v>
      </c>
      <c r="AB1287" t="s">
        <v>8047</v>
      </c>
      <c r="AE1287">
        <v>-36.849918809999998</v>
      </c>
      <c r="AF1287">
        <v>174.82280686999999</v>
      </c>
      <c r="AG1287">
        <v>45</v>
      </c>
      <c r="AH1287">
        <v>15</v>
      </c>
      <c r="AI1287">
        <v>0</v>
      </c>
      <c r="AJ1287">
        <v>1</v>
      </c>
      <c r="AK1287">
        <v>7</v>
      </c>
      <c r="AL1287">
        <v>6</v>
      </c>
      <c r="AM1287">
        <v>10</v>
      </c>
      <c r="AN1287">
        <v>0</v>
      </c>
      <c r="AO1287">
        <v>24</v>
      </c>
      <c r="AP1287">
        <v>6</v>
      </c>
      <c r="AQ1287">
        <v>23</v>
      </c>
      <c r="AR1287">
        <v>6</v>
      </c>
      <c r="AS1287">
        <v>2</v>
      </c>
      <c r="AT1287">
        <v>1</v>
      </c>
    </row>
    <row r="1288" spans="1:46">
      <c r="A1288">
        <v>25343</v>
      </c>
      <c r="B1288" t="s">
        <v>8052</v>
      </c>
      <c r="C1288" t="s">
        <v>8053</v>
      </c>
      <c r="D1288" t="s">
        <v>8054</v>
      </c>
      <c r="E1288" t="s">
        <v>8055</v>
      </c>
      <c r="F1288" t="s">
        <v>8056</v>
      </c>
      <c r="G1288" t="s">
        <v>652</v>
      </c>
      <c r="H1288" t="s">
        <v>3942</v>
      </c>
      <c r="J1288" t="s">
        <v>518</v>
      </c>
      <c r="K1288" t="s">
        <v>519</v>
      </c>
      <c r="M1288" t="s">
        <v>520</v>
      </c>
      <c r="N1288" t="s">
        <v>571</v>
      </c>
      <c r="O1288" t="s">
        <v>857</v>
      </c>
      <c r="P1288" t="s">
        <v>654</v>
      </c>
      <c r="Q1288" t="s">
        <v>638</v>
      </c>
      <c r="R1288" t="s">
        <v>708</v>
      </c>
      <c r="S1288" t="s">
        <v>858</v>
      </c>
      <c r="T1288" t="s">
        <v>709</v>
      </c>
      <c r="U1288">
        <v>135800</v>
      </c>
      <c r="V1288" t="s">
        <v>8056</v>
      </c>
      <c r="W1288" t="s">
        <v>860</v>
      </c>
      <c r="X1288" t="s">
        <v>3943</v>
      </c>
      <c r="Y1288" t="s">
        <v>3944</v>
      </c>
      <c r="Z1288" t="s">
        <v>3945</v>
      </c>
      <c r="AA1288" t="s">
        <v>3946</v>
      </c>
      <c r="AB1288" t="s">
        <v>3947</v>
      </c>
      <c r="AE1288">
        <v>-36.884779539999997</v>
      </c>
      <c r="AF1288">
        <v>174.73118776000001</v>
      </c>
      <c r="AG1288">
        <v>98</v>
      </c>
      <c r="AH1288">
        <v>20</v>
      </c>
      <c r="AI1288">
        <v>2</v>
      </c>
      <c r="AJ1288">
        <v>14</v>
      </c>
      <c r="AK1288">
        <v>20</v>
      </c>
      <c r="AL1288">
        <v>16</v>
      </c>
      <c r="AM1288">
        <v>16</v>
      </c>
      <c r="AN1288">
        <v>0</v>
      </c>
      <c r="AO1288">
        <v>68</v>
      </c>
      <c r="AP1288">
        <v>9</v>
      </c>
      <c r="AQ1288">
        <v>5</v>
      </c>
      <c r="AR1288">
        <v>11</v>
      </c>
      <c r="AS1288">
        <v>52</v>
      </c>
      <c r="AT1288">
        <v>3</v>
      </c>
    </row>
    <row r="1289" spans="1:46">
      <c r="A1289">
        <v>25345</v>
      </c>
      <c r="B1289" t="s">
        <v>8057</v>
      </c>
      <c r="C1289" t="s">
        <v>8058</v>
      </c>
      <c r="D1289" t="s">
        <v>8059</v>
      </c>
      <c r="E1289" t="s">
        <v>8060</v>
      </c>
      <c r="G1289" t="s">
        <v>1245</v>
      </c>
      <c r="H1289" t="s">
        <v>3942</v>
      </c>
      <c r="J1289" t="s">
        <v>518</v>
      </c>
      <c r="K1289" t="s">
        <v>519</v>
      </c>
      <c r="M1289" t="s">
        <v>520</v>
      </c>
      <c r="N1289" t="s">
        <v>571</v>
      </c>
      <c r="O1289" t="s">
        <v>1233</v>
      </c>
      <c r="P1289" t="s">
        <v>523</v>
      </c>
      <c r="Q1289" t="s">
        <v>638</v>
      </c>
      <c r="R1289" t="s">
        <v>729</v>
      </c>
      <c r="S1289" t="s">
        <v>1246</v>
      </c>
      <c r="T1289" t="s">
        <v>1235</v>
      </c>
      <c r="U1289">
        <v>164401</v>
      </c>
      <c r="V1289" t="s">
        <v>7517</v>
      </c>
      <c r="W1289" t="s">
        <v>1237</v>
      </c>
      <c r="X1289" t="s">
        <v>3943</v>
      </c>
      <c r="Y1289" t="s">
        <v>3944</v>
      </c>
      <c r="Z1289" t="s">
        <v>3945</v>
      </c>
      <c r="AA1289" t="s">
        <v>3946</v>
      </c>
      <c r="AB1289" t="s">
        <v>3947</v>
      </c>
      <c r="AC1289">
        <v>99033</v>
      </c>
      <c r="AD1289" t="s">
        <v>1248</v>
      </c>
      <c r="AE1289">
        <v>-37.246332770000002</v>
      </c>
      <c r="AF1289">
        <v>174.72159250000001</v>
      </c>
      <c r="AG1289">
        <v>128</v>
      </c>
      <c r="AH1289">
        <v>24</v>
      </c>
      <c r="AI1289">
        <v>2</v>
      </c>
      <c r="AJ1289">
        <v>17</v>
      </c>
      <c r="AK1289">
        <v>26</v>
      </c>
      <c r="AL1289">
        <v>40</v>
      </c>
      <c r="AM1289">
        <v>23</v>
      </c>
      <c r="AN1289">
        <v>0</v>
      </c>
      <c r="AO1289">
        <v>108</v>
      </c>
      <c r="AP1289">
        <v>90</v>
      </c>
      <c r="AQ1289">
        <v>33</v>
      </c>
      <c r="AR1289">
        <v>13</v>
      </c>
      <c r="AS1289">
        <v>17</v>
      </c>
      <c r="AT1289">
        <v>6</v>
      </c>
    </row>
    <row r="1290" spans="1:46">
      <c r="A1290">
        <v>25347</v>
      </c>
      <c r="B1290" t="s">
        <v>8061</v>
      </c>
      <c r="C1290" t="s">
        <v>8062</v>
      </c>
      <c r="D1290" t="s">
        <v>8063</v>
      </c>
      <c r="E1290" t="s">
        <v>8064</v>
      </c>
      <c r="F1290" t="s">
        <v>803</v>
      </c>
      <c r="G1290" t="s">
        <v>652</v>
      </c>
      <c r="H1290" t="s">
        <v>3942</v>
      </c>
      <c r="J1290" t="s">
        <v>3962</v>
      </c>
      <c r="K1290" t="s">
        <v>519</v>
      </c>
      <c r="M1290" t="s">
        <v>520</v>
      </c>
      <c r="N1290" t="s">
        <v>571</v>
      </c>
      <c r="O1290" t="s">
        <v>804</v>
      </c>
      <c r="P1290" t="s">
        <v>654</v>
      </c>
      <c r="Q1290" t="s">
        <v>638</v>
      </c>
      <c r="R1290" t="s">
        <v>708</v>
      </c>
      <c r="S1290" t="s">
        <v>805</v>
      </c>
      <c r="T1290" t="s">
        <v>709</v>
      </c>
      <c r="U1290">
        <v>143301</v>
      </c>
      <c r="V1290" t="s">
        <v>4232</v>
      </c>
      <c r="W1290" t="s">
        <v>807</v>
      </c>
      <c r="X1290" t="s">
        <v>8065</v>
      </c>
      <c r="Y1290" t="s">
        <v>8064</v>
      </c>
      <c r="Z1290" t="s">
        <v>803</v>
      </c>
      <c r="AA1290" t="s">
        <v>4768</v>
      </c>
      <c r="AB1290" t="s">
        <v>8062</v>
      </c>
      <c r="AE1290">
        <v>-36.8969971</v>
      </c>
      <c r="AF1290">
        <v>174.81134940000001</v>
      </c>
      <c r="AG1290">
        <v>36</v>
      </c>
      <c r="AH1290">
        <v>0</v>
      </c>
      <c r="AI1290">
        <v>0</v>
      </c>
      <c r="AJ1290">
        <v>0</v>
      </c>
      <c r="AK1290">
        <v>4</v>
      </c>
      <c r="AL1290">
        <v>14</v>
      </c>
      <c r="AM1290">
        <v>15</v>
      </c>
      <c r="AN1290">
        <v>0</v>
      </c>
      <c r="AO1290">
        <v>33</v>
      </c>
      <c r="AP1290">
        <v>24</v>
      </c>
      <c r="AQ1290">
        <v>2</v>
      </c>
      <c r="AR1290">
        <v>1</v>
      </c>
      <c r="AS1290">
        <v>7</v>
      </c>
      <c r="AT1290">
        <v>7</v>
      </c>
    </row>
    <row r="1291" spans="1:46">
      <c r="A1291">
        <v>25349</v>
      </c>
      <c r="B1291" t="s">
        <v>8066</v>
      </c>
      <c r="C1291" t="s">
        <v>8067</v>
      </c>
      <c r="D1291" t="s">
        <v>8068</v>
      </c>
      <c r="E1291" t="s">
        <v>8069</v>
      </c>
      <c r="G1291" t="s">
        <v>7660</v>
      </c>
      <c r="H1291" t="s">
        <v>3942</v>
      </c>
      <c r="J1291" t="s">
        <v>3962</v>
      </c>
      <c r="K1291" t="s">
        <v>519</v>
      </c>
      <c r="M1291" t="s">
        <v>520</v>
      </c>
      <c r="N1291" t="s">
        <v>571</v>
      </c>
      <c r="O1291" t="s">
        <v>1233</v>
      </c>
      <c r="P1291" t="s">
        <v>572</v>
      </c>
      <c r="Q1291" t="s">
        <v>638</v>
      </c>
      <c r="R1291" t="s">
        <v>708</v>
      </c>
      <c r="S1291" t="s">
        <v>1234</v>
      </c>
      <c r="T1291" t="s">
        <v>1235</v>
      </c>
      <c r="U1291">
        <v>157101</v>
      </c>
      <c r="V1291" t="s">
        <v>7839</v>
      </c>
      <c r="W1291" t="s">
        <v>1237</v>
      </c>
      <c r="X1291" t="s">
        <v>8070</v>
      </c>
      <c r="Y1291" t="s">
        <v>8071</v>
      </c>
      <c r="Z1291" t="s">
        <v>7660</v>
      </c>
      <c r="AA1291" t="s">
        <v>8072</v>
      </c>
      <c r="AB1291" t="s">
        <v>8073</v>
      </c>
      <c r="AC1291">
        <v>99119</v>
      </c>
      <c r="AD1291" t="s">
        <v>780</v>
      </c>
      <c r="AE1291">
        <v>-36.944889580000002</v>
      </c>
      <c r="AF1291">
        <v>174.95658509</v>
      </c>
      <c r="AG1291">
        <v>107</v>
      </c>
      <c r="AH1291">
        <v>25</v>
      </c>
      <c r="AI1291">
        <v>4</v>
      </c>
      <c r="AJ1291">
        <v>26</v>
      </c>
      <c r="AK1291">
        <v>22</v>
      </c>
      <c r="AL1291">
        <v>16</v>
      </c>
      <c r="AM1291">
        <v>29</v>
      </c>
      <c r="AN1291">
        <v>1</v>
      </c>
      <c r="AO1291">
        <v>98</v>
      </c>
      <c r="AP1291">
        <v>77</v>
      </c>
      <c r="AQ1291">
        <v>12</v>
      </c>
      <c r="AR1291">
        <v>4</v>
      </c>
      <c r="AS1291">
        <v>25</v>
      </c>
      <c r="AT1291">
        <v>5</v>
      </c>
    </row>
    <row r="1292" spans="1:46">
      <c r="A1292">
        <v>25351</v>
      </c>
      <c r="B1292" t="s">
        <v>8074</v>
      </c>
      <c r="C1292" t="s">
        <v>8075</v>
      </c>
      <c r="D1292" t="s">
        <v>8076</v>
      </c>
      <c r="E1292" t="s">
        <v>8077</v>
      </c>
      <c r="F1292" t="s">
        <v>898</v>
      </c>
      <c r="G1292" t="s">
        <v>652</v>
      </c>
      <c r="H1292" t="s">
        <v>3942</v>
      </c>
      <c r="J1292" t="s">
        <v>3962</v>
      </c>
      <c r="K1292" t="s">
        <v>519</v>
      </c>
      <c r="M1292" t="s">
        <v>520</v>
      </c>
      <c r="N1292" t="s">
        <v>557</v>
      </c>
      <c r="O1292" t="s">
        <v>813</v>
      </c>
      <c r="P1292" t="s">
        <v>654</v>
      </c>
      <c r="Q1292" t="s">
        <v>638</v>
      </c>
      <c r="R1292" t="s">
        <v>639</v>
      </c>
      <c r="S1292" t="s">
        <v>899</v>
      </c>
      <c r="T1292" t="s">
        <v>527</v>
      </c>
      <c r="U1292">
        <v>125100</v>
      </c>
      <c r="V1292" t="s">
        <v>4305</v>
      </c>
      <c r="W1292" t="s">
        <v>815</v>
      </c>
      <c r="X1292" t="s">
        <v>8078</v>
      </c>
      <c r="Y1292" t="s">
        <v>8079</v>
      </c>
      <c r="Z1292" t="s">
        <v>898</v>
      </c>
      <c r="AA1292" t="s">
        <v>3964</v>
      </c>
      <c r="AB1292" t="s">
        <v>8075</v>
      </c>
      <c r="AE1292">
        <v>-36.853743799999997</v>
      </c>
      <c r="AF1292">
        <v>174.63765982999999</v>
      </c>
      <c r="AG1292">
        <v>82</v>
      </c>
      <c r="AH1292">
        <v>25</v>
      </c>
      <c r="AI1292">
        <v>3</v>
      </c>
      <c r="AJ1292">
        <v>3</v>
      </c>
      <c r="AK1292">
        <v>13</v>
      </c>
      <c r="AL1292">
        <v>16</v>
      </c>
      <c r="AM1292">
        <v>9</v>
      </c>
      <c r="AN1292">
        <v>0</v>
      </c>
      <c r="AO1292">
        <v>44</v>
      </c>
      <c r="AP1292">
        <v>33</v>
      </c>
      <c r="AQ1292">
        <v>10</v>
      </c>
      <c r="AR1292">
        <v>11</v>
      </c>
      <c r="AS1292">
        <v>11</v>
      </c>
      <c r="AT1292">
        <v>0</v>
      </c>
    </row>
    <row r="1293" spans="1:46">
      <c r="A1293">
        <v>25353</v>
      </c>
      <c r="B1293" t="s">
        <v>8080</v>
      </c>
      <c r="C1293" t="s">
        <v>8081</v>
      </c>
      <c r="D1293" t="s">
        <v>8082</v>
      </c>
      <c r="E1293" t="s">
        <v>8083</v>
      </c>
      <c r="F1293" t="s">
        <v>1035</v>
      </c>
      <c r="G1293" t="s">
        <v>652</v>
      </c>
      <c r="H1293" t="s">
        <v>3942</v>
      </c>
      <c r="I1293" t="s">
        <v>8084</v>
      </c>
      <c r="J1293" t="s">
        <v>518</v>
      </c>
      <c r="K1293" t="s">
        <v>519</v>
      </c>
      <c r="M1293" t="s">
        <v>520</v>
      </c>
      <c r="N1293" t="s">
        <v>521</v>
      </c>
      <c r="O1293" t="s">
        <v>728</v>
      </c>
      <c r="P1293" t="s">
        <v>654</v>
      </c>
      <c r="Q1293" t="s">
        <v>638</v>
      </c>
      <c r="R1293" t="s">
        <v>729</v>
      </c>
      <c r="S1293" t="s">
        <v>1036</v>
      </c>
      <c r="T1293" t="s">
        <v>709</v>
      </c>
      <c r="U1293">
        <v>156500</v>
      </c>
      <c r="V1293" t="s">
        <v>4024</v>
      </c>
      <c r="W1293" t="s">
        <v>732</v>
      </c>
      <c r="X1293" t="s">
        <v>8085</v>
      </c>
      <c r="Y1293" t="s">
        <v>8086</v>
      </c>
      <c r="Z1293" t="s">
        <v>1035</v>
      </c>
      <c r="AA1293" t="s">
        <v>4350</v>
      </c>
      <c r="AB1293" t="s">
        <v>8087</v>
      </c>
      <c r="AE1293">
        <v>-36.980278300000002</v>
      </c>
      <c r="AF1293">
        <v>174.86111769999999</v>
      </c>
      <c r="AG1293">
        <v>40</v>
      </c>
      <c r="AH1293">
        <v>10</v>
      </c>
      <c r="AI1293">
        <v>3</v>
      </c>
      <c r="AJ1293">
        <v>4</v>
      </c>
      <c r="AK1293">
        <v>9</v>
      </c>
      <c r="AL1293">
        <v>8</v>
      </c>
      <c r="AM1293">
        <v>10</v>
      </c>
      <c r="AN1293">
        <v>1</v>
      </c>
      <c r="AO1293">
        <v>35</v>
      </c>
      <c r="AP1293">
        <v>1</v>
      </c>
      <c r="AQ1293">
        <v>3</v>
      </c>
      <c r="AR1293">
        <v>34</v>
      </c>
      <c r="AS1293">
        <v>1</v>
      </c>
      <c r="AT1293">
        <v>0</v>
      </c>
    </row>
    <row r="1294" spans="1:46">
      <c r="A1294">
        <v>25354</v>
      </c>
      <c r="B1294" t="s">
        <v>8088</v>
      </c>
      <c r="C1294" t="s">
        <v>8089</v>
      </c>
      <c r="D1294" t="s">
        <v>8090</v>
      </c>
      <c r="E1294" t="s">
        <v>8091</v>
      </c>
      <c r="F1294" t="s">
        <v>4204</v>
      </c>
      <c r="G1294" t="s">
        <v>652</v>
      </c>
      <c r="H1294" t="s">
        <v>3942</v>
      </c>
      <c r="J1294" t="s">
        <v>518</v>
      </c>
      <c r="K1294" t="s">
        <v>519</v>
      </c>
      <c r="M1294" t="s">
        <v>520</v>
      </c>
      <c r="N1294" t="s">
        <v>539</v>
      </c>
      <c r="O1294" t="s">
        <v>728</v>
      </c>
      <c r="P1294" t="s">
        <v>654</v>
      </c>
      <c r="Q1294" t="s">
        <v>638</v>
      </c>
      <c r="R1294" t="s">
        <v>729</v>
      </c>
      <c r="S1294" t="s">
        <v>1036</v>
      </c>
      <c r="T1294" t="s">
        <v>709</v>
      </c>
      <c r="U1294">
        <v>157000</v>
      </c>
      <c r="V1294" t="s">
        <v>4299</v>
      </c>
      <c r="W1294" t="s">
        <v>732</v>
      </c>
      <c r="X1294" t="s">
        <v>8092</v>
      </c>
      <c r="Y1294" t="s">
        <v>4584</v>
      </c>
      <c r="Z1294" t="s">
        <v>3945</v>
      </c>
      <c r="AA1294" t="s">
        <v>4585</v>
      </c>
      <c r="AE1294">
        <v>-36.983212600000002</v>
      </c>
      <c r="AF1294">
        <v>174.87518686999999</v>
      </c>
      <c r="AG1294">
        <v>50</v>
      </c>
      <c r="AH1294">
        <v>0</v>
      </c>
      <c r="AI1294">
        <v>0</v>
      </c>
      <c r="AJ1294">
        <v>0</v>
      </c>
      <c r="AK1294">
        <v>10</v>
      </c>
      <c r="AL1294">
        <v>18</v>
      </c>
      <c r="AM1294">
        <v>18</v>
      </c>
      <c r="AN1294">
        <v>0</v>
      </c>
      <c r="AO1294">
        <v>46</v>
      </c>
      <c r="AP1294">
        <v>5</v>
      </c>
      <c r="AQ1294">
        <v>4</v>
      </c>
      <c r="AR1294">
        <v>38</v>
      </c>
      <c r="AS1294">
        <v>7</v>
      </c>
      <c r="AT1294">
        <v>2</v>
      </c>
    </row>
    <row r="1295" spans="1:46">
      <c r="A1295">
        <v>25355</v>
      </c>
      <c r="B1295" t="s">
        <v>8093</v>
      </c>
      <c r="C1295" t="s">
        <v>8094</v>
      </c>
      <c r="E1295" t="s">
        <v>8095</v>
      </c>
      <c r="F1295" t="s">
        <v>777</v>
      </c>
      <c r="G1295" t="s">
        <v>652</v>
      </c>
      <c r="H1295" t="s">
        <v>3942</v>
      </c>
      <c r="J1295" t="s">
        <v>3962</v>
      </c>
      <c r="K1295" t="s">
        <v>519</v>
      </c>
      <c r="M1295" t="s">
        <v>520</v>
      </c>
      <c r="N1295" t="s">
        <v>571</v>
      </c>
      <c r="O1295" t="s">
        <v>707</v>
      </c>
      <c r="P1295" t="s">
        <v>654</v>
      </c>
      <c r="Q1295" t="s">
        <v>638</v>
      </c>
      <c r="R1295" t="s">
        <v>708</v>
      </c>
      <c r="S1295" t="s">
        <v>706</v>
      </c>
      <c r="T1295" t="s">
        <v>709</v>
      </c>
      <c r="U1295">
        <v>152000</v>
      </c>
      <c r="V1295" t="s">
        <v>926</v>
      </c>
      <c r="W1295" t="s">
        <v>711</v>
      </c>
      <c r="X1295" t="s">
        <v>8096</v>
      </c>
      <c r="Y1295" t="s">
        <v>8095</v>
      </c>
      <c r="Z1295" t="s">
        <v>777</v>
      </c>
      <c r="AA1295" t="s">
        <v>7933</v>
      </c>
      <c r="AB1295" t="s">
        <v>8097</v>
      </c>
      <c r="AE1295">
        <v>-36.900009660000002</v>
      </c>
      <c r="AF1295">
        <v>174.91873086000001</v>
      </c>
      <c r="AG1295">
        <v>35</v>
      </c>
      <c r="AH1295">
        <v>20</v>
      </c>
      <c r="AI1295">
        <v>0</v>
      </c>
      <c r="AJ1295">
        <v>7</v>
      </c>
      <c r="AK1295">
        <v>11</v>
      </c>
      <c r="AL1295">
        <v>10</v>
      </c>
      <c r="AM1295">
        <v>10</v>
      </c>
      <c r="AN1295">
        <v>0</v>
      </c>
      <c r="AO1295">
        <v>38</v>
      </c>
      <c r="AP1295">
        <v>29</v>
      </c>
      <c r="AQ1295">
        <v>0</v>
      </c>
      <c r="AR1295">
        <v>3</v>
      </c>
      <c r="AS1295">
        <v>9</v>
      </c>
      <c r="AT1295">
        <v>0</v>
      </c>
    </row>
    <row r="1296" spans="1:46">
      <c r="A1296">
        <v>25356</v>
      </c>
      <c r="B1296" t="s">
        <v>8098</v>
      </c>
      <c r="C1296" t="s">
        <v>8099</v>
      </c>
      <c r="D1296" t="s">
        <v>8100</v>
      </c>
      <c r="E1296" t="s">
        <v>8101</v>
      </c>
      <c r="F1296" t="s">
        <v>1189</v>
      </c>
      <c r="G1296" t="s">
        <v>652</v>
      </c>
      <c r="H1296" t="s">
        <v>3942</v>
      </c>
      <c r="J1296" t="s">
        <v>3962</v>
      </c>
      <c r="K1296" t="s">
        <v>519</v>
      </c>
      <c r="M1296" t="s">
        <v>520</v>
      </c>
      <c r="N1296" t="s">
        <v>571</v>
      </c>
      <c r="O1296" t="s">
        <v>813</v>
      </c>
      <c r="P1296" t="s">
        <v>654</v>
      </c>
      <c r="Q1296" t="s">
        <v>638</v>
      </c>
      <c r="R1296" t="s">
        <v>639</v>
      </c>
      <c r="S1296" t="s">
        <v>899</v>
      </c>
      <c r="T1296" t="s">
        <v>709</v>
      </c>
      <c r="U1296">
        <v>127001</v>
      </c>
      <c r="V1296" t="s">
        <v>6598</v>
      </c>
      <c r="W1296" t="s">
        <v>815</v>
      </c>
      <c r="X1296" t="s">
        <v>4767</v>
      </c>
      <c r="Y1296" t="s">
        <v>4764</v>
      </c>
      <c r="Z1296" t="s">
        <v>4765</v>
      </c>
      <c r="AA1296" t="s">
        <v>4768</v>
      </c>
      <c r="AE1296">
        <v>-36.864333440000003</v>
      </c>
      <c r="AF1296">
        <v>174.64695778999999</v>
      </c>
      <c r="AG1296">
        <v>90</v>
      </c>
      <c r="AH1296">
        <v>20</v>
      </c>
      <c r="AI1296">
        <v>3</v>
      </c>
      <c r="AJ1296">
        <v>11</v>
      </c>
      <c r="AK1296">
        <v>21</v>
      </c>
      <c r="AL1296">
        <v>24</v>
      </c>
      <c r="AM1296">
        <v>21</v>
      </c>
      <c r="AN1296">
        <v>1</v>
      </c>
      <c r="AO1296">
        <v>81</v>
      </c>
      <c r="AP1296">
        <v>33</v>
      </c>
      <c r="AQ1296">
        <v>24</v>
      </c>
      <c r="AR1296">
        <v>19</v>
      </c>
      <c r="AS1296">
        <v>27</v>
      </c>
      <c r="AT1296">
        <v>7</v>
      </c>
    </row>
    <row r="1297" spans="1:46">
      <c r="A1297">
        <v>25357</v>
      </c>
      <c r="B1297" t="s">
        <v>8102</v>
      </c>
      <c r="C1297" t="s">
        <v>8103</v>
      </c>
      <c r="D1297" t="s">
        <v>8104</v>
      </c>
      <c r="E1297" t="s">
        <v>8105</v>
      </c>
      <c r="F1297" t="s">
        <v>803</v>
      </c>
      <c r="G1297" t="s">
        <v>652</v>
      </c>
      <c r="H1297" t="s">
        <v>3942</v>
      </c>
      <c r="J1297" t="s">
        <v>3962</v>
      </c>
      <c r="K1297" t="s">
        <v>519</v>
      </c>
      <c r="M1297" t="s">
        <v>520</v>
      </c>
      <c r="N1297" t="s">
        <v>571</v>
      </c>
      <c r="O1297" t="s">
        <v>829</v>
      </c>
      <c r="P1297" t="s">
        <v>654</v>
      </c>
      <c r="Q1297" t="s">
        <v>638</v>
      </c>
      <c r="R1297" t="s">
        <v>708</v>
      </c>
      <c r="S1297" t="s">
        <v>805</v>
      </c>
      <c r="T1297" t="s">
        <v>709</v>
      </c>
      <c r="U1297">
        <v>144201</v>
      </c>
      <c r="V1297" t="s">
        <v>7261</v>
      </c>
      <c r="W1297" t="s">
        <v>807</v>
      </c>
      <c r="X1297" t="s">
        <v>7262</v>
      </c>
      <c r="Y1297" t="s">
        <v>4658</v>
      </c>
      <c r="Z1297" t="s">
        <v>958</v>
      </c>
      <c r="AA1297" t="s">
        <v>4659</v>
      </c>
      <c r="AB1297" t="s">
        <v>7263</v>
      </c>
      <c r="AC1297">
        <v>99190</v>
      </c>
      <c r="AD1297" t="s">
        <v>831</v>
      </c>
      <c r="AE1297">
        <v>-36.897225200000001</v>
      </c>
      <c r="AF1297">
        <v>174.80240760000001</v>
      </c>
      <c r="AG1297">
        <v>85</v>
      </c>
      <c r="AH1297">
        <v>25</v>
      </c>
      <c r="AI1297">
        <v>0</v>
      </c>
      <c r="AJ1297">
        <v>12</v>
      </c>
      <c r="AK1297">
        <v>8</v>
      </c>
      <c r="AL1297">
        <v>11</v>
      </c>
      <c r="AM1297">
        <v>14</v>
      </c>
      <c r="AN1297">
        <v>0</v>
      </c>
      <c r="AO1297">
        <v>45</v>
      </c>
      <c r="AP1297">
        <v>6</v>
      </c>
      <c r="AQ1297">
        <v>4</v>
      </c>
      <c r="AR1297">
        <v>6</v>
      </c>
      <c r="AS1297">
        <v>36</v>
      </c>
      <c r="AT1297">
        <v>1</v>
      </c>
    </row>
    <row r="1298" spans="1:46">
      <c r="A1298">
        <v>25358</v>
      </c>
      <c r="B1298" t="s">
        <v>8106</v>
      </c>
      <c r="C1298" t="s">
        <v>8107</v>
      </c>
      <c r="D1298" t="s">
        <v>8108</v>
      </c>
      <c r="E1298" t="s">
        <v>8109</v>
      </c>
      <c r="G1298" t="s">
        <v>1261</v>
      </c>
      <c r="H1298" t="s">
        <v>3942</v>
      </c>
      <c r="J1298" t="s">
        <v>3962</v>
      </c>
      <c r="K1298" t="s">
        <v>519</v>
      </c>
      <c r="M1298" t="s">
        <v>520</v>
      </c>
      <c r="N1298" t="s">
        <v>571</v>
      </c>
      <c r="O1298" t="s">
        <v>1233</v>
      </c>
      <c r="P1298" t="s">
        <v>1262</v>
      </c>
      <c r="Q1298" t="s">
        <v>638</v>
      </c>
      <c r="R1298" t="s">
        <v>729</v>
      </c>
      <c r="S1298" t="s">
        <v>1246</v>
      </c>
      <c r="T1298" t="s">
        <v>1235</v>
      </c>
      <c r="U1298">
        <v>166100</v>
      </c>
      <c r="V1298" t="s">
        <v>8110</v>
      </c>
      <c r="W1298" t="s">
        <v>1237</v>
      </c>
      <c r="X1298" t="s">
        <v>8111</v>
      </c>
      <c r="Y1298" t="s">
        <v>8112</v>
      </c>
      <c r="AA1298" t="s">
        <v>8113</v>
      </c>
      <c r="AC1298">
        <v>99075</v>
      </c>
      <c r="AD1298" t="s">
        <v>1264</v>
      </c>
      <c r="AE1298">
        <v>-37.211942579999999</v>
      </c>
      <c r="AF1298">
        <v>174.90550289000001</v>
      </c>
      <c r="AG1298">
        <v>50</v>
      </c>
      <c r="AH1298">
        <v>10</v>
      </c>
      <c r="AI1298">
        <v>0</v>
      </c>
      <c r="AJ1298">
        <v>12</v>
      </c>
      <c r="AK1298">
        <v>15</v>
      </c>
      <c r="AL1298">
        <v>12</v>
      </c>
      <c r="AM1298">
        <v>14</v>
      </c>
      <c r="AN1298">
        <v>1</v>
      </c>
      <c r="AO1298">
        <v>54</v>
      </c>
      <c r="AP1298">
        <v>45</v>
      </c>
      <c r="AQ1298">
        <v>5</v>
      </c>
      <c r="AR1298">
        <v>2</v>
      </c>
      <c r="AS1298">
        <v>3</v>
      </c>
      <c r="AT1298">
        <v>3</v>
      </c>
    </row>
    <row r="1299" spans="1:46">
      <c r="A1299">
        <v>25360</v>
      </c>
      <c r="B1299" t="s">
        <v>8114</v>
      </c>
      <c r="C1299" t="s">
        <v>8115</v>
      </c>
      <c r="D1299" t="s">
        <v>8116</v>
      </c>
      <c r="E1299" t="s">
        <v>8117</v>
      </c>
      <c r="F1299" t="s">
        <v>3945</v>
      </c>
      <c r="G1299" t="s">
        <v>652</v>
      </c>
      <c r="H1299" t="s">
        <v>3942</v>
      </c>
      <c r="I1299" t="s">
        <v>4951</v>
      </c>
      <c r="J1299" t="s">
        <v>518</v>
      </c>
      <c r="K1299" t="s">
        <v>519</v>
      </c>
      <c r="M1299" t="s">
        <v>520</v>
      </c>
      <c r="N1299" t="s">
        <v>521</v>
      </c>
      <c r="O1299" t="s">
        <v>1216</v>
      </c>
      <c r="P1299" t="s">
        <v>654</v>
      </c>
      <c r="Q1299" t="s">
        <v>638</v>
      </c>
      <c r="R1299" t="s">
        <v>729</v>
      </c>
      <c r="S1299" t="s">
        <v>1036</v>
      </c>
      <c r="T1299" t="s">
        <v>709</v>
      </c>
      <c r="U1299">
        <v>159700</v>
      </c>
      <c r="V1299" t="s">
        <v>8118</v>
      </c>
      <c r="W1299" t="s">
        <v>1219</v>
      </c>
      <c r="X1299" t="s">
        <v>5248</v>
      </c>
      <c r="Y1299" t="s">
        <v>5249</v>
      </c>
      <c r="Z1299" t="s">
        <v>1036</v>
      </c>
      <c r="AA1299" t="s">
        <v>5250</v>
      </c>
      <c r="AB1299" t="s">
        <v>5251</v>
      </c>
      <c r="AC1299">
        <v>99211</v>
      </c>
      <c r="AD1299" t="s">
        <v>7277</v>
      </c>
      <c r="AE1299">
        <v>-37.036539779999998</v>
      </c>
      <c r="AF1299">
        <v>174.86094413999999</v>
      </c>
      <c r="AG1299">
        <v>49</v>
      </c>
      <c r="AH1299">
        <v>13</v>
      </c>
      <c r="AI1299">
        <v>0</v>
      </c>
      <c r="AJ1299">
        <v>1</v>
      </c>
      <c r="AK1299">
        <v>2</v>
      </c>
      <c r="AL1299">
        <v>7</v>
      </c>
      <c r="AM1299">
        <v>7</v>
      </c>
      <c r="AN1299">
        <v>1</v>
      </c>
      <c r="AO1299">
        <v>18</v>
      </c>
      <c r="AP1299">
        <v>3</v>
      </c>
      <c r="AQ1299">
        <v>7</v>
      </c>
      <c r="AR1299">
        <v>11</v>
      </c>
      <c r="AS1299">
        <v>5</v>
      </c>
      <c r="AT1299">
        <v>1</v>
      </c>
    </row>
    <row r="1300" spans="1:46">
      <c r="A1300">
        <v>25361</v>
      </c>
      <c r="B1300" t="s">
        <v>8119</v>
      </c>
      <c r="C1300" t="s">
        <v>8120</v>
      </c>
      <c r="E1300" t="s">
        <v>8121</v>
      </c>
      <c r="F1300" t="s">
        <v>3987</v>
      </c>
      <c r="G1300" t="s">
        <v>652</v>
      </c>
      <c r="H1300" t="s">
        <v>3942</v>
      </c>
      <c r="J1300" t="s">
        <v>3962</v>
      </c>
      <c r="K1300" t="s">
        <v>519</v>
      </c>
      <c r="M1300" t="s">
        <v>520</v>
      </c>
      <c r="N1300" t="s">
        <v>571</v>
      </c>
      <c r="O1300" t="s">
        <v>1233</v>
      </c>
      <c r="P1300" t="s">
        <v>1262</v>
      </c>
      <c r="Q1300" t="s">
        <v>638</v>
      </c>
      <c r="R1300" t="s">
        <v>729</v>
      </c>
      <c r="S1300" t="s">
        <v>1246</v>
      </c>
      <c r="T1300" t="s">
        <v>1235</v>
      </c>
      <c r="U1300">
        <v>165501</v>
      </c>
      <c r="V1300" t="s">
        <v>3987</v>
      </c>
      <c r="W1300" t="s">
        <v>1237</v>
      </c>
      <c r="X1300" t="s">
        <v>8122</v>
      </c>
      <c r="Y1300" t="s">
        <v>8121</v>
      </c>
      <c r="AA1300" t="s">
        <v>4537</v>
      </c>
      <c r="AE1300">
        <v>-37.197616349999997</v>
      </c>
      <c r="AF1300">
        <v>174.89083016999999</v>
      </c>
      <c r="AG1300">
        <v>38</v>
      </c>
      <c r="AH1300">
        <v>12</v>
      </c>
      <c r="AI1300">
        <v>1</v>
      </c>
      <c r="AJ1300">
        <v>4</v>
      </c>
      <c r="AK1300">
        <v>9</v>
      </c>
      <c r="AL1300">
        <v>10</v>
      </c>
      <c r="AM1300">
        <v>7</v>
      </c>
      <c r="AN1300">
        <v>1</v>
      </c>
      <c r="AO1300">
        <v>32</v>
      </c>
      <c r="AP1300">
        <v>15</v>
      </c>
      <c r="AQ1300">
        <v>12</v>
      </c>
      <c r="AR1300">
        <v>14</v>
      </c>
      <c r="AS1300">
        <v>2</v>
      </c>
      <c r="AT1300">
        <v>0</v>
      </c>
    </row>
    <row r="1301" spans="1:46">
      <c r="A1301">
        <v>25364</v>
      </c>
      <c r="B1301" t="s">
        <v>8123</v>
      </c>
      <c r="C1301" t="s">
        <v>7288</v>
      </c>
      <c r="E1301" t="s">
        <v>8124</v>
      </c>
      <c r="F1301" t="s">
        <v>7549</v>
      </c>
      <c r="G1301" t="s">
        <v>652</v>
      </c>
      <c r="H1301" t="s">
        <v>3942</v>
      </c>
      <c r="J1301" t="s">
        <v>518</v>
      </c>
      <c r="K1301" t="s">
        <v>519</v>
      </c>
      <c r="M1301" t="s">
        <v>520</v>
      </c>
      <c r="N1301" t="s">
        <v>727</v>
      </c>
      <c r="O1301" t="s">
        <v>1216</v>
      </c>
      <c r="P1301" t="s">
        <v>654</v>
      </c>
      <c r="Q1301" t="s">
        <v>638</v>
      </c>
      <c r="R1301" t="s">
        <v>729</v>
      </c>
      <c r="S1301" t="s">
        <v>1036</v>
      </c>
      <c r="T1301" t="s">
        <v>709</v>
      </c>
      <c r="U1301">
        <v>158700</v>
      </c>
      <c r="V1301" t="s">
        <v>1287</v>
      </c>
      <c r="W1301" t="s">
        <v>1219</v>
      </c>
      <c r="X1301" t="s">
        <v>8125</v>
      </c>
      <c r="Y1301" t="s">
        <v>6369</v>
      </c>
      <c r="Z1301" t="s">
        <v>4555</v>
      </c>
      <c r="AA1301" t="s">
        <v>4556</v>
      </c>
      <c r="AE1301">
        <v>-37.022937159999998</v>
      </c>
      <c r="AF1301">
        <v>174.85747605</v>
      </c>
      <c r="AG1301">
        <v>50</v>
      </c>
      <c r="AH1301">
        <v>12</v>
      </c>
      <c r="AI1301">
        <v>0</v>
      </c>
      <c r="AJ1301">
        <v>9</v>
      </c>
      <c r="AK1301">
        <v>5</v>
      </c>
      <c r="AL1301">
        <v>5</v>
      </c>
      <c r="AM1301">
        <v>7</v>
      </c>
      <c r="AN1301">
        <v>0</v>
      </c>
      <c r="AO1301">
        <v>26</v>
      </c>
      <c r="AP1301">
        <v>4</v>
      </c>
      <c r="AQ1301">
        <v>3</v>
      </c>
      <c r="AR1301">
        <v>11</v>
      </c>
      <c r="AS1301">
        <v>12</v>
      </c>
      <c r="AT1301">
        <v>0</v>
      </c>
    </row>
    <row r="1302" spans="1:46">
      <c r="A1302">
        <v>25366</v>
      </c>
      <c r="B1302" t="s">
        <v>8126</v>
      </c>
      <c r="C1302" t="s">
        <v>8127</v>
      </c>
      <c r="E1302" t="s">
        <v>8128</v>
      </c>
      <c r="F1302" t="s">
        <v>847</v>
      </c>
      <c r="G1302" t="s">
        <v>652</v>
      </c>
      <c r="H1302" t="s">
        <v>3942</v>
      </c>
      <c r="J1302" t="s">
        <v>3962</v>
      </c>
      <c r="K1302" t="s">
        <v>519</v>
      </c>
      <c r="M1302" t="s">
        <v>520</v>
      </c>
      <c r="N1302" t="s">
        <v>539</v>
      </c>
      <c r="O1302" t="s">
        <v>848</v>
      </c>
      <c r="P1302" t="s">
        <v>654</v>
      </c>
      <c r="Q1302" t="s">
        <v>638</v>
      </c>
      <c r="R1302" t="s">
        <v>729</v>
      </c>
      <c r="S1302" t="s">
        <v>849</v>
      </c>
      <c r="T1302" t="s">
        <v>709</v>
      </c>
      <c r="U1302">
        <v>147900</v>
      </c>
      <c r="V1302" t="s">
        <v>4739</v>
      </c>
      <c r="W1302" t="s">
        <v>732</v>
      </c>
      <c r="X1302" t="s">
        <v>8129</v>
      </c>
      <c r="Y1302" t="s">
        <v>4658</v>
      </c>
      <c r="Z1302" t="s">
        <v>958</v>
      </c>
      <c r="AA1302" t="s">
        <v>4659</v>
      </c>
      <c r="AB1302" t="s">
        <v>8127</v>
      </c>
      <c r="AE1302">
        <v>-36.976168370000003</v>
      </c>
      <c r="AF1302">
        <v>174.77948050000001</v>
      </c>
      <c r="AG1302">
        <v>85</v>
      </c>
      <c r="AH1302">
        <v>15</v>
      </c>
      <c r="AI1302">
        <v>3</v>
      </c>
      <c r="AJ1302">
        <v>7</v>
      </c>
      <c r="AK1302">
        <v>7</v>
      </c>
      <c r="AL1302">
        <v>12</v>
      </c>
      <c r="AM1302">
        <v>13</v>
      </c>
      <c r="AN1302">
        <v>4</v>
      </c>
      <c r="AO1302">
        <v>46</v>
      </c>
      <c r="AP1302">
        <v>10</v>
      </c>
      <c r="AQ1302">
        <v>17</v>
      </c>
      <c r="AR1302">
        <v>28</v>
      </c>
      <c r="AS1302">
        <v>10</v>
      </c>
      <c r="AT1302">
        <v>0</v>
      </c>
    </row>
    <row r="1303" spans="1:46">
      <c r="A1303">
        <v>25367</v>
      </c>
      <c r="B1303" t="s">
        <v>8130</v>
      </c>
      <c r="C1303" t="s">
        <v>8131</v>
      </c>
      <c r="D1303" t="s">
        <v>8132</v>
      </c>
      <c r="E1303" t="s">
        <v>8133</v>
      </c>
      <c r="F1303" t="s">
        <v>898</v>
      </c>
      <c r="G1303" t="s">
        <v>652</v>
      </c>
      <c r="H1303" t="s">
        <v>3942</v>
      </c>
      <c r="J1303" t="s">
        <v>3962</v>
      </c>
      <c r="K1303" t="s">
        <v>519</v>
      </c>
      <c r="M1303" t="s">
        <v>520</v>
      </c>
      <c r="N1303" t="s">
        <v>539</v>
      </c>
      <c r="O1303" t="s">
        <v>813</v>
      </c>
      <c r="P1303" t="s">
        <v>654</v>
      </c>
      <c r="Q1303" t="s">
        <v>638</v>
      </c>
      <c r="R1303" t="s">
        <v>639</v>
      </c>
      <c r="S1303" t="s">
        <v>899</v>
      </c>
      <c r="T1303" t="s">
        <v>527</v>
      </c>
      <c r="U1303">
        <v>125100</v>
      </c>
      <c r="V1303" t="s">
        <v>4305</v>
      </c>
      <c r="W1303" t="s">
        <v>815</v>
      </c>
      <c r="X1303" t="s">
        <v>4839</v>
      </c>
      <c r="Y1303" t="s">
        <v>4840</v>
      </c>
      <c r="Z1303" t="s">
        <v>4841</v>
      </c>
      <c r="AA1303" t="s">
        <v>7318</v>
      </c>
      <c r="AC1303">
        <v>99013</v>
      </c>
      <c r="AD1303" t="s">
        <v>1191</v>
      </c>
      <c r="AE1303">
        <v>-36.855194679999997</v>
      </c>
      <c r="AF1303">
        <v>174.63192219999999</v>
      </c>
      <c r="AG1303">
        <v>90</v>
      </c>
      <c r="AH1303">
        <v>30</v>
      </c>
      <c r="AI1303">
        <v>1</v>
      </c>
      <c r="AJ1303">
        <v>6</v>
      </c>
      <c r="AK1303">
        <v>12</v>
      </c>
      <c r="AL1303">
        <v>14</v>
      </c>
      <c r="AM1303">
        <v>16</v>
      </c>
      <c r="AN1303">
        <v>0</v>
      </c>
      <c r="AO1303">
        <v>49</v>
      </c>
      <c r="AP1303">
        <v>17</v>
      </c>
      <c r="AQ1303">
        <v>14</v>
      </c>
      <c r="AR1303">
        <v>10</v>
      </c>
      <c r="AS1303">
        <v>21</v>
      </c>
      <c r="AT1303">
        <v>3</v>
      </c>
    </row>
    <row r="1304" spans="1:46">
      <c r="A1304">
        <v>25370</v>
      </c>
      <c r="B1304" t="s">
        <v>8134</v>
      </c>
      <c r="C1304" t="s">
        <v>8135</v>
      </c>
      <c r="D1304" t="s">
        <v>8136</v>
      </c>
      <c r="E1304" t="s">
        <v>8137</v>
      </c>
      <c r="G1304" t="s">
        <v>4509</v>
      </c>
      <c r="H1304" t="s">
        <v>3942</v>
      </c>
      <c r="J1304" t="s">
        <v>3962</v>
      </c>
      <c r="K1304" t="s">
        <v>519</v>
      </c>
      <c r="M1304" t="s">
        <v>520</v>
      </c>
      <c r="N1304" t="s">
        <v>571</v>
      </c>
      <c r="O1304" t="s">
        <v>653</v>
      </c>
      <c r="P1304" t="s">
        <v>572</v>
      </c>
      <c r="Q1304" t="s">
        <v>638</v>
      </c>
      <c r="R1304" t="s">
        <v>639</v>
      </c>
      <c r="S1304" t="s">
        <v>668</v>
      </c>
      <c r="T1304" t="s">
        <v>527</v>
      </c>
      <c r="U1304">
        <v>114101</v>
      </c>
      <c r="V1304" t="s">
        <v>8138</v>
      </c>
      <c r="W1304" t="s">
        <v>657</v>
      </c>
      <c r="X1304" t="s">
        <v>8139</v>
      </c>
      <c r="Y1304" t="s">
        <v>8140</v>
      </c>
      <c r="Z1304" t="s">
        <v>812</v>
      </c>
      <c r="AA1304" t="s">
        <v>3975</v>
      </c>
      <c r="AC1304">
        <v>99069</v>
      </c>
      <c r="AD1304" t="s">
        <v>670</v>
      </c>
      <c r="AE1304">
        <v>-36.64031379</v>
      </c>
      <c r="AF1304">
        <v>174.67976390000001</v>
      </c>
      <c r="AG1304">
        <v>50</v>
      </c>
      <c r="AH1304">
        <v>15</v>
      </c>
      <c r="AI1304">
        <v>1</v>
      </c>
      <c r="AJ1304">
        <v>8</v>
      </c>
      <c r="AK1304">
        <v>14</v>
      </c>
      <c r="AL1304">
        <v>1</v>
      </c>
      <c r="AM1304">
        <v>11</v>
      </c>
      <c r="AN1304">
        <v>0</v>
      </c>
      <c r="AO1304">
        <v>35</v>
      </c>
      <c r="AP1304">
        <v>32</v>
      </c>
      <c r="AQ1304">
        <v>9</v>
      </c>
      <c r="AR1304">
        <v>1</v>
      </c>
      <c r="AS1304">
        <v>2</v>
      </c>
      <c r="AT1304">
        <v>0</v>
      </c>
    </row>
    <row r="1305" spans="1:46">
      <c r="A1305">
        <v>25371</v>
      </c>
      <c r="B1305" t="s">
        <v>8141</v>
      </c>
      <c r="C1305" t="s">
        <v>8142</v>
      </c>
      <c r="D1305" t="s">
        <v>8143</v>
      </c>
      <c r="E1305" t="s">
        <v>8144</v>
      </c>
      <c r="F1305" t="s">
        <v>1035</v>
      </c>
      <c r="G1305" t="s">
        <v>652</v>
      </c>
      <c r="H1305" t="s">
        <v>3942</v>
      </c>
      <c r="J1305" t="s">
        <v>3962</v>
      </c>
      <c r="K1305" t="s">
        <v>519</v>
      </c>
      <c r="M1305" t="s">
        <v>520</v>
      </c>
      <c r="N1305" t="s">
        <v>539</v>
      </c>
      <c r="O1305" t="s">
        <v>728</v>
      </c>
      <c r="P1305" t="s">
        <v>654</v>
      </c>
      <c r="Q1305" t="s">
        <v>638</v>
      </c>
      <c r="R1305" t="s">
        <v>729</v>
      </c>
      <c r="S1305" t="s">
        <v>1036</v>
      </c>
      <c r="T1305" t="s">
        <v>709</v>
      </c>
      <c r="U1305">
        <v>156700</v>
      </c>
      <c r="V1305" t="s">
        <v>7444</v>
      </c>
      <c r="W1305" t="s">
        <v>732</v>
      </c>
      <c r="X1305" t="s">
        <v>8145</v>
      </c>
      <c r="Y1305" t="s">
        <v>8146</v>
      </c>
      <c r="Z1305" t="s">
        <v>1114</v>
      </c>
      <c r="AA1305" t="s">
        <v>3964</v>
      </c>
      <c r="AE1305">
        <v>-36.984027359999999</v>
      </c>
      <c r="AF1305">
        <v>174.85431363999999</v>
      </c>
      <c r="AG1305">
        <v>40</v>
      </c>
      <c r="AH1305">
        <v>0</v>
      </c>
      <c r="AI1305">
        <v>0</v>
      </c>
      <c r="AJ1305">
        <v>0</v>
      </c>
      <c r="AK1305">
        <v>11</v>
      </c>
      <c r="AL1305">
        <v>18</v>
      </c>
      <c r="AM1305">
        <v>14</v>
      </c>
      <c r="AN1305">
        <v>0</v>
      </c>
      <c r="AO1305">
        <v>43</v>
      </c>
      <c r="AP1305">
        <v>1</v>
      </c>
      <c r="AQ1305">
        <v>0</v>
      </c>
      <c r="AR1305">
        <v>2</v>
      </c>
      <c r="AS1305">
        <v>41</v>
      </c>
      <c r="AT1305">
        <v>0</v>
      </c>
    </row>
    <row r="1306" spans="1:46">
      <c r="A1306">
        <v>25374</v>
      </c>
      <c r="B1306" t="s">
        <v>8147</v>
      </c>
      <c r="C1306" t="s">
        <v>6603</v>
      </c>
      <c r="D1306" t="s">
        <v>8148</v>
      </c>
      <c r="E1306" t="s">
        <v>8149</v>
      </c>
      <c r="F1306" t="s">
        <v>1189</v>
      </c>
      <c r="G1306" t="s">
        <v>652</v>
      </c>
      <c r="H1306" t="s">
        <v>3942</v>
      </c>
      <c r="J1306" t="s">
        <v>518</v>
      </c>
      <c r="K1306" t="s">
        <v>519</v>
      </c>
      <c r="M1306" t="s">
        <v>520</v>
      </c>
      <c r="N1306" t="s">
        <v>571</v>
      </c>
      <c r="O1306" t="s">
        <v>813</v>
      </c>
      <c r="P1306" t="s">
        <v>654</v>
      </c>
      <c r="Q1306" t="s">
        <v>638</v>
      </c>
      <c r="R1306" t="s">
        <v>639</v>
      </c>
      <c r="S1306" t="s">
        <v>899</v>
      </c>
      <c r="T1306" t="s">
        <v>709</v>
      </c>
      <c r="U1306">
        <v>127001</v>
      </c>
      <c r="V1306" t="s">
        <v>6598</v>
      </c>
      <c r="W1306" t="s">
        <v>815</v>
      </c>
      <c r="X1306" t="s">
        <v>6599</v>
      </c>
      <c r="Y1306" t="s">
        <v>6600</v>
      </c>
      <c r="Z1306" t="s">
        <v>6601</v>
      </c>
      <c r="AA1306" t="s">
        <v>6602</v>
      </c>
      <c r="AB1306" t="s">
        <v>6603</v>
      </c>
      <c r="AE1306">
        <v>-36.859497670000003</v>
      </c>
      <c r="AF1306">
        <v>174.64435238999999</v>
      </c>
      <c r="AG1306">
        <v>30</v>
      </c>
      <c r="AH1306">
        <v>20</v>
      </c>
      <c r="AI1306">
        <v>4</v>
      </c>
      <c r="AJ1306">
        <v>14</v>
      </c>
      <c r="AK1306">
        <v>14</v>
      </c>
      <c r="AL1306">
        <v>3</v>
      </c>
      <c r="AM1306">
        <v>0</v>
      </c>
      <c r="AN1306">
        <v>0</v>
      </c>
      <c r="AO1306">
        <v>35</v>
      </c>
      <c r="AP1306">
        <v>26</v>
      </c>
      <c r="AQ1306">
        <v>14</v>
      </c>
      <c r="AR1306">
        <v>5</v>
      </c>
      <c r="AS1306">
        <v>4</v>
      </c>
      <c r="AT1306">
        <v>1</v>
      </c>
    </row>
    <row r="1307" spans="1:46">
      <c r="A1307">
        <v>25377</v>
      </c>
      <c r="B1307" t="s">
        <v>8150</v>
      </c>
      <c r="C1307" t="s">
        <v>8151</v>
      </c>
      <c r="D1307" t="s">
        <v>8152</v>
      </c>
      <c r="E1307" t="s">
        <v>8153</v>
      </c>
      <c r="F1307" t="s">
        <v>3990</v>
      </c>
      <c r="G1307" t="s">
        <v>652</v>
      </c>
      <c r="H1307" t="s">
        <v>3942</v>
      </c>
      <c r="J1307" t="s">
        <v>518</v>
      </c>
      <c r="K1307" t="s">
        <v>519</v>
      </c>
      <c r="M1307" t="s">
        <v>520</v>
      </c>
      <c r="N1307" t="s">
        <v>571</v>
      </c>
      <c r="O1307" t="s">
        <v>707</v>
      </c>
      <c r="P1307" t="s">
        <v>654</v>
      </c>
      <c r="Q1307" t="s">
        <v>638</v>
      </c>
      <c r="R1307" t="s">
        <v>729</v>
      </c>
      <c r="S1307" t="s">
        <v>778</v>
      </c>
      <c r="T1307" t="s">
        <v>709</v>
      </c>
      <c r="U1307">
        <v>156601</v>
      </c>
      <c r="V1307" t="s">
        <v>7345</v>
      </c>
      <c r="W1307" t="s">
        <v>711</v>
      </c>
      <c r="X1307" t="s">
        <v>3943</v>
      </c>
      <c r="Y1307" t="s">
        <v>3944</v>
      </c>
      <c r="Z1307" t="s">
        <v>3945</v>
      </c>
      <c r="AA1307" t="s">
        <v>3946</v>
      </c>
      <c r="AB1307" t="s">
        <v>3947</v>
      </c>
      <c r="AE1307">
        <v>-36.955757630000001</v>
      </c>
      <c r="AF1307">
        <v>174.90522541999999</v>
      </c>
      <c r="AG1307">
        <v>105</v>
      </c>
      <c r="AH1307">
        <v>25</v>
      </c>
      <c r="AI1307">
        <v>2</v>
      </c>
      <c r="AJ1307">
        <v>13</v>
      </c>
      <c r="AK1307">
        <v>31</v>
      </c>
      <c r="AL1307">
        <v>25</v>
      </c>
      <c r="AM1307">
        <v>38</v>
      </c>
      <c r="AN1307">
        <v>1</v>
      </c>
      <c r="AO1307">
        <v>110</v>
      </c>
      <c r="AP1307">
        <v>19</v>
      </c>
      <c r="AQ1307">
        <v>7</v>
      </c>
      <c r="AR1307">
        <v>6</v>
      </c>
      <c r="AS1307">
        <v>85</v>
      </c>
      <c r="AT1307">
        <v>7</v>
      </c>
    </row>
    <row r="1308" spans="1:46">
      <c r="A1308">
        <v>25379</v>
      </c>
      <c r="B1308" t="s">
        <v>8154</v>
      </c>
      <c r="C1308" t="s">
        <v>8155</v>
      </c>
      <c r="D1308" t="s">
        <v>8156</v>
      </c>
      <c r="E1308" t="s">
        <v>8157</v>
      </c>
      <c r="G1308" t="s">
        <v>1245</v>
      </c>
      <c r="H1308" t="s">
        <v>3942</v>
      </c>
      <c r="J1308" t="s">
        <v>3962</v>
      </c>
      <c r="K1308" t="s">
        <v>519</v>
      </c>
      <c r="M1308" t="s">
        <v>520</v>
      </c>
      <c r="N1308" t="s">
        <v>571</v>
      </c>
      <c r="O1308" t="s">
        <v>1233</v>
      </c>
      <c r="P1308" t="s">
        <v>523</v>
      </c>
      <c r="Q1308" t="s">
        <v>638</v>
      </c>
      <c r="R1308" t="s">
        <v>729</v>
      </c>
      <c r="S1308" t="s">
        <v>1246</v>
      </c>
      <c r="T1308" t="s">
        <v>1235</v>
      </c>
      <c r="U1308">
        <v>164700</v>
      </c>
      <c r="V1308" t="s">
        <v>1290</v>
      </c>
      <c r="W1308" t="s">
        <v>1237</v>
      </c>
      <c r="X1308" t="s">
        <v>8158</v>
      </c>
      <c r="Y1308" t="s">
        <v>4658</v>
      </c>
      <c r="Z1308" t="s">
        <v>958</v>
      </c>
      <c r="AA1308" t="s">
        <v>4659</v>
      </c>
      <c r="AC1308">
        <v>99033</v>
      </c>
      <c r="AD1308" t="s">
        <v>1248</v>
      </c>
      <c r="AE1308">
        <v>-37.251591490000003</v>
      </c>
      <c r="AF1308">
        <v>174.73122429</v>
      </c>
      <c r="AG1308">
        <v>75</v>
      </c>
      <c r="AH1308">
        <v>25</v>
      </c>
      <c r="AI1308">
        <v>3</v>
      </c>
      <c r="AJ1308">
        <v>10</v>
      </c>
      <c r="AK1308">
        <v>24</v>
      </c>
      <c r="AL1308">
        <v>22</v>
      </c>
      <c r="AM1308">
        <v>25</v>
      </c>
      <c r="AN1308">
        <v>0</v>
      </c>
      <c r="AO1308">
        <v>84</v>
      </c>
      <c r="AP1308">
        <v>78</v>
      </c>
      <c r="AQ1308">
        <v>17</v>
      </c>
      <c r="AR1308">
        <v>5</v>
      </c>
      <c r="AS1308">
        <v>10</v>
      </c>
      <c r="AT1308">
        <v>0</v>
      </c>
    </row>
    <row r="1309" spans="1:46">
      <c r="A1309">
        <v>25381</v>
      </c>
      <c r="B1309" t="s">
        <v>8159</v>
      </c>
      <c r="C1309" t="s">
        <v>8160</v>
      </c>
      <c r="D1309" t="s">
        <v>8161</v>
      </c>
      <c r="E1309" t="s">
        <v>8162</v>
      </c>
      <c r="F1309" t="s">
        <v>1023</v>
      </c>
      <c r="G1309" t="s">
        <v>652</v>
      </c>
      <c r="H1309" t="s">
        <v>3942</v>
      </c>
      <c r="J1309" t="s">
        <v>3962</v>
      </c>
      <c r="K1309" t="s">
        <v>519</v>
      </c>
      <c r="M1309" t="s">
        <v>520</v>
      </c>
      <c r="N1309" t="s">
        <v>557</v>
      </c>
      <c r="O1309" t="s">
        <v>912</v>
      </c>
      <c r="P1309" t="s">
        <v>654</v>
      </c>
      <c r="Q1309" t="s">
        <v>638</v>
      </c>
      <c r="R1309" t="s">
        <v>708</v>
      </c>
      <c r="S1309" t="s">
        <v>913</v>
      </c>
      <c r="T1309" t="s">
        <v>709</v>
      </c>
      <c r="U1309">
        <v>140700</v>
      </c>
      <c r="V1309" t="s">
        <v>6917</v>
      </c>
      <c r="W1309" t="s">
        <v>860</v>
      </c>
      <c r="X1309" t="s">
        <v>8163</v>
      </c>
      <c r="Y1309" t="s">
        <v>8164</v>
      </c>
      <c r="Z1309" t="s">
        <v>717</v>
      </c>
      <c r="AA1309" t="s">
        <v>5690</v>
      </c>
      <c r="AB1309" t="s">
        <v>8165</v>
      </c>
      <c r="AE1309">
        <v>-36.917133290000002</v>
      </c>
      <c r="AF1309">
        <v>174.73800026000001</v>
      </c>
      <c r="AG1309">
        <v>50</v>
      </c>
      <c r="AH1309">
        <v>20</v>
      </c>
      <c r="AI1309">
        <v>1</v>
      </c>
      <c r="AJ1309">
        <v>4</v>
      </c>
      <c r="AK1309">
        <v>9</v>
      </c>
      <c r="AL1309">
        <v>11</v>
      </c>
      <c r="AM1309">
        <v>20</v>
      </c>
      <c r="AN1309">
        <v>0</v>
      </c>
      <c r="AO1309">
        <v>45</v>
      </c>
      <c r="AP1309">
        <v>0</v>
      </c>
      <c r="AQ1309">
        <v>3</v>
      </c>
      <c r="AR1309">
        <v>5</v>
      </c>
      <c r="AS1309">
        <v>40</v>
      </c>
      <c r="AT1309">
        <v>1</v>
      </c>
    </row>
    <row r="1310" spans="1:46">
      <c r="A1310">
        <v>25384</v>
      </c>
      <c r="B1310" t="s">
        <v>8166</v>
      </c>
      <c r="C1310" t="s">
        <v>8167</v>
      </c>
      <c r="D1310" t="s">
        <v>8168</v>
      </c>
      <c r="E1310" t="s">
        <v>8169</v>
      </c>
      <c r="F1310" t="s">
        <v>958</v>
      </c>
      <c r="G1310" t="s">
        <v>652</v>
      </c>
      <c r="H1310" t="s">
        <v>3942</v>
      </c>
      <c r="J1310" t="s">
        <v>3962</v>
      </c>
      <c r="K1310" t="s">
        <v>519</v>
      </c>
      <c r="M1310" t="s">
        <v>520</v>
      </c>
      <c r="N1310" t="s">
        <v>571</v>
      </c>
      <c r="O1310" t="s">
        <v>957</v>
      </c>
      <c r="P1310" t="s">
        <v>654</v>
      </c>
      <c r="Q1310" t="s">
        <v>638</v>
      </c>
      <c r="R1310" t="s">
        <v>708</v>
      </c>
      <c r="S1310" t="s">
        <v>958</v>
      </c>
      <c r="T1310" t="s">
        <v>709</v>
      </c>
      <c r="U1310">
        <v>133301</v>
      </c>
      <c r="V1310" t="s">
        <v>5028</v>
      </c>
      <c r="W1310" t="s">
        <v>959</v>
      </c>
      <c r="X1310" t="s">
        <v>8170</v>
      </c>
      <c r="Y1310" t="s">
        <v>4658</v>
      </c>
      <c r="Z1310" t="s">
        <v>958</v>
      </c>
      <c r="AA1310" t="s">
        <v>4659</v>
      </c>
      <c r="AB1310" t="s">
        <v>8171</v>
      </c>
      <c r="AE1310">
        <v>-36.845881069999997</v>
      </c>
      <c r="AF1310">
        <v>174.77367480000001</v>
      </c>
      <c r="AG1310">
        <v>60</v>
      </c>
      <c r="AH1310">
        <v>25</v>
      </c>
      <c r="AI1310">
        <v>4</v>
      </c>
      <c r="AJ1310">
        <v>13</v>
      </c>
      <c r="AK1310">
        <v>16</v>
      </c>
      <c r="AL1310">
        <v>13</v>
      </c>
      <c r="AM1310">
        <v>11</v>
      </c>
      <c r="AN1310">
        <v>1</v>
      </c>
      <c r="AO1310">
        <v>58</v>
      </c>
      <c r="AP1310">
        <v>18</v>
      </c>
      <c r="AQ1310">
        <v>1</v>
      </c>
      <c r="AR1310">
        <v>2</v>
      </c>
      <c r="AS1310">
        <v>39</v>
      </c>
      <c r="AT1310">
        <v>9</v>
      </c>
    </row>
    <row r="1311" spans="1:46">
      <c r="A1311">
        <v>25387</v>
      </c>
      <c r="B1311" t="s">
        <v>8172</v>
      </c>
      <c r="C1311" t="s">
        <v>8173</v>
      </c>
      <c r="D1311" t="s">
        <v>8174</v>
      </c>
      <c r="E1311" t="s">
        <v>8175</v>
      </c>
      <c r="F1311" t="s">
        <v>847</v>
      </c>
      <c r="G1311" t="s">
        <v>652</v>
      </c>
      <c r="H1311" t="s">
        <v>3942</v>
      </c>
      <c r="J1311" t="s">
        <v>3962</v>
      </c>
      <c r="K1311" t="s">
        <v>519</v>
      </c>
      <c r="M1311" t="s">
        <v>520</v>
      </c>
      <c r="N1311" t="s">
        <v>557</v>
      </c>
      <c r="O1311" t="s">
        <v>848</v>
      </c>
      <c r="P1311" t="s">
        <v>654</v>
      </c>
      <c r="Q1311" t="s">
        <v>638</v>
      </c>
      <c r="R1311" t="s">
        <v>729</v>
      </c>
      <c r="S1311" t="s">
        <v>849</v>
      </c>
      <c r="T1311" t="s">
        <v>709</v>
      </c>
      <c r="U1311">
        <v>147900</v>
      </c>
      <c r="V1311" t="s">
        <v>4739</v>
      </c>
      <c r="W1311" t="s">
        <v>732</v>
      </c>
      <c r="X1311" t="s">
        <v>8176</v>
      </c>
      <c r="Y1311" t="s">
        <v>8177</v>
      </c>
      <c r="Z1311" t="s">
        <v>1035</v>
      </c>
      <c r="AA1311" t="s">
        <v>7374</v>
      </c>
      <c r="AB1311" t="s">
        <v>8173</v>
      </c>
      <c r="AC1311">
        <v>99124</v>
      </c>
      <c r="AD1311" t="s">
        <v>4579</v>
      </c>
      <c r="AE1311">
        <v>-36.979906</v>
      </c>
      <c r="AF1311">
        <v>174.77395100000001</v>
      </c>
      <c r="AG1311">
        <v>100</v>
      </c>
      <c r="AH1311">
        <v>30</v>
      </c>
      <c r="AI1311">
        <v>3</v>
      </c>
      <c r="AJ1311">
        <v>14</v>
      </c>
      <c r="AK1311">
        <v>12</v>
      </c>
      <c r="AL1311">
        <v>15</v>
      </c>
      <c r="AM1311">
        <v>19</v>
      </c>
      <c r="AN1311">
        <v>1</v>
      </c>
      <c r="AO1311">
        <v>64</v>
      </c>
      <c r="AP1311">
        <v>15</v>
      </c>
      <c r="AQ1311">
        <v>15</v>
      </c>
      <c r="AR1311">
        <v>44</v>
      </c>
      <c r="AS1311">
        <v>17</v>
      </c>
      <c r="AT1311">
        <v>5</v>
      </c>
    </row>
    <row r="1312" spans="1:46">
      <c r="A1312">
        <v>25390</v>
      </c>
      <c r="B1312" t="s">
        <v>8178</v>
      </c>
      <c r="C1312" t="s">
        <v>8179</v>
      </c>
      <c r="D1312" t="s">
        <v>8180</v>
      </c>
      <c r="E1312" t="s">
        <v>8181</v>
      </c>
      <c r="G1312" t="s">
        <v>1245</v>
      </c>
      <c r="H1312" t="s">
        <v>3942</v>
      </c>
      <c r="J1312" t="s">
        <v>3962</v>
      </c>
      <c r="K1312" t="s">
        <v>519</v>
      </c>
      <c r="M1312" t="s">
        <v>520</v>
      </c>
      <c r="N1312" t="s">
        <v>4519</v>
      </c>
      <c r="O1312" t="s">
        <v>1233</v>
      </c>
      <c r="P1312" t="s">
        <v>523</v>
      </c>
      <c r="Q1312" t="s">
        <v>638</v>
      </c>
      <c r="R1312" t="s">
        <v>729</v>
      </c>
      <c r="S1312" t="s">
        <v>1246</v>
      </c>
      <c r="T1312" t="s">
        <v>1235</v>
      </c>
      <c r="U1312">
        <v>164500</v>
      </c>
      <c r="V1312" t="s">
        <v>8182</v>
      </c>
      <c r="W1312" t="s">
        <v>1237</v>
      </c>
      <c r="X1312" t="s">
        <v>8183</v>
      </c>
      <c r="Y1312" t="s">
        <v>8181</v>
      </c>
      <c r="Z1312" t="s">
        <v>1245</v>
      </c>
      <c r="AA1312" t="s">
        <v>8184</v>
      </c>
      <c r="AC1312">
        <v>99033</v>
      </c>
      <c r="AD1312" t="s">
        <v>1248</v>
      </c>
      <c r="AE1312">
        <v>-37.24591281</v>
      </c>
      <c r="AF1312">
        <v>174.73961259999999</v>
      </c>
      <c r="AG1312">
        <v>40</v>
      </c>
      <c r="AH1312">
        <v>15</v>
      </c>
      <c r="AI1312">
        <v>0</v>
      </c>
      <c r="AJ1312">
        <v>10</v>
      </c>
      <c r="AK1312">
        <v>9</v>
      </c>
      <c r="AL1312">
        <v>7</v>
      </c>
      <c r="AM1312">
        <v>11</v>
      </c>
      <c r="AN1312">
        <v>1</v>
      </c>
      <c r="AO1312">
        <v>38</v>
      </c>
      <c r="AP1312">
        <v>16</v>
      </c>
      <c r="AQ1312">
        <v>21</v>
      </c>
      <c r="AR1312">
        <v>5</v>
      </c>
      <c r="AS1312">
        <v>6</v>
      </c>
      <c r="AT1312">
        <v>1</v>
      </c>
    </row>
    <row r="1313" spans="1:46">
      <c r="A1313">
        <v>25391</v>
      </c>
      <c r="B1313" t="s">
        <v>8185</v>
      </c>
      <c r="D1313" t="s">
        <v>8186</v>
      </c>
      <c r="E1313" t="s">
        <v>8187</v>
      </c>
      <c r="F1313" t="s">
        <v>1035</v>
      </c>
      <c r="G1313" t="s">
        <v>652</v>
      </c>
      <c r="H1313" t="s">
        <v>3942</v>
      </c>
      <c r="J1313" t="s">
        <v>3962</v>
      </c>
      <c r="K1313" t="s">
        <v>519</v>
      </c>
      <c r="M1313" t="s">
        <v>520</v>
      </c>
      <c r="N1313" t="s">
        <v>539</v>
      </c>
      <c r="O1313" t="s">
        <v>728</v>
      </c>
      <c r="P1313" t="s">
        <v>654</v>
      </c>
      <c r="Q1313" t="s">
        <v>638</v>
      </c>
      <c r="R1313" t="s">
        <v>729</v>
      </c>
      <c r="S1313" t="s">
        <v>849</v>
      </c>
      <c r="T1313" t="s">
        <v>709</v>
      </c>
      <c r="U1313">
        <v>153301</v>
      </c>
      <c r="V1313" t="s">
        <v>946</v>
      </c>
      <c r="W1313" t="s">
        <v>732</v>
      </c>
      <c r="X1313" t="s">
        <v>8188</v>
      </c>
      <c r="Y1313" t="s">
        <v>8189</v>
      </c>
      <c r="Z1313" t="s">
        <v>1035</v>
      </c>
      <c r="AA1313" t="s">
        <v>7374</v>
      </c>
      <c r="AC1313">
        <v>99102</v>
      </c>
      <c r="AD1313" t="s">
        <v>1038</v>
      </c>
      <c r="AE1313">
        <v>-36.966887730000003</v>
      </c>
      <c r="AF1313">
        <v>174.840936</v>
      </c>
      <c r="AG1313">
        <v>50</v>
      </c>
      <c r="AH1313">
        <v>15</v>
      </c>
      <c r="AI1313">
        <v>1</v>
      </c>
      <c r="AJ1313">
        <v>7</v>
      </c>
      <c r="AK1313">
        <v>6</v>
      </c>
      <c r="AL1313">
        <v>15</v>
      </c>
      <c r="AM1313">
        <v>11</v>
      </c>
      <c r="AN1313">
        <v>2</v>
      </c>
      <c r="AO1313">
        <v>42</v>
      </c>
      <c r="AP1313">
        <v>2</v>
      </c>
      <c r="AQ1313">
        <v>11</v>
      </c>
      <c r="AR1313">
        <v>12</v>
      </c>
      <c r="AS1313">
        <v>26</v>
      </c>
      <c r="AT1313">
        <v>0</v>
      </c>
    </row>
    <row r="1314" spans="1:46">
      <c r="A1314">
        <v>25393</v>
      </c>
      <c r="B1314" t="s">
        <v>8190</v>
      </c>
      <c r="C1314" t="s">
        <v>8191</v>
      </c>
      <c r="D1314" t="s">
        <v>8192</v>
      </c>
      <c r="E1314" t="s">
        <v>8193</v>
      </c>
      <c r="F1314" t="s">
        <v>879</v>
      </c>
      <c r="G1314" t="s">
        <v>652</v>
      </c>
      <c r="H1314" t="s">
        <v>3942</v>
      </c>
      <c r="J1314" t="s">
        <v>518</v>
      </c>
      <c r="K1314" t="s">
        <v>519</v>
      </c>
      <c r="M1314" t="s">
        <v>520</v>
      </c>
      <c r="N1314" t="s">
        <v>571</v>
      </c>
      <c r="O1314" t="s">
        <v>829</v>
      </c>
      <c r="P1314" t="s">
        <v>654</v>
      </c>
      <c r="Q1314" t="s">
        <v>638</v>
      </c>
      <c r="R1314" t="s">
        <v>708</v>
      </c>
      <c r="S1314" t="s">
        <v>880</v>
      </c>
      <c r="T1314" t="s">
        <v>709</v>
      </c>
      <c r="U1314">
        <v>145400</v>
      </c>
      <c r="V1314" t="s">
        <v>8194</v>
      </c>
      <c r="W1314" t="s">
        <v>807</v>
      </c>
      <c r="X1314" t="s">
        <v>3943</v>
      </c>
      <c r="Y1314" t="s">
        <v>3944</v>
      </c>
      <c r="Z1314" t="s">
        <v>3945</v>
      </c>
      <c r="AA1314" t="s">
        <v>3946</v>
      </c>
      <c r="AB1314" t="s">
        <v>3947</v>
      </c>
      <c r="AE1314">
        <v>-36.873805689999998</v>
      </c>
      <c r="AF1314">
        <v>174.85304778</v>
      </c>
      <c r="AG1314">
        <v>70</v>
      </c>
      <c r="AH1314">
        <v>20</v>
      </c>
      <c r="AI1314">
        <v>3</v>
      </c>
      <c r="AJ1314">
        <v>15</v>
      </c>
      <c r="AK1314">
        <v>17</v>
      </c>
      <c r="AL1314">
        <v>18</v>
      </c>
      <c r="AM1314">
        <v>13</v>
      </c>
      <c r="AN1314">
        <v>0</v>
      </c>
      <c r="AO1314">
        <v>66</v>
      </c>
      <c r="AP1314">
        <v>35</v>
      </c>
      <c r="AQ1314">
        <v>12</v>
      </c>
      <c r="AR1314">
        <v>14</v>
      </c>
      <c r="AS1314">
        <v>21</v>
      </c>
      <c r="AT1314">
        <v>4</v>
      </c>
    </row>
    <row r="1315" spans="1:46">
      <c r="A1315">
        <v>25394</v>
      </c>
      <c r="B1315" t="s">
        <v>8195</v>
      </c>
      <c r="C1315" t="s">
        <v>8196</v>
      </c>
      <c r="D1315" t="s">
        <v>8197</v>
      </c>
      <c r="E1315" t="s">
        <v>8198</v>
      </c>
      <c r="F1315" t="s">
        <v>3990</v>
      </c>
      <c r="G1315" t="s">
        <v>652</v>
      </c>
      <c r="H1315" t="s">
        <v>3942</v>
      </c>
      <c r="J1315" t="s">
        <v>3962</v>
      </c>
      <c r="K1315" t="s">
        <v>519</v>
      </c>
      <c r="M1315" t="s">
        <v>520</v>
      </c>
      <c r="N1315" t="s">
        <v>571</v>
      </c>
      <c r="O1315" t="s">
        <v>707</v>
      </c>
      <c r="P1315" t="s">
        <v>654</v>
      </c>
      <c r="Q1315" t="s">
        <v>638</v>
      </c>
      <c r="R1315" t="s">
        <v>729</v>
      </c>
      <c r="S1315" t="s">
        <v>778</v>
      </c>
      <c r="T1315" t="s">
        <v>709</v>
      </c>
      <c r="U1315">
        <v>152300</v>
      </c>
      <c r="V1315" t="s">
        <v>3990</v>
      </c>
      <c r="W1315" t="s">
        <v>711</v>
      </c>
      <c r="X1315" t="s">
        <v>8199</v>
      </c>
      <c r="Y1315" t="s">
        <v>4658</v>
      </c>
      <c r="Z1315" t="s">
        <v>958</v>
      </c>
      <c r="AA1315" t="s">
        <v>4659</v>
      </c>
      <c r="AB1315" t="s">
        <v>8200</v>
      </c>
      <c r="AE1315">
        <v>-36.938861129999999</v>
      </c>
      <c r="AF1315">
        <v>174.87631481</v>
      </c>
      <c r="AG1315">
        <v>150</v>
      </c>
      <c r="AH1315">
        <v>75</v>
      </c>
      <c r="AI1315">
        <v>10</v>
      </c>
      <c r="AJ1315">
        <v>35</v>
      </c>
      <c r="AK1315">
        <v>22</v>
      </c>
      <c r="AL1315">
        <v>21</v>
      </c>
      <c r="AM1315">
        <v>21</v>
      </c>
      <c r="AN1315">
        <v>1</v>
      </c>
      <c r="AO1315">
        <v>110</v>
      </c>
      <c r="AP1315">
        <v>52</v>
      </c>
      <c r="AQ1315">
        <v>13</v>
      </c>
      <c r="AR1315">
        <v>21</v>
      </c>
      <c r="AS1315">
        <v>56</v>
      </c>
      <c r="AT1315">
        <v>11</v>
      </c>
    </row>
    <row r="1316" spans="1:46">
      <c r="A1316">
        <v>25395</v>
      </c>
      <c r="B1316" t="s">
        <v>8201</v>
      </c>
      <c r="C1316" t="s">
        <v>8202</v>
      </c>
      <c r="D1316" t="s">
        <v>8203</v>
      </c>
      <c r="E1316" t="s">
        <v>8204</v>
      </c>
      <c r="F1316" t="s">
        <v>1157</v>
      </c>
      <c r="G1316" t="s">
        <v>652</v>
      </c>
      <c r="H1316" t="s">
        <v>3942</v>
      </c>
      <c r="J1316" t="s">
        <v>3962</v>
      </c>
      <c r="K1316" t="s">
        <v>519</v>
      </c>
      <c r="M1316" t="s">
        <v>520</v>
      </c>
      <c r="N1316" t="s">
        <v>571</v>
      </c>
      <c r="O1316" t="s">
        <v>857</v>
      </c>
      <c r="P1316" t="s">
        <v>654</v>
      </c>
      <c r="Q1316" t="s">
        <v>638</v>
      </c>
      <c r="R1316" t="s">
        <v>708</v>
      </c>
      <c r="S1316" t="s">
        <v>858</v>
      </c>
      <c r="T1316" t="s">
        <v>709</v>
      </c>
      <c r="U1316">
        <v>137600</v>
      </c>
      <c r="V1316" t="s">
        <v>8205</v>
      </c>
      <c r="W1316" t="s">
        <v>860</v>
      </c>
      <c r="X1316" t="s">
        <v>8206</v>
      </c>
      <c r="Y1316" t="s">
        <v>8207</v>
      </c>
      <c r="AA1316" t="s">
        <v>4273</v>
      </c>
      <c r="AC1316">
        <v>99150</v>
      </c>
      <c r="AD1316" t="s">
        <v>861</v>
      </c>
      <c r="AE1316">
        <v>-36.895078789999999</v>
      </c>
      <c r="AF1316">
        <v>174.7303666</v>
      </c>
      <c r="AG1316">
        <v>38</v>
      </c>
      <c r="AH1316">
        <v>12</v>
      </c>
      <c r="AI1316">
        <v>3</v>
      </c>
      <c r="AJ1316">
        <v>10</v>
      </c>
      <c r="AK1316">
        <v>9</v>
      </c>
      <c r="AL1316">
        <v>10</v>
      </c>
      <c r="AM1316">
        <v>10</v>
      </c>
      <c r="AN1316">
        <v>2</v>
      </c>
      <c r="AO1316">
        <v>44</v>
      </c>
      <c r="AP1316">
        <v>29</v>
      </c>
      <c r="AQ1316">
        <v>5</v>
      </c>
      <c r="AR1316">
        <v>2</v>
      </c>
      <c r="AS1316">
        <v>18</v>
      </c>
      <c r="AT1316">
        <v>4</v>
      </c>
    </row>
    <row r="1317" spans="1:46">
      <c r="A1317">
        <v>25396</v>
      </c>
      <c r="B1317" t="s">
        <v>8208</v>
      </c>
      <c r="C1317" t="s">
        <v>8209</v>
      </c>
      <c r="E1317" t="s">
        <v>8210</v>
      </c>
      <c r="F1317" t="s">
        <v>717</v>
      </c>
      <c r="G1317" t="s">
        <v>652</v>
      </c>
      <c r="H1317" t="s">
        <v>3942</v>
      </c>
      <c r="I1317" t="s">
        <v>4165</v>
      </c>
      <c r="J1317" t="s">
        <v>518</v>
      </c>
      <c r="K1317" t="s">
        <v>519</v>
      </c>
      <c r="M1317" t="s">
        <v>520</v>
      </c>
      <c r="N1317" t="s">
        <v>539</v>
      </c>
      <c r="O1317" t="s">
        <v>718</v>
      </c>
      <c r="P1317" t="s">
        <v>654</v>
      </c>
      <c r="Q1317" t="s">
        <v>638</v>
      </c>
      <c r="R1317" t="s">
        <v>708</v>
      </c>
      <c r="S1317" t="s">
        <v>719</v>
      </c>
      <c r="T1317" t="s">
        <v>709</v>
      </c>
      <c r="U1317">
        <v>132001</v>
      </c>
      <c r="V1317" t="s">
        <v>720</v>
      </c>
      <c r="W1317" t="s">
        <v>721</v>
      </c>
      <c r="X1317" t="s">
        <v>8211</v>
      </c>
      <c r="Y1317" t="s">
        <v>8212</v>
      </c>
      <c r="Z1317" t="s">
        <v>3970</v>
      </c>
      <c r="AA1317" t="s">
        <v>5487</v>
      </c>
      <c r="AC1317">
        <v>99012</v>
      </c>
      <c r="AD1317" t="s">
        <v>772</v>
      </c>
      <c r="AE1317">
        <v>-36.8886234</v>
      </c>
      <c r="AF1317">
        <v>174.68607857999999</v>
      </c>
      <c r="AG1317">
        <v>38</v>
      </c>
      <c r="AH1317">
        <v>6</v>
      </c>
      <c r="AI1317">
        <v>2</v>
      </c>
      <c r="AJ1317">
        <v>4</v>
      </c>
      <c r="AK1317">
        <v>5</v>
      </c>
      <c r="AL1317">
        <v>11</v>
      </c>
      <c r="AM1317">
        <v>13</v>
      </c>
      <c r="AN1317">
        <v>0</v>
      </c>
      <c r="AO1317">
        <v>35</v>
      </c>
      <c r="AP1317">
        <v>2</v>
      </c>
      <c r="AQ1317">
        <v>1</v>
      </c>
      <c r="AR1317">
        <v>25</v>
      </c>
      <c r="AS1317">
        <v>7</v>
      </c>
      <c r="AT1317">
        <v>4</v>
      </c>
    </row>
    <row r="1318" spans="1:46">
      <c r="A1318">
        <v>25399</v>
      </c>
      <c r="B1318" t="s">
        <v>8213</v>
      </c>
      <c r="C1318" t="s">
        <v>8214</v>
      </c>
      <c r="D1318" t="s">
        <v>8215</v>
      </c>
      <c r="E1318" t="s">
        <v>8216</v>
      </c>
      <c r="F1318" t="s">
        <v>1029</v>
      </c>
      <c r="G1318" t="s">
        <v>652</v>
      </c>
      <c r="H1318" t="s">
        <v>8217</v>
      </c>
      <c r="J1318" t="s">
        <v>3962</v>
      </c>
      <c r="K1318" t="s">
        <v>519</v>
      </c>
      <c r="M1318" t="s">
        <v>520</v>
      </c>
      <c r="N1318" t="s">
        <v>557</v>
      </c>
      <c r="O1318" t="s">
        <v>829</v>
      </c>
      <c r="P1318" t="s">
        <v>654</v>
      </c>
      <c r="Q1318" t="s">
        <v>638</v>
      </c>
      <c r="R1318" t="s">
        <v>708</v>
      </c>
      <c r="S1318" t="s">
        <v>805</v>
      </c>
      <c r="T1318" t="s">
        <v>709</v>
      </c>
      <c r="U1318">
        <v>147400</v>
      </c>
      <c r="V1318" t="s">
        <v>8218</v>
      </c>
      <c r="W1318" t="s">
        <v>807</v>
      </c>
      <c r="X1318" t="s">
        <v>8219</v>
      </c>
      <c r="Y1318" t="s">
        <v>8220</v>
      </c>
      <c r="Z1318" t="s">
        <v>5104</v>
      </c>
      <c r="AA1318" t="s">
        <v>5000</v>
      </c>
      <c r="AE1318">
        <v>-36.914530450000001</v>
      </c>
      <c r="AF1318">
        <v>174.83923637000001</v>
      </c>
      <c r="AG1318">
        <v>41</v>
      </c>
      <c r="AH1318">
        <v>20</v>
      </c>
    </row>
    <row r="1319" spans="1:46">
      <c r="A1319">
        <v>25401</v>
      </c>
      <c r="B1319" t="s">
        <v>8221</v>
      </c>
      <c r="C1319" t="s">
        <v>8222</v>
      </c>
      <c r="D1319" t="s">
        <v>8223</v>
      </c>
      <c r="E1319" t="s">
        <v>5143</v>
      </c>
      <c r="F1319" t="s">
        <v>1036</v>
      </c>
      <c r="G1319" t="s">
        <v>652</v>
      </c>
      <c r="H1319" t="s">
        <v>3942</v>
      </c>
      <c r="J1319" t="s">
        <v>3962</v>
      </c>
      <c r="K1319" t="s">
        <v>519</v>
      </c>
      <c r="M1319" t="s">
        <v>520</v>
      </c>
      <c r="N1319" t="s">
        <v>571</v>
      </c>
      <c r="O1319" t="s">
        <v>1216</v>
      </c>
      <c r="P1319" t="s">
        <v>654</v>
      </c>
      <c r="Q1319" t="s">
        <v>638</v>
      </c>
      <c r="R1319" t="s">
        <v>729</v>
      </c>
      <c r="S1319" t="s">
        <v>1217</v>
      </c>
      <c r="T1319" t="s">
        <v>709</v>
      </c>
      <c r="U1319">
        <v>160401</v>
      </c>
      <c r="V1319" t="s">
        <v>8224</v>
      </c>
      <c r="W1319" t="s">
        <v>1219</v>
      </c>
      <c r="X1319" t="s">
        <v>5142</v>
      </c>
      <c r="Y1319" t="s">
        <v>5143</v>
      </c>
      <c r="Z1319" t="s">
        <v>1036</v>
      </c>
      <c r="AA1319" t="s">
        <v>5144</v>
      </c>
      <c r="AB1319" t="s">
        <v>5145</v>
      </c>
      <c r="AC1319">
        <v>99186</v>
      </c>
      <c r="AD1319" t="s">
        <v>1224</v>
      </c>
      <c r="AE1319">
        <v>-37.012682910000002</v>
      </c>
      <c r="AF1319">
        <v>174.91341825999999</v>
      </c>
      <c r="AG1319">
        <v>120</v>
      </c>
      <c r="AH1319">
        <v>35</v>
      </c>
      <c r="AI1319">
        <v>0</v>
      </c>
      <c r="AJ1319">
        <v>17</v>
      </c>
      <c r="AK1319">
        <v>22</v>
      </c>
      <c r="AL1319">
        <v>25</v>
      </c>
      <c r="AM1319">
        <v>26</v>
      </c>
      <c r="AN1319">
        <v>0</v>
      </c>
      <c r="AO1319">
        <v>90</v>
      </c>
      <c r="AP1319">
        <v>26</v>
      </c>
      <c r="AQ1319">
        <v>7</v>
      </c>
      <c r="AR1319">
        <v>16</v>
      </c>
      <c r="AS1319">
        <v>54</v>
      </c>
      <c r="AT1319">
        <v>7</v>
      </c>
    </row>
    <row r="1320" spans="1:46">
      <c r="A1320">
        <v>25402</v>
      </c>
      <c r="B1320" t="s">
        <v>8225</v>
      </c>
      <c r="C1320" t="s">
        <v>8226</v>
      </c>
      <c r="D1320" t="s">
        <v>8227</v>
      </c>
      <c r="E1320" t="s">
        <v>8228</v>
      </c>
      <c r="G1320" t="s">
        <v>1261</v>
      </c>
      <c r="H1320" t="s">
        <v>3942</v>
      </c>
      <c r="J1320" t="s">
        <v>3962</v>
      </c>
      <c r="K1320" t="s">
        <v>519</v>
      </c>
      <c r="M1320" t="s">
        <v>520</v>
      </c>
      <c r="N1320" t="s">
        <v>571</v>
      </c>
      <c r="O1320" t="s">
        <v>1233</v>
      </c>
      <c r="P1320" t="s">
        <v>1262</v>
      </c>
      <c r="Q1320" t="s">
        <v>638</v>
      </c>
      <c r="R1320" t="s">
        <v>729</v>
      </c>
      <c r="S1320" t="s">
        <v>1246</v>
      </c>
      <c r="T1320" t="s">
        <v>1235</v>
      </c>
      <c r="U1320">
        <v>165400</v>
      </c>
      <c r="V1320" t="s">
        <v>7927</v>
      </c>
      <c r="W1320" t="s">
        <v>1237</v>
      </c>
      <c r="X1320" t="s">
        <v>8229</v>
      </c>
      <c r="Y1320" t="s">
        <v>8228</v>
      </c>
      <c r="AA1320" t="s">
        <v>5078</v>
      </c>
      <c r="AC1320">
        <v>99075</v>
      </c>
      <c r="AD1320" t="s">
        <v>1264</v>
      </c>
      <c r="AE1320">
        <v>-37.187686939999999</v>
      </c>
      <c r="AF1320">
        <v>174.92195959</v>
      </c>
      <c r="AG1320">
        <v>40</v>
      </c>
      <c r="AH1320">
        <v>10</v>
      </c>
      <c r="AI1320">
        <v>1</v>
      </c>
      <c r="AJ1320">
        <v>6</v>
      </c>
      <c r="AK1320">
        <v>5</v>
      </c>
      <c r="AL1320">
        <v>4</v>
      </c>
      <c r="AM1320">
        <v>4</v>
      </c>
      <c r="AN1320">
        <v>0</v>
      </c>
      <c r="AO1320">
        <v>20</v>
      </c>
      <c r="AP1320">
        <v>16</v>
      </c>
      <c r="AQ1320">
        <v>3</v>
      </c>
      <c r="AR1320">
        <v>2</v>
      </c>
      <c r="AS1320">
        <v>3</v>
      </c>
      <c r="AT1320">
        <v>0</v>
      </c>
    </row>
    <row r="1321" spans="1:46">
      <c r="A1321">
        <v>25405</v>
      </c>
      <c r="B1321" t="s">
        <v>8230</v>
      </c>
      <c r="C1321" t="s">
        <v>8231</v>
      </c>
      <c r="E1321" t="s">
        <v>8232</v>
      </c>
      <c r="F1321" t="s">
        <v>623</v>
      </c>
      <c r="G1321" t="s">
        <v>582</v>
      </c>
      <c r="H1321" t="s">
        <v>3942</v>
      </c>
      <c r="J1321" t="s">
        <v>3962</v>
      </c>
      <c r="K1321" t="s">
        <v>519</v>
      </c>
      <c r="M1321" t="s">
        <v>520</v>
      </c>
      <c r="N1321" t="s">
        <v>571</v>
      </c>
      <c r="O1321" t="s">
        <v>583</v>
      </c>
      <c r="P1321" t="s">
        <v>584</v>
      </c>
      <c r="Q1321" t="s">
        <v>524</v>
      </c>
      <c r="R1321" t="s">
        <v>525</v>
      </c>
      <c r="S1321" t="s">
        <v>585</v>
      </c>
      <c r="T1321" t="s">
        <v>527</v>
      </c>
      <c r="U1321">
        <v>107901</v>
      </c>
      <c r="V1321" t="s">
        <v>8233</v>
      </c>
      <c r="W1321" t="s">
        <v>587</v>
      </c>
      <c r="X1321" t="s">
        <v>8234</v>
      </c>
      <c r="Y1321" t="s">
        <v>4584</v>
      </c>
      <c r="Z1321" t="s">
        <v>3945</v>
      </c>
      <c r="AA1321" t="s">
        <v>4585</v>
      </c>
      <c r="AB1321" t="s">
        <v>8235</v>
      </c>
      <c r="AE1321">
        <v>-35.751018999999999</v>
      </c>
      <c r="AF1321">
        <v>174.31182702999999</v>
      </c>
      <c r="AG1321">
        <v>75</v>
      </c>
      <c r="AH1321">
        <v>25</v>
      </c>
      <c r="AI1321">
        <v>4</v>
      </c>
      <c r="AJ1321">
        <v>9</v>
      </c>
      <c r="AK1321">
        <v>10</v>
      </c>
      <c r="AL1321">
        <v>14</v>
      </c>
      <c r="AM1321">
        <v>13</v>
      </c>
      <c r="AN1321">
        <v>0</v>
      </c>
      <c r="AO1321">
        <v>50</v>
      </c>
      <c r="AP1321">
        <v>35</v>
      </c>
      <c r="AQ1321">
        <v>27</v>
      </c>
      <c r="AR1321">
        <v>1</v>
      </c>
      <c r="AS1321">
        <v>5</v>
      </c>
      <c r="AT1321">
        <v>2</v>
      </c>
    </row>
    <row r="1322" spans="1:46">
      <c r="A1322">
        <v>25406</v>
      </c>
      <c r="B1322" t="s">
        <v>8236</v>
      </c>
      <c r="C1322" t="s">
        <v>8237</v>
      </c>
      <c r="D1322" t="s">
        <v>8238</v>
      </c>
      <c r="E1322" t="s">
        <v>8239</v>
      </c>
      <c r="F1322" t="s">
        <v>1177</v>
      </c>
      <c r="G1322" t="s">
        <v>652</v>
      </c>
      <c r="H1322" t="s">
        <v>3942</v>
      </c>
      <c r="J1322" t="s">
        <v>3962</v>
      </c>
      <c r="K1322" t="s">
        <v>519</v>
      </c>
      <c r="M1322" t="s">
        <v>520</v>
      </c>
      <c r="N1322" t="s">
        <v>571</v>
      </c>
      <c r="O1322" t="s">
        <v>748</v>
      </c>
      <c r="P1322" t="s">
        <v>654</v>
      </c>
      <c r="Q1322" t="s">
        <v>638</v>
      </c>
      <c r="R1322" t="s">
        <v>639</v>
      </c>
      <c r="S1322" t="s">
        <v>682</v>
      </c>
      <c r="T1322" t="s">
        <v>527</v>
      </c>
      <c r="U1322">
        <v>126601</v>
      </c>
      <c r="V1322" t="s">
        <v>6130</v>
      </c>
      <c r="W1322" t="s">
        <v>741</v>
      </c>
      <c r="X1322" t="s">
        <v>8240</v>
      </c>
      <c r="Y1322" t="s">
        <v>8241</v>
      </c>
      <c r="Z1322" t="s">
        <v>1177</v>
      </c>
      <c r="AA1322" t="s">
        <v>8242</v>
      </c>
      <c r="AB1322" t="s">
        <v>8243</v>
      </c>
      <c r="AE1322">
        <v>-36.785383170000003</v>
      </c>
      <c r="AF1322">
        <v>174.75555362</v>
      </c>
      <c r="AG1322">
        <v>128</v>
      </c>
      <c r="AH1322">
        <v>30</v>
      </c>
      <c r="AI1322">
        <v>2</v>
      </c>
      <c r="AJ1322">
        <v>19</v>
      </c>
      <c r="AK1322">
        <v>19</v>
      </c>
      <c r="AL1322">
        <v>20</v>
      </c>
      <c r="AM1322">
        <v>20</v>
      </c>
      <c r="AN1322">
        <v>3</v>
      </c>
      <c r="AO1322">
        <v>83</v>
      </c>
      <c r="AP1322">
        <v>34</v>
      </c>
      <c r="AQ1322">
        <v>2</v>
      </c>
      <c r="AR1322">
        <v>0</v>
      </c>
      <c r="AS1322">
        <v>54</v>
      </c>
      <c r="AT1322">
        <v>5</v>
      </c>
    </row>
    <row r="1323" spans="1:46">
      <c r="A1323">
        <v>25408</v>
      </c>
      <c r="B1323" t="s">
        <v>8244</v>
      </c>
      <c r="C1323" t="s">
        <v>8245</v>
      </c>
      <c r="D1323" t="s">
        <v>8246</v>
      </c>
      <c r="E1323" t="s">
        <v>8247</v>
      </c>
      <c r="F1323" t="s">
        <v>822</v>
      </c>
      <c r="G1323" t="s">
        <v>652</v>
      </c>
      <c r="H1323" t="s">
        <v>3942</v>
      </c>
      <c r="J1323" t="s">
        <v>3962</v>
      </c>
      <c r="K1323" t="s">
        <v>519</v>
      </c>
      <c r="M1323" t="s">
        <v>520</v>
      </c>
      <c r="N1323" t="s">
        <v>571</v>
      </c>
      <c r="O1323" t="s">
        <v>857</v>
      </c>
      <c r="P1323" t="s">
        <v>654</v>
      </c>
      <c r="Q1323" t="s">
        <v>638</v>
      </c>
      <c r="R1323" t="s">
        <v>708</v>
      </c>
      <c r="S1323" t="s">
        <v>822</v>
      </c>
      <c r="T1323" t="s">
        <v>709</v>
      </c>
      <c r="U1323">
        <v>140300</v>
      </c>
      <c r="V1323" t="s">
        <v>4502</v>
      </c>
      <c r="W1323" t="s">
        <v>860</v>
      </c>
      <c r="X1323" t="s">
        <v>8248</v>
      </c>
      <c r="Y1323" t="s">
        <v>8249</v>
      </c>
      <c r="Z1323" t="s">
        <v>822</v>
      </c>
      <c r="AA1323" t="s">
        <v>4382</v>
      </c>
      <c r="AB1323" t="s">
        <v>8250</v>
      </c>
      <c r="AE1323">
        <v>-36.883778900000003</v>
      </c>
      <c r="AF1323">
        <v>174.77604036</v>
      </c>
      <c r="AG1323">
        <v>32</v>
      </c>
      <c r="AH1323">
        <v>15</v>
      </c>
      <c r="AI1323">
        <v>1</v>
      </c>
      <c r="AJ1323">
        <v>3</v>
      </c>
      <c r="AK1323">
        <v>3</v>
      </c>
      <c r="AL1323">
        <v>11</v>
      </c>
      <c r="AM1323">
        <v>5</v>
      </c>
      <c r="AN1323">
        <v>2</v>
      </c>
      <c r="AO1323">
        <v>25</v>
      </c>
      <c r="AP1323">
        <v>11</v>
      </c>
      <c r="AQ1323">
        <v>3</v>
      </c>
      <c r="AR1323">
        <v>3</v>
      </c>
      <c r="AS1323">
        <v>14</v>
      </c>
      <c r="AT1323">
        <v>3</v>
      </c>
    </row>
    <row r="1324" spans="1:46">
      <c r="A1324">
        <v>25410</v>
      </c>
      <c r="B1324" t="s">
        <v>8251</v>
      </c>
      <c r="C1324" t="s">
        <v>8252</v>
      </c>
      <c r="D1324" t="s">
        <v>8253</v>
      </c>
      <c r="E1324" t="s">
        <v>8254</v>
      </c>
      <c r="F1324" t="s">
        <v>8255</v>
      </c>
      <c r="G1324" t="s">
        <v>652</v>
      </c>
      <c r="H1324" t="s">
        <v>4716</v>
      </c>
      <c r="J1324" t="s">
        <v>3962</v>
      </c>
      <c r="K1324" t="s">
        <v>519</v>
      </c>
      <c r="M1324" t="s">
        <v>520</v>
      </c>
      <c r="N1324" t="s">
        <v>571</v>
      </c>
      <c r="O1324" t="s">
        <v>1168</v>
      </c>
      <c r="P1324" t="s">
        <v>654</v>
      </c>
      <c r="Q1324" t="s">
        <v>638</v>
      </c>
      <c r="R1324" t="s">
        <v>639</v>
      </c>
      <c r="S1324" t="s">
        <v>655</v>
      </c>
      <c r="T1324" t="s">
        <v>527</v>
      </c>
      <c r="U1324">
        <v>118600</v>
      </c>
      <c r="V1324" t="s">
        <v>4012</v>
      </c>
      <c r="W1324" t="s">
        <v>657</v>
      </c>
      <c r="X1324" t="s">
        <v>6268</v>
      </c>
      <c r="Y1324" t="s">
        <v>6269</v>
      </c>
      <c r="Z1324" t="s">
        <v>3706</v>
      </c>
      <c r="AA1324" t="s">
        <v>6270</v>
      </c>
      <c r="AB1324" t="s">
        <v>6271</v>
      </c>
      <c r="AE1324">
        <v>-36.745861640000001</v>
      </c>
      <c r="AF1324">
        <v>174.7044022</v>
      </c>
      <c r="AG1324">
        <v>50</v>
      </c>
      <c r="AH1324">
        <v>50</v>
      </c>
      <c r="AI1324">
        <v>9</v>
      </c>
      <c r="AJ1324">
        <v>13</v>
      </c>
      <c r="AK1324">
        <v>9</v>
      </c>
      <c r="AL1324">
        <v>12</v>
      </c>
      <c r="AM1324">
        <v>10</v>
      </c>
      <c r="AN1324">
        <v>0</v>
      </c>
      <c r="AO1324">
        <v>53</v>
      </c>
      <c r="AP1324">
        <v>4</v>
      </c>
      <c r="AQ1324">
        <v>0</v>
      </c>
      <c r="AR1324">
        <v>0</v>
      </c>
      <c r="AS1324">
        <v>52</v>
      </c>
      <c r="AT1324">
        <v>0</v>
      </c>
    </row>
    <row r="1325" spans="1:46">
      <c r="A1325">
        <v>25413</v>
      </c>
      <c r="B1325" t="s">
        <v>8256</v>
      </c>
      <c r="C1325" t="s">
        <v>8257</v>
      </c>
      <c r="E1325" t="s">
        <v>8258</v>
      </c>
      <c r="F1325" t="s">
        <v>898</v>
      </c>
      <c r="G1325" t="s">
        <v>652</v>
      </c>
      <c r="H1325" t="s">
        <v>3942</v>
      </c>
      <c r="J1325" t="s">
        <v>3962</v>
      </c>
      <c r="K1325" t="s">
        <v>519</v>
      </c>
      <c r="M1325" t="s">
        <v>520</v>
      </c>
      <c r="N1325" t="s">
        <v>571</v>
      </c>
      <c r="O1325" t="s">
        <v>813</v>
      </c>
      <c r="P1325" t="s">
        <v>654</v>
      </c>
      <c r="Q1325" t="s">
        <v>638</v>
      </c>
      <c r="R1325" t="s">
        <v>639</v>
      </c>
      <c r="S1325" t="s">
        <v>719</v>
      </c>
      <c r="T1325" t="s">
        <v>527</v>
      </c>
      <c r="U1325">
        <v>127500</v>
      </c>
      <c r="V1325" t="s">
        <v>4552</v>
      </c>
      <c r="W1325" t="s">
        <v>815</v>
      </c>
      <c r="X1325" t="s">
        <v>8259</v>
      </c>
      <c r="Y1325" t="s">
        <v>8260</v>
      </c>
      <c r="Z1325" t="s">
        <v>8261</v>
      </c>
      <c r="AA1325" t="s">
        <v>8262</v>
      </c>
      <c r="AE1325">
        <v>-36.892389780000002</v>
      </c>
      <c r="AF1325">
        <v>174.6270356</v>
      </c>
      <c r="AG1325">
        <v>125</v>
      </c>
      <c r="AH1325">
        <v>35</v>
      </c>
      <c r="AI1325">
        <v>5</v>
      </c>
      <c r="AJ1325">
        <v>21</v>
      </c>
      <c r="AK1325">
        <v>22</v>
      </c>
      <c r="AL1325">
        <v>18</v>
      </c>
      <c r="AM1325">
        <v>25</v>
      </c>
      <c r="AN1325">
        <v>0</v>
      </c>
      <c r="AO1325">
        <v>91</v>
      </c>
      <c r="AP1325">
        <v>48</v>
      </c>
      <c r="AQ1325">
        <v>19</v>
      </c>
      <c r="AR1325">
        <v>24</v>
      </c>
      <c r="AS1325">
        <v>29</v>
      </c>
      <c r="AT1325">
        <v>7</v>
      </c>
    </row>
    <row r="1326" spans="1:46">
      <c r="A1326">
        <v>25417</v>
      </c>
      <c r="B1326" t="s">
        <v>8263</v>
      </c>
      <c r="C1326" t="s">
        <v>6537</v>
      </c>
      <c r="D1326" t="s">
        <v>8264</v>
      </c>
      <c r="E1326" t="s">
        <v>8265</v>
      </c>
      <c r="F1326" t="s">
        <v>717</v>
      </c>
      <c r="G1326" t="s">
        <v>652</v>
      </c>
      <c r="H1326" t="s">
        <v>3942</v>
      </c>
      <c r="J1326" t="s">
        <v>518</v>
      </c>
      <c r="K1326" t="s">
        <v>519</v>
      </c>
      <c r="M1326" t="s">
        <v>520</v>
      </c>
      <c r="N1326" t="s">
        <v>571</v>
      </c>
      <c r="O1326" t="s">
        <v>718</v>
      </c>
      <c r="P1326" t="s">
        <v>654</v>
      </c>
      <c r="Q1326" t="s">
        <v>638</v>
      </c>
      <c r="R1326" t="s">
        <v>708</v>
      </c>
      <c r="S1326" t="s">
        <v>770</v>
      </c>
      <c r="T1326" t="s">
        <v>709</v>
      </c>
      <c r="U1326">
        <v>135000</v>
      </c>
      <c r="V1326" t="s">
        <v>5733</v>
      </c>
      <c r="W1326" t="s">
        <v>721</v>
      </c>
      <c r="X1326" t="s">
        <v>3943</v>
      </c>
      <c r="Y1326" t="s">
        <v>3944</v>
      </c>
      <c r="Z1326" t="s">
        <v>3945</v>
      </c>
      <c r="AA1326" t="s">
        <v>3946</v>
      </c>
      <c r="AB1326" t="s">
        <v>3947</v>
      </c>
      <c r="AE1326">
        <v>-36.906875710000001</v>
      </c>
      <c r="AF1326">
        <v>174.69920529999999</v>
      </c>
      <c r="AG1326">
        <v>150</v>
      </c>
      <c r="AH1326">
        <v>20</v>
      </c>
      <c r="AI1326">
        <v>3</v>
      </c>
      <c r="AJ1326">
        <v>17</v>
      </c>
      <c r="AK1326">
        <v>27</v>
      </c>
      <c r="AL1326">
        <v>36</v>
      </c>
      <c r="AM1326">
        <v>41</v>
      </c>
      <c r="AN1326">
        <v>3</v>
      </c>
      <c r="AO1326">
        <v>127</v>
      </c>
      <c r="AP1326">
        <v>30</v>
      </c>
      <c r="AQ1326">
        <v>38</v>
      </c>
      <c r="AR1326">
        <v>25</v>
      </c>
      <c r="AS1326">
        <v>52</v>
      </c>
      <c r="AT1326">
        <v>20</v>
      </c>
    </row>
    <row r="1327" spans="1:46">
      <c r="A1327">
        <v>25418</v>
      </c>
      <c r="B1327" t="s">
        <v>8266</v>
      </c>
      <c r="C1327" t="s">
        <v>6271</v>
      </c>
      <c r="E1327" t="s">
        <v>8267</v>
      </c>
      <c r="F1327" t="s">
        <v>3706</v>
      </c>
      <c r="G1327" t="s">
        <v>4326</v>
      </c>
      <c r="H1327" t="s">
        <v>3942</v>
      </c>
      <c r="J1327" t="s">
        <v>3962</v>
      </c>
      <c r="K1327" t="s">
        <v>519</v>
      </c>
      <c r="M1327" t="s">
        <v>520</v>
      </c>
      <c r="N1327" t="s">
        <v>571</v>
      </c>
      <c r="O1327" t="s">
        <v>1168</v>
      </c>
      <c r="P1327" t="s">
        <v>654</v>
      </c>
      <c r="Q1327" t="s">
        <v>638</v>
      </c>
      <c r="R1327" t="s">
        <v>639</v>
      </c>
      <c r="S1327" t="s">
        <v>655</v>
      </c>
      <c r="T1327" t="s">
        <v>527</v>
      </c>
      <c r="U1327">
        <v>117400</v>
      </c>
      <c r="V1327" t="s">
        <v>3707</v>
      </c>
      <c r="W1327" t="s">
        <v>657</v>
      </c>
      <c r="X1327" t="s">
        <v>4460</v>
      </c>
      <c r="Y1327" t="s">
        <v>8268</v>
      </c>
      <c r="Z1327" t="s">
        <v>6037</v>
      </c>
      <c r="AA1327" t="s">
        <v>6038</v>
      </c>
      <c r="AB1327" t="s">
        <v>4462</v>
      </c>
      <c r="AE1327">
        <v>-36.738331789999997</v>
      </c>
      <c r="AF1327">
        <v>174.691913</v>
      </c>
      <c r="AG1327">
        <v>50</v>
      </c>
      <c r="AH1327">
        <v>10</v>
      </c>
      <c r="AI1327">
        <v>1</v>
      </c>
      <c r="AJ1327">
        <v>4</v>
      </c>
      <c r="AK1327">
        <v>6</v>
      </c>
      <c r="AL1327">
        <v>13</v>
      </c>
      <c r="AM1327">
        <v>10</v>
      </c>
      <c r="AN1327">
        <v>3</v>
      </c>
      <c r="AO1327">
        <v>37</v>
      </c>
      <c r="AP1327">
        <v>11</v>
      </c>
      <c r="AQ1327">
        <v>4</v>
      </c>
      <c r="AR1327">
        <v>3</v>
      </c>
      <c r="AS1327">
        <v>23</v>
      </c>
      <c r="AT1327">
        <v>2</v>
      </c>
    </row>
    <row r="1328" spans="1:46">
      <c r="A1328">
        <v>25421</v>
      </c>
      <c r="B1328" t="s">
        <v>8269</v>
      </c>
      <c r="C1328" t="s">
        <v>8270</v>
      </c>
      <c r="D1328" t="s">
        <v>8271</v>
      </c>
      <c r="E1328" t="s">
        <v>8272</v>
      </c>
      <c r="F1328" t="s">
        <v>5176</v>
      </c>
      <c r="G1328" t="s">
        <v>652</v>
      </c>
      <c r="H1328" t="s">
        <v>3942</v>
      </c>
      <c r="J1328" t="s">
        <v>3962</v>
      </c>
      <c r="K1328" t="s">
        <v>519</v>
      </c>
      <c r="M1328" t="s">
        <v>520</v>
      </c>
      <c r="N1328" t="s">
        <v>571</v>
      </c>
      <c r="O1328" t="s">
        <v>829</v>
      </c>
      <c r="P1328" t="s">
        <v>654</v>
      </c>
      <c r="Q1328" t="s">
        <v>638</v>
      </c>
      <c r="R1328" t="s">
        <v>708</v>
      </c>
      <c r="S1328" t="s">
        <v>880</v>
      </c>
      <c r="T1328" t="s">
        <v>709</v>
      </c>
      <c r="U1328">
        <v>144700</v>
      </c>
      <c r="V1328" t="s">
        <v>4826</v>
      </c>
      <c r="W1328" t="s">
        <v>807</v>
      </c>
      <c r="X1328" t="s">
        <v>5236</v>
      </c>
      <c r="Y1328" t="s">
        <v>4689</v>
      </c>
      <c r="Z1328" t="s">
        <v>4690</v>
      </c>
      <c r="AA1328" t="s">
        <v>4691</v>
      </c>
      <c r="AB1328" t="s">
        <v>5237</v>
      </c>
      <c r="AE1328">
        <v>-36.867390909999997</v>
      </c>
      <c r="AF1328">
        <v>174.85007365000001</v>
      </c>
      <c r="AG1328">
        <v>62</v>
      </c>
      <c r="AH1328">
        <v>25</v>
      </c>
      <c r="AI1328">
        <v>2</v>
      </c>
      <c r="AJ1328">
        <v>19</v>
      </c>
      <c r="AK1328">
        <v>16</v>
      </c>
      <c r="AL1328">
        <v>14</v>
      </c>
      <c r="AM1328">
        <v>14</v>
      </c>
      <c r="AN1328">
        <v>1</v>
      </c>
      <c r="AO1328">
        <v>66</v>
      </c>
      <c r="AP1328">
        <v>63</v>
      </c>
      <c r="AQ1328">
        <v>0</v>
      </c>
      <c r="AR1328">
        <v>2</v>
      </c>
      <c r="AS1328">
        <v>13</v>
      </c>
      <c r="AT1328">
        <v>2</v>
      </c>
    </row>
    <row r="1329" spans="1:46">
      <c r="A1329">
        <v>25423</v>
      </c>
      <c r="B1329" t="s">
        <v>8273</v>
      </c>
      <c r="C1329" t="s">
        <v>8274</v>
      </c>
      <c r="E1329" t="s">
        <v>8275</v>
      </c>
      <c r="F1329" t="s">
        <v>803</v>
      </c>
      <c r="G1329" t="s">
        <v>652</v>
      </c>
      <c r="H1329" t="s">
        <v>3942</v>
      </c>
      <c r="J1329" t="s">
        <v>3962</v>
      </c>
      <c r="K1329" t="s">
        <v>519</v>
      </c>
      <c r="M1329" t="s">
        <v>520</v>
      </c>
      <c r="N1329" t="s">
        <v>571</v>
      </c>
      <c r="O1329" t="s">
        <v>829</v>
      </c>
      <c r="P1329" t="s">
        <v>654</v>
      </c>
      <c r="Q1329" t="s">
        <v>638</v>
      </c>
      <c r="R1329" t="s">
        <v>708</v>
      </c>
      <c r="S1329" t="s">
        <v>805</v>
      </c>
      <c r="T1329" t="s">
        <v>709</v>
      </c>
      <c r="U1329">
        <v>145300</v>
      </c>
      <c r="V1329" t="s">
        <v>8276</v>
      </c>
      <c r="W1329" t="s">
        <v>807</v>
      </c>
      <c r="X1329" t="s">
        <v>8277</v>
      </c>
      <c r="Y1329" t="s">
        <v>4658</v>
      </c>
      <c r="Z1329" t="s">
        <v>958</v>
      </c>
      <c r="AA1329" t="s">
        <v>4659</v>
      </c>
      <c r="AB1329" t="s">
        <v>8278</v>
      </c>
      <c r="AE1329">
        <v>-36.890936779999997</v>
      </c>
      <c r="AF1329">
        <v>174.82699819999999</v>
      </c>
      <c r="AG1329">
        <v>100</v>
      </c>
      <c r="AH1329">
        <v>35</v>
      </c>
      <c r="AI1329">
        <v>2</v>
      </c>
      <c r="AJ1329">
        <v>15</v>
      </c>
      <c r="AK1329">
        <v>20</v>
      </c>
      <c r="AL1329">
        <v>16</v>
      </c>
      <c r="AM1329">
        <v>19</v>
      </c>
      <c r="AN1329">
        <v>0</v>
      </c>
      <c r="AO1329">
        <v>72</v>
      </c>
      <c r="AP1329">
        <v>40</v>
      </c>
      <c r="AQ1329">
        <v>6</v>
      </c>
      <c r="AR1329">
        <v>2</v>
      </c>
      <c r="AS1329">
        <v>36</v>
      </c>
      <c r="AT1329">
        <v>1</v>
      </c>
    </row>
    <row r="1330" spans="1:46">
      <c r="A1330">
        <v>25425</v>
      </c>
      <c r="B1330" t="s">
        <v>8279</v>
      </c>
      <c r="C1330" t="s">
        <v>8280</v>
      </c>
      <c r="D1330" t="s">
        <v>8281</v>
      </c>
      <c r="E1330" t="s">
        <v>8282</v>
      </c>
      <c r="F1330" t="s">
        <v>4747</v>
      </c>
      <c r="G1330" t="s">
        <v>652</v>
      </c>
      <c r="H1330" t="s">
        <v>3942</v>
      </c>
      <c r="J1330" t="s">
        <v>3962</v>
      </c>
      <c r="K1330" t="s">
        <v>519</v>
      </c>
      <c r="M1330" t="s">
        <v>520</v>
      </c>
      <c r="N1330" t="s">
        <v>571</v>
      </c>
      <c r="O1330" t="s">
        <v>873</v>
      </c>
      <c r="P1330" t="s">
        <v>654</v>
      </c>
      <c r="Q1330" t="s">
        <v>638</v>
      </c>
      <c r="R1330" t="s">
        <v>639</v>
      </c>
      <c r="S1330" t="s">
        <v>719</v>
      </c>
      <c r="T1330" t="s">
        <v>709</v>
      </c>
      <c r="U1330">
        <v>134700</v>
      </c>
      <c r="V1330" t="s">
        <v>4748</v>
      </c>
      <c r="W1330" t="s">
        <v>815</v>
      </c>
      <c r="X1330" t="s">
        <v>8283</v>
      </c>
      <c r="Y1330" t="s">
        <v>8282</v>
      </c>
      <c r="Z1330" t="s">
        <v>4747</v>
      </c>
      <c r="AA1330" t="s">
        <v>4320</v>
      </c>
      <c r="AB1330" t="s">
        <v>8284</v>
      </c>
      <c r="AE1330">
        <v>-36.929919679999998</v>
      </c>
      <c r="AF1330">
        <v>174.65466103</v>
      </c>
      <c r="AG1330">
        <v>30</v>
      </c>
      <c r="AH1330">
        <v>0</v>
      </c>
      <c r="AI1330">
        <v>0</v>
      </c>
      <c r="AJ1330">
        <v>0</v>
      </c>
      <c r="AK1330">
        <v>8</v>
      </c>
      <c r="AL1330">
        <v>11</v>
      </c>
      <c r="AM1330">
        <v>13</v>
      </c>
      <c r="AN1330">
        <v>0</v>
      </c>
      <c r="AO1330">
        <v>32</v>
      </c>
      <c r="AP1330">
        <v>27</v>
      </c>
      <c r="AQ1330">
        <v>4</v>
      </c>
      <c r="AR1330">
        <v>4</v>
      </c>
      <c r="AS1330">
        <v>5</v>
      </c>
      <c r="AT1330">
        <v>1</v>
      </c>
    </row>
    <row r="1331" spans="1:46">
      <c r="A1331">
        <v>25427</v>
      </c>
      <c r="B1331" t="s">
        <v>8285</v>
      </c>
      <c r="C1331" t="s">
        <v>8286</v>
      </c>
      <c r="D1331" t="s">
        <v>8287</v>
      </c>
      <c r="E1331" t="s">
        <v>8288</v>
      </c>
      <c r="F1331" t="s">
        <v>1036</v>
      </c>
      <c r="G1331" t="s">
        <v>652</v>
      </c>
      <c r="H1331" t="s">
        <v>3942</v>
      </c>
      <c r="J1331" t="s">
        <v>518</v>
      </c>
      <c r="K1331" t="s">
        <v>519</v>
      </c>
      <c r="M1331" t="s">
        <v>520</v>
      </c>
      <c r="N1331" t="s">
        <v>521</v>
      </c>
      <c r="O1331" t="s">
        <v>1216</v>
      </c>
      <c r="P1331" t="s">
        <v>654</v>
      </c>
      <c r="Q1331" t="s">
        <v>638</v>
      </c>
      <c r="R1331" t="s">
        <v>729</v>
      </c>
      <c r="S1331" t="s">
        <v>1217</v>
      </c>
      <c r="T1331" t="s">
        <v>709</v>
      </c>
      <c r="U1331">
        <v>160800</v>
      </c>
      <c r="V1331" t="s">
        <v>1218</v>
      </c>
      <c r="W1331" t="s">
        <v>1219</v>
      </c>
      <c r="X1331" t="s">
        <v>8289</v>
      </c>
      <c r="Y1331" t="s">
        <v>6369</v>
      </c>
      <c r="Z1331" t="s">
        <v>4555</v>
      </c>
      <c r="AA1331" t="s">
        <v>4556</v>
      </c>
      <c r="AB1331" t="s">
        <v>8286</v>
      </c>
      <c r="AE1331">
        <v>-37.021943739999998</v>
      </c>
      <c r="AF1331">
        <v>174.90862145</v>
      </c>
      <c r="AG1331">
        <v>50</v>
      </c>
      <c r="AH1331">
        <v>12</v>
      </c>
      <c r="AI1331">
        <v>0</v>
      </c>
      <c r="AJ1331">
        <v>10</v>
      </c>
      <c r="AK1331">
        <v>8</v>
      </c>
      <c r="AL1331">
        <v>16</v>
      </c>
      <c r="AM1331">
        <v>9</v>
      </c>
      <c r="AN1331">
        <v>0</v>
      </c>
      <c r="AO1331">
        <v>43</v>
      </c>
      <c r="AP1331">
        <v>12</v>
      </c>
      <c r="AQ1331">
        <v>9</v>
      </c>
      <c r="AR1331">
        <v>18</v>
      </c>
      <c r="AS1331">
        <v>16</v>
      </c>
      <c r="AT1331">
        <v>0</v>
      </c>
    </row>
    <row r="1332" spans="1:46">
      <c r="A1332">
        <v>25428</v>
      </c>
      <c r="B1332" t="s">
        <v>8290</v>
      </c>
      <c r="C1332" t="s">
        <v>8291</v>
      </c>
      <c r="D1332" t="s">
        <v>8292</v>
      </c>
      <c r="E1332" t="s">
        <v>6154</v>
      </c>
      <c r="F1332" t="s">
        <v>1217</v>
      </c>
      <c r="G1332" t="s">
        <v>652</v>
      </c>
      <c r="H1332" t="s">
        <v>3942</v>
      </c>
      <c r="J1332" t="s">
        <v>3962</v>
      </c>
      <c r="K1332" t="s">
        <v>519</v>
      </c>
      <c r="M1332" t="s">
        <v>520</v>
      </c>
      <c r="N1332" t="s">
        <v>727</v>
      </c>
      <c r="O1332" t="s">
        <v>1268</v>
      </c>
      <c r="P1332" t="s">
        <v>654</v>
      </c>
      <c r="Q1332" t="s">
        <v>638</v>
      </c>
      <c r="R1332" t="s">
        <v>729</v>
      </c>
      <c r="S1332" t="s">
        <v>1234</v>
      </c>
      <c r="T1332" t="s">
        <v>1235</v>
      </c>
      <c r="U1332">
        <v>162602</v>
      </c>
      <c r="V1332" t="s">
        <v>8293</v>
      </c>
      <c r="W1332" t="s">
        <v>1219</v>
      </c>
      <c r="X1332" t="s">
        <v>8294</v>
      </c>
      <c r="Y1332" t="s">
        <v>4658</v>
      </c>
      <c r="Z1332" t="s">
        <v>958</v>
      </c>
      <c r="AA1332" t="s">
        <v>4659</v>
      </c>
      <c r="AB1332" t="s">
        <v>8295</v>
      </c>
      <c r="AE1332">
        <v>-37.04925626</v>
      </c>
      <c r="AF1332">
        <v>174.93292578000001</v>
      </c>
      <c r="AG1332">
        <v>50</v>
      </c>
      <c r="AH1332">
        <v>0</v>
      </c>
      <c r="AI1332">
        <v>0</v>
      </c>
      <c r="AJ1332">
        <v>0</v>
      </c>
      <c r="AK1332">
        <v>10</v>
      </c>
      <c r="AL1332">
        <v>21</v>
      </c>
      <c r="AM1332">
        <v>20</v>
      </c>
      <c r="AN1332">
        <v>1</v>
      </c>
      <c r="AO1332">
        <v>52</v>
      </c>
      <c r="AP1332">
        <v>4</v>
      </c>
      <c r="AQ1332">
        <v>8</v>
      </c>
      <c r="AR1332">
        <v>10</v>
      </c>
      <c r="AS1332">
        <v>33</v>
      </c>
      <c r="AT1332">
        <v>2</v>
      </c>
    </row>
    <row r="1333" spans="1:46">
      <c r="A1333">
        <v>25433</v>
      </c>
      <c r="B1333" t="s">
        <v>8296</v>
      </c>
      <c r="C1333" t="s">
        <v>8297</v>
      </c>
      <c r="D1333" t="s">
        <v>8298</v>
      </c>
      <c r="E1333" t="s">
        <v>8299</v>
      </c>
      <c r="G1333" t="s">
        <v>1245</v>
      </c>
      <c r="H1333" t="s">
        <v>343</v>
      </c>
      <c r="I1333" t="s">
        <v>4951</v>
      </c>
      <c r="J1333" t="s">
        <v>518</v>
      </c>
      <c r="K1333" t="s">
        <v>519</v>
      </c>
      <c r="L1333" t="s">
        <v>4205</v>
      </c>
      <c r="M1333" t="s">
        <v>1297</v>
      </c>
      <c r="N1333" t="s">
        <v>571</v>
      </c>
      <c r="O1333" t="s">
        <v>1233</v>
      </c>
      <c r="P1333" t="s">
        <v>572</v>
      </c>
      <c r="Q1333" t="s">
        <v>638</v>
      </c>
      <c r="R1333" t="s">
        <v>729</v>
      </c>
      <c r="S1333" t="s">
        <v>1246</v>
      </c>
      <c r="T1333" t="s">
        <v>1235</v>
      </c>
      <c r="U1333">
        <v>149901</v>
      </c>
      <c r="V1333" t="s">
        <v>7769</v>
      </c>
      <c r="W1333" t="s">
        <v>1237</v>
      </c>
      <c r="X1333" t="s">
        <v>4207</v>
      </c>
      <c r="Y1333" t="s">
        <v>4208</v>
      </c>
      <c r="Z1333" t="s">
        <v>4209</v>
      </c>
      <c r="AA1333" t="s">
        <v>4210</v>
      </c>
      <c r="AC1333">
        <v>99033</v>
      </c>
      <c r="AD1333" t="s">
        <v>1248</v>
      </c>
      <c r="AE1333">
        <v>-37.229306049999998</v>
      </c>
      <c r="AF1333">
        <v>174.70747383</v>
      </c>
      <c r="AG1333">
        <v>30</v>
      </c>
      <c r="AH1333">
        <v>10</v>
      </c>
      <c r="AI1333">
        <v>0</v>
      </c>
      <c r="AJ1333">
        <v>2</v>
      </c>
      <c r="AK1333">
        <v>4</v>
      </c>
      <c r="AL1333">
        <v>6</v>
      </c>
      <c r="AM1333">
        <v>4</v>
      </c>
      <c r="AN1333">
        <v>0</v>
      </c>
      <c r="AO1333">
        <v>16</v>
      </c>
      <c r="AP1333">
        <v>0</v>
      </c>
      <c r="AQ1333">
        <v>14</v>
      </c>
      <c r="AR1333">
        <v>0</v>
      </c>
      <c r="AS1333">
        <v>0</v>
      </c>
      <c r="AT1333">
        <v>2</v>
      </c>
    </row>
    <row r="1334" spans="1:46">
      <c r="A1334">
        <v>25435</v>
      </c>
      <c r="B1334" t="s">
        <v>8300</v>
      </c>
      <c r="C1334" t="s">
        <v>8301</v>
      </c>
      <c r="D1334" t="s">
        <v>8302</v>
      </c>
      <c r="E1334" t="s">
        <v>8303</v>
      </c>
      <c r="F1334" t="s">
        <v>1036</v>
      </c>
      <c r="G1334" t="s">
        <v>652</v>
      </c>
      <c r="H1334" t="s">
        <v>3942</v>
      </c>
      <c r="J1334" t="s">
        <v>518</v>
      </c>
      <c r="K1334" t="s">
        <v>519</v>
      </c>
      <c r="M1334" t="s">
        <v>520</v>
      </c>
      <c r="N1334" t="s">
        <v>521</v>
      </c>
      <c r="O1334" t="s">
        <v>1216</v>
      </c>
      <c r="P1334" t="s">
        <v>654</v>
      </c>
      <c r="Q1334" t="s">
        <v>638</v>
      </c>
      <c r="R1334" t="s">
        <v>729</v>
      </c>
      <c r="S1334" t="s">
        <v>1036</v>
      </c>
      <c r="T1334" t="s">
        <v>709</v>
      </c>
      <c r="U1334">
        <v>160300</v>
      </c>
      <c r="V1334" t="s">
        <v>1252</v>
      </c>
      <c r="W1334" t="s">
        <v>1219</v>
      </c>
      <c r="X1334" t="s">
        <v>8304</v>
      </c>
      <c r="Y1334" t="s">
        <v>8305</v>
      </c>
      <c r="Z1334" t="s">
        <v>1036</v>
      </c>
      <c r="AA1334" t="s">
        <v>5202</v>
      </c>
      <c r="AB1334" t="s">
        <v>8306</v>
      </c>
      <c r="AE1334">
        <v>-37.016743599999998</v>
      </c>
      <c r="AF1334">
        <v>174.89402290000001</v>
      </c>
      <c r="AG1334">
        <v>38</v>
      </c>
      <c r="AH1334">
        <v>0</v>
      </c>
      <c r="AI1334">
        <v>0</v>
      </c>
      <c r="AJ1334">
        <v>0</v>
      </c>
      <c r="AK1334">
        <v>3</v>
      </c>
      <c r="AL1334">
        <v>9</v>
      </c>
      <c r="AM1334">
        <v>12</v>
      </c>
      <c r="AN1334">
        <v>0</v>
      </c>
      <c r="AO1334">
        <v>24</v>
      </c>
      <c r="AP1334">
        <v>1</v>
      </c>
      <c r="AQ1334">
        <v>1</v>
      </c>
      <c r="AR1334">
        <v>0</v>
      </c>
      <c r="AS1334">
        <v>24</v>
      </c>
      <c r="AT1334">
        <v>0</v>
      </c>
    </row>
    <row r="1335" spans="1:46">
      <c r="A1335">
        <v>25437</v>
      </c>
      <c r="B1335" t="s">
        <v>8307</v>
      </c>
      <c r="C1335" t="s">
        <v>8308</v>
      </c>
      <c r="D1335" t="s">
        <v>8309</v>
      </c>
      <c r="E1335" t="s">
        <v>8310</v>
      </c>
      <c r="F1335" t="s">
        <v>1036</v>
      </c>
      <c r="G1335" t="s">
        <v>652</v>
      </c>
      <c r="H1335" t="s">
        <v>3942</v>
      </c>
      <c r="J1335" t="s">
        <v>518</v>
      </c>
      <c r="K1335" t="s">
        <v>519</v>
      </c>
      <c r="M1335" t="s">
        <v>520</v>
      </c>
      <c r="N1335" t="s">
        <v>557</v>
      </c>
      <c r="O1335" t="s">
        <v>1216</v>
      </c>
      <c r="P1335" t="s">
        <v>654</v>
      </c>
      <c r="Q1335" t="s">
        <v>638</v>
      </c>
      <c r="R1335" t="s">
        <v>729</v>
      </c>
      <c r="S1335" t="s">
        <v>1036</v>
      </c>
      <c r="T1335" t="s">
        <v>709</v>
      </c>
      <c r="U1335">
        <v>160300</v>
      </c>
      <c r="V1335" t="s">
        <v>1252</v>
      </c>
      <c r="W1335" t="s">
        <v>1219</v>
      </c>
      <c r="X1335" t="s">
        <v>5102</v>
      </c>
      <c r="Y1335" t="s">
        <v>5103</v>
      </c>
      <c r="Z1335" t="s">
        <v>5104</v>
      </c>
      <c r="AA1335" t="s">
        <v>5105</v>
      </c>
      <c r="AB1335" t="s">
        <v>5106</v>
      </c>
      <c r="AC1335">
        <v>99186</v>
      </c>
      <c r="AD1335" t="s">
        <v>1224</v>
      </c>
      <c r="AE1335">
        <v>-37.019314680000001</v>
      </c>
      <c r="AF1335">
        <v>174.89534269999999</v>
      </c>
      <c r="AG1335">
        <v>40</v>
      </c>
      <c r="AH1335">
        <v>0</v>
      </c>
      <c r="AI1335">
        <v>0</v>
      </c>
      <c r="AJ1335">
        <v>0</v>
      </c>
      <c r="AK1335">
        <v>1</v>
      </c>
      <c r="AL1335">
        <v>11</v>
      </c>
      <c r="AM1335">
        <v>16</v>
      </c>
      <c r="AN1335">
        <v>0</v>
      </c>
      <c r="AO1335">
        <v>28</v>
      </c>
      <c r="AP1335">
        <v>2</v>
      </c>
      <c r="AQ1335">
        <v>6</v>
      </c>
      <c r="AR1335">
        <v>14</v>
      </c>
      <c r="AS1335">
        <v>14</v>
      </c>
      <c r="AT1335">
        <v>2</v>
      </c>
    </row>
    <row r="1336" spans="1:46">
      <c r="A1336">
        <v>25438</v>
      </c>
      <c r="B1336" t="s">
        <v>8311</v>
      </c>
      <c r="C1336" t="s">
        <v>8312</v>
      </c>
      <c r="E1336" t="s">
        <v>8313</v>
      </c>
      <c r="F1336" t="s">
        <v>778</v>
      </c>
      <c r="G1336" t="s">
        <v>652</v>
      </c>
      <c r="H1336" t="s">
        <v>3942</v>
      </c>
      <c r="J1336" t="s">
        <v>3962</v>
      </c>
      <c r="K1336" t="s">
        <v>519</v>
      </c>
      <c r="M1336" t="s">
        <v>520</v>
      </c>
      <c r="N1336" t="s">
        <v>571</v>
      </c>
      <c r="O1336" t="s">
        <v>728</v>
      </c>
      <c r="P1336" t="s">
        <v>654</v>
      </c>
      <c r="Q1336" t="s">
        <v>638</v>
      </c>
      <c r="R1336" t="s">
        <v>729</v>
      </c>
      <c r="S1336" t="s">
        <v>778</v>
      </c>
      <c r="T1336" t="s">
        <v>709</v>
      </c>
      <c r="U1336">
        <v>156000</v>
      </c>
      <c r="V1336" t="s">
        <v>6408</v>
      </c>
      <c r="W1336" t="s">
        <v>732</v>
      </c>
      <c r="X1336" t="s">
        <v>5160</v>
      </c>
      <c r="Y1336" t="s">
        <v>5161</v>
      </c>
      <c r="Z1336" t="s">
        <v>1234</v>
      </c>
      <c r="AA1336" t="s">
        <v>5162</v>
      </c>
      <c r="AB1336" t="s">
        <v>5163</v>
      </c>
      <c r="AE1336">
        <v>-36.956504770000002</v>
      </c>
      <c r="AF1336">
        <v>174.89958978000001</v>
      </c>
      <c r="AG1336">
        <v>135</v>
      </c>
      <c r="AH1336">
        <v>25</v>
      </c>
      <c r="AI1336">
        <v>4</v>
      </c>
      <c r="AJ1336">
        <v>12</v>
      </c>
      <c r="AK1336">
        <v>13</v>
      </c>
      <c r="AL1336">
        <v>19</v>
      </c>
      <c r="AM1336">
        <v>18</v>
      </c>
      <c r="AN1336">
        <v>1</v>
      </c>
      <c r="AO1336">
        <v>67</v>
      </c>
      <c r="AP1336">
        <v>7</v>
      </c>
      <c r="AQ1336">
        <v>1</v>
      </c>
      <c r="AR1336">
        <v>11</v>
      </c>
      <c r="AS1336">
        <v>52</v>
      </c>
      <c r="AT1336">
        <v>5</v>
      </c>
    </row>
    <row r="1337" spans="1:46">
      <c r="A1337">
        <v>25442</v>
      </c>
      <c r="B1337" t="s">
        <v>8314</v>
      </c>
      <c r="C1337" t="s">
        <v>8315</v>
      </c>
      <c r="D1337" t="s">
        <v>8316</v>
      </c>
      <c r="E1337" t="s">
        <v>8317</v>
      </c>
      <c r="F1337" t="s">
        <v>847</v>
      </c>
      <c r="G1337" t="s">
        <v>652</v>
      </c>
      <c r="H1337" t="s">
        <v>3942</v>
      </c>
      <c r="I1337" t="s">
        <v>4253</v>
      </c>
      <c r="J1337" t="s">
        <v>518</v>
      </c>
      <c r="K1337" t="s">
        <v>519</v>
      </c>
      <c r="M1337" t="s">
        <v>520</v>
      </c>
      <c r="N1337" t="s">
        <v>521</v>
      </c>
      <c r="O1337" t="s">
        <v>848</v>
      </c>
      <c r="P1337" t="s">
        <v>654</v>
      </c>
      <c r="Q1337" t="s">
        <v>638</v>
      </c>
      <c r="R1337" t="s">
        <v>729</v>
      </c>
      <c r="S1337" t="s">
        <v>849</v>
      </c>
      <c r="T1337" t="s">
        <v>709</v>
      </c>
      <c r="U1337">
        <v>148200</v>
      </c>
      <c r="V1337" t="s">
        <v>850</v>
      </c>
      <c r="W1337" t="s">
        <v>732</v>
      </c>
      <c r="X1337" t="s">
        <v>8318</v>
      </c>
      <c r="Y1337" t="s">
        <v>8317</v>
      </c>
      <c r="Z1337" t="s">
        <v>847</v>
      </c>
      <c r="AA1337" t="s">
        <v>4255</v>
      </c>
      <c r="AC1337">
        <v>99124</v>
      </c>
      <c r="AD1337" t="s">
        <v>4579</v>
      </c>
      <c r="AE1337">
        <v>-36.948536730000001</v>
      </c>
      <c r="AF1337">
        <v>174.81383632000001</v>
      </c>
      <c r="AG1337">
        <v>65</v>
      </c>
      <c r="AH1337">
        <v>15</v>
      </c>
      <c r="AI1337">
        <v>0</v>
      </c>
      <c r="AJ1337">
        <v>0</v>
      </c>
      <c r="AK1337">
        <v>7</v>
      </c>
      <c r="AL1337">
        <v>6</v>
      </c>
      <c r="AM1337">
        <v>3</v>
      </c>
      <c r="AN1337">
        <v>0</v>
      </c>
      <c r="AO1337">
        <v>16</v>
      </c>
      <c r="AP1337">
        <v>0</v>
      </c>
      <c r="AQ1337">
        <v>0</v>
      </c>
      <c r="AR1337">
        <v>16</v>
      </c>
      <c r="AS1337">
        <v>0</v>
      </c>
      <c r="AT1337">
        <v>0</v>
      </c>
    </row>
    <row r="1338" spans="1:46">
      <c r="A1338">
        <v>30000</v>
      </c>
      <c r="B1338" t="s">
        <v>8319</v>
      </c>
      <c r="C1338" t="s">
        <v>8320</v>
      </c>
      <c r="D1338" t="s">
        <v>8321</v>
      </c>
      <c r="E1338" t="s">
        <v>8322</v>
      </c>
      <c r="G1338" t="s">
        <v>1416</v>
      </c>
      <c r="H1338" t="s">
        <v>3942</v>
      </c>
      <c r="J1338" t="s">
        <v>3962</v>
      </c>
      <c r="K1338" t="s">
        <v>519</v>
      </c>
      <c r="M1338" t="s">
        <v>1297</v>
      </c>
      <c r="N1338" t="s">
        <v>571</v>
      </c>
      <c r="O1338" t="s">
        <v>1351</v>
      </c>
      <c r="P1338" t="s">
        <v>523</v>
      </c>
      <c r="Q1338" t="s">
        <v>1299</v>
      </c>
      <c r="R1338" t="s">
        <v>1300</v>
      </c>
      <c r="S1338" t="s">
        <v>1417</v>
      </c>
      <c r="T1338" t="s">
        <v>1235</v>
      </c>
      <c r="U1338">
        <v>171601</v>
      </c>
      <c r="V1338" t="s">
        <v>1416</v>
      </c>
      <c r="W1338" t="s">
        <v>1418</v>
      </c>
      <c r="X1338" t="s">
        <v>8323</v>
      </c>
      <c r="AB1338" t="s">
        <v>8324</v>
      </c>
      <c r="AE1338">
        <v>-37.799284030000003</v>
      </c>
      <c r="AF1338">
        <v>174.86876774000001</v>
      </c>
      <c r="AG1338">
        <v>45</v>
      </c>
      <c r="AH1338">
        <v>15</v>
      </c>
      <c r="AI1338">
        <v>1</v>
      </c>
      <c r="AJ1338">
        <v>9</v>
      </c>
      <c r="AK1338">
        <v>15</v>
      </c>
      <c r="AL1338">
        <v>11</v>
      </c>
      <c r="AM1338">
        <v>7</v>
      </c>
      <c r="AN1338">
        <v>0</v>
      </c>
      <c r="AO1338">
        <v>43</v>
      </c>
      <c r="AP1338">
        <v>38</v>
      </c>
      <c r="AQ1338">
        <v>17</v>
      </c>
      <c r="AR1338">
        <v>5</v>
      </c>
      <c r="AS1338">
        <v>4</v>
      </c>
      <c r="AT1338">
        <v>4</v>
      </c>
    </row>
    <row r="1339" spans="1:46">
      <c r="A1339">
        <v>30002</v>
      </c>
      <c r="B1339" t="s">
        <v>8325</v>
      </c>
      <c r="C1339" t="s">
        <v>8326</v>
      </c>
      <c r="D1339" t="s">
        <v>8327</v>
      </c>
      <c r="E1339" t="s">
        <v>8328</v>
      </c>
      <c r="G1339" t="s">
        <v>1579</v>
      </c>
      <c r="H1339" t="s">
        <v>298</v>
      </c>
      <c r="J1339" t="s">
        <v>518</v>
      </c>
      <c r="K1339" t="s">
        <v>519</v>
      </c>
      <c r="M1339" t="s">
        <v>1297</v>
      </c>
      <c r="N1339" t="s">
        <v>4519</v>
      </c>
      <c r="O1339" t="s">
        <v>1450</v>
      </c>
      <c r="P1339" t="s">
        <v>572</v>
      </c>
      <c r="Q1339" t="s">
        <v>1299</v>
      </c>
      <c r="R1339" t="s">
        <v>1300</v>
      </c>
      <c r="S1339" t="s">
        <v>1300</v>
      </c>
      <c r="T1339" t="s">
        <v>1235</v>
      </c>
      <c r="U1339">
        <v>174801</v>
      </c>
      <c r="V1339" t="s">
        <v>8329</v>
      </c>
      <c r="W1339" t="s">
        <v>1581</v>
      </c>
      <c r="X1339" t="s">
        <v>8330</v>
      </c>
      <c r="Y1339" t="s">
        <v>5187</v>
      </c>
      <c r="AA1339" t="s">
        <v>5188</v>
      </c>
      <c r="AB1339" t="s">
        <v>8326</v>
      </c>
      <c r="AE1339">
        <v>-37.8786518</v>
      </c>
      <c r="AF1339">
        <v>175.7579892</v>
      </c>
      <c r="AG1339">
        <v>30</v>
      </c>
      <c r="AH1339">
        <v>15</v>
      </c>
      <c r="AI1339">
        <v>0</v>
      </c>
      <c r="AJ1339">
        <v>1</v>
      </c>
      <c r="AK1339">
        <v>4</v>
      </c>
      <c r="AL1339">
        <v>4</v>
      </c>
      <c r="AM1339">
        <v>2</v>
      </c>
      <c r="AN1339">
        <v>0</v>
      </c>
      <c r="AO1339">
        <v>11</v>
      </c>
      <c r="AP1339">
        <v>11</v>
      </c>
      <c r="AQ1339">
        <v>1</v>
      </c>
      <c r="AR1339">
        <v>0</v>
      </c>
      <c r="AS1339">
        <v>0</v>
      </c>
      <c r="AT1339">
        <v>0</v>
      </c>
    </row>
    <row r="1340" spans="1:46">
      <c r="A1340">
        <v>30004</v>
      </c>
      <c r="B1340" t="s">
        <v>8331</v>
      </c>
      <c r="C1340" t="s">
        <v>8326</v>
      </c>
      <c r="E1340" t="s">
        <v>8332</v>
      </c>
      <c r="G1340" t="s">
        <v>1579</v>
      </c>
      <c r="H1340" t="s">
        <v>298</v>
      </c>
      <c r="J1340" t="s">
        <v>518</v>
      </c>
      <c r="K1340" t="s">
        <v>519</v>
      </c>
      <c r="M1340" t="s">
        <v>1297</v>
      </c>
      <c r="N1340" t="s">
        <v>4519</v>
      </c>
      <c r="O1340" t="s">
        <v>1450</v>
      </c>
      <c r="P1340" t="s">
        <v>523</v>
      </c>
      <c r="Q1340" t="s">
        <v>1299</v>
      </c>
      <c r="R1340" t="s">
        <v>1300</v>
      </c>
      <c r="S1340" t="s">
        <v>1300</v>
      </c>
      <c r="T1340" t="s">
        <v>1235</v>
      </c>
      <c r="U1340">
        <v>175001</v>
      </c>
      <c r="V1340" t="s">
        <v>1580</v>
      </c>
      <c r="W1340" t="s">
        <v>1581</v>
      </c>
      <c r="X1340" t="s">
        <v>8330</v>
      </c>
      <c r="Y1340" t="s">
        <v>5187</v>
      </c>
      <c r="AA1340" t="s">
        <v>5188</v>
      </c>
      <c r="AB1340" t="s">
        <v>8326</v>
      </c>
      <c r="AC1340">
        <v>99104</v>
      </c>
      <c r="AD1340" t="s">
        <v>1582</v>
      </c>
      <c r="AE1340">
        <v>-37.812923779999998</v>
      </c>
      <c r="AF1340">
        <v>175.76749719</v>
      </c>
      <c r="AG1340">
        <v>30</v>
      </c>
      <c r="AH1340">
        <v>15</v>
      </c>
      <c r="AI1340">
        <v>14</v>
      </c>
      <c r="AJ1340">
        <v>10</v>
      </c>
      <c r="AK1340">
        <v>16</v>
      </c>
      <c r="AL1340">
        <v>13</v>
      </c>
      <c r="AM1340">
        <v>6</v>
      </c>
      <c r="AN1340">
        <v>2</v>
      </c>
      <c r="AO1340">
        <v>61</v>
      </c>
      <c r="AP1340">
        <v>56</v>
      </c>
      <c r="AQ1340">
        <v>5</v>
      </c>
      <c r="AR1340">
        <v>2</v>
      </c>
      <c r="AS1340">
        <v>1</v>
      </c>
      <c r="AT1340">
        <v>4</v>
      </c>
    </row>
    <row r="1341" spans="1:46">
      <c r="A1341">
        <v>30007</v>
      </c>
      <c r="B1341" t="s">
        <v>8333</v>
      </c>
      <c r="C1341" t="s">
        <v>8326</v>
      </c>
      <c r="D1341" t="s">
        <v>8327</v>
      </c>
      <c r="E1341" t="s">
        <v>8334</v>
      </c>
      <c r="G1341" t="s">
        <v>8335</v>
      </c>
      <c r="H1341" t="s">
        <v>298</v>
      </c>
      <c r="J1341" t="s">
        <v>518</v>
      </c>
      <c r="K1341" t="s">
        <v>519</v>
      </c>
      <c r="M1341" t="s">
        <v>1297</v>
      </c>
      <c r="N1341" t="s">
        <v>571</v>
      </c>
      <c r="O1341" t="s">
        <v>1484</v>
      </c>
      <c r="P1341" t="s">
        <v>540</v>
      </c>
      <c r="Q1341" t="s">
        <v>1299</v>
      </c>
      <c r="R1341" t="s">
        <v>1300</v>
      </c>
      <c r="S1341" t="s">
        <v>1320</v>
      </c>
      <c r="T1341" t="s">
        <v>1485</v>
      </c>
      <c r="U1341">
        <v>185800</v>
      </c>
      <c r="V1341" t="s">
        <v>8336</v>
      </c>
      <c r="W1341" t="s">
        <v>8337</v>
      </c>
      <c r="X1341" t="s">
        <v>8330</v>
      </c>
      <c r="Y1341" t="s">
        <v>5187</v>
      </c>
      <c r="AA1341" t="s">
        <v>5188</v>
      </c>
      <c r="AB1341" t="s">
        <v>8326</v>
      </c>
      <c r="AE1341">
        <v>-37.975496560000003</v>
      </c>
      <c r="AF1341">
        <v>175.75681839999999</v>
      </c>
      <c r="AG1341">
        <v>30</v>
      </c>
      <c r="AH1341">
        <v>15</v>
      </c>
      <c r="AI1341">
        <v>2</v>
      </c>
      <c r="AJ1341">
        <v>6</v>
      </c>
      <c r="AK1341">
        <v>2</v>
      </c>
      <c r="AL1341">
        <v>1</v>
      </c>
      <c r="AM1341">
        <v>3</v>
      </c>
      <c r="AN1341">
        <v>0</v>
      </c>
      <c r="AO1341">
        <v>14</v>
      </c>
      <c r="AP1341">
        <v>12</v>
      </c>
      <c r="AQ1341">
        <v>1</v>
      </c>
      <c r="AR1341">
        <v>0</v>
      </c>
      <c r="AS1341">
        <v>2</v>
      </c>
      <c r="AT1341">
        <v>0</v>
      </c>
    </row>
    <row r="1342" spans="1:46">
      <c r="A1342">
        <v>30008</v>
      </c>
      <c r="B1342" t="s">
        <v>8338</v>
      </c>
      <c r="C1342" t="s">
        <v>8326</v>
      </c>
      <c r="D1342" t="s">
        <v>8327</v>
      </c>
      <c r="E1342" t="s">
        <v>8339</v>
      </c>
      <c r="G1342" t="s">
        <v>1483</v>
      </c>
      <c r="H1342" t="s">
        <v>298</v>
      </c>
      <c r="J1342" t="s">
        <v>518</v>
      </c>
      <c r="K1342" t="s">
        <v>519</v>
      </c>
      <c r="M1342" t="s">
        <v>1297</v>
      </c>
      <c r="N1342" t="s">
        <v>557</v>
      </c>
      <c r="O1342" t="s">
        <v>1484</v>
      </c>
      <c r="P1342" t="s">
        <v>1262</v>
      </c>
      <c r="Q1342" t="s">
        <v>1299</v>
      </c>
      <c r="R1342" t="s">
        <v>1300</v>
      </c>
      <c r="S1342" t="s">
        <v>1320</v>
      </c>
      <c r="T1342" t="s">
        <v>1485</v>
      </c>
      <c r="U1342">
        <v>186600</v>
      </c>
      <c r="V1342" t="s">
        <v>8340</v>
      </c>
      <c r="W1342" t="s">
        <v>1487</v>
      </c>
      <c r="X1342" t="s">
        <v>8330</v>
      </c>
      <c r="Y1342" t="s">
        <v>5187</v>
      </c>
      <c r="AA1342" t="s">
        <v>5188</v>
      </c>
      <c r="AB1342" t="s">
        <v>8326</v>
      </c>
      <c r="AE1342">
        <v>-38.23548529</v>
      </c>
      <c r="AF1342">
        <v>175.86819560999999</v>
      </c>
      <c r="AG1342">
        <v>30</v>
      </c>
      <c r="AH1342">
        <v>15</v>
      </c>
      <c r="AI1342">
        <v>1</v>
      </c>
      <c r="AJ1342">
        <v>4</v>
      </c>
      <c r="AK1342">
        <v>2</v>
      </c>
      <c r="AL1342">
        <v>4</v>
      </c>
      <c r="AM1342">
        <v>0</v>
      </c>
      <c r="AN1342">
        <v>2</v>
      </c>
      <c r="AO1342">
        <v>13</v>
      </c>
      <c r="AP1342">
        <v>11</v>
      </c>
      <c r="AQ1342">
        <v>5</v>
      </c>
      <c r="AR1342">
        <v>1</v>
      </c>
      <c r="AS1342">
        <v>2</v>
      </c>
      <c r="AT1342">
        <v>0</v>
      </c>
    </row>
    <row r="1343" spans="1:46">
      <c r="A1343">
        <v>30016</v>
      </c>
      <c r="B1343" t="s">
        <v>8341</v>
      </c>
      <c r="C1343" t="s">
        <v>8342</v>
      </c>
      <c r="D1343" t="s">
        <v>8343</v>
      </c>
      <c r="E1343" t="s">
        <v>8344</v>
      </c>
      <c r="G1343" t="s">
        <v>1497</v>
      </c>
      <c r="H1343" t="s">
        <v>3942</v>
      </c>
      <c r="J1343" t="s">
        <v>3962</v>
      </c>
      <c r="K1343" t="s">
        <v>519</v>
      </c>
      <c r="M1343" t="s">
        <v>1297</v>
      </c>
      <c r="N1343" t="s">
        <v>539</v>
      </c>
      <c r="O1343" t="s">
        <v>1484</v>
      </c>
      <c r="P1343" t="s">
        <v>523</v>
      </c>
      <c r="Q1343" t="s">
        <v>1299</v>
      </c>
      <c r="R1343" t="s">
        <v>1300</v>
      </c>
      <c r="S1343" t="s">
        <v>1320</v>
      </c>
      <c r="T1343" t="s">
        <v>1485</v>
      </c>
      <c r="U1343">
        <v>186000</v>
      </c>
      <c r="V1343" t="s">
        <v>1498</v>
      </c>
      <c r="W1343" t="s">
        <v>1499</v>
      </c>
      <c r="X1343" t="s">
        <v>8345</v>
      </c>
      <c r="Y1343" t="s">
        <v>8346</v>
      </c>
      <c r="AA1343" t="s">
        <v>8347</v>
      </c>
      <c r="AB1343" t="s">
        <v>8348</v>
      </c>
      <c r="AE1343">
        <v>-38.049822919999997</v>
      </c>
      <c r="AF1343">
        <v>175.78108254</v>
      </c>
      <c r="AG1343">
        <v>28</v>
      </c>
      <c r="AH1343">
        <v>8</v>
      </c>
      <c r="AI1343">
        <v>0</v>
      </c>
      <c r="AJ1343">
        <v>2</v>
      </c>
      <c r="AK1343">
        <v>4</v>
      </c>
      <c r="AL1343">
        <v>2</v>
      </c>
      <c r="AM1343">
        <v>2</v>
      </c>
      <c r="AN1343">
        <v>0</v>
      </c>
      <c r="AO1343">
        <v>10</v>
      </c>
      <c r="AP1343">
        <v>6</v>
      </c>
      <c r="AQ1343">
        <v>7</v>
      </c>
      <c r="AR1343">
        <v>1</v>
      </c>
      <c r="AS1343">
        <v>0</v>
      </c>
      <c r="AT1343">
        <v>0</v>
      </c>
    </row>
    <row r="1344" spans="1:46">
      <c r="A1344">
        <v>30017</v>
      </c>
      <c r="B1344" t="s">
        <v>8349</v>
      </c>
      <c r="C1344" t="s">
        <v>8350</v>
      </c>
      <c r="E1344" t="s">
        <v>8351</v>
      </c>
      <c r="F1344" t="s">
        <v>1345</v>
      </c>
      <c r="G1344" t="s">
        <v>1296</v>
      </c>
      <c r="H1344" t="s">
        <v>343</v>
      </c>
      <c r="J1344" t="s">
        <v>518</v>
      </c>
      <c r="K1344" t="s">
        <v>519</v>
      </c>
      <c r="L1344" t="s">
        <v>4205</v>
      </c>
      <c r="M1344" t="s">
        <v>1297</v>
      </c>
      <c r="N1344" t="s">
        <v>571</v>
      </c>
      <c r="O1344" t="s">
        <v>1298</v>
      </c>
      <c r="P1344" t="s">
        <v>654</v>
      </c>
      <c r="Q1344" t="s">
        <v>1299</v>
      </c>
      <c r="R1344" t="s">
        <v>1300</v>
      </c>
      <c r="S1344" t="s">
        <v>1301</v>
      </c>
      <c r="T1344" t="s">
        <v>1235</v>
      </c>
      <c r="U1344">
        <v>178901</v>
      </c>
      <c r="V1344" t="s">
        <v>8352</v>
      </c>
      <c r="W1344" t="s">
        <v>1303</v>
      </c>
      <c r="X1344" t="s">
        <v>7630</v>
      </c>
      <c r="Y1344" t="s">
        <v>4208</v>
      </c>
      <c r="Z1344" t="s">
        <v>4209</v>
      </c>
      <c r="AA1344" t="s">
        <v>4210</v>
      </c>
      <c r="AB1344" t="s">
        <v>7631</v>
      </c>
      <c r="AE1344">
        <v>-37.801957639999998</v>
      </c>
      <c r="AF1344">
        <v>175.25804339999999</v>
      </c>
      <c r="AG1344">
        <v>34</v>
      </c>
      <c r="AH1344">
        <v>12</v>
      </c>
      <c r="AI1344">
        <v>3</v>
      </c>
      <c r="AJ1344">
        <v>7</v>
      </c>
      <c r="AK1344">
        <v>9</v>
      </c>
      <c r="AL1344">
        <v>9</v>
      </c>
      <c r="AM1344">
        <v>2</v>
      </c>
      <c r="AN1344">
        <v>0</v>
      </c>
      <c r="AO1344">
        <v>30</v>
      </c>
      <c r="AP1344">
        <v>0</v>
      </c>
      <c r="AQ1344">
        <v>30</v>
      </c>
      <c r="AR1344">
        <v>0</v>
      </c>
      <c r="AS1344">
        <v>0</v>
      </c>
      <c r="AT1344">
        <v>0</v>
      </c>
    </row>
    <row r="1345" spans="1:46">
      <c r="A1345">
        <v>30020</v>
      </c>
      <c r="B1345" t="s">
        <v>8353</v>
      </c>
      <c r="C1345" t="s">
        <v>8354</v>
      </c>
      <c r="D1345" t="s">
        <v>8355</v>
      </c>
      <c r="E1345" t="s">
        <v>8356</v>
      </c>
      <c r="F1345" t="s">
        <v>1295</v>
      </c>
      <c r="G1345" t="s">
        <v>1296</v>
      </c>
      <c r="H1345" t="s">
        <v>3942</v>
      </c>
      <c r="I1345" t="s">
        <v>3971</v>
      </c>
      <c r="J1345" t="s">
        <v>3962</v>
      </c>
      <c r="K1345" t="s">
        <v>519</v>
      </c>
      <c r="M1345" t="s">
        <v>1297</v>
      </c>
      <c r="N1345" t="s">
        <v>571</v>
      </c>
      <c r="O1345" t="s">
        <v>1351</v>
      </c>
      <c r="P1345" t="s">
        <v>572</v>
      </c>
      <c r="Q1345" t="s">
        <v>1299</v>
      </c>
      <c r="R1345" t="s">
        <v>1300</v>
      </c>
      <c r="S1345" t="s">
        <v>1300</v>
      </c>
      <c r="T1345" t="s">
        <v>1235</v>
      </c>
      <c r="U1345">
        <v>173000</v>
      </c>
      <c r="V1345" t="s">
        <v>8357</v>
      </c>
      <c r="W1345" t="s">
        <v>8358</v>
      </c>
      <c r="X1345" t="s">
        <v>8359</v>
      </c>
      <c r="Y1345" t="s">
        <v>8360</v>
      </c>
      <c r="AA1345" t="s">
        <v>8361</v>
      </c>
      <c r="AB1345" t="s">
        <v>8354</v>
      </c>
      <c r="AE1345">
        <v>-37.772031769999998</v>
      </c>
      <c r="AF1345">
        <v>175.35456855000001</v>
      </c>
      <c r="AG1345">
        <v>37</v>
      </c>
      <c r="AH1345">
        <v>15</v>
      </c>
      <c r="AI1345">
        <v>1</v>
      </c>
      <c r="AJ1345">
        <v>10</v>
      </c>
      <c r="AK1345">
        <v>15</v>
      </c>
      <c r="AL1345">
        <v>10</v>
      </c>
      <c r="AM1345">
        <v>18</v>
      </c>
      <c r="AN1345">
        <v>0</v>
      </c>
      <c r="AO1345">
        <v>54</v>
      </c>
      <c r="AP1345">
        <v>48</v>
      </c>
      <c r="AQ1345">
        <v>8</v>
      </c>
      <c r="AR1345">
        <v>2</v>
      </c>
      <c r="AS1345">
        <v>6</v>
      </c>
      <c r="AT1345">
        <v>1</v>
      </c>
    </row>
    <row r="1346" spans="1:46">
      <c r="A1346">
        <v>30021</v>
      </c>
      <c r="B1346" t="s">
        <v>8362</v>
      </c>
      <c r="C1346" t="s">
        <v>8363</v>
      </c>
      <c r="D1346" t="s">
        <v>8364</v>
      </c>
      <c r="E1346" t="s">
        <v>8365</v>
      </c>
      <c r="F1346" t="s">
        <v>3770</v>
      </c>
      <c r="G1346" t="s">
        <v>1598</v>
      </c>
      <c r="H1346" t="s">
        <v>3942</v>
      </c>
      <c r="I1346" t="s">
        <v>6806</v>
      </c>
      <c r="J1346" t="s">
        <v>518</v>
      </c>
      <c r="K1346" t="s">
        <v>519</v>
      </c>
      <c r="M1346" t="s">
        <v>1297</v>
      </c>
      <c r="N1346" t="s">
        <v>571</v>
      </c>
      <c r="O1346" t="s">
        <v>1698</v>
      </c>
      <c r="P1346" t="s">
        <v>654</v>
      </c>
      <c r="Q1346" t="s">
        <v>1471</v>
      </c>
      <c r="R1346" t="s">
        <v>1472</v>
      </c>
      <c r="S1346" t="s">
        <v>1699</v>
      </c>
      <c r="T1346" t="s">
        <v>1474</v>
      </c>
      <c r="U1346">
        <v>197000</v>
      </c>
      <c r="V1346" t="s">
        <v>4717</v>
      </c>
      <c r="W1346" t="s">
        <v>1701</v>
      </c>
      <c r="X1346" t="s">
        <v>8366</v>
      </c>
      <c r="Y1346" t="s">
        <v>8367</v>
      </c>
      <c r="AA1346" t="s">
        <v>8368</v>
      </c>
      <c r="AB1346" t="s">
        <v>8363</v>
      </c>
      <c r="AC1346">
        <v>99064</v>
      </c>
      <c r="AD1346" t="s">
        <v>1702</v>
      </c>
      <c r="AE1346">
        <v>-37.693057459999999</v>
      </c>
      <c r="AF1346">
        <v>176.25907072000001</v>
      </c>
      <c r="AG1346">
        <v>32</v>
      </c>
      <c r="AH1346">
        <v>6</v>
      </c>
      <c r="AI1346">
        <v>0</v>
      </c>
      <c r="AJ1346">
        <v>0</v>
      </c>
      <c r="AK1346">
        <v>5</v>
      </c>
      <c r="AL1346">
        <v>19</v>
      </c>
      <c r="AM1346">
        <v>15</v>
      </c>
      <c r="AN1346">
        <v>1</v>
      </c>
      <c r="AO1346">
        <v>40</v>
      </c>
      <c r="AP1346">
        <v>37</v>
      </c>
      <c r="AQ1346">
        <v>5</v>
      </c>
      <c r="AR1346">
        <v>0</v>
      </c>
      <c r="AS1346">
        <v>1</v>
      </c>
      <c r="AT1346">
        <v>1</v>
      </c>
    </row>
    <row r="1347" spans="1:46">
      <c r="A1347">
        <v>30024</v>
      </c>
      <c r="B1347" t="s">
        <v>8369</v>
      </c>
      <c r="C1347" t="s">
        <v>8370</v>
      </c>
      <c r="E1347" t="s">
        <v>8371</v>
      </c>
      <c r="G1347" t="s">
        <v>1619</v>
      </c>
      <c r="H1347" t="s">
        <v>3942</v>
      </c>
      <c r="J1347" t="s">
        <v>3962</v>
      </c>
      <c r="K1347" t="s">
        <v>519</v>
      </c>
      <c r="M1347" t="s">
        <v>1297</v>
      </c>
      <c r="N1347" t="s">
        <v>557</v>
      </c>
      <c r="O1347" t="s">
        <v>1620</v>
      </c>
      <c r="P1347" t="s">
        <v>523</v>
      </c>
      <c r="Q1347" t="s">
        <v>1299</v>
      </c>
      <c r="R1347" t="s">
        <v>1300</v>
      </c>
      <c r="S1347" t="s">
        <v>1417</v>
      </c>
      <c r="T1347" t="s">
        <v>1485</v>
      </c>
      <c r="U1347">
        <v>185500</v>
      </c>
      <c r="V1347" t="s">
        <v>1621</v>
      </c>
      <c r="W1347" t="s">
        <v>1622</v>
      </c>
      <c r="X1347" t="s">
        <v>8345</v>
      </c>
      <c r="Y1347" t="s">
        <v>8346</v>
      </c>
      <c r="AA1347" t="s">
        <v>8347</v>
      </c>
      <c r="AB1347" t="s">
        <v>8348</v>
      </c>
      <c r="AE1347">
        <v>-38.181155500000003</v>
      </c>
      <c r="AF1347">
        <v>175.21046770000001</v>
      </c>
      <c r="AG1347">
        <v>39</v>
      </c>
      <c r="AH1347">
        <v>10</v>
      </c>
      <c r="AI1347">
        <v>2</v>
      </c>
      <c r="AJ1347">
        <v>6</v>
      </c>
      <c r="AK1347">
        <v>12</v>
      </c>
      <c r="AL1347">
        <v>9</v>
      </c>
      <c r="AM1347">
        <v>10</v>
      </c>
      <c r="AN1347">
        <v>1</v>
      </c>
      <c r="AO1347">
        <v>40</v>
      </c>
      <c r="AP1347">
        <v>20</v>
      </c>
      <c r="AQ1347">
        <v>19</v>
      </c>
      <c r="AR1347">
        <v>0</v>
      </c>
      <c r="AS1347">
        <v>5</v>
      </c>
      <c r="AT1347">
        <v>2</v>
      </c>
    </row>
    <row r="1348" spans="1:46">
      <c r="A1348">
        <v>30028</v>
      </c>
      <c r="B1348" t="s">
        <v>8372</v>
      </c>
      <c r="C1348" t="s">
        <v>8373</v>
      </c>
      <c r="E1348" t="s">
        <v>8374</v>
      </c>
      <c r="F1348" t="s">
        <v>8375</v>
      </c>
      <c r="G1348" t="s">
        <v>1598</v>
      </c>
      <c r="H1348" t="s">
        <v>3942</v>
      </c>
      <c r="J1348" t="s">
        <v>518</v>
      </c>
      <c r="K1348" t="s">
        <v>519</v>
      </c>
      <c r="M1348" t="s">
        <v>1297</v>
      </c>
      <c r="N1348" t="s">
        <v>571</v>
      </c>
      <c r="O1348" t="s">
        <v>1698</v>
      </c>
      <c r="P1348" t="s">
        <v>654</v>
      </c>
      <c r="Q1348" t="s">
        <v>1471</v>
      </c>
      <c r="R1348" t="s">
        <v>1472</v>
      </c>
      <c r="S1348" t="s">
        <v>1598</v>
      </c>
      <c r="T1348" t="s">
        <v>1474</v>
      </c>
      <c r="U1348">
        <v>193900</v>
      </c>
      <c r="V1348" t="s">
        <v>8376</v>
      </c>
      <c r="W1348" t="s">
        <v>1724</v>
      </c>
      <c r="X1348" t="s">
        <v>8377</v>
      </c>
      <c r="Y1348" t="s">
        <v>3944</v>
      </c>
      <c r="Z1348" t="s">
        <v>3945</v>
      </c>
      <c r="AA1348" t="s">
        <v>3946</v>
      </c>
      <c r="AB1348" t="s">
        <v>8378</v>
      </c>
      <c r="AC1348">
        <v>99064</v>
      </c>
      <c r="AD1348" t="s">
        <v>1702</v>
      </c>
      <c r="AE1348">
        <v>-37.668657070000002</v>
      </c>
      <c r="AF1348">
        <v>176.21066440000001</v>
      </c>
      <c r="AG1348">
        <v>52</v>
      </c>
      <c r="AH1348">
        <v>18</v>
      </c>
      <c r="AI1348">
        <v>3</v>
      </c>
      <c r="AJ1348">
        <v>5</v>
      </c>
      <c r="AK1348">
        <v>12</v>
      </c>
      <c r="AL1348">
        <v>9</v>
      </c>
      <c r="AM1348">
        <v>6</v>
      </c>
      <c r="AN1348">
        <v>0</v>
      </c>
      <c r="AO1348">
        <v>35</v>
      </c>
      <c r="AP1348">
        <v>23</v>
      </c>
      <c r="AQ1348">
        <v>11</v>
      </c>
      <c r="AR1348">
        <v>4</v>
      </c>
      <c r="AS1348">
        <v>3</v>
      </c>
      <c r="AT1348">
        <v>6</v>
      </c>
    </row>
    <row r="1349" spans="1:46">
      <c r="A1349">
        <v>30032</v>
      </c>
      <c r="B1349" t="s">
        <v>8379</v>
      </c>
      <c r="C1349" t="s">
        <v>8380</v>
      </c>
      <c r="E1349" t="s">
        <v>8381</v>
      </c>
      <c r="G1349" t="s">
        <v>1350</v>
      </c>
      <c r="H1349" t="s">
        <v>343</v>
      </c>
      <c r="J1349" t="s">
        <v>518</v>
      </c>
      <c r="K1349" t="s">
        <v>519</v>
      </c>
      <c r="L1349" t="s">
        <v>4205</v>
      </c>
      <c r="M1349" t="s">
        <v>1297</v>
      </c>
      <c r="N1349" t="s">
        <v>4519</v>
      </c>
      <c r="O1349" t="s">
        <v>1351</v>
      </c>
      <c r="P1349" t="s">
        <v>523</v>
      </c>
      <c r="Q1349" t="s">
        <v>1299</v>
      </c>
      <c r="R1349" t="s">
        <v>1300</v>
      </c>
      <c r="S1349" t="s">
        <v>1300</v>
      </c>
      <c r="T1349" t="s">
        <v>1235</v>
      </c>
      <c r="U1349">
        <v>172001</v>
      </c>
      <c r="V1349" t="s">
        <v>1402</v>
      </c>
      <c r="W1349" t="s">
        <v>1353</v>
      </c>
      <c r="X1349" t="s">
        <v>7630</v>
      </c>
      <c r="Y1349" t="s">
        <v>4208</v>
      </c>
      <c r="Z1349" t="s">
        <v>4209</v>
      </c>
      <c r="AA1349" t="s">
        <v>4210</v>
      </c>
      <c r="AB1349" t="s">
        <v>7631</v>
      </c>
      <c r="AE1349">
        <v>-37.66013856</v>
      </c>
      <c r="AF1349">
        <v>175.15235568</v>
      </c>
      <c r="AG1349">
        <v>29</v>
      </c>
      <c r="AH1349">
        <v>5</v>
      </c>
      <c r="AI1349">
        <v>0</v>
      </c>
      <c r="AJ1349">
        <v>5</v>
      </c>
      <c r="AK1349">
        <v>11</v>
      </c>
      <c r="AL1349">
        <v>7</v>
      </c>
      <c r="AM1349">
        <v>4</v>
      </c>
      <c r="AN1349">
        <v>0</v>
      </c>
      <c r="AO1349">
        <v>27</v>
      </c>
      <c r="AP1349">
        <v>0</v>
      </c>
      <c r="AQ1349">
        <v>27</v>
      </c>
      <c r="AR1349">
        <v>0</v>
      </c>
      <c r="AS1349">
        <v>0</v>
      </c>
      <c r="AT1349">
        <v>0</v>
      </c>
    </row>
    <row r="1350" spans="1:46">
      <c r="A1350">
        <v>30033</v>
      </c>
      <c r="B1350" t="s">
        <v>8382</v>
      </c>
      <c r="C1350" t="s">
        <v>8383</v>
      </c>
      <c r="D1350" t="s">
        <v>8384</v>
      </c>
      <c r="E1350" t="s">
        <v>8385</v>
      </c>
      <c r="F1350" t="s">
        <v>3770</v>
      </c>
      <c r="G1350" t="s">
        <v>1598</v>
      </c>
      <c r="H1350" t="s">
        <v>3942</v>
      </c>
      <c r="J1350" t="s">
        <v>518</v>
      </c>
      <c r="K1350" t="s">
        <v>519</v>
      </c>
      <c r="M1350" t="s">
        <v>1297</v>
      </c>
      <c r="N1350" t="s">
        <v>557</v>
      </c>
      <c r="O1350" t="s">
        <v>1698</v>
      </c>
      <c r="P1350" t="s">
        <v>654</v>
      </c>
      <c r="Q1350" t="s">
        <v>1471</v>
      </c>
      <c r="R1350" t="s">
        <v>1472</v>
      </c>
      <c r="S1350" t="s">
        <v>1699</v>
      </c>
      <c r="T1350" t="s">
        <v>1474</v>
      </c>
      <c r="U1350">
        <v>197300</v>
      </c>
      <c r="V1350" t="s">
        <v>3771</v>
      </c>
      <c r="W1350" t="s">
        <v>3772</v>
      </c>
      <c r="X1350" t="s">
        <v>8377</v>
      </c>
      <c r="Y1350" t="s">
        <v>3944</v>
      </c>
      <c r="Z1350" t="s">
        <v>3945</v>
      </c>
      <c r="AA1350" t="s">
        <v>3946</v>
      </c>
      <c r="AB1350" t="s">
        <v>8378</v>
      </c>
      <c r="AE1350">
        <v>-37.707141489999998</v>
      </c>
      <c r="AF1350">
        <v>176.28948568000001</v>
      </c>
      <c r="AG1350">
        <v>40</v>
      </c>
      <c r="AH1350">
        <v>0</v>
      </c>
      <c r="AI1350">
        <v>0</v>
      </c>
      <c r="AJ1350">
        <v>0</v>
      </c>
      <c r="AK1350">
        <v>4</v>
      </c>
      <c r="AL1350">
        <v>15</v>
      </c>
      <c r="AM1350">
        <v>12</v>
      </c>
      <c r="AN1350">
        <v>0</v>
      </c>
      <c r="AO1350">
        <v>31</v>
      </c>
      <c r="AP1350">
        <v>17</v>
      </c>
      <c r="AQ1350">
        <v>8</v>
      </c>
      <c r="AR1350">
        <v>3</v>
      </c>
      <c r="AS1350">
        <v>9</v>
      </c>
      <c r="AT1350">
        <v>2</v>
      </c>
    </row>
    <row r="1351" spans="1:46">
      <c r="A1351">
        <v>30035</v>
      </c>
      <c r="B1351" t="s">
        <v>8386</v>
      </c>
      <c r="C1351" t="s">
        <v>8387</v>
      </c>
      <c r="D1351" t="s">
        <v>8388</v>
      </c>
      <c r="E1351" t="s">
        <v>8389</v>
      </c>
      <c r="G1351" t="s">
        <v>1586</v>
      </c>
      <c r="H1351" t="s">
        <v>3942</v>
      </c>
      <c r="J1351" t="s">
        <v>518</v>
      </c>
      <c r="K1351" t="s">
        <v>519</v>
      </c>
      <c r="M1351" t="s">
        <v>1297</v>
      </c>
      <c r="N1351" t="s">
        <v>571</v>
      </c>
      <c r="O1351" t="s">
        <v>1450</v>
      </c>
      <c r="P1351" t="s">
        <v>523</v>
      </c>
      <c r="Q1351" t="s">
        <v>1299</v>
      </c>
      <c r="R1351" t="s">
        <v>1300</v>
      </c>
      <c r="S1351" t="s">
        <v>1300</v>
      </c>
      <c r="T1351" t="s">
        <v>1235</v>
      </c>
      <c r="U1351">
        <v>173901</v>
      </c>
      <c r="V1351" t="s">
        <v>8390</v>
      </c>
      <c r="W1351" t="s">
        <v>1588</v>
      </c>
      <c r="X1351" t="s">
        <v>8377</v>
      </c>
      <c r="Y1351" t="s">
        <v>3944</v>
      </c>
      <c r="Z1351" t="s">
        <v>3945</v>
      </c>
      <c r="AA1351" t="s">
        <v>3946</v>
      </c>
      <c r="AB1351" t="s">
        <v>8378</v>
      </c>
      <c r="AC1351">
        <v>99131</v>
      </c>
      <c r="AD1351" t="s">
        <v>1589</v>
      </c>
      <c r="AE1351">
        <v>-37.647778500000001</v>
      </c>
      <c r="AF1351">
        <v>175.51928781999999</v>
      </c>
      <c r="AG1351">
        <v>50</v>
      </c>
      <c r="AH1351">
        <v>12</v>
      </c>
      <c r="AI1351">
        <v>4</v>
      </c>
      <c r="AJ1351">
        <v>10</v>
      </c>
      <c r="AK1351">
        <v>21</v>
      </c>
      <c r="AL1351">
        <v>11</v>
      </c>
      <c r="AM1351">
        <v>17</v>
      </c>
      <c r="AN1351">
        <v>0</v>
      </c>
      <c r="AO1351">
        <v>63</v>
      </c>
      <c r="AP1351">
        <v>48</v>
      </c>
      <c r="AQ1351">
        <v>18</v>
      </c>
      <c r="AR1351">
        <v>3</v>
      </c>
      <c r="AS1351">
        <v>6</v>
      </c>
      <c r="AT1351">
        <v>5</v>
      </c>
    </row>
    <row r="1352" spans="1:46">
      <c r="A1352">
        <v>30037</v>
      </c>
      <c r="B1352" t="s">
        <v>8391</v>
      </c>
      <c r="C1352" t="s">
        <v>8392</v>
      </c>
      <c r="D1352" t="s">
        <v>8393</v>
      </c>
      <c r="E1352" t="s">
        <v>8394</v>
      </c>
      <c r="G1352" t="s">
        <v>1538</v>
      </c>
      <c r="H1352" t="s">
        <v>3942</v>
      </c>
      <c r="J1352" t="s">
        <v>3962</v>
      </c>
      <c r="K1352" t="s">
        <v>519</v>
      </c>
      <c r="M1352" t="s">
        <v>1297</v>
      </c>
      <c r="N1352" t="s">
        <v>571</v>
      </c>
      <c r="O1352" t="s">
        <v>1319</v>
      </c>
      <c r="P1352" t="s">
        <v>1262</v>
      </c>
      <c r="Q1352" t="s">
        <v>1299</v>
      </c>
      <c r="R1352" t="s">
        <v>1300</v>
      </c>
      <c r="S1352" t="s">
        <v>1417</v>
      </c>
      <c r="T1352" t="s">
        <v>1235</v>
      </c>
      <c r="U1352">
        <v>184400</v>
      </c>
      <c r="V1352" t="s">
        <v>1539</v>
      </c>
      <c r="W1352" t="s">
        <v>1540</v>
      </c>
      <c r="X1352" t="s">
        <v>8395</v>
      </c>
      <c r="Y1352" t="s">
        <v>8396</v>
      </c>
      <c r="AA1352" t="s">
        <v>8397</v>
      </c>
      <c r="AB1352" t="s">
        <v>8392</v>
      </c>
      <c r="AE1352">
        <v>-38.009300570000001</v>
      </c>
      <c r="AF1352">
        <v>175.33201222</v>
      </c>
      <c r="AG1352">
        <v>80</v>
      </c>
      <c r="AH1352">
        <v>25</v>
      </c>
      <c r="AI1352">
        <v>5</v>
      </c>
      <c r="AJ1352">
        <v>24</v>
      </c>
      <c r="AK1352">
        <v>30</v>
      </c>
      <c r="AL1352">
        <v>25</v>
      </c>
      <c r="AM1352">
        <v>25</v>
      </c>
      <c r="AN1352">
        <v>1</v>
      </c>
      <c r="AO1352">
        <v>110</v>
      </c>
      <c r="AP1352">
        <v>97</v>
      </c>
      <c r="AQ1352">
        <v>20</v>
      </c>
      <c r="AR1352">
        <v>1</v>
      </c>
      <c r="AS1352">
        <v>9</v>
      </c>
      <c r="AT1352">
        <v>1</v>
      </c>
    </row>
    <row r="1353" spans="1:46">
      <c r="A1353">
        <v>30039</v>
      </c>
      <c r="B1353" t="s">
        <v>8398</v>
      </c>
      <c r="C1353" t="s">
        <v>8399</v>
      </c>
      <c r="D1353" t="s">
        <v>8400</v>
      </c>
      <c r="E1353" t="s">
        <v>8401</v>
      </c>
      <c r="G1353" t="s">
        <v>1598</v>
      </c>
      <c r="H1353" t="s">
        <v>4716</v>
      </c>
      <c r="J1353" t="s">
        <v>3962</v>
      </c>
      <c r="K1353" t="s">
        <v>519</v>
      </c>
      <c r="M1353" t="s">
        <v>1297</v>
      </c>
      <c r="N1353" t="s">
        <v>571</v>
      </c>
      <c r="O1353" t="s">
        <v>1698</v>
      </c>
      <c r="P1353" t="s">
        <v>654</v>
      </c>
      <c r="Q1353" t="s">
        <v>1471</v>
      </c>
      <c r="R1353" t="s">
        <v>1300</v>
      </c>
      <c r="S1353" t="s">
        <v>1598</v>
      </c>
      <c r="T1353" t="s">
        <v>1474</v>
      </c>
      <c r="U1353">
        <v>193800</v>
      </c>
      <c r="V1353" t="s">
        <v>8402</v>
      </c>
      <c r="W1353" t="s">
        <v>3724</v>
      </c>
      <c r="X1353" t="s">
        <v>8403</v>
      </c>
      <c r="Y1353" t="s">
        <v>8401</v>
      </c>
      <c r="AA1353" t="s">
        <v>8404</v>
      </c>
      <c r="AE1353">
        <v>-37.684194410000003</v>
      </c>
      <c r="AF1353">
        <v>176.16808083000001</v>
      </c>
      <c r="AG1353">
        <v>50</v>
      </c>
      <c r="AH1353">
        <v>50</v>
      </c>
      <c r="AI1353">
        <v>1</v>
      </c>
      <c r="AJ1353">
        <v>6</v>
      </c>
      <c r="AK1353">
        <v>10</v>
      </c>
      <c r="AL1353">
        <v>7</v>
      </c>
      <c r="AM1353">
        <v>10</v>
      </c>
      <c r="AN1353">
        <v>4</v>
      </c>
      <c r="AO1353">
        <v>38</v>
      </c>
      <c r="AP1353">
        <v>24</v>
      </c>
      <c r="AQ1353">
        <v>16</v>
      </c>
      <c r="AR1353">
        <v>3</v>
      </c>
      <c r="AS1353">
        <v>2</v>
      </c>
      <c r="AT1353">
        <v>7</v>
      </c>
    </row>
    <row r="1354" spans="1:46">
      <c r="A1354">
        <v>30045</v>
      </c>
      <c r="B1354" t="s">
        <v>8405</v>
      </c>
      <c r="C1354" t="s">
        <v>8406</v>
      </c>
      <c r="E1354" t="s">
        <v>8407</v>
      </c>
      <c r="G1354" t="s">
        <v>1569</v>
      </c>
      <c r="H1354" t="s">
        <v>3942</v>
      </c>
      <c r="J1354" t="s">
        <v>3962</v>
      </c>
      <c r="K1354" t="s">
        <v>519</v>
      </c>
      <c r="M1354" t="s">
        <v>1297</v>
      </c>
      <c r="N1354" t="s">
        <v>557</v>
      </c>
      <c r="O1354" t="s">
        <v>1319</v>
      </c>
      <c r="P1354" t="s">
        <v>523</v>
      </c>
      <c r="Q1354" t="s">
        <v>1299</v>
      </c>
      <c r="R1354" t="s">
        <v>1300</v>
      </c>
      <c r="S1354" t="s">
        <v>1417</v>
      </c>
      <c r="T1354" t="s">
        <v>1235</v>
      </c>
      <c r="U1354">
        <v>184800</v>
      </c>
      <c r="V1354" t="s">
        <v>1570</v>
      </c>
      <c r="W1354" t="s">
        <v>1540</v>
      </c>
      <c r="X1354" t="s">
        <v>8408</v>
      </c>
      <c r="AB1354" t="s">
        <v>8409</v>
      </c>
      <c r="AE1354">
        <v>-38.039846509999997</v>
      </c>
      <c r="AF1354">
        <v>175.34798047000001</v>
      </c>
      <c r="AG1354">
        <v>25</v>
      </c>
      <c r="AH1354">
        <v>8</v>
      </c>
      <c r="AI1354">
        <v>1</v>
      </c>
      <c r="AJ1354">
        <v>3</v>
      </c>
      <c r="AK1354">
        <v>3</v>
      </c>
      <c r="AL1354">
        <v>7</v>
      </c>
      <c r="AM1354">
        <v>6</v>
      </c>
      <c r="AN1354">
        <v>0</v>
      </c>
      <c r="AO1354">
        <v>20</v>
      </c>
      <c r="AP1354">
        <v>8</v>
      </c>
      <c r="AQ1354">
        <v>10</v>
      </c>
      <c r="AR1354">
        <v>0</v>
      </c>
      <c r="AS1354">
        <v>5</v>
      </c>
      <c r="AT1354">
        <v>3</v>
      </c>
    </row>
    <row r="1355" spans="1:46">
      <c r="A1355">
        <v>30047</v>
      </c>
      <c r="B1355" t="s">
        <v>8410</v>
      </c>
      <c r="C1355" t="s">
        <v>8411</v>
      </c>
      <c r="D1355" t="s">
        <v>8412</v>
      </c>
      <c r="E1355" t="s">
        <v>8413</v>
      </c>
      <c r="F1355" t="s">
        <v>1295</v>
      </c>
      <c r="G1355" t="s">
        <v>1296</v>
      </c>
      <c r="H1355" t="s">
        <v>3942</v>
      </c>
      <c r="J1355" t="s">
        <v>3962</v>
      </c>
      <c r="K1355" t="s">
        <v>519</v>
      </c>
      <c r="M1355" t="s">
        <v>1297</v>
      </c>
      <c r="N1355" t="s">
        <v>571</v>
      </c>
      <c r="O1355" t="s">
        <v>1298</v>
      </c>
      <c r="P1355" t="s">
        <v>654</v>
      </c>
      <c r="Q1355" t="s">
        <v>1299</v>
      </c>
      <c r="R1355" t="s">
        <v>1300</v>
      </c>
      <c r="S1355" t="s">
        <v>1301</v>
      </c>
      <c r="T1355" t="s">
        <v>1235</v>
      </c>
      <c r="U1355">
        <v>181101</v>
      </c>
      <c r="V1355" t="s">
        <v>8414</v>
      </c>
      <c r="W1355" t="s">
        <v>1303</v>
      </c>
      <c r="X1355" t="s">
        <v>8415</v>
      </c>
      <c r="Y1355" t="s">
        <v>8416</v>
      </c>
      <c r="Z1355" t="s">
        <v>1295</v>
      </c>
      <c r="AA1355" t="s">
        <v>8417</v>
      </c>
      <c r="AB1355" t="s">
        <v>8418</v>
      </c>
      <c r="AE1355">
        <v>-37.811294230000001</v>
      </c>
      <c r="AF1355">
        <v>175.30323809000001</v>
      </c>
      <c r="AG1355">
        <v>31</v>
      </c>
      <c r="AH1355">
        <v>8</v>
      </c>
      <c r="AI1355">
        <v>0</v>
      </c>
      <c r="AJ1355">
        <v>7</v>
      </c>
      <c r="AK1355">
        <v>12</v>
      </c>
      <c r="AL1355">
        <v>10</v>
      </c>
      <c r="AM1355">
        <v>8</v>
      </c>
      <c r="AN1355">
        <v>1</v>
      </c>
      <c r="AO1355">
        <v>38</v>
      </c>
      <c r="AP1355">
        <v>30</v>
      </c>
      <c r="AQ1355">
        <v>8</v>
      </c>
      <c r="AR1355">
        <v>3</v>
      </c>
      <c r="AS1355">
        <v>6</v>
      </c>
      <c r="AT1355">
        <v>0</v>
      </c>
    </row>
    <row r="1356" spans="1:46">
      <c r="A1356">
        <v>30048</v>
      </c>
      <c r="B1356" t="s">
        <v>8419</v>
      </c>
      <c r="C1356" t="s">
        <v>8420</v>
      </c>
      <c r="D1356" t="s">
        <v>8421</v>
      </c>
      <c r="E1356" t="s">
        <v>8422</v>
      </c>
      <c r="F1356" t="s">
        <v>8423</v>
      </c>
      <c r="G1356" t="s">
        <v>1521</v>
      </c>
      <c r="H1356" t="s">
        <v>3942</v>
      </c>
      <c r="J1356" t="s">
        <v>518</v>
      </c>
      <c r="K1356" t="s">
        <v>519</v>
      </c>
      <c r="M1356" t="s">
        <v>1297</v>
      </c>
      <c r="N1356" t="s">
        <v>557</v>
      </c>
      <c r="O1356" t="s">
        <v>1522</v>
      </c>
      <c r="P1356" t="s">
        <v>584</v>
      </c>
      <c r="Q1356" t="s">
        <v>1471</v>
      </c>
      <c r="R1356" t="s">
        <v>1472</v>
      </c>
      <c r="S1356" t="s">
        <v>1521</v>
      </c>
      <c r="T1356" t="s">
        <v>1474</v>
      </c>
      <c r="U1356">
        <v>198800</v>
      </c>
      <c r="V1356" t="s">
        <v>8424</v>
      </c>
      <c r="W1356" t="s">
        <v>1523</v>
      </c>
      <c r="X1356" t="s">
        <v>8377</v>
      </c>
      <c r="Y1356" t="s">
        <v>3944</v>
      </c>
      <c r="Z1356" t="s">
        <v>3945</v>
      </c>
      <c r="AA1356" t="s">
        <v>3946</v>
      </c>
      <c r="AB1356" t="s">
        <v>8378</v>
      </c>
      <c r="AC1356">
        <v>99107</v>
      </c>
      <c r="AD1356" t="s">
        <v>1526</v>
      </c>
      <c r="AE1356">
        <v>-38.108286550000003</v>
      </c>
      <c r="AF1356">
        <v>176.2332523</v>
      </c>
      <c r="AG1356">
        <v>32</v>
      </c>
      <c r="AH1356">
        <v>10</v>
      </c>
      <c r="AI1356">
        <v>3</v>
      </c>
      <c r="AJ1356">
        <v>5</v>
      </c>
      <c r="AK1356">
        <v>4</v>
      </c>
      <c r="AL1356">
        <v>6</v>
      </c>
      <c r="AM1356">
        <v>8</v>
      </c>
      <c r="AN1356">
        <v>0</v>
      </c>
      <c r="AO1356">
        <v>26</v>
      </c>
      <c r="AP1356">
        <v>16</v>
      </c>
      <c r="AQ1356">
        <v>13</v>
      </c>
      <c r="AR1356">
        <v>2</v>
      </c>
      <c r="AS1356">
        <v>2</v>
      </c>
      <c r="AT1356">
        <v>2</v>
      </c>
    </row>
    <row r="1357" spans="1:46">
      <c r="A1357">
        <v>30055</v>
      </c>
      <c r="B1357" t="s">
        <v>8425</v>
      </c>
      <c r="C1357" t="s">
        <v>8426</v>
      </c>
      <c r="D1357" t="s">
        <v>8427</v>
      </c>
      <c r="E1357" t="s">
        <v>8428</v>
      </c>
      <c r="F1357" t="s">
        <v>1422</v>
      </c>
      <c r="G1357" t="s">
        <v>1296</v>
      </c>
      <c r="H1357" t="s">
        <v>3942</v>
      </c>
      <c r="J1357" t="s">
        <v>518</v>
      </c>
      <c r="K1357" t="s">
        <v>519</v>
      </c>
      <c r="M1357" t="s">
        <v>1297</v>
      </c>
      <c r="N1357" t="s">
        <v>571</v>
      </c>
      <c r="O1357" t="s">
        <v>1298</v>
      </c>
      <c r="P1357" t="s">
        <v>654</v>
      </c>
      <c r="Q1357" t="s">
        <v>1299</v>
      </c>
      <c r="R1357" t="s">
        <v>1300</v>
      </c>
      <c r="S1357" t="s">
        <v>1301</v>
      </c>
      <c r="T1357" t="s">
        <v>1235</v>
      </c>
      <c r="U1357">
        <v>176301</v>
      </c>
      <c r="V1357" t="s">
        <v>8429</v>
      </c>
      <c r="W1357" t="s">
        <v>1303</v>
      </c>
      <c r="X1357" t="s">
        <v>8377</v>
      </c>
      <c r="Y1357" t="s">
        <v>3944</v>
      </c>
      <c r="Z1357" t="s">
        <v>3945</v>
      </c>
      <c r="AA1357" t="s">
        <v>3946</v>
      </c>
      <c r="AB1357" t="s">
        <v>8378</v>
      </c>
      <c r="AC1357">
        <v>99035</v>
      </c>
      <c r="AD1357" t="s">
        <v>1308</v>
      </c>
      <c r="AE1357">
        <v>-37.759528070000002</v>
      </c>
      <c r="AF1357">
        <v>175.24393810000001</v>
      </c>
      <c r="AG1357">
        <v>92</v>
      </c>
      <c r="AH1357">
        <v>25</v>
      </c>
      <c r="AI1357">
        <v>6</v>
      </c>
      <c r="AJ1357">
        <v>15</v>
      </c>
      <c r="AK1357">
        <v>21</v>
      </c>
      <c r="AL1357">
        <v>13</v>
      </c>
      <c r="AM1357">
        <v>16</v>
      </c>
      <c r="AN1357">
        <v>2</v>
      </c>
      <c r="AO1357">
        <v>73</v>
      </c>
      <c r="AP1357">
        <v>34</v>
      </c>
      <c r="AQ1357">
        <v>35</v>
      </c>
      <c r="AR1357">
        <v>7</v>
      </c>
      <c r="AS1357">
        <v>12</v>
      </c>
      <c r="AT1357">
        <v>10</v>
      </c>
    </row>
    <row r="1358" spans="1:46">
      <c r="A1358">
        <v>30056</v>
      </c>
      <c r="B1358" t="s">
        <v>8430</v>
      </c>
      <c r="C1358" t="s">
        <v>8431</v>
      </c>
      <c r="E1358" t="s">
        <v>8432</v>
      </c>
      <c r="F1358" t="s">
        <v>1295</v>
      </c>
      <c r="G1358" t="s">
        <v>1296</v>
      </c>
      <c r="H1358" t="s">
        <v>3942</v>
      </c>
      <c r="J1358" t="s">
        <v>3962</v>
      </c>
      <c r="K1358" t="s">
        <v>519</v>
      </c>
      <c r="M1358" t="s">
        <v>1297</v>
      </c>
      <c r="N1358" t="s">
        <v>571</v>
      </c>
      <c r="O1358" t="s">
        <v>1298</v>
      </c>
      <c r="P1358" t="s">
        <v>654</v>
      </c>
      <c r="Q1358" t="s">
        <v>1299</v>
      </c>
      <c r="R1358" t="s">
        <v>1300</v>
      </c>
      <c r="S1358" t="s">
        <v>1312</v>
      </c>
      <c r="T1358" t="s">
        <v>1235</v>
      </c>
      <c r="U1358">
        <v>179300</v>
      </c>
      <c r="V1358" t="s">
        <v>1398</v>
      </c>
      <c r="W1358" t="s">
        <v>1314</v>
      </c>
      <c r="X1358" t="s">
        <v>8433</v>
      </c>
      <c r="Y1358" t="s">
        <v>8434</v>
      </c>
      <c r="AA1358" t="s">
        <v>4084</v>
      </c>
      <c r="AB1358" t="s">
        <v>8435</v>
      </c>
      <c r="AE1358">
        <v>-37.78209434</v>
      </c>
      <c r="AF1358">
        <v>175.28819102</v>
      </c>
      <c r="AG1358">
        <v>41</v>
      </c>
      <c r="AH1358">
        <v>18</v>
      </c>
      <c r="AI1358">
        <v>4</v>
      </c>
      <c r="AJ1358">
        <v>9</v>
      </c>
      <c r="AK1358">
        <v>10</v>
      </c>
      <c r="AL1358">
        <v>4</v>
      </c>
      <c r="AM1358">
        <v>7</v>
      </c>
      <c r="AN1358">
        <v>0</v>
      </c>
      <c r="AO1358">
        <v>34</v>
      </c>
      <c r="AP1358">
        <v>7</v>
      </c>
      <c r="AQ1358">
        <v>4</v>
      </c>
      <c r="AR1358">
        <v>4</v>
      </c>
      <c r="AS1358">
        <v>24</v>
      </c>
      <c r="AT1358">
        <v>0</v>
      </c>
    </row>
    <row r="1359" spans="1:46">
      <c r="A1359">
        <v>30063</v>
      </c>
      <c r="B1359" t="s">
        <v>8436</v>
      </c>
      <c r="C1359" t="s">
        <v>8437</v>
      </c>
      <c r="D1359" t="s">
        <v>8438</v>
      </c>
      <c r="E1359" t="s">
        <v>8439</v>
      </c>
      <c r="F1359" t="s">
        <v>1398</v>
      </c>
      <c r="G1359" t="s">
        <v>1296</v>
      </c>
      <c r="H1359" t="s">
        <v>3942</v>
      </c>
      <c r="J1359" t="s">
        <v>518</v>
      </c>
      <c r="K1359" t="s">
        <v>519</v>
      </c>
      <c r="M1359" t="s">
        <v>1297</v>
      </c>
      <c r="N1359" t="s">
        <v>571</v>
      </c>
      <c r="O1359" t="s">
        <v>1298</v>
      </c>
      <c r="P1359" t="s">
        <v>654</v>
      </c>
      <c r="Q1359" t="s">
        <v>1299</v>
      </c>
      <c r="R1359" t="s">
        <v>1300</v>
      </c>
      <c r="S1359" t="s">
        <v>1312</v>
      </c>
      <c r="T1359" t="s">
        <v>1235</v>
      </c>
      <c r="U1359">
        <v>179300</v>
      </c>
      <c r="V1359" t="s">
        <v>1398</v>
      </c>
      <c r="W1359" t="s">
        <v>1314</v>
      </c>
      <c r="X1359" t="s">
        <v>8377</v>
      </c>
      <c r="Y1359" t="s">
        <v>3944</v>
      </c>
      <c r="Z1359" t="s">
        <v>3945</v>
      </c>
      <c r="AA1359" t="s">
        <v>3946</v>
      </c>
      <c r="AB1359" t="s">
        <v>8378</v>
      </c>
      <c r="AE1359">
        <v>-37.779844259999997</v>
      </c>
      <c r="AF1359">
        <v>175.29143561000001</v>
      </c>
      <c r="AG1359">
        <v>44</v>
      </c>
      <c r="AH1359">
        <v>11</v>
      </c>
      <c r="AI1359">
        <v>4</v>
      </c>
      <c r="AJ1359">
        <v>6</v>
      </c>
      <c r="AK1359">
        <v>10</v>
      </c>
      <c r="AL1359">
        <v>10</v>
      </c>
      <c r="AM1359">
        <v>18</v>
      </c>
      <c r="AN1359">
        <v>0</v>
      </c>
      <c r="AO1359">
        <v>48</v>
      </c>
      <c r="AP1359">
        <v>12</v>
      </c>
      <c r="AQ1359">
        <v>25</v>
      </c>
      <c r="AR1359">
        <v>8</v>
      </c>
      <c r="AS1359">
        <v>6</v>
      </c>
      <c r="AT1359">
        <v>9</v>
      </c>
    </row>
    <row r="1360" spans="1:46">
      <c r="A1360">
        <v>30064</v>
      </c>
      <c r="B1360" t="s">
        <v>8440</v>
      </c>
      <c r="C1360" t="s">
        <v>8441</v>
      </c>
      <c r="E1360" t="s">
        <v>8442</v>
      </c>
      <c r="F1360" t="s">
        <v>1366</v>
      </c>
      <c r="G1360" t="s">
        <v>1521</v>
      </c>
      <c r="H1360" t="s">
        <v>3942</v>
      </c>
      <c r="J1360" t="s">
        <v>518</v>
      </c>
      <c r="K1360" t="s">
        <v>519</v>
      </c>
      <c r="M1360" t="s">
        <v>1297</v>
      </c>
      <c r="N1360" t="s">
        <v>557</v>
      </c>
      <c r="O1360" t="s">
        <v>1522</v>
      </c>
      <c r="P1360" t="s">
        <v>584</v>
      </c>
      <c r="Q1360" t="s">
        <v>1471</v>
      </c>
      <c r="R1360" t="s">
        <v>1472</v>
      </c>
      <c r="S1360" t="s">
        <v>1521</v>
      </c>
      <c r="T1360" t="s">
        <v>1474</v>
      </c>
      <c r="U1360">
        <v>200200</v>
      </c>
      <c r="V1360" t="s">
        <v>8443</v>
      </c>
      <c r="W1360" t="s">
        <v>1523</v>
      </c>
      <c r="X1360" t="s">
        <v>8377</v>
      </c>
      <c r="Y1360" t="s">
        <v>3944</v>
      </c>
      <c r="Z1360" t="s">
        <v>3945</v>
      </c>
      <c r="AA1360" t="s">
        <v>3946</v>
      </c>
      <c r="AB1360" t="s">
        <v>8378</v>
      </c>
      <c r="AC1360">
        <v>99019</v>
      </c>
      <c r="AD1360" t="s">
        <v>1565</v>
      </c>
      <c r="AE1360">
        <v>-38.152769650000003</v>
      </c>
      <c r="AF1360">
        <v>176.23886976</v>
      </c>
      <c r="AG1360">
        <v>40</v>
      </c>
      <c r="AH1360">
        <v>10</v>
      </c>
      <c r="AI1360">
        <v>3</v>
      </c>
      <c r="AJ1360">
        <v>5</v>
      </c>
      <c r="AK1360">
        <v>18</v>
      </c>
      <c r="AL1360">
        <v>12</v>
      </c>
      <c r="AM1360">
        <v>10</v>
      </c>
      <c r="AN1360">
        <v>0</v>
      </c>
      <c r="AO1360">
        <v>48</v>
      </c>
      <c r="AP1360">
        <v>41</v>
      </c>
      <c r="AQ1360">
        <v>16</v>
      </c>
      <c r="AR1360">
        <v>1</v>
      </c>
      <c r="AS1360">
        <v>5</v>
      </c>
      <c r="AT1360">
        <v>2</v>
      </c>
    </row>
    <row r="1361" spans="1:46">
      <c r="A1361">
        <v>30065</v>
      </c>
      <c r="B1361" t="s">
        <v>8444</v>
      </c>
      <c r="C1361" t="s">
        <v>8445</v>
      </c>
      <c r="E1361" t="s">
        <v>8446</v>
      </c>
      <c r="F1361" t="s">
        <v>1520</v>
      </c>
      <c r="G1361" t="s">
        <v>1521</v>
      </c>
      <c r="H1361" t="s">
        <v>343</v>
      </c>
      <c r="J1361" t="s">
        <v>518</v>
      </c>
      <c r="K1361" t="s">
        <v>519</v>
      </c>
      <c r="L1361" t="s">
        <v>4205</v>
      </c>
      <c r="M1361" t="s">
        <v>1297</v>
      </c>
      <c r="N1361" t="s">
        <v>727</v>
      </c>
      <c r="O1361" t="s">
        <v>1522</v>
      </c>
      <c r="P1361" t="s">
        <v>584</v>
      </c>
      <c r="Q1361" t="s">
        <v>1471</v>
      </c>
      <c r="R1361" t="s">
        <v>1472</v>
      </c>
      <c r="S1361" t="s">
        <v>1521</v>
      </c>
      <c r="T1361" t="s">
        <v>1474</v>
      </c>
      <c r="U1361">
        <v>199700</v>
      </c>
      <c r="V1361" t="s">
        <v>1520</v>
      </c>
      <c r="W1361" t="s">
        <v>1523</v>
      </c>
      <c r="X1361" t="s">
        <v>8447</v>
      </c>
      <c r="Y1361" t="s">
        <v>4208</v>
      </c>
      <c r="Z1361" t="s">
        <v>4209</v>
      </c>
      <c r="AA1361" t="s">
        <v>4210</v>
      </c>
      <c r="AB1361" t="s">
        <v>8448</v>
      </c>
      <c r="AE1361">
        <v>-38.143008879999996</v>
      </c>
      <c r="AF1361">
        <v>176.22351524000001</v>
      </c>
      <c r="AG1361">
        <v>35</v>
      </c>
      <c r="AH1361">
        <v>12</v>
      </c>
      <c r="AI1361">
        <v>1</v>
      </c>
      <c r="AJ1361">
        <v>4</v>
      </c>
      <c r="AK1361">
        <v>6</v>
      </c>
      <c r="AL1361">
        <v>3</v>
      </c>
      <c r="AM1361">
        <v>4</v>
      </c>
      <c r="AN1361">
        <v>0</v>
      </c>
      <c r="AO1361">
        <v>18</v>
      </c>
      <c r="AP1361">
        <v>0</v>
      </c>
      <c r="AQ1361">
        <v>18</v>
      </c>
      <c r="AR1361">
        <v>0</v>
      </c>
      <c r="AS1361">
        <v>0</v>
      </c>
      <c r="AT1361">
        <v>0</v>
      </c>
    </row>
    <row r="1362" spans="1:46">
      <c r="A1362">
        <v>30070</v>
      </c>
      <c r="B1362" t="s">
        <v>8449</v>
      </c>
      <c r="C1362" t="s">
        <v>8450</v>
      </c>
      <c r="D1362" t="s">
        <v>8451</v>
      </c>
      <c r="E1362" t="s">
        <v>8452</v>
      </c>
      <c r="F1362" t="s">
        <v>8453</v>
      </c>
      <c r="G1362" t="s">
        <v>1545</v>
      </c>
      <c r="H1362" t="s">
        <v>517</v>
      </c>
      <c r="J1362" t="s">
        <v>518</v>
      </c>
      <c r="K1362" t="s">
        <v>519</v>
      </c>
      <c r="M1362" t="s">
        <v>1297</v>
      </c>
      <c r="N1362" t="s">
        <v>571</v>
      </c>
      <c r="O1362" t="s">
        <v>1546</v>
      </c>
      <c r="P1362" t="s">
        <v>1262</v>
      </c>
      <c r="Q1362" t="s">
        <v>1299</v>
      </c>
      <c r="R1362" t="s">
        <v>1472</v>
      </c>
      <c r="S1362" t="s">
        <v>1320</v>
      </c>
      <c r="T1362" t="s">
        <v>1474</v>
      </c>
      <c r="U1362">
        <v>188400</v>
      </c>
      <c r="V1362" t="s">
        <v>8454</v>
      </c>
      <c r="W1362" t="s">
        <v>1548</v>
      </c>
      <c r="X1362" t="s">
        <v>1549</v>
      </c>
      <c r="Y1362" t="s">
        <v>1441</v>
      </c>
      <c r="AA1362" t="s">
        <v>1442</v>
      </c>
      <c r="AC1362">
        <v>99020</v>
      </c>
      <c r="AD1362" t="s">
        <v>1550</v>
      </c>
      <c r="AE1362">
        <v>-38.680712300000003</v>
      </c>
      <c r="AF1362">
        <v>176.05584450000001</v>
      </c>
      <c r="AG1362">
        <v>40</v>
      </c>
      <c r="AH1362">
        <v>0</v>
      </c>
      <c r="AI1362">
        <v>0</v>
      </c>
      <c r="AJ1362">
        <v>0</v>
      </c>
      <c r="AK1362">
        <v>1</v>
      </c>
      <c r="AL1362">
        <v>16</v>
      </c>
      <c r="AM1362">
        <v>28</v>
      </c>
      <c r="AN1362">
        <v>1</v>
      </c>
      <c r="AO1362">
        <v>46</v>
      </c>
      <c r="AP1362">
        <v>36</v>
      </c>
      <c r="AQ1362">
        <v>12</v>
      </c>
      <c r="AR1362">
        <v>0</v>
      </c>
      <c r="AS1362">
        <v>4</v>
      </c>
      <c r="AT1362">
        <v>3</v>
      </c>
    </row>
    <row r="1363" spans="1:46">
      <c r="A1363">
        <v>30071</v>
      </c>
      <c r="B1363" t="s">
        <v>8455</v>
      </c>
      <c r="C1363" t="s">
        <v>8456</v>
      </c>
      <c r="D1363" t="s">
        <v>8457</v>
      </c>
      <c r="E1363" t="s">
        <v>8458</v>
      </c>
      <c r="G1363" t="s">
        <v>7797</v>
      </c>
      <c r="H1363" t="s">
        <v>3942</v>
      </c>
      <c r="J1363" t="s">
        <v>3962</v>
      </c>
      <c r="K1363" t="s">
        <v>519</v>
      </c>
      <c r="M1363" t="s">
        <v>1297</v>
      </c>
      <c r="N1363" t="s">
        <v>571</v>
      </c>
      <c r="O1363" t="s">
        <v>1351</v>
      </c>
      <c r="P1363" t="s">
        <v>523</v>
      </c>
      <c r="Q1363" t="s">
        <v>1299</v>
      </c>
      <c r="R1363" t="s">
        <v>1300</v>
      </c>
      <c r="S1363" t="s">
        <v>1246</v>
      </c>
      <c r="T1363" t="s">
        <v>1235</v>
      </c>
      <c r="U1363">
        <v>171101</v>
      </c>
      <c r="V1363" t="s">
        <v>7798</v>
      </c>
      <c r="W1363" t="s">
        <v>7799</v>
      </c>
      <c r="X1363" t="s">
        <v>8459</v>
      </c>
      <c r="Y1363" t="s">
        <v>8458</v>
      </c>
      <c r="Z1363" t="s">
        <v>7797</v>
      </c>
      <c r="AA1363" t="s">
        <v>8460</v>
      </c>
      <c r="AB1363" t="s">
        <v>8456</v>
      </c>
      <c r="AC1363">
        <v>99193</v>
      </c>
      <c r="AD1363" t="s">
        <v>7800</v>
      </c>
      <c r="AE1363">
        <v>-37.405138790000002</v>
      </c>
      <c r="AF1363">
        <v>175.145804</v>
      </c>
      <c r="AG1363">
        <v>29</v>
      </c>
      <c r="AH1363">
        <v>5</v>
      </c>
      <c r="AI1363">
        <v>1</v>
      </c>
      <c r="AJ1363">
        <v>0</v>
      </c>
      <c r="AK1363">
        <v>9</v>
      </c>
      <c r="AL1363">
        <v>8</v>
      </c>
      <c r="AM1363">
        <v>14</v>
      </c>
      <c r="AN1363">
        <v>0</v>
      </c>
      <c r="AO1363">
        <v>32</v>
      </c>
      <c r="AP1363">
        <v>23</v>
      </c>
      <c r="AQ1363">
        <v>20</v>
      </c>
      <c r="AR1363">
        <v>4</v>
      </c>
      <c r="AS1363">
        <v>1</v>
      </c>
      <c r="AT1363">
        <v>1</v>
      </c>
    </row>
    <row r="1364" spans="1:46">
      <c r="A1364">
        <v>30077</v>
      </c>
      <c r="B1364" t="s">
        <v>8461</v>
      </c>
      <c r="C1364" t="s">
        <v>8462</v>
      </c>
      <c r="D1364" t="s">
        <v>8463</v>
      </c>
      <c r="E1364" t="s">
        <v>8464</v>
      </c>
      <c r="F1364" t="s">
        <v>1345</v>
      </c>
      <c r="G1364" t="s">
        <v>1296</v>
      </c>
      <c r="H1364" t="s">
        <v>3942</v>
      </c>
      <c r="I1364" t="s">
        <v>4253</v>
      </c>
      <c r="J1364" t="s">
        <v>518</v>
      </c>
      <c r="K1364" t="s">
        <v>519</v>
      </c>
      <c r="M1364" t="s">
        <v>1297</v>
      </c>
      <c r="N1364" t="s">
        <v>521</v>
      </c>
      <c r="O1364" t="s">
        <v>1298</v>
      </c>
      <c r="P1364" t="s">
        <v>654</v>
      </c>
      <c r="Q1364" t="s">
        <v>1299</v>
      </c>
      <c r="R1364" t="s">
        <v>1300</v>
      </c>
      <c r="S1364" t="s">
        <v>1301</v>
      </c>
      <c r="T1364" t="s">
        <v>1235</v>
      </c>
      <c r="U1364">
        <v>178901</v>
      </c>
      <c r="V1364" t="s">
        <v>8352</v>
      </c>
      <c r="W1364" t="s">
        <v>1303</v>
      </c>
      <c r="X1364" t="s">
        <v>8465</v>
      </c>
      <c r="Y1364" t="s">
        <v>8466</v>
      </c>
      <c r="Z1364" t="s">
        <v>1296</v>
      </c>
      <c r="AA1364" t="s">
        <v>8467</v>
      </c>
      <c r="AB1364" t="s">
        <v>8462</v>
      </c>
      <c r="AE1364">
        <v>-37.788412639999997</v>
      </c>
      <c r="AF1364">
        <v>175.25810109</v>
      </c>
      <c r="AG1364">
        <v>34</v>
      </c>
      <c r="AH1364">
        <v>5</v>
      </c>
      <c r="AI1364">
        <v>0</v>
      </c>
      <c r="AJ1364">
        <v>1</v>
      </c>
      <c r="AK1364">
        <v>1</v>
      </c>
      <c r="AL1364">
        <v>8</v>
      </c>
      <c r="AM1364">
        <v>8</v>
      </c>
      <c r="AN1364">
        <v>0</v>
      </c>
      <c r="AO1364">
        <v>18</v>
      </c>
      <c r="AP1364">
        <v>6</v>
      </c>
      <c r="AQ1364">
        <v>4</v>
      </c>
      <c r="AR1364">
        <v>17</v>
      </c>
      <c r="AS1364">
        <v>0</v>
      </c>
      <c r="AT1364">
        <v>1</v>
      </c>
    </row>
    <row r="1365" spans="1:46">
      <c r="A1365">
        <v>30081</v>
      </c>
      <c r="B1365" t="s">
        <v>8468</v>
      </c>
      <c r="C1365" t="s">
        <v>8469</v>
      </c>
      <c r="D1365" t="s">
        <v>8470</v>
      </c>
      <c r="E1365" t="s">
        <v>8471</v>
      </c>
      <c r="F1365" t="s">
        <v>8472</v>
      </c>
      <c r="G1365" t="s">
        <v>1598</v>
      </c>
      <c r="H1365" t="s">
        <v>4716</v>
      </c>
      <c r="J1365" t="s">
        <v>3962</v>
      </c>
      <c r="K1365" t="s">
        <v>519</v>
      </c>
      <c r="M1365" t="s">
        <v>2287</v>
      </c>
      <c r="N1365" t="s">
        <v>571</v>
      </c>
      <c r="O1365" t="s">
        <v>1698</v>
      </c>
      <c r="P1365" t="s">
        <v>654</v>
      </c>
      <c r="Q1365" t="s">
        <v>1471</v>
      </c>
      <c r="R1365" t="s">
        <v>2944</v>
      </c>
      <c r="S1365" t="s">
        <v>1598</v>
      </c>
      <c r="T1365" t="s">
        <v>1474</v>
      </c>
      <c r="U1365">
        <v>193500</v>
      </c>
      <c r="V1365" t="s">
        <v>8473</v>
      </c>
      <c r="W1365" t="s">
        <v>1709</v>
      </c>
      <c r="X1365" t="s">
        <v>8474</v>
      </c>
      <c r="Y1365" t="s">
        <v>8401</v>
      </c>
      <c r="AA1365" t="s">
        <v>8404</v>
      </c>
      <c r="AE1365">
        <v>-37.697309259999997</v>
      </c>
      <c r="AF1365">
        <v>176.11208859999999</v>
      </c>
      <c r="AG1365">
        <v>80</v>
      </c>
      <c r="AH1365">
        <v>80</v>
      </c>
      <c r="AI1365">
        <v>3</v>
      </c>
      <c r="AJ1365">
        <v>13</v>
      </c>
      <c r="AK1365">
        <v>21</v>
      </c>
      <c r="AL1365">
        <v>27</v>
      </c>
      <c r="AM1365">
        <v>21</v>
      </c>
      <c r="AN1365">
        <v>1</v>
      </c>
      <c r="AO1365">
        <v>86</v>
      </c>
      <c r="AP1365">
        <v>69</v>
      </c>
      <c r="AQ1365">
        <v>10</v>
      </c>
      <c r="AR1365">
        <v>2</v>
      </c>
      <c r="AS1365">
        <v>7</v>
      </c>
      <c r="AT1365">
        <v>14</v>
      </c>
    </row>
    <row r="1366" spans="1:46">
      <c r="A1366">
        <v>30082</v>
      </c>
      <c r="B1366" t="s">
        <v>8475</v>
      </c>
      <c r="C1366" t="s">
        <v>8476</v>
      </c>
      <c r="D1366" t="s">
        <v>8477</v>
      </c>
      <c r="E1366" t="s">
        <v>8478</v>
      </c>
      <c r="F1366" t="s">
        <v>1715</v>
      </c>
      <c r="G1366" t="s">
        <v>1598</v>
      </c>
      <c r="H1366" t="s">
        <v>3942</v>
      </c>
      <c r="J1366" t="s">
        <v>518</v>
      </c>
      <c r="K1366" t="s">
        <v>519</v>
      </c>
      <c r="M1366" t="s">
        <v>1297</v>
      </c>
      <c r="N1366" t="s">
        <v>571</v>
      </c>
      <c r="O1366" t="s">
        <v>1698</v>
      </c>
      <c r="P1366" t="s">
        <v>654</v>
      </c>
      <c r="Q1366" t="s">
        <v>1471</v>
      </c>
      <c r="R1366" t="s">
        <v>1472</v>
      </c>
      <c r="S1366" t="s">
        <v>1598</v>
      </c>
      <c r="T1366" t="s">
        <v>1474</v>
      </c>
      <c r="U1366">
        <v>194700</v>
      </c>
      <c r="V1366" t="s">
        <v>1716</v>
      </c>
      <c r="W1366" t="s">
        <v>1717</v>
      </c>
      <c r="X1366" t="s">
        <v>8377</v>
      </c>
      <c r="Y1366" t="s">
        <v>3944</v>
      </c>
      <c r="Z1366" t="s">
        <v>3945</v>
      </c>
      <c r="AA1366" t="s">
        <v>3946</v>
      </c>
      <c r="AB1366" t="s">
        <v>8378</v>
      </c>
      <c r="AC1366">
        <v>99085</v>
      </c>
      <c r="AD1366" t="s">
        <v>1718</v>
      </c>
      <c r="AE1366">
        <v>-37.734196769999997</v>
      </c>
      <c r="AF1366">
        <v>176.12676876</v>
      </c>
      <c r="AG1366">
        <v>45</v>
      </c>
      <c r="AH1366">
        <v>10</v>
      </c>
      <c r="AI1366">
        <v>2</v>
      </c>
      <c r="AJ1366">
        <v>4</v>
      </c>
      <c r="AK1366">
        <v>15</v>
      </c>
      <c r="AL1366">
        <v>10</v>
      </c>
      <c r="AM1366">
        <v>13</v>
      </c>
      <c r="AN1366">
        <v>0</v>
      </c>
      <c r="AO1366">
        <v>44</v>
      </c>
      <c r="AP1366">
        <v>13</v>
      </c>
      <c r="AQ1366">
        <v>13</v>
      </c>
      <c r="AR1366">
        <v>0</v>
      </c>
      <c r="AS1366">
        <v>26</v>
      </c>
      <c r="AT1366">
        <v>4</v>
      </c>
    </row>
    <row r="1367" spans="1:46">
      <c r="A1367">
        <v>30083</v>
      </c>
      <c r="B1367" t="s">
        <v>8479</v>
      </c>
      <c r="C1367" t="s">
        <v>8480</v>
      </c>
      <c r="D1367" t="s">
        <v>8481</v>
      </c>
      <c r="E1367" t="s">
        <v>8482</v>
      </c>
      <c r="F1367" t="s">
        <v>8483</v>
      </c>
      <c r="G1367" t="s">
        <v>1598</v>
      </c>
      <c r="H1367" t="s">
        <v>3942</v>
      </c>
      <c r="I1367" t="s">
        <v>3953</v>
      </c>
      <c r="J1367" t="s">
        <v>3962</v>
      </c>
      <c r="K1367" t="s">
        <v>519</v>
      </c>
      <c r="M1367" t="s">
        <v>1297</v>
      </c>
      <c r="N1367" t="s">
        <v>557</v>
      </c>
      <c r="O1367" t="s">
        <v>1698</v>
      </c>
      <c r="P1367" t="s">
        <v>654</v>
      </c>
      <c r="Q1367" t="s">
        <v>1471</v>
      </c>
      <c r="R1367" t="s">
        <v>1472</v>
      </c>
      <c r="S1367" t="s">
        <v>1598</v>
      </c>
      <c r="T1367" t="s">
        <v>1474</v>
      </c>
      <c r="U1367">
        <v>194601</v>
      </c>
      <c r="V1367" t="s">
        <v>8483</v>
      </c>
      <c r="W1367" t="s">
        <v>3724</v>
      </c>
      <c r="X1367" t="s">
        <v>8484</v>
      </c>
      <c r="Y1367" t="s">
        <v>8485</v>
      </c>
      <c r="AA1367" t="s">
        <v>8486</v>
      </c>
      <c r="AB1367" t="s">
        <v>8487</v>
      </c>
      <c r="AC1367">
        <v>99085</v>
      </c>
      <c r="AD1367" t="s">
        <v>1718</v>
      </c>
      <c r="AE1367">
        <v>-37.714804059999999</v>
      </c>
      <c r="AF1367">
        <v>176.14023509</v>
      </c>
      <c r="AG1367">
        <v>40</v>
      </c>
      <c r="AH1367">
        <v>16</v>
      </c>
      <c r="AI1367">
        <v>2</v>
      </c>
      <c r="AJ1367">
        <v>10</v>
      </c>
      <c r="AK1367">
        <v>10</v>
      </c>
      <c r="AL1367">
        <v>13</v>
      </c>
      <c r="AM1367">
        <v>8</v>
      </c>
      <c r="AN1367">
        <v>0</v>
      </c>
      <c r="AO1367">
        <v>43</v>
      </c>
      <c r="AP1367">
        <v>27</v>
      </c>
      <c r="AQ1367">
        <v>14</v>
      </c>
      <c r="AR1367">
        <v>4</v>
      </c>
      <c r="AS1367">
        <v>8</v>
      </c>
      <c r="AT1367">
        <v>1</v>
      </c>
    </row>
    <row r="1368" spans="1:46">
      <c r="A1368">
        <v>30084</v>
      </c>
      <c r="B1368" t="s">
        <v>8488</v>
      </c>
      <c r="C1368" t="s">
        <v>8489</v>
      </c>
      <c r="E1368" t="s">
        <v>8490</v>
      </c>
      <c r="F1368" t="s">
        <v>8491</v>
      </c>
      <c r="G1368" t="s">
        <v>1521</v>
      </c>
      <c r="H1368" t="s">
        <v>3942</v>
      </c>
      <c r="J1368" t="s">
        <v>3962</v>
      </c>
      <c r="K1368" t="s">
        <v>519</v>
      </c>
      <c r="M1368" t="s">
        <v>1297</v>
      </c>
      <c r="N1368" t="s">
        <v>521</v>
      </c>
      <c r="O1368" t="s">
        <v>1522</v>
      </c>
      <c r="P1368" t="s">
        <v>584</v>
      </c>
      <c r="Q1368" t="s">
        <v>1471</v>
      </c>
      <c r="R1368" t="s">
        <v>1472</v>
      </c>
      <c r="S1368" t="s">
        <v>1521</v>
      </c>
      <c r="T1368" t="s">
        <v>1474</v>
      </c>
      <c r="U1368">
        <v>198900</v>
      </c>
      <c r="V1368" t="s">
        <v>8492</v>
      </c>
      <c r="W1368" t="s">
        <v>1523</v>
      </c>
      <c r="X1368" t="s">
        <v>8493</v>
      </c>
      <c r="Y1368" t="s">
        <v>8494</v>
      </c>
      <c r="AA1368" t="s">
        <v>4182</v>
      </c>
      <c r="AB1368" t="s">
        <v>8495</v>
      </c>
      <c r="AC1368">
        <v>99107</v>
      </c>
      <c r="AD1368" t="s">
        <v>1526</v>
      </c>
      <c r="AE1368">
        <v>-38.11577235</v>
      </c>
      <c r="AF1368">
        <v>176.22787337</v>
      </c>
      <c r="AG1368">
        <v>80</v>
      </c>
      <c r="AH1368">
        <v>20</v>
      </c>
      <c r="AI1368">
        <v>3</v>
      </c>
      <c r="AJ1368">
        <v>11</v>
      </c>
      <c r="AK1368">
        <v>15</v>
      </c>
      <c r="AL1368">
        <v>18</v>
      </c>
      <c r="AM1368">
        <v>13</v>
      </c>
      <c r="AN1368">
        <v>0</v>
      </c>
      <c r="AO1368">
        <v>60</v>
      </c>
      <c r="AP1368">
        <v>20</v>
      </c>
      <c r="AQ1368">
        <v>53</v>
      </c>
      <c r="AR1368">
        <v>15</v>
      </c>
      <c r="AS1368">
        <v>2</v>
      </c>
      <c r="AT1368">
        <v>0</v>
      </c>
    </row>
    <row r="1369" spans="1:46">
      <c r="A1369">
        <v>30086</v>
      </c>
      <c r="B1369" t="s">
        <v>8496</v>
      </c>
      <c r="C1369" t="s">
        <v>8497</v>
      </c>
      <c r="D1369" t="s">
        <v>8498</v>
      </c>
      <c r="E1369" t="s">
        <v>8499</v>
      </c>
      <c r="G1369" t="s">
        <v>1318</v>
      </c>
      <c r="H1369" t="s">
        <v>3942</v>
      </c>
      <c r="J1369" t="s">
        <v>3962</v>
      </c>
      <c r="K1369" t="s">
        <v>519</v>
      </c>
      <c r="M1369" t="s">
        <v>1297</v>
      </c>
      <c r="N1369" t="s">
        <v>571</v>
      </c>
      <c r="O1369" t="s">
        <v>1319</v>
      </c>
      <c r="P1369" t="s">
        <v>1262</v>
      </c>
      <c r="Q1369" t="s">
        <v>1299</v>
      </c>
      <c r="R1369" t="s">
        <v>1300</v>
      </c>
      <c r="S1369" t="s">
        <v>1320</v>
      </c>
      <c r="T1369" t="s">
        <v>1235</v>
      </c>
      <c r="U1369">
        <v>183200</v>
      </c>
      <c r="V1369" t="s">
        <v>8500</v>
      </c>
      <c r="W1369" t="s">
        <v>1322</v>
      </c>
      <c r="X1369" t="s">
        <v>8501</v>
      </c>
      <c r="Y1369" t="s">
        <v>4404</v>
      </c>
      <c r="Z1369" t="s">
        <v>4405</v>
      </c>
      <c r="AA1369" t="s">
        <v>4529</v>
      </c>
      <c r="AB1369" t="s">
        <v>8502</v>
      </c>
      <c r="AC1369">
        <v>99034</v>
      </c>
      <c r="AD1369" t="s">
        <v>8503</v>
      </c>
      <c r="AE1369">
        <v>-37.896272699999997</v>
      </c>
      <c r="AF1369">
        <v>175.46950293</v>
      </c>
      <c r="AG1369">
        <v>90</v>
      </c>
      <c r="AH1369">
        <v>20</v>
      </c>
      <c r="AI1369">
        <v>2</v>
      </c>
      <c r="AJ1369">
        <v>12</v>
      </c>
      <c r="AK1369">
        <v>14</v>
      </c>
      <c r="AL1369">
        <v>19</v>
      </c>
      <c r="AM1369">
        <v>10</v>
      </c>
      <c r="AN1369">
        <v>2</v>
      </c>
      <c r="AO1369">
        <v>59</v>
      </c>
      <c r="AP1369">
        <v>49</v>
      </c>
      <c r="AQ1369">
        <v>15</v>
      </c>
      <c r="AR1369">
        <v>0</v>
      </c>
      <c r="AS1369">
        <v>5</v>
      </c>
      <c r="AT1369">
        <v>4</v>
      </c>
    </row>
    <row r="1370" spans="1:46">
      <c r="A1370">
        <v>30088</v>
      </c>
      <c r="B1370" t="s">
        <v>8504</v>
      </c>
      <c r="C1370" t="s">
        <v>8505</v>
      </c>
      <c r="D1370" t="s">
        <v>8506</v>
      </c>
      <c r="E1370" t="s">
        <v>8507</v>
      </c>
      <c r="F1370" t="s">
        <v>1295</v>
      </c>
      <c r="G1370" t="s">
        <v>1296</v>
      </c>
      <c r="H1370" t="s">
        <v>3942</v>
      </c>
      <c r="J1370" t="s">
        <v>3962</v>
      </c>
      <c r="K1370" t="s">
        <v>519</v>
      </c>
      <c r="M1370" t="s">
        <v>1297</v>
      </c>
      <c r="N1370" t="s">
        <v>571</v>
      </c>
      <c r="O1370" t="s">
        <v>1298</v>
      </c>
      <c r="P1370" t="s">
        <v>654</v>
      </c>
      <c r="Q1370" t="s">
        <v>1299</v>
      </c>
      <c r="R1370" t="s">
        <v>1300</v>
      </c>
      <c r="S1370" t="s">
        <v>1312</v>
      </c>
      <c r="T1370" t="s">
        <v>1235</v>
      </c>
      <c r="U1370">
        <v>176600</v>
      </c>
      <c r="V1370" t="s">
        <v>1326</v>
      </c>
      <c r="W1370" t="s">
        <v>1314</v>
      </c>
      <c r="X1370" t="s">
        <v>8508</v>
      </c>
      <c r="Y1370" t="s">
        <v>8509</v>
      </c>
      <c r="Z1370" t="s">
        <v>8510</v>
      </c>
      <c r="AA1370" t="s">
        <v>8511</v>
      </c>
      <c r="AB1370" t="s">
        <v>8512</v>
      </c>
      <c r="AC1370">
        <v>99132</v>
      </c>
      <c r="AD1370" t="s">
        <v>8513</v>
      </c>
      <c r="AE1370">
        <v>-37.750247969999997</v>
      </c>
      <c r="AF1370">
        <v>175.26958475999999</v>
      </c>
      <c r="AG1370">
        <v>25</v>
      </c>
      <c r="AH1370">
        <v>0</v>
      </c>
      <c r="AI1370">
        <v>0</v>
      </c>
      <c r="AJ1370">
        <v>0</v>
      </c>
      <c r="AK1370">
        <v>0</v>
      </c>
      <c r="AL1370">
        <v>10</v>
      </c>
      <c r="AM1370">
        <v>41</v>
      </c>
      <c r="AN1370">
        <v>0</v>
      </c>
      <c r="AO1370">
        <v>51</v>
      </c>
      <c r="AP1370">
        <v>39</v>
      </c>
      <c r="AQ1370">
        <v>7</v>
      </c>
      <c r="AR1370">
        <v>4</v>
      </c>
      <c r="AS1370">
        <v>10</v>
      </c>
      <c r="AT1370">
        <v>1</v>
      </c>
    </row>
    <row r="1371" spans="1:46">
      <c r="A1371">
        <v>30090</v>
      </c>
      <c r="B1371" t="s">
        <v>8514</v>
      </c>
      <c r="C1371" t="s">
        <v>8515</v>
      </c>
      <c r="D1371" t="s">
        <v>8516</v>
      </c>
      <c r="E1371" t="s">
        <v>8517</v>
      </c>
      <c r="F1371" t="s">
        <v>1563</v>
      </c>
      <c r="G1371" t="s">
        <v>1521</v>
      </c>
      <c r="H1371" t="s">
        <v>4716</v>
      </c>
      <c r="J1371" t="s">
        <v>3962</v>
      </c>
      <c r="K1371" t="s">
        <v>519</v>
      </c>
      <c r="M1371" t="s">
        <v>1297</v>
      </c>
      <c r="N1371" t="s">
        <v>557</v>
      </c>
      <c r="O1371" t="s">
        <v>1522</v>
      </c>
      <c r="P1371" t="s">
        <v>584</v>
      </c>
      <c r="Q1371" t="s">
        <v>1471</v>
      </c>
      <c r="R1371" t="s">
        <v>1472</v>
      </c>
      <c r="S1371" t="s">
        <v>1521</v>
      </c>
      <c r="T1371" t="s">
        <v>1474</v>
      </c>
      <c r="U1371">
        <v>201300</v>
      </c>
      <c r="V1371" t="s">
        <v>8518</v>
      </c>
      <c r="W1371" t="s">
        <v>1523</v>
      </c>
      <c r="X1371" t="s">
        <v>8519</v>
      </c>
      <c r="Y1371" t="s">
        <v>8517</v>
      </c>
      <c r="AA1371" t="s">
        <v>8520</v>
      </c>
      <c r="AE1371">
        <v>-38.16461305</v>
      </c>
      <c r="AF1371">
        <v>176.23345570000001</v>
      </c>
      <c r="AG1371">
        <v>50</v>
      </c>
      <c r="AH1371">
        <v>50</v>
      </c>
      <c r="AI1371">
        <v>2</v>
      </c>
      <c r="AJ1371">
        <v>7</v>
      </c>
      <c r="AK1371">
        <v>13</v>
      </c>
      <c r="AL1371">
        <v>5</v>
      </c>
      <c r="AM1371">
        <v>8</v>
      </c>
      <c r="AN1371">
        <v>0</v>
      </c>
      <c r="AO1371">
        <v>35</v>
      </c>
      <c r="AP1371">
        <v>27</v>
      </c>
      <c r="AQ1371">
        <v>17</v>
      </c>
      <c r="AR1371">
        <v>1</v>
      </c>
      <c r="AS1371">
        <v>4</v>
      </c>
      <c r="AT1371">
        <v>1</v>
      </c>
    </row>
    <row r="1372" spans="1:46">
      <c r="A1372">
        <v>30091</v>
      </c>
      <c r="B1372" t="s">
        <v>8521</v>
      </c>
      <c r="C1372" t="s">
        <v>8522</v>
      </c>
      <c r="D1372" t="s">
        <v>8523</v>
      </c>
      <c r="E1372" t="s">
        <v>8524</v>
      </c>
      <c r="F1372" t="s">
        <v>1295</v>
      </c>
      <c r="G1372" t="s">
        <v>1296</v>
      </c>
      <c r="H1372" t="s">
        <v>3942</v>
      </c>
      <c r="J1372" t="s">
        <v>3962</v>
      </c>
      <c r="K1372" t="s">
        <v>519</v>
      </c>
      <c r="M1372" t="s">
        <v>1297</v>
      </c>
      <c r="N1372" t="s">
        <v>557</v>
      </c>
      <c r="O1372" t="s">
        <v>1298</v>
      </c>
      <c r="P1372" t="s">
        <v>654</v>
      </c>
      <c r="Q1372" t="s">
        <v>1299</v>
      </c>
      <c r="R1372" t="s">
        <v>1300</v>
      </c>
      <c r="S1372" t="s">
        <v>1301</v>
      </c>
      <c r="T1372" t="s">
        <v>1235</v>
      </c>
      <c r="U1372">
        <v>177100</v>
      </c>
      <c r="V1372" t="s">
        <v>8525</v>
      </c>
      <c r="W1372" t="s">
        <v>1303</v>
      </c>
      <c r="X1372" t="s">
        <v>8526</v>
      </c>
      <c r="Y1372" t="s">
        <v>4658</v>
      </c>
      <c r="Z1372" t="s">
        <v>958</v>
      </c>
      <c r="AA1372" t="s">
        <v>4659</v>
      </c>
      <c r="AB1372" t="s">
        <v>8522</v>
      </c>
      <c r="AC1372">
        <v>99035</v>
      </c>
      <c r="AD1372" t="s">
        <v>1308</v>
      </c>
      <c r="AE1372">
        <v>-37.777515719999997</v>
      </c>
      <c r="AF1372">
        <v>175.22680095999999</v>
      </c>
      <c r="AG1372">
        <v>64</v>
      </c>
      <c r="AH1372">
        <v>20</v>
      </c>
      <c r="AI1372">
        <v>2</v>
      </c>
      <c r="AJ1372">
        <v>4</v>
      </c>
      <c r="AK1372">
        <v>17</v>
      </c>
      <c r="AL1372">
        <v>21</v>
      </c>
      <c r="AM1372">
        <v>19</v>
      </c>
      <c r="AN1372">
        <v>2</v>
      </c>
      <c r="AO1372">
        <v>65</v>
      </c>
      <c r="AP1372">
        <v>24</v>
      </c>
      <c r="AQ1372">
        <v>26</v>
      </c>
      <c r="AR1372">
        <v>11</v>
      </c>
      <c r="AS1372">
        <v>21</v>
      </c>
      <c r="AT1372">
        <v>2</v>
      </c>
    </row>
    <row r="1373" spans="1:46">
      <c r="A1373">
        <v>30094</v>
      </c>
      <c r="B1373" t="s">
        <v>8527</v>
      </c>
      <c r="C1373" t="s">
        <v>8528</v>
      </c>
      <c r="D1373" t="s">
        <v>8529</v>
      </c>
      <c r="E1373" t="s">
        <v>8530</v>
      </c>
      <c r="G1373" t="s">
        <v>1545</v>
      </c>
      <c r="H1373" t="s">
        <v>3942</v>
      </c>
      <c r="J1373" t="s">
        <v>3962</v>
      </c>
      <c r="K1373" t="s">
        <v>519</v>
      </c>
      <c r="M1373" t="s">
        <v>1297</v>
      </c>
      <c r="N1373" t="s">
        <v>571</v>
      </c>
      <c r="O1373" t="s">
        <v>1546</v>
      </c>
      <c r="P1373" t="s">
        <v>1262</v>
      </c>
      <c r="Q1373" t="s">
        <v>1299</v>
      </c>
      <c r="R1373" t="s">
        <v>1472</v>
      </c>
      <c r="S1373" t="s">
        <v>1320</v>
      </c>
      <c r="T1373" t="s">
        <v>1474</v>
      </c>
      <c r="U1373">
        <v>188400</v>
      </c>
      <c r="V1373" t="s">
        <v>8454</v>
      </c>
      <c r="W1373" t="s">
        <v>1548</v>
      </c>
      <c r="X1373" t="s">
        <v>8531</v>
      </c>
      <c r="Y1373" t="s">
        <v>8532</v>
      </c>
      <c r="Z1373" t="s">
        <v>1545</v>
      </c>
      <c r="AA1373" t="s">
        <v>8533</v>
      </c>
      <c r="AB1373" t="s">
        <v>8534</v>
      </c>
      <c r="AC1373">
        <v>99020</v>
      </c>
      <c r="AD1373" t="s">
        <v>1550</v>
      </c>
      <c r="AE1373">
        <v>-38.681877200000002</v>
      </c>
      <c r="AF1373">
        <v>176.0594529</v>
      </c>
      <c r="AG1373">
        <v>30</v>
      </c>
      <c r="AH1373">
        <v>5</v>
      </c>
      <c r="AI1373">
        <v>0</v>
      </c>
      <c r="AJ1373">
        <v>0</v>
      </c>
      <c r="AK1373">
        <v>8</v>
      </c>
      <c r="AL1373">
        <v>11</v>
      </c>
      <c r="AM1373">
        <v>12</v>
      </c>
      <c r="AN1373">
        <v>1</v>
      </c>
      <c r="AO1373">
        <v>32</v>
      </c>
      <c r="AP1373">
        <v>17</v>
      </c>
      <c r="AQ1373">
        <v>8</v>
      </c>
      <c r="AR1373">
        <v>3</v>
      </c>
      <c r="AS1373">
        <v>9</v>
      </c>
      <c r="AT1373">
        <v>3</v>
      </c>
    </row>
    <row r="1374" spans="1:46">
      <c r="A1374">
        <v>30097</v>
      </c>
      <c r="B1374" t="s">
        <v>8535</v>
      </c>
      <c r="C1374" t="s">
        <v>8536</v>
      </c>
      <c r="D1374" t="s">
        <v>8537</v>
      </c>
      <c r="E1374" t="s">
        <v>8538</v>
      </c>
      <c r="G1374" t="s">
        <v>8539</v>
      </c>
      <c r="H1374" t="s">
        <v>3942</v>
      </c>
      <c r="I1374" t="s">
        <v>3953</v>
      </c>
      <c r="J1374" t="s">
        <v>518</v>
      </c>
      <c r="K1374" t="s">
        <v>519</v>
      </c>
      <c r="M1374" t="s">
        <v>1297</v>
      </c>
      <c r="N1374" t="s">
        <v>571</v>
      </c>
      <c r="O1374" t="s">
        <v>1351</v>
      </c>
      <c r="P1374" t="s">
        <v>572</v>
      </c>
      <c r="Q1374" t="s">
        <v>1299</v>
      </c>
      <c r="R1374" t="s">
        <v>1300</v>
      </c>
      <c r="S1374" t="s">
        <v>1300</v>
      </c>
      <c r="T1374" t="s">
        <v>1235</v>
      </c>
      <c r="U1374">
        <v>172300</v>
      </c>
      <c r="V1374" t="s">
        <v>8540</v>
      </c>
      <c r="W1374" t="s">
        <v>8358</v>
      </c>
      <c r="X1374" t="s">
        <v>8541</v>
      </c>
      <c r="Y1374" t="s">
        <v>8542</v>
      </c>
      <c r="AA1374" t="s">
        <v>8543</v>
      </c>
      <c r="AB1374" t="s">
        <v>8544</v>
      </c>
      <c r="AE1374">
        <v>-37.670559879999999</v>
      </c>
      <c r="AF1374">
        <v>175.30153622</v>
      </c>
      <c r="AG1374">
        <v>50</v>
      </c>
      <c r="AH1374">
        <v>10</v>
      </c>
      <c r="AI1374">
        <v>5</v>
      </c>
      <c r="AJ1374">
        <v>2</v>
      </c>
      <c r="AK1374">
        <v>14</v>
      </c>
      <c r="AL1374">
        <v>22</v>
      </c>
      <c r="AM1374">
        <v>16</v>
      </c>
      <c r="AN1374">
        <v>1</v>
      </c>
      <c r="AO1374">
        <v>60</v>
      </c>
      <c r="AP1374">
        <v>49</v>
      </c>
      <c r="AQ1374">
        <v>9</v>
      </c>
      <c r="AR1374">
        <v>2</v>
      </c>
      <c r="AS1374">
        <v>8</v>
      </c>
      <c r="AT1374">
        <v>2</v>
      </c>
    </row>
    <row r="1375" spans="1:46">
      <c r="A1375">
        <v>30100</v>
      </c>
      <c r="B1375" t="s">
        <v>8545</v>
      </c>
      <c r="C1375" t="s">
        <v>8546</v>
      </c>
      <c r="E1375" t="s">
        <v>8547</v>
      </c>
      <c r="F1375" t="s">
        <v>1296</v>
      </c>
      <c r="G1375" t="s">
        <v>1296</v>
      </c>
      <c r="H1375" t="s">
        <v>3942</v>
      </c>
      <c r="J1375" t="s">
        <v>518</v>
      </c>
      <c r="K1375" t="s">
        <v>519</v>
      </c>
      <c r="M1375" t="s">
        <v>1297</v>
      </c>
      <c r="N1375" t="s">
        <v>571</v>
      </c>
      <c r="O1375" t="s">
        <v>1298</v>
      </c>
      <c r="P1375" t="s">
        <v>654</v>
      </c>
      <c r="Q1375" t="s">
        <v>1299</v>
      </c>
      <c r="R1375" t="s">
        <v>1300</v>
      </c>
      <c r="S1375" t="s">
        <v>1301</v>
      </c>
      <c r="T1375" t="s">
        <v>1235</v>
      </c>
      <c r="U1375">
        <v>179501</v>
      </c>
      <c r="V1375" t="s">
        <v>8548</v>
      </c>
      <c r="W1375" t="s">
        <v>1303</v>
      </c>
      <c r="X1375" t="s">
        <v>8377</v>
      </c>
      <c r="Y1375" t="s">
        <v>3944</v>
      </c>
      <c r="Z1375" t="s">
        <v>3945</v>
      </c>
      <c r="AA1375" t="s">
        <v>3946</v>
      </c>
      <c r="AB1375" t="s">
        <v>8378</v>
      </c>
      <c r="AE1375">
        <v>-37.79530836</v>
      </c>
      <c r="AF1375">
        <v>175.27982395000001</v>
      </c>
      <c r="AG1375">
        <v>43</v>
      </c>
      <c r="AH1375">
        <v>15</v>
      </c>
      <c r="AI1375">
        <v>1</v>
      </c>
      <c r="AJ1375">
        <v>4</v>
      </c>
      <c r="AK1375">
        <v>9</v>
      </c>
      <c r="AL1375">
        <v>17</v>
      </c>
      <c r="AM1375">
        <v>8</v>
      </c>
      <c r="AN1375">
        <v>2</v>
      </c>
      <c r="AO1375">
        <v>41</v>
      </c>
      <c r="AP1375">
        <v>12</v>
      </c>
      <c r="AQ1375">
        <v>13</v>
      </c>
      <c r="AR1375">
        <v>3</v>
      </c>
      <c r="AS1375">
        <v>20</v>
      </c>
      <c r="AT1375">
        <v>6</v>
      </c>
    </row>
    <row r="1376" spans="1:46">
      <c r="A1376">
        <v>30102</v>
      </c>
      <c r="B1376" t="s">
        <v>8549</v>
      </c>
      <c r="C1376" t="s">
        <v>8550</v>
      </c>
      <c r="E1376" t="s">
        <v>8551</v>
      </c>
      <c r="F1376" t="s">
        <v>1295</v>
      </c>
      <c r="G1376" t="s">
        <v>1296</v>
      </c>
      <c r="H1376" t="s">
        <v>3942</v>
      </c>
      <c r="J1376" t="s">
        <v>3962</v>
      </c>
      <c r="K1376" t="s">
        <v>519</v>
      </c>
      <c r="M1376" t="s">
        <v>1297</v>
      </c>
      <c r="N1376" t="s">
        <v>539</v>
      </c>
      <c r="O1376" t="s">
        <v>1298</v>
      </c>
      <c r="P1376" t="s">
        <v>654</v>
      </c>
      <c r="Q1376" t="s">
        <v>1299</v>
      </c>
      <c r="R1376" t="s">
        <v>1300</v>
      </c>
      <c r="S1376" t="s">
        <v>1312</v>
      </c>
      <c r="T1376" t="s">
        <v>1235</v>
      </c>
      <c r="U1376">
        <v>178202</v>
      </c>
      <c r="V1376" t="s">
        <v>8552</v>
      </c>
      <c r="W1376" t="s">
        <v>1314</v>
      </c>
      <c r="X1376" t="s">
        <v>8553</v>
      </c>
      <c r="Y1376" t="s">
        <v>7310</v>
      </c>
      <c r="Z1376" t="s">
        <v>763</v>
      </c>
      <c r="AA1376" t="s">
        <v>4365</v>
      </c>
      <c r="AB1376" t="s">
        <v>8554</v>
      </c>
      <c r="AE1376">
        <v>-37.773302600000001</v>
      </c>
      <c r="AF1376">
        <v>175.28581492000001</v>
      </c>
      <c r="AG1376">
        <v>75</v>
      </c>
      <c r="AH1376">
        <v>20</v>
      </c>
      <c r="AI1376">
        <v>1</v>
      </c>
      <c r="AJ1376">
        <v>7</v>
      </c>
      <c r="AK1376">
        <v>16</v>
      </c>
      <c r="AL1376">
        <v>6</v>
      </c>
      <c r="AM1376">
        <v>13</v>
      </c>
      <c r="AN1376">
        <v>3</v>
      </c>
      <c r="AO1376">
        <v>46</v>
      </c>
      <c r="AP1376">
        <v>8</v>
      </c>
      <c r="AQ1376">
        <v>31</v>
      </c>
      <c r="AR1376">
        <v>8</v>
      </c>
      <c r="AS1376">
        <v>15</v>
      </c>
      <c r="AT1376">
        <v>0</v>
      </c>
    </row>
    <row r="1377" spans="1:46">
      <c r="A1377">
        <v>30108</v>
      </c>
      <c r="B1377" t="s">
        <v>8555</v>
      </c>
      <c r="C1377" t="s">
        <v>1433</v>
      </c>
      <c r="E1377" t="s">
        <v>8556</v>
      </c>
      <c r="F1377" t="s">
        <v>1295</v>
      </c>
      <c r="G1377" t="s">
        <v>1296</v>
      </c>
      <c r="H1377" t="s">
        <v>517</v>
      </c>
      <c r="J1377" t="s">
        <v>518</v>
      </c>
      <c r="K1377" t="s">
        <v>519</v>
      </c>
      <c r="M1377" t="s">
        <v>1297</v>
      </c>
      <c r="N1377" t="s">
        <v>571</v>
      </c>
      <c r="O1377" t="s">
        <v>1298</v>
      </c>
      <c r="P1377" t="s">
        <v>654</v>
      </c>
      <c r="Q1377" t="s">
        <v>1299</v>
      </c>
      <c r="R1377" t="s">
        <v>1300</v>
      </c>
      <c r="S1377" t="s">
        <v>1301</v>
      </c>
      <c r="T1377" t="s">
        <v>1235</v>
      </c>
      <c r="U1377">
        <v>178100</v>
      </c>
      <c r="V1377" t="s">
        <v>1336</v>
      </c>
      <c r="W1377" t="s">
        <v>1303</v>
      </c>
      <c r="X1377" t="s">
        <v>1488</v>
      </c>
      <c r="Y1377" t="s">
        <v>1441</v>
      </c>
      <c r="AA1377" t="s">
        <v>1442</v>
      </c>
      <c r="AB1377" t="s">
        <v>1489</v>
      </c>
      <c r="AC1377">
        <v>99035</v>
      </c>
      <c r="AD1377" t="s">
        <v>1308</v>
      </c>
      <c r="AE1377">
        <v>-37.79433538</v>
      </c>
      <c r="AF1377">
        <v>175.245654</v>
      </c>
      <c r="AG1377">
        <v>45</v>
      </c>
      <c r="AH1377">
        <v>15</v>
      </c>
      <c r="AI1377">
        <v>1</v>
      </c>
      <c r="AJ1377">
        <v>6</v>
      </c>
      <c r="AK1377">
        <v>9</v>
      </c>
      <c r="AL1377">
        <v>8</v>
      </c>
      <c r="AM1377">
        <v>15</v>
      </c>
      <c r="AN1377">
        <v>2</v>
      </c>
      <c r="AO1377">
        <v>41</v>
      </c>
      <c r="AP1377">
        <v>30</v>
      </c>
      <c r="AQ1377">
        <v>19</v>
      </c>
      <c r="AR1377">
        <v>2</v>
      </c>
      <c r="AS1377">
        <v>4</v>
      </c>
      <c r="AT1377">
        <v>0</v>
      </c>
    </row>
    <row r="1378" spans="1:46">
      <c r="A1378">
        <v>30112</v>
      </c>
      <c r="B1378" t="s">
        <v>8557</v>
      </c>
      <c r="C1378" t="s">
        <v>8558</v>
      </c>
      <c r="D1378" t="s">
        <v>8559</v>
      </c>
      <c r="E1378" t="s">
        <v>8560</v>
      </c>
      <c r="F1378" t="s">
        <v>8491</v>
      </c>
      <c r="G1378" t="s">
        <v>1521</v>
      </c>
      <c r="H1378" t="s">
        <v>3942</v>
      </c>
      <c r="I1378" t="s">
        <v>4951</v>
      </c>
      <c r="J1378" t="s">
        <v>518</v>
      </c>
      <c r="K1378" t="s">
        <v>519</v>
      </c>
      <c r="M1378" t="s">
        <v>1297</v>
      </c>
      <c r="N1378" t="s">
        <v>539</v>
      </c>
      <c r="O1378" t="s">
        <v>1522</v>
      </c>
      <c r="P1378" t="s">
        <v>584</v>
      </c>
      <c r="Q1378" t="s">
        <v>1471</v>
      </c>
      <c r="R1378" t="s">
        <v>1472</v>
      </c>
      <c r="S1378" t="s">
        <v>1521</v>
      </c>
      <c r="T1378" t="s">
        <v>1474</v>
      </c>
      <c r="U1378">
        <v>199800</v>
      </c>
      <c r="V1378" t="s">
        <v>8561</v>
      </c>
      <c r="W1378" t="s">
        <v>1523</v>
      </c>
      <c r="X1378" t="s">
        <v>8562</v>
      </c>
      <c r="Y1378" t="s">
        <v>8563</v>
      </c>
      <c r="Z1378" t="s">
        <v>8564</v>
      </c>
      <c r="AA1378" t="s">
        <v>8565</v>
      </c>
      <c r="AB1378" t="s">
        <v>8566</v>
      </c>
      <c r="AE1378">
        <v>-38.13952638</v>
      </c>
      <c r="AF1378">
        <v>176.24530347000001</v>
      </c>
      <c r="AG1378">
        <v>35</v>
      </c>
      <c r="AH1378">
        <v>10</v>
      </c>
      <c r="AI1378">
        <v>0</v>
      </c>
      <c r="AJ1378">
        <v>4</v>
      </c>
      <c r="AK1378">
        <v>3</v>
      </c>
      <c r="AL1378">
        <v>4</v>
      </c>
      <c r="AM1378">
        <v>3</v>
      </c>
      <c r="AN1378">
        <v>1</v>
      </c>
      <c r="AO1378">
        <v>15</v>
      </c>
      <c r="AP1378">
        <v>3</v>
      </c>
      <c r="AQ1378">
        <v>15</v>
      </c>
      <c r="AR1378">
        <v>0</v>
      </c>
      <c r="AS1378">
        <v>0</v>
      </c>
      <c r="AT1378">
        <v>3</v>
      </c>
    </row>
    <row r="1379" spans="1:46">
      <c r="A1379">
        <v>30113</v>
      </c>
      <c r="B1379" t="s">
        <v>8567</v>
      </c>
      <c r="C1379" t="s">
        <v>8568</v>
      </c>
      <c r="D1379" t="s">
        <v>8569</v>
      </c>
      <c r="E1379" t="s">
        <v>8570</v>
      </c>
      <c r="F1379" t="s">
        <v>3770</v>
      </c>
      <c r="G1379" t="s">
        <v>1598</v>
      </c>
      <c r="H1379" t="s">
        <v>517</v>
      </c>
      <c r="J1379" t="s">
        <v>518</v>
      </c>
      <c r="K1379" t="s">
        <v>519</v>
      </c>
      <c r="M1379" t="s">
        <v>1297</v>
      </c>
      <c r="N1379" t="s">
        <v>571</v>
      </c>
      <c r="O1379" t="s">
        <v>1698</v>
      </c>
      <c r="P1379" t="s">
        <v>654</v>
      </c>
      <c r="Q1379" t="s">
        <v>1471</v>
      </c>
      <c r="R1379" t="s">
        <v>1472</v>
      </c>
      <c r="S1379" t="s">
        <v>1699</v>
      </c>
      <c r="T1379" t="s">
        <v>1474</v>
      </c>
      <c r="U1379">
        <v>197400</v>
      </c>
      <c r="V1379" t="s">
        <v>8571</v>
      </c>
      <c r="W1379" t="s">
        <v>3772</v>
      </c>
      <c r="X1379" t="s">
        <v>1596</v>
      </c>
      <c r="Y1379" t="s">
        <v>1597</v>
      </c>
      <c r="Z1379" t="s">
        <v>1598</v>
      </c>
      <c r="AA1379" t="s">
        <v>1599</v>
      </c>
      <c r="AB1379" t="s">
        <v>1600</v>
      </c>
      <c r="AC1379">
        <v>99073</v>
      </c>
      <c r="AD1379" t="s">
        <v>3773</v>
      </c>
      <c r="AE1379">
        <v>-37.706760439999996</v>
      </c>
      <c r="AF1379">
        <v>176.30754942999999</v>
      </c>
      <c r="AG1379">
        <v>40</v>
      </c>
      <c r="AH1379">
        <v>0</v>
      </c>
      <c r="AI1379">
        <v>0</v>
      </c>
      <c r="AJ1379">
        <v>0</v>
      </c>
      <c r="AK1379">
        <v>1</v>
      </c>
      <c r="AL1379">
        <v>19</v>
      </c>
      <c r="AM1379">
        <v>26</v>
      </c>
      <c r="AN1379">
        <v>0</v>
      </c>
      <c r="AO1379">
        <v>46</v>
      </c>
      <c r="AP1379">
        <v>38</v>
      </c>
      <c r="AQ1379">
        <v>9</v>
      </c>
      <c r="AR1379">
        <v>4</v>
      </c>
      <c r="AS1379">
        <v>6</v>
      </c>
      <c r="AT1379">
        <v>6</v>
      </c>
    </row>
    <row r="1380" spans="1:46">
      <c r="A1380">
        <v>30116</v>
      </c>
      <c r="B1380" t="s">
        <v>8572</v>
      </c>
      <c r="C1380" t="s">
        <v>8573</v>
      </c>
      <c r="D1380" t="s">
        <v>8574</v>
      </c>
      <c r="E1380" t="s">
        <v>8575</v>
      </c>
      <c r="G1380" t="s">
        <v>1634</v>
      </c>
      <c r="H1380" t="s">
        <v>3942</v>
      </c>
      <c r="I1380" t="s">
        <v>6218</v>
      </c>
      <c r="J1380" t="s">
        <v>518</v>
      </c>
      <c r="K1380" t="s">
        <v>519</v>
      </c>
      <c r="M1380" t="s">
        <v>1297</v>
      </c>
      <c r="N1380" t="s">
        <v>727</v>
      </c>
      <c r="O1380" t="s">
        <v>1635</v>
      </c>
      <c r="P1380" t="s">
        <v>523</v>
      </c>
      <c r="Q1380" t="s">
        <v>1636</v>
      </c>
      <c r="R1380" t="s">
        <v>1300</v>
      </c>
      <c r="S1380" t="s">
        <v>1637</v>
      </c>
      <c r="T1380" t="s">
        <v>1485</v>
      </c>
      <c r="U1380">
        <v>222600</v>
      </c>
      <c r="V1380" t="s">
        <v>1638</v>
      </c>
      <c r="W1380" t="s">
        <v>1639</v>
      </c>
      <c r="X1380" t="s">
        <v>8576</v>
      </c>
      <c r="Y1380" t="s">
        <v>8577</v>
      </c>
      <c r="AA1380" t="s">
        <v>8578</v>
      </c>
      <c r="AB1380" t="s">
        <v>8579</v>
      </c>
      <c r="AE1380">
        <v>-38.88547707</v>
      </c>
      <c r="AF1380">
        <v>175.26419960000001</v>
      </c>
      <c r="AG1380">
        <v>45</v>
      </c>
      <c r="AH1380">
        <v>15</v>
      </c>
      <c r="AI1380">
        <v>1</v>
      </c>
      <c r="AJ1380">
        <v>7</v>
      </c>
      <c r="AK1380">
        <v>7</v>
      </c>
      <c r="AL1380">
        <v>12</v>
      </c>
      <c r="AM1380">
        <v>7</v>
      </c>
      <c r="AN1380">
        <v>0</v>
      </c>
      <c r="AO1380">
        <v>34</v>
      </c>
      <c r="AP1380">
        <v>17</v>
      </c>
      <c r="AQ1380">
        <v>22</v>
      </c>
      <c r="AR1380">
        <v>1</v>
      </c>
      <c r="AS1380">
        <v>1</v>
      </c>
      <c r="AT1380">
        <v>3</v>
      </c>
    </row>
    <row r="1381" spans="1:46">
      <c r="A1381">
        <v>30118</v>
      </c>
      <c r="B1381" t="s">
        <v>8580</v>
      </c>
      <c r="C1381" t="s">
        <v>8581</v>
      </c>
      <c r="D1381" t="s">
        <v>8582</v>
      </c>
      <c r="E1381" t="s">
        <v>8583</v>
      </c>
      <c r="G1381" t="s">
        <v>1483</v>
      </c>
      <c r="H1381" t="s">
        <v>4221</v>
      </c>
      <c r="I1381" t="s">
        <v>4575</v>
      </c>
      <c r="J1381" t="s">
        <v>518</v>
      </c>
      <c r="K1381" t="s">
        <v>519</v>
      </c>
      <c r="M1381" t="s">
        <v>1297</v>
      </c>
      <c r="N1381" t="s">
        <v>727</v>
      </c>
      <c r="O1381" t="s">
        <v>1484</v>
      </c>
      <c r="P1381" t="s">
        <v>1262</v>
      </c>
      <c r="Q1381" t="s">
        <v>1299</v>
      </c>
      <c r="R1381" t="s">
        <v>1300</v>
      </c>
      <c r="S1381" t="s">
        <v>1320</v>
      </c>
      <c r="T1381" t="s">
        <v>1485</v>
      </c>
      <c r="U1381">
        <v>186400</v>
      </c>
      <c r="V1381" t="s">
        <v>1508</v>
      </c>
      <c r="W1381" t="s">
        <v>1487</v>
      </c>
      <c r="X1381" t="s">
        <v>8584</v>
      </c>
      <c r="Y1381" t="s">
        <v>8585</v>
      </c>
      <c r="Z1381" t="s">
        <v>1483</v>
      </c>
      <c r="AA1381" t="s">
        <v>8586</v>
      </c>
      <c r="AB1381" t="s">
        <v>8587</v>
      </c>
      <c r="AC1381">
        <v>99195</v>
      </c>
      <c r="AD1381" t="s">
        <v>1490</v>
      </c>
      <c r="AE1381">
        <v>-38.228841660000001</v>
      </c>
      <c r="AF1381">
        <v>175.85580035999999</v>
      </c>
      <c r="AG1381">
        <v>27</v>
      </c>
      <c r="AH1381">
        <v>10</v>
      </c>
      <c r="AI1381">
        <v>0</v>
      </c>
      <c r="AJ1381">
        <v>3</v>
      </c>
      <c r="AK1381">
        <v>6</v>
      </c>
      <c r="AL1381">
        <v>3</v>
      </c>
      <c r="AM1381">
        <v>7</v>
      </c>
      <c r="AN1381">
        <v>1</v>
      </c>
      <c r="AO1381">
        <v>20</v>
      </c>
      <c r="AP1381">
        <v>7</v>
      </c>
      <c r="AQ1381">
        <v>11</v>
      </c>
      <c r="AR1381">
        <v>14</v>
      </c>
      <c r="AS1381">
        <v>1</v>
      </c>
      <c r="AT1381">
        <v>5</v>
      </c>
    </row>
    <row r="1382" spans="1:46">
      <c r="A1382">
        <v>30120</v>
      </c>
      <c r="B1382" t="s">
        <v>8588</v>
      </c>
      <c r="C1382" t="s">
        <v>8589</v>
      </c>
      <c r="E1382" t="s">
        <v>8590</v>
      </c>
      <c r="F1382" t="s">
        <v>8591</v>
      </c>
      <c r="G1382" t="s">
        <v>1296</v>
      </c>
      <c r="H1382" t="s">
        <v>3942</v>
      </c>
      <c r="I1382" t="s">
        <v>4065</v>
      </c>
      <c r="J1382" t="s">
        <v>518</v>
      </c>
      <c r="K1382" t="s">
        <v>519</v>
      </c>
      <c r="M1382" t="s">
        <v>1297</v>
      </c>
      <c r="N1382" t="s">
        <v>571</v>
      </c>
      <c r="O1382" t="s">
        <v>1298</v>
      </c>
      <c r="P1382" t="s">
        <v>654</v>
      </c>
      <c r="Q1382" t="s">
        <v>1299</v>
      </c>
      <c r="R1382" t="s">
        <v>1300</v>
      </c>
      <c r="S1382" t="s">
        <v>1312</v>
      </c>
      <c r="T1382" t="s">
        <v>1235</v>
      </c>
      <c r="U1382">
        <v>175801</v>
      </c>
      <c r="V1382" t="s">
        <v>8592</v>
      </c>
      <c r="W1382" t="s">
        <v>1314</v>
      </c>
      <c r="X1382" t="s">
        <v>8377</v>
      </c>
      <c r="Y1382" t="s">
        <v>3944</v>
      </c>
      <c r="Z1382" t="s">
        <v>3945</v>
      </c>
      <c r="AA1382" t="s">
        <v>3946</v>
      </c>
      <c r="AB1382" t="s">
        <v>8378</v>
      </c>
      <c r="AC1382">
        <v>99132</v>
      </c>
      <c r="AD1382" t="s">
        <v>8513</v>
      </c>
      <c r="AE1382">
        <v>-37.735368229999999</v>
      </c>
      <c r="AF1382">
        <v>175.25756985999999</v>
      </c>
      <c r="AG1382">
        <v>40</v>
      </c>
      <c r="AH1382">
        <v>8</v>
      </c>
      <c r="AI1382">
        <v>0</v>
      </c>
      <c r="AJ1382">
        <v>1</v>
      </c>
      <c r="AK1382">
        <v>7</v>
      </c>
      <c r="AL1382">
        <v>13</v>
      </c>
      <c r="AM1382">
        <v>15</v>
      </c>
      <c r="AN1382">
        <v>3</v>
      </c>
      <c r="AO1382">
        <v>39</v>
      </c>
      <c r="AP1382">
        <v>9</v>
      </c>
      <c r="AQ1382">
        <v>4</v>
      </c>
      <c r="AR1382">
        <v>1</v>
      </c>
      <c r="AS1382">
        <v>27</v>
      </c>
      <c r="AT1382">
        <v>5</v>
      </c>
    </row>
    <row r="1383" spans="1:46">
      <c r="A1383">
        <v>30125</v>
      </c>
      <c r="B1383" t="s">
        <v>8593</v>
      </c>
      <c r="C1383" t="s">
        <v>8594</v>
      </c>
      <c r="D1383" t="s">
        <v>8595</v>
      </c>
      <c r="E1383" t="s">
        <v>8596</v>
      </c>
      <c r="G1383" t="s">
        <v>1483</v>
      </c>
      <c r="H1383" t="s">
        <v>3942</v>
      </c>
      <c r="I1383" t="s">
        <v>4951</v>
      </c>
      <c r="J1383" t="s">
        <v>518</v>
      </c>
      <c r="K1383" t="s">
        <v>519</v>
      </c>
      <c r="M1383" t="s">
        <v>1297</v>
      </c>
      <c r="N1383" t="s">
        <v>539</v>
      </c>
      <c r="O1383" t="s">
        <v>1484</v>
      </c>
      <c r="P1383" t="s">
        <v>1262</v>
      </c>
      <c r="Q1383" t="s">
        <v>1299</v>
      </c>
      <c r="R1383" t="s">
        <v>1300</v>
      </c>
      <c r="S1383" t="s">
        <v>1320</v>
      </c>
      <c r="T1383" t="s">
        <v>1485</v>
      </c>
      <c r="U1383">
        <v>186600</v>
      </c>
      <c r="V1383" t="s">
        <v>8340</v>
      </c>
      <c r="W1383" t="s">
        <v>1487</v>
      </c>
      <c r="X1383" t="s">
        <v>8597</v>
      </c>
      <c r="Y1383" t="s">
        <v>8598</v>
      </c>
      <c r="Z1383" t="s">
        <v>8599</v>
      </c>
      <c r="AA1383" t="s">
        <v>8600</v>
      </c>
      <c r="AB1383" t="s">
        <v>8601</v>
      </c>
      <c r="AC1383">
        <v>99195</v>
      </c>
      <c r="AD1383" t="s">
        <v>1490</v>
      </c>
      <c r="AE1383">
        <v>-38.230583750000001</v>
      </c>
      <c r="AF1383">
        <v>175.85914201</v>
      </c>
      <c r="AG1383">
        <v>60</v>
      </c>
      <c r="AH1383">
        <v>17</v>
      </c>
      <c r="AI1383">
        <v>1</v>
      </c>
      <c r="AJ1383">
        <v>6</v>
      </c>
      <c r="AK1383">
        <v>7</v>
      </c>
      <c r="AL1383">
        <v>13</v>
      </c>
      <c r="AM1383">
        <v>10</v>
      </c>
      <c r="AN1383">
        <v>0</v>
      </c>
      <c r="AO1383">
        <v>37</v>
      </c>
      <c r="AP1383">
        <v>15</v>
      </c>
      <c r="AQ1383">
        <v>30</v>
      </c>
      <c r="AR1383">
        <v>12</v>
      </c>
      <c r="AS1383">
        <v>2</v>
      </c>
      <c r="AT1383">
        <v>0</v>
      </c>
    </row>
    <row r="1384" spans="1:46">
      <c r="A1384">
        <v>30126</v>
      </c>
      <c r="B1384" t="s">
        <v>8602</v>
      </c>
      <c r="C1384" t="s">
        <v>1433</v>
      </c>
      <c r="D1384" t="s">
        <v>8603</v>
      </c>
      <c r="E1384" t="s">
        <v>8604</v>
      </c>
      <c r="G1384" t="s">
        <v>8605</v>
      </c>
      <c r="H1384" t="s">
        <v>517</v>
      </c>
      <c r="J1384" t="s">
        <v>518</v>
      </c>
      <c r="K1384" t="s">
        <v>519</v>
      </c>
      <c r="M1384" t="s">
        <v>1297</v>
      </c>
      <c r="N1384" t="s">
        <v>571</v>
      </c>
      <c r="O1384" t="s">
        <v>1461</v>
      </c>
      <c r="P1384" t="s">
        <v>523</v>
      </c>
      <c r="Q1384" t="s">
        <v>1299</v>
      </c>
      <c r="R1384" t="s">
        <v>1300</v>
      </c>
      <c r="S1384" t="s">
        <v>1438</v>
      </c>
      <c r="T1384" t="s">
        <v>1235</v>
      </c>
      <c r="U1384">
        <v>168101</v>
      </c>
      <c r="V1384" t="s">
        <v>8605</v>
      </c>
      <c r="W1384" t="s">
        <v>8606</v>
      </c>
      <c r="X1384" t="s">
        <v>1440</v>
      </c>
      <c r="Y1384" t="s">
        <v>1441</v>
      </c>
      <c r="AA1384" t="s">
        <v>1442</v>
      </c>
      <c r="AB1384" t="s">
        <v>1443</v>
      </c>
      <c r="AC1384">
        <v>99155</v>
      </c>
      <c r="AD1384" t="s">
        <v>3829</v>
      </c>
      <c r="AE1384">
        <v>-36.996891859999998</v>
      </c>
      <c r="AF1384">
        <v>175.85567897999999</v>
      </c>
      <c r="AG1384">
        <v>30</v>
      </c>
      <c r="AH1384">
        <v>0</v>
      </c>
      <c r="AI1384">
        <v>0</v>
      </c>
      <c r="AJ1384">
        <v>0</v>
      </c>
      <c r="AK1384">
        <v>6</v>
      </c>
      <c r="AL1384">
        <v>13</v>
      </c>
      <c r="AM1384">
        <v>4</v>
      </c>
      <c r="AN1384">
        <v>0</v>
      </c>
      <c r="AO1384">
        <v>23</v>
      </c>
      <c r="AP1384">
        <v>16</v>
      </c>
      <c r="AQ1384">
        <v>9</v>
      </c>
      <c r="AR1384">
        <v>2</v>
      </c>
      <c r="AS1384">
        <v>2</v>
      </c>
      <c r="AT1384">
        <v>3</v>
      </c>
    </row>
    <row r="1385" spans="1:46">
      <c r="A1385">
        <v>30127</v>
      </c>
      <c r="B1385" t="s">
        <v>8607</v>
      </c>
      <c r="C1385" t="s">
        <v>8608</v>
      </c>
      <c r="E1385" t="s">
        <v>8609</v>
      </c>
      <c r="F1385" t="s">
        <v>1691</v>
      </c>
      <c r="G1385" t="s">
        <v>1521</v>
      </c>
      <c r="H1385" t="s">
        <v>3942</v>
      </c>
      <c r="J1385" t="s">
        <v>518</v>
      </c>
      <c r="K1385" t="s">
        <v>519</v>
      </c>
      <c r="M1385" t="s">
        <v>1297</v>
      </c>
      <c r="N1385" t="s">
        <v>727</v>
      </c>
      <c r="O1385" t="s">
        <v>1522</v>
      </c>
      <c r="P1385" t="s">
        <v>584</v>
      </c>
      <c r="Q1385" t="s">
        <v>1471</v>
      </c>
      <c r="R1385" t="s">
        <v>1472</v>
      </c>
      <c r="S1385" t="s">
        <v>1521</v>
      </c>
      <c r="T1385" t="s">
        <v>1474</v>
      </c>
      <c r="U1385">
        <v>198600</v>
      </c>
      <c r="V1385" t="s">
        <v>8610</v>
      </c>
      <c r="W1385" t="s">
        <v>1523</v>
      </c>
      <c r="X1385" t="s">
        <v>8611</v>
      </c>
      <c r="Y1385" t="s">
        <v>8367</v>
      </c>
      <c r="AA1385" t="s">
        <v>8368</v>
      </c>
      <c r="AB1385" t="s">
        <v>8608</v>
      </c>
      <c r="AC1385">
        <v>99107</v>
      </c>
      <c r="AD1385" t="s">
        <v>1526</v>
      </c>
      <c r="AE1385">
        <v>-38.129793220000003</v>
      </c>
      <c r="AF1385">
        <v>176.2124565</v>
      </c>
      <c r="AG1385">
        <v>42</v>
      </c>
      <c r="AH1385">
        <v>5</v>
      </c>
      <c r="AI1385">
        <v>0</v>
      </c>
      <c r="AJ1385">
        <v>4</v>
      </c>
      <c r="AK1385">
        <v>8</v>
      </c>
      <c r="AL1385">
        <v>13</v>
      </c>
      <c r="AM1385">
        <v>6</v>
      </c>
      <c r="AN1385">
        <v>1</v>
      </c>
      <c r="AO1385">
        <v>32</v>
      </c>
      <c r="AP1385">
        <v>14</v>
      </c>
      <c r="AQ1385">
        <v>25</v>
      </c>
      <c r="AR1385">
        <v>2</v>
      </c>
      <c r="AS1385">
        <v>0</v>
      </c>
      <c r="AT1385">
        <v>4</v>
      </c>
    </row>
    <row r="1386" spans="1:46">
      <c r="A1386">
        <v>30128</v>
      </c>
      <c r="B1386" t="s">
        <v>8612</v>
      </c>
      <c r="C1386" t="s">
        <v>8613</v>
      </c>
      <c r="D1386" t="s">
        <v>8614</v>
      </c>
      <c r="E1386" t="s">
        <v>8615</v>
      </c>
      <c r="F1386" t="s">
        <v>8616</v>
      </c>
      <c r="G1386" t="s">
        <v>1296</v>
      </c>
      <c r="H1386" t="s">
        <v>3942</v>
      </c>
      <c r="J1386" t="s">
        <v>518</v>
      </c>
      <c r="K1386" t="s">
        <v>519</v>
      </c>
      <c r="M1386" t="s">
        <v>1297</v>
      </c>
      <c r="N1386" t="s">
        <v>571</v>
      </c>
      <c r="O1386" t="s">
        <v>1298</v>
      </c>
      <c r="P1386" t="s">
        <v>654</v>
      </c>
      <c r="Q1386" t="s">
        <v>1299</v>
      </c>
      <c r="R1386" t="s">
        <v>1300</v>
      </c>
      <c r="S1386" t="s">
        <v>1312</v>
      </c>
      <c r="T1386" t="s">
        <v>1235</v>
      </c>
      <c r="U1386">
        <v>175901</v>
      </c>
      <c r="V1386" t="s">
        <v>8617</v>
      </c>
      <c r="W1386" t="s">
        <v>1314</v>
      </c>
      <c r="X1386" t="s">
        <v>8377</v>
      </c>
      <c r="Y1386" t="s">
        <v>3944</v>
      </c>
      <c r="Z1386" t="s">
        <v>3945</v>
      </c>
      <c r="AA1386" t="s">
        <v>3946</v>
      </c>
      <c r="AB1386" t="s">
        <v>8378</v>
      </c>
      <c r="AC1386">
        <v>99132</v>
      </c>
      <c r="AD1386" t="s">
        <v>8513</v>
      </c>
      <c r="AE1386">
        <v>-37.730956429999999</v>
      </c>
      <c r="AF1386">
        <v>175.25991182000001</v>
      </c>
      <c r="AG1386">
        <v>50</v>
      </c>
      <c r="AH1386">
        <v>14</v>
      </c>
      <c r="AI1386">
        <v>1</v>
      </c>
      <c r="AJ1386">
        <v>8</v>
      </c>
      <c r="AK1386">
        <v>12</v>
      </c>
      <c r="AL1386">
        <v>18</v>
      </c>
      <c r="AM1386">
        <v>12</v>
      </c>
      <c r="AN1386">
        <v>0</v>
      </c>
      <c r="AO1386">
        <v>51</v>
      </c>
      <c r="AP1386">
        <v>23</v>
      </c>
      <c r="AQ1386">
        <v>13</v>
      </c>
      <c r="AR1386">
        <v>8</v>
      </c>
      <c r="AS1386">
        <v>24</v>
      </c>
      <c r="AT1386">
        <v>2</v>
      </c>
    </row>
    <row r="1387" spans="1:46">
      <c r="A1387">
        <v>30130</v>
      </c>
      <c r="B1387" t="s">
        <v>8618</v>
      </c>
      <c r="C1387" t="s">
        <v>8619</v>
      </c>
      <c r="D1387" t="s">
        <v>8620</v>
      </c>
      <c r="E1387" t="s">
        <v>8621</v>
      </c>
      <c r="F1387" t="s">
        <v>2223</v>
      </c>
      <c r="G1387" t="s">
        <v>2197</v>
      </c>
      <c r="H1387" t="s">
        <v>4164</v>
      </c>
      <c r="I1387" t="s">
        <v>4165</v>
      </c>
      <c r="J1387" t="s">
        <v>518</v>
      </c>
      <c r="K1387" t="s">
        <v>519</v>
      </c>
      <c r="M1387" t="s">
        <v>1297</v>
      </c>
      <c r="N1387" t="s">
        <v>727</v>
      </c>
      <c r="O1387" t="s">
        <v>2198</v>
      </c>
      <c r="P1387" t="s">
        <v>584</v>
      </c>
      <c r="Q1387" t="s">
        <v>2118</v>
      </c>
      <c r="R1387" t="s">
        <v>2084</v>
      </c>
      <c r="S1387" t="s">
        <v>2199</v>
      </c>
      <c r="T1387" t="s">
        <v>2085</v>
      </c>
      <c r="U1387">
        <v>209100</v>
      </c>
      <c r="V1387" t="s">
        <v>2235</v>
      </c>
      <c r="W1387" t="s">
        <v>2225</v>
      </c>
      <c r="X1387" t="s">
        <v>8622</v>
      </c>
      <c r="Y1387" t="s">
        <v>8623</v>
      </c>
      <c r="Z1387" t="s">
        <v>2197</v>
      </c>
      <c r="AA1387" t="s">
        <v>8624</v>
      </c>
      <c r="AB1387" t="s">
        <v>8625</v>
      </c>
      <c r="AE1387">
        <v>-39.623180079999997</v>
      </c>
      <c r="AF1387">
        <v>176.78446977999999</v>
      </c>
      <c r="AG1387">
        <v>30</v>
      </c>
      <c r="AH1387">
        <v>8</v>
      </c>
      <c r="AI1387">
        <v>0</v>
      </c>
      <c r="AJ1387">
        <v>3</v>
      </c>
      <c r="AK1387">
        <v>8</v>
      </c>
      <c r="AL1387">
        <v>2</v>
      </c>
      <c r="AM1387">
        <v>6</v>
      </c>
      <c r="AN1387">
        <v>1</v>
      </c>
      <c r="AO1387">
        <v>20</v>
      </c>
      <c r="AP1387">
        <v>1</v>
      </c>
      <c r="AQ1387">
        <v>0</v>
      </c>
      <c r="AR1387">
        <v>20</v>
      </c>
      <c r="AS1387">
        <v>0</v>
      </c>
      <c r="AT1387">
        <v>0</v>
      </c>
    </row>
    <row r="1388" spans="1:46">
      <c r="A1388">
        <v>30131</v>
      </c>
      <c r="B1388" t="s">
        <v>8626</v>
      </c>
      <c r="C1388" t="s">
        <v>8627</v>
      </c>
      <c r="D1388" t="s">
        <v>8628</v>
      </c>
      <c r="E1388" t="s">
        <v>8629</v>
      </c>
      <c r="F1388" t="s">
        <v>8591</v>
      </c>
      <c r="G1388" t="s">
        <v>1296</v>
      </c>
      <c r="H1388" t="s">
        <v>3942</v>
      </c>
      <c r="J1388" t="s">
        <v>3962</v>
      </c>
      <c r="K1388" t="s">
        <v>519</v>
      </c>
      <c r="M1388" t="s">
        <v>1297</v>
      </c>
      <c r="N1388" t="s">
        <v>571</v>
      </c>
      <c r="O1388" t="s">
        <v>1298</v>
      </c>
      <c r="P1388" t="s">
        <v>654</v>
      </c>
      <c r="Q1388" t="s">
        <v>1299</v>
      </c>
      <c r="R1388" t="s">
        <v>1300</v>
      </c>
      <c r="S1388" t="s">
        <v>1312</v>
      </c>
      <c r="T1388" t="s">
        <v>1235</v>
      </c>
      <c r="U1388">
        <v>175901</v>
      </c>
      <c r="V1388" t="s">
        <v>8617</v>
      </c>
      <c r="W1388" t="s">
        <v>1314</v>
      </c>
      <c r="X1388" t="s">
        <v>8630</v>
      </c>
      <c r="Y1388" t="s">
        <v>8631</v>
      </c>
      <c r="Z1388" t="s">
        <v>8510</v>
      </c>
      <c r="AA1388" t="s">
        <v>8511</v>
      </c>
      <c r="AE1388">
        <v>-37.728959279999998</v>
      </c>
      <c r="AF1388">
        <v>175.26519769999999</v>
      </c>
      <c r="AG1388">
        <v>55</v>
      </c>
      <c r="AH1388">
        <v>25</v>
      </c>
      <c r="AI1388">
        <v>3</v>
      </c>
      <c r="AJ1388">
        <v>11</v>
      </c>
      <c r="AK1388">
        <v>16</v>
      </c>
      <c r="AL1388">
        <v>8</v>
      </c>
      <c r="AM1388">
        <v>12</v>
      </c>
      <c r="AN1388">
        <v>1</v>
      </c>
      <c r="AO1388">
        <v>51</v>
      </c>
      <c r="AP1388">
        <v>16</v>
      </c>
      <c r="AQ1388">
        <v>3</v>
      </c>
      <c r="AR1388">
        <v>1</v>
      </c>
      <c r="AS1388">
        <v>36</v>
      </c>
      <c r="AT1388">
        <v>1</v>
      </c>
    </row>
    <row r="1389" spans="1:46">
      <c r="A1389">
        <v>30132</v>
      </c>
      <c r="B1389" t="s">
        <v>8632</v>
      </c>
      <c r="C1389" t="s">
        <v>8633</v>
      </c>
      <c r="D1389" t="s">
        <v>8634</v>
      </c>
      <c r="E1389" t="s">
        <v>8635</v>
      </c>
      <c r="G1389" t="s">
        <v>8636</v>
      </c>
      <c r="H1389" t="s">
        <v>3942</v>
      </c>
      <c r="J1389" t="s">
        <v>518</v>
      </c>
      <c r="K1389" t="s">
        <v>519</v>
      </c>
      <c r="M1389" t="s">
        <v>1297</v>
      </c>
      <c r="N1389" t="s">
        <v>557</v>
      </c>
      <c r="O1389" t="s">
        <v>8637</v>
      </c>
      <c r="P1389" t="s">
        <v>523</v>
      </c>
      <c r="Q1389" t="s">
        <v>1299</v>
      </c>
      <c r="R1389" t="s">
        <v>1300</v>
      </c>
      <c r="S1389" t="s">
        <v>1417</v>
      </c>
      <c r="T1389" t="s">
        <v>1485</v>
      </c>
      <c r="U1389">
        <v>187400</v>
      </c>
      <c r="V1389" t="s">
        <v>8638</v>
      </c>
      <c r="W1389" t="s">
        <v>8639</v>
      </c>
      <c r="X1389" t="s">
        <v>8640</v>
      </c>
      <c r="Y1389" t="s">
        <v>8641</v>
      </c>
      <c r="AA1389" t="s">
        <v>8642</v>
      </c>
      <c r="AB1389" t="s">
        <v>8643</v>
      </c>
      <c r="AC1389">
        <v>99106</v>
      </c>
      <c r="AD1389" t="s">
        <v>8644</v>
      </c>
      <c r="AE1389">
        <v>-38.332084279999997</v>
      </c>
      <c r="AF1389">
        <v>175.16605053000001</v>
      </c>
      <c r="AG1389">
        <v>63</v>
      </c>
      <c r="AH1389">
        <v>15</v>
      </c>
      <c r="AI1389">
        <v>1</v>
      </c>
      <c r="AJ1389">
        <v>7</v>
      </c>
      <c r="AK1389">
        <v>13</v>
      </c>
      <c r="AL1389">
        <v>17</v>
      </c>
      <c r="AM1389">
        <v>20</v>
      </c>
      <c r="AN1389">
        <v>1</v>
      </c>
      <c r="AO1389">
        <v>59</v>
      </c>
      <c r="AP1389">
        <v>44</v>
      </c>
      <c r="AQ1389">
        <v>21</v>
      </c>
      <c r="AR1389">
        <v>1</v>
      </c>
      <c r="AS1389">
        <v>4</v>
      </c>
      <c r="AT1389">
        <v>0</v>
      </c>
    </row>
    <row r="1390" spans="1:46">
      <c r="A1390">
        <v>30147</v>
      </c>
      <c r="B1390" t="s">
        <v>8645</v>
      </c>
      <c r="C1390" t="s">
        <v>8646</v>
      </c>
      <c r="E1390" t="s">
        <v>8647</v>
      </c>
      <c r="F1390" t="s">
        <v>1358</v>
      </c>
      <c r="G1390" t="s">
        <v>1296</v>
      </c>
      <c r="H1390" t="s">
        <v>3942</v>
      </c>
      <c r="J1390" t="s">
        <v>518</v>
      </c>
      <c r="K1390" t="s">
        <v>519</v>
      </c>
      <c r="M1390" t="s">
        <v>1297</v>
      </c>
      <c r="N1390" t="s">
        <v>557</v>
      </c>
      <c r="O1390" t="s">
        <v>1298</v>
      </c>
      <c r="P1390" t="s">
        <v>654</v>
      </c>
      <c r="Q1390" t="s">
        <v>1299</v>
      </c>
      <c r="R1390" t="s">
        <v>1300</v>
      </c>
      <c r="S1390" t="s">
        <v>1301</v>
      </c>
      <c r="T1390" t="s">
        <v>1235</v>
      </c>
      <c r="U1390">
        <v>177200</v>
      </c>
      <c r="V1390" t="s">
        <v>1359</v>
      </c>
      <c r="W1390" t="s">
        <v>1303</v>
      </c>
      <c r="X1390" t="s">
        <v>8648</v>
      </c>
      <c r="Y1390" t="s">
        <v>8649</v>
      </c>
      <c r="AA1390" t="s">
        <v>8650</v>
      </c>
      <c r="AB1390" t="s">
        <v>8651</v>
      </c>
      <c r="AC1390">
        <v>99035</v>
      </c>
      <c r="AD1390" t="s">
        <v>1308</v>
      </c>
      <c r="AE1390">
        <v>-37.784503000000001</v>
      </c>
      <c r="AF1390">
        <v>175.24500520000001</v>
      </c>
      <c r="AG1390">
        <v>50</v>
      </c>
      <c r="AH1390">
        <v>25</v>
      </c>
      <c r="AI1390">
        <v>5</v>
      </c>
      <c r="AJ1390">
        <v>7</v>
      </c>
      <c r="AK1390">
        <v>5</v>
      </c>
      <c r="AL1390">
        <v>6</v>
      </c>
      <c r="AM1390">
        <v>8</v>
      </c>
      <c r="AN1390">
        <v>0</v>
      </c>
      <c r="AO1390">
        <v>31</v>
      </c>
      <c r="AP1390">
        <v>18</v>
      </c>
      <c r="AQ1390">
        <v>19</v>
      </c>
      <c r="AR1390">
        <v>4</v>
      </c>
      <c r="AS1390">
        <v>3</v>
      </c>
      <c r="AT1390">
        <v>2</v>
      </c>
    </row>
    <row r="1391" spans="1:46">
      <c r="A1391">
        <v>30148</v>
      </c>
      <c r="B1391" t="s">
        <v>8652</v>
      </c>
      <c r="C1391" t="s">
        <v>8653</v>
      </c>
      <c r="E1391" t="s">
        <v>8654</v>
      </c>
      <c r="F1391" t="s">
        <v>1345</v>
      </c>
      <c r="G1391" t="s">
        <v>1296</v>
      </c>
      <c r="H1391" t="s">
        <v>3942</v>
      </c>
      <c r="J1391" t="s">
        <v>518</v>
      </c>
      <c r="K1391" t="s">
        <v>519</v>
      </c>
      <c r="M1391" t="s">
        <v>1297</v>
      </c>
      <c r="N1391" t="s">
        <v>571</v>
      </c>
      <c r="O1391" t="s">
        <v>1298</v>
      </c>
      <c r="P1391" t="s">
        <v>654</v>
      </c>
      <c r="Q1391" t="s">
        <v>1299</v>
      </c>
      <c r="R1391" t="s">
        <v>1300</v>
      </c>
      <c r="S1391" t="s">
        <v>1301</v>
      </c>
      <c r="T1391" t="s">
        <v>1235</v>
      </c>
      <c r="U1391">
        <v>178901</v>
      </c>
      <c r="V1391" t="s">
        <v>8352</v>
      </c>
      <c r="W1391" t="s">
        <v>1303</v>
      </c>
      <c r="X1391" t="s">
        <v>8377</v>
      </c>
      <c r="Y1391" t="s">
        <v>3944</v>
      </c>
      <c r="Z1391" t="s">
        <v>3945</v>
      </c>
      <c r="AA1391" t="s">
        <v>3946</v>
      </c>
      <c r="AB1391" t="s">
        <v>8378</v>
      </c>
      <c r="AE1391">
        <v>-37.7876002</v>
      </c>
      <c r="AF1391">
        <v>175.2719644</v>
      </c>
      <c r="AG1391">
        <v>75</v>
      </c>
      <c r="AH1391">
        <v>25</v>
      </c>
      <c r="AI1391">
        <v>1</v>
      </c>
      <c r="AJ1391">
        <v>8</v>
      </c>
      <c r="AK1391">
        <v>10</v>
      </c>
      <c r="AL1391">
        <v>16</v>
      </c>
      <c r="AM1391">
        <v>10</v>
      </c>
      <c r="AN1391">
        <v>2</v>
      </c>
      <c r="AO1391">
        <v>47</v>
      </c>
      <c r="AP1391">
        <v>17</v>
      </c>
      <c r="AQ1391">
        <v>19</v>
      </c>
      <c r="AR1391">
        <v>3</v>
      </c>
      <c r="AS1391">
        <v>13</v>
      </c>
      <c r="AT1391">
        <v>4</v>
      </c>
    </row>
    <row r="1392" spans="1:46">
      <c r="A1392">
        <v>30149</v>
      </c>
      <c r="B1392" t="s">
        <v>8655</v>
      </c>
      <c r="C1392" t="s">
        <v>8656</v>
      </c>
      <c r="D1392" t="s">
        <v>8657</v>
      </c>
      <c r="E1392" t="s">
        <v>8658</v>
      </c>
      <c r="G1392" t="s">
        <v>8510</v>
      </c>
      <c r="H1392" t="s">
        <v>3942</v>
      </c>
      <c r="J1392" t="s">
        <v>518</v>
      </c>
      <c r="K1392" t="s">
        <v>519</v>
      </c>
      <c r="M1392" t="s">
        <v>1297</v>
      </c>
      <c r="N1392" t="s">
        <v>571</v>
      </c>
      <c r="O1392" t="s">
        <v>1298</v>
      </c>
      <c r="P1392" t="s">
        <v>654</v>
      </c>
      <c r="Q1392" t="s">
        <v>1299</v>
      </c>
      <c r="R1392" t="s">
        <v>1300</v>
      </c>
      <c r="S1392" t="s">
        <v>1312</v>
      </c>
      <c r="T1392" t="s">
        <v>1235</v>
      </c>
      <c r="U1392">
        <v>176202</v>
      </c>
      <c r="V1392" t="s">
        <v>8659</v>
      </c>
      <c r="W1392" t="s">
        <v>1314</v>
      </c>
      <c r="X1392" t="s">
        <v>8660</v>
      </c>
      <c r="Y1392" t="s">
        <v>8661</v>
      </c>
      <c r="Z1392" t="s">
        <v>8510</v>
      </c>
      <c r="AA1392" t="s">
        <v>8662</v>
      </c>
      <c r="AB1392" t="s">
        <v>8663</v>
      </c>
      <c r="AE1392">
        <v>-37.732916699999997</v>
      </c>
      <c r="AF1392">
        <v>175.268247</v>
      </c>
      <c r="AG1392">
        <v>40</v>
      </c>
      <c r="AH1392">
        <v>0</v>
      </c>
      <c r="AI1392">
        <v>0</v>
      </c>
      <c r="AJ1392">
        <v>0</v>
      </c>
      <c r="AK1392">
        <v>3</v>
      </c>
      <c r="AL1392">
        <v>16</v>
      </c>
      <c r="AM1392">
        <v>19</v>
      </c>
      <c r="AN1392">
        <v>3</v>
      </c>
      <c r="AO1392">
        <v>41</v>
      </c>
      <c r="AP1392">
        <v>32</v>
      </c>
      <c r="AQ1392">
        <v>3</v>
      </c>
      <c r="AR1392">
        <v>0</v>
      </c>
      <c r="AS1392">
        <v>10</v>
      </c>
      <c r="AT1392">
        <v>2</v>
      </c>
    </row>
    <row r="1393" spans="1:46">
      <c r="A1393">
        <v>30166</v>
      </c>
      <c r="B1393" t="s">
        <v>8664</v>
      </c>
      <c r="C1393" t="s">
        <v>8665</v>
      </c>
      <c r="E1393" t="s">
        <v>8666</v>
      </c>
      <c r="G1393" t="s">
        <v>1697</v>
      </c>
      <c r="H1393" t="s">
        <v>3942</v>
      </c>
      <c r="J1393" t="s">
        <v>518</v>
      </c>
      <c r="K1393" t="s">
        <v>519</v>
      </c>
      <c r="M1393" t="s">
        <v>1297</v>
      </c>
      <c r="N1393" t="s">
        <v>571</v>
      </c>
      <c r="O1393" t="s">
        <v>1698</v>
      </c>
      <c r="P1393" t="s">
        <v>654</v>
      </c>
      <c r="Q1393" t="s">
        <v>1471</v>
      </c>
      <c r="R1393" t="s">
        <v>1472</v>
      </c>
      <c r="S1393" t="s">
        <v>1699</v>
      </c>
      <c r="T1393" t="s">
        <v>1474</v>
      </c>
      <c r="U1393">
        <v>195800</v>
      </c>
      <c r="V1393" t="s">
        <v>1700</v>
      </c>
      <c r="W1393" t="s">
        <v>1701</v>
      </c>
      <c r="X1393" t="s">
        <v>8377</v>
      </c>
      <c r="Y1393" t="s">
        <v>3944</v>
      </c>
      <c r="Z1393" t="s">
        <v>3945</v>
      </c>
      <c r="AA1393" t="s">
        <v>3946</v>
      </c>
      <c r="AB1393" t="s">
        <v>8378</v>
      </c>
      <c r="AC1393">
        <v>99064</v>
      </c>
      <c r="AD1393" t="s">
        <v>1702</v>
      </c>
      <c r="AE1393">
        <v>-37.673943999999999</v>
      </c>
      <c r="AF1393">
        <v>176.22936651000001</v>
      </c>
      <c r="AG1393">
        <v>50</v>
      </c>
      <c r="AH1393">
        <v>12</v>
      </c>
      <c r="AI1393">
        <v>0</v>
      </c>
      <c r="AJ1393">
        <v>7</v>
      </c>
      <c r="AK1393">
        <v>8</v>
      </c>
      <c r="AL1393">
        <v>16</v>
      </c>
      <c r="AM1393">
        <v>14</v>
      </c>
      <c r="AN1393">
        <v>1</v>
      </c>
      <c r="AO1393">
        <v>46</v>
      </c>
      <c r="AP1393">
        <v>19</v>
      </c>
      <c r="AQ1393">
        <v>25</v>
      </c>
      <c r="AR1393">
        <v>2</v>
      </c>
      <c r="AS1393">
        <v>9</v>
      </c>
      <c r="AT1393">
        <v>1</v>
      </c>
    </row>
    <row r="1394" spans="1:46">
      <c r="A1394">
        <v>30169</v>
      </c>
      <c r="B1394" t="s">
        <v>8667</v>
      </c>
      <c r="D1394" t="s">
        <v>8668</v>
      </c>
      <c r="E1394" t="s">
        <v>8669</v>
      </c>
      <c r="G1394" t="s">
        <v>8670</v>
      </c>
      <c r="H1394" t="s">
        <v>3942</v>
      </c>
      <c r="J1394" t="s">
        <v>518</v>
      </c>
      <c r="K1394" t="s">
        <v>519</v>
      </c>
      <c r="M1394" t="s">
        <v>1297</v>
      </c>
      <c r="N1394" t="s">
        <v>727</v>
      </c>
      <c r="O1394" t="s">
        <v>1620</v>
      </c>
      <c r="P1394" t="s">
        <v>540</v>
      </c>
      <c r="Q1394" t="s">
        <v>1299</v>
      </c>
      <c r="R1394" t="s">
        <v>1300</v>
      </c>
      <c r="S1394" t="s">
        <v>1417</v>
      </c>
      <c r="T1394" t="s">
        <v>1235</v>
      </c>
      <c r="U1394">
        <v>185200</v>
      </c>
      <c r="V1394" t="s">
        <v>8671</v>
      </c>
      <c r="W1394" t="s">
        <v>8672</v>
      </c>
      <c r="X1394" t="s">
        <v>8673</v>
      </c>
      <c r="Y1394" t="s">
        <v>4697</v>
      </c>
      <c r="AA1394" t="s">
        <v>8674</v>
      </c>
      <c r="AB1394" t="s">
        <v>8675</v>
      </c>
      <c r="AE1394">
        <v>-38.062013800000003</v>
      </c>
      <c r="AF1394">
        <v>174.82008379999999</v>
      </c>
      <c r="AG1394">
        <v>24</v>
      </c>
      <c r="AH1394">
        <v>4</v>
      </c>
      <c r="AI1394">
        <v>0</v>
      </c>
      <c r="AJ1394">
        <v>0</v>
      </c>
      <c r="AK1394">
        <v>4</v>
      </c>
      <c r="AL1394">
        <v>4</v>
      </c>
      <c r="AM1394">
        <v>5</v>
      </c>
      <c r="AN1394">
        <v>0</v>
      </c>
      <c r="AO1394">
        <v>13</v>
      </c>
      <c r="AP1394">
        <v>3</v>
      </c>
      <c r="AQ1394">
        <v>13</v>
      </c>
      <c r="AR1394">
        <v>0</v>
      </c>
      <c r="AS1394">
        <v>1</v>
      </c>
      <c r="AT1394">
        <v>0</v>
      </c>
    </row>
    <row r="1395" spans="1:46">
      <c r="A1395">
        <v>30172</v>
      </c>
      <c r="B1395" t="s">
        <v>8676</v>
      </c>
      <c r="C1395" t="s">
        <v>8677</v>
      </c>
      <c r="E1395" t="s">
        <v>8678</v>
      </c>
      <c r="G1395" t="s">
        <v>3683</v>
      </c>
      <c r="H1395" t="s">
        <v>3942</v>
      </c>
      <c r="J1395" t="s">
        <v>518</v>
      </c>
      <c r="K1395" t="s">
        <v>519</v>
      </c>
      <c r="M1395" t="s">
        <v>1297</v>
      </c>
      <c r="N1395" t="s">
        <v>539</v>
      </c>
      <c r="O1395" t="s">
        <v>1437</v>
      </c>
      <c r="P1395" t="s">
        <v>523</v>
      </c>
      <c r="Q1395" t="s">
        <v>1299</v>
      </c>
      <c r="R1395" t="s">
        <v>1300</v>
      </c>
      <c r="S1395" t="s">
        <v>1438</v>
      </c>
      <c r="T1395" t="s">
        <v>1235</v>
      </c>
      <c r="U1395">
        <v>169500</v>
      </c>
      <c r="V1395" t="s">
        <v>3684</v>
      </c>
      <c r="W1395" t="s">
        <v>3685</v>
      </c>
      <c r="X1395" t="s">
        <v>8377</v>
      </c>
      <c r="Y1395" t="s">
        <v>3944</v>
      </c>
      <c r="Z1395" t="s">
        <v>3945</v>
      </c>
      <c r="AA1395" t="s">
        <v>3946</v>
      </c>
      <c r="AB1395" t="s">
        <v>8378</v>
      </c>
      <c r="AC1395">
        <v>99089</v>
      </c>
      <c r="AD1395" t="s">
        <v>3686</v>
      </c>
      <c r="AE1395">
        <v>-37.384134830000001</v>
      </c>
      <c r="AF1395">
        <v>175.85529830999999</v>
      </c>
      <c r="AG1395">
        <v>44</v>
      </c>
      <c r="AH1395">
        <v>10</v>
      </c>
      <c r="AI1395">
        <v>1</v>
      </c>
      <c r="AJ1395">
        <v>4</v>
      </c>
      <c r="AK1395">
        <v>17</v>
      </c>
      <c r="AL1395">
        <v>8</v>
      </c>
      <c r="AM1395">
        <v>17</v>
      </c>
      <c r="AN1395">
        <v>0</v>
      </c>
      <c r="AO1395">
        <v>47</v>
      </c>
      <c r="AP1395">
        <v>25</v>
      </c>
      <c r="AQ1395">
        <v>21</v>
      </c>
      <c r="AR1395">
        <v>5</v>
      </c>
      <c r="AS1395">
        <v>4</v>
      </c>
      <c r="AT1395">
        <v>10</v>
      </c>
    </row>
    <row r="1396" spans="1:46">
      <c r="A1396">
        <v>30175</v>
      </c>
      <c r="B1396" t="s">
        <v>8679</v>
      </c>
      <c r="C1396" t="s">
        <v>8680</v>
      </c>
      <c r="D1396" t="s">
        <v>8681</v>
      </c>
      <c r="E1396" t="s">
        <v>8682</v>
      </c>
      <c r="G1396" t="s">
        <v>1483</v>
      </c>
      <c r="H1396" t="s">
        <v>3942</v>
      </c>
      <c r="I1396" t="s">
        <v>4165</v>
      </c>
      <c r="J1396" t="s">
        <v>518</v>
      </c>
      <c r="K1396" t="s">
        <v>519</v>
      </c>
      <c r="M1396" t="s">
        <v>1297</v>
      </c>
      <c r="N1396" t="s">
        <v>539</v>
      </c>
      <c r="O1396" t="s">
        <v>1484</v>
      </c>
      <c r="P1396" t="s">
        <v>1262</v>
      </c>
      <c r="Q1396" t="s">
        <v>1299</v>
      </c>
      <c r="R1396" t="s">
        <v>1300</v>
      </c>
      <c r="S1396" t="s">
        <v>1320</v>
      </c>
      <c r="T1396" t="s">
        <v>1485</v>
      </c>
      <c r="U1396">
        <v>186700</v>
      </c>
      <c r="V1396" t="s">
        <v>8683</v>
      </c>
      <c r="W1396" t="s">
        <v>1487</v>
      </c>
      <c r="X1396" t="s">
        <v>8684</v>
      </c>
      <c r="Y1396" t="s">
        <v>8685</v>
      </c>
      <c r="Z1396" t="s">
        <v>1483</v>
      </c>
      <c r="AA1396" t="s">
        <v>8586</v>
      </c>
      <c r="AB1396" t="s">
        <v>8686</v>
      </c>
      <c r="AE1396">
        <v>-38.219006999999998</v>
      </c>
      <c r="AF1396">
        <v>175.87570966000001</v>
      </c>
      <c r="AG1396">
        <v>34</v>
      </c>
      <c r="AH1396">
        <v>12</v>
      </c>
      <c r="AI1396">
        <v>2</v>
      </c>
      <c r="AJ1396">
        <v>4</v>
      </c>
      <c r="AK1396">
        <v>7</v>
      </c>
      <c r="AL1396">
        <v>7</v>
      </c>
      <c r="AM1396">
        <v>6</v>
      </c>
      <c r="AN1396">
        <v>0</v>
      </c>
      <c r="AO1396">
        <v>26</v>
      </c>
      <c r="AP1396">
        <v>17</v>
      </c>
      <c r="AQ1396">
        <v>12</v>
      </c>
      <c r="AR1396">
        <v>15</v>
      </c>
      <c r="AS1396">
        <v>3</v>
      </c>
      <c r="AT1396">
        <v>1</v>
      </c>
    </row>
    <row r="1397" spans="1:46">
      <c r="A1397">
        <v>30176</v>
      </c>
      <c r="B1397" t="s">
        <v>8687</v>
      </c>
      <c r="C1397" t="s">
        <v>8688</v>
      </c>
      <c r="D1397" t="s">
        <v>8689</v>
      </c>
      <c r="E1397" t="s">
        <v>8690</v>
      </c>
      <c r="G1397" t="s">
        <v>3826</v>
      </c>
      <c r="H1397" t="s">
        <v>3942</v>
      </c>
      <c r="J1397" t="s">
        <v>518</v>
      </c>
      <c r="K1397" t="s">
        <v>519</v>
      </c>
      <c r="M1397" t="s">
        <v>1297</v>
      </c>
      <c r="N1397" t="s">
        <v>571</v>
      </c>
      <c r="O1397" t="s">
        <v>1461</v>
      </c>
      <c r="P1397" t="s">
        <v>572</v>
      </c>
      <c r="Q1397" t="s">
        <v>1299</v>
      </c>
      <c r="R1397" t="s">
        <v>1300</v>
      </c>
      <c r="S1397" t="s">
        <v>1438</v>
      </c>
      <c r="T1397" t="s">
        <v>1235</v>
      </c>
      <c r="U1397">
        <v>167400</v>
      </c>
      <c r="V1397" t="s">
        <v>8691</v>
      </c>
      <c r="W1397" t="s">
        <v>3828</v>
      </c>
      <c r="X1397" t="s">
        <v>8692</v>
      </c>
      <c r="Y1397" t="s">
        <v>8693</v>
      </c>
      <c r="AA1397" t="s">
        <v>8694</v>
      </c>
      <c r="AC1397">
        <v>99155</v>
      </c>
      <c r="AD1397" t="s">
        <v>3829</v>
      </c>
      <c r="AE1397">
        <v>-36.914436330000001</v>
      </c>
      <c r="AF1397">
        <v>175.77770434000001</v>
      </c>
      <c r="AG1397">
        <v>39</v>
      </c>
      <c r="AH1397">
        <v>12</v>
      </c>
      <c r="AI1397">
        <v>2</v>
      </c>
      <c r="AJ1397">
        <v>8</v>
      </c>
      <c r="AK1397">
        <v>10</v>
      </c>
      <c r="AL1397">
        <v>7</v>
      </c>
      <c r="AM1397">
        <v>20</v>
      </c>
      <c r="AN1397">
        <v>2</v>
      </c>
      <c r="AO1397">
        <v>49</v>
      </c>
      <c r="AP1397">
        <v>46</v>
      </c>
      <c r="AQ1397">
        <v>4</v>
      </c>
      <c r="AR1397">
        <v>1</v>
      </c>
      <c r="AS1397">
        <v>3</v>
      </c>
      <c r="AT1397">
        <v>1</v>
      </c>
    </row>
    <row r="1398" spans="1:46">
      <c r="A1398">
        <v>30177</v>
      </c>
      <c r="B1398" t="s">
        <v>8695</v>
      </c>
      <c r="C1398" t="s">
        <v>8696</v>
      </c>
      <c r="E1398" t="s">
        <v>8697</v>
      </c>
      <c r="F1398" t="s">
        <v>8698</v>
      </c>
      <c r="G1398" t="s">
        <v>2197</v>
      </c>
      <c r="H1398" t="s">
        <v>3942</v>
      </c>
      <c r="J1398" t="s">
        <v>3962</v>
      </c>
      <c r="K1398" t="s">
        <v>519</v>
      </c>
      <c r="M1398" t="s">
        <v>1297</v>
      </c>
      <c r="N1398" t="s">
        <v>557</v>
      </c>
      <c r="O1398" t="s">
        <v>2198</v>
      </c>
      <c r="P1398" t="s">
        <v>584</v>
      </c>
      <c r="Q1398" t="s">
        <v>2118</v>
      </c>
      <c r="R1398" t="s">
        <v>2084</v>
      </c>
      <c r="S1398" t="s">
        <v>2199</v>
      </c>
      <c r="T1398" t="s">
        <v>2085</v>
      </c>
      <c r="U1398">
        <v>209401</v>
      </c>
      <c r="V1398" t="s">
        <v>8698</v>
      </c>
      <c r="W1398" t="s">
        <v>2200</v>
      </c>
      <c r="X1398" t="s">
        <v>8699</v>
      </c>
      <c r="Y1398" t="s">
        <v>3981</v>
      </c>
      <c r="AA1398" t="s">
        <v>3982</v>
      </c>
      <c r="AB1398" t="s">
        <v>8700</v>
      </c>
      <c r="AE1398">
        <v>-39.623169799999999</v>
      </c>
      <c r="AF1398">
        <v>176.82751390000001</v>
      </c>
      <c r="AG1398">
        <v>42</v>
      </c>
      <c r="AH1398">
        <v>12</v>
      </c>
      <c r="AI1398">
        <v>3</v>
      </c>
      <c r="AJ1398">
        <v>12</v>
      </c>
      <c r="AK1398">
        <v>13</v>
      </c>
      <c r="AL1398">
        <v>16</v>
      </c>
      <c r="AM1398">
        <v>12</v>
      </c>
      <c r="AN1398">
        <v>0</v>
      </c>
      <c r="AO1398">
        <v>56</v>
      </c>
      <c r="AP1398">
        <v>43</v>
      </c>
      <c r="AQ1398">
        <v>12</v>
      </c>
      <c r="AR1398">
        <v>2</v>
      </c>
      <c r="AS1398">
        <v>9</v>
      </c>
      <c r="AT1398">
        <v>1</v>
      </c>
    </row>
    <row r="1399" spans="1:46">
      <c r="A1399">
        <v>30178</v>
      </c>
      <c r="B1399" t="s">
        <v>8701</v>
      </c>
      <c r="C1399" t="s">
        <v>8702</v>
      </c>
      <c r="D1399" t="s">
        <v>8703</v>
      </c>
      <c r="E1399" t="s">
        <v>8704</v>
      </c>
      <c r="F1399" t="s">
        <v>1691</v>
      </c>
      <c r="G1399" t="s">
        <v>1521</v>
      </c>
      <c r="H1399" t="s">
        <v>3942</v>
      </c>
      <c r="J1399" t="s">
        <v>518</v>
      </c>
      <c r="K1399" t="s">
        <v>519</v>
      </c>
      <c r="M1399" t="s">
        <v>1297</v>
      </c>
      <c r="N1399" t="s">
        <v>557</v>
      </c>
      <c r="O1399" t="s">
        <v>1522</v>
      </c>
      <c r="P1399" t="s">
        <v>584</v>
      </c>
      <c r="Q1399" t="s">
        <v>1471</v>
      </c>
      <c r="R1399" t="s">
        <v>1472</v>
      </c>
      <c r="S1399" t="s">
        <v>1521</v>
      </c>
      <c r="T1399" t="s">
        <v>1474</v>
      </c>
      <c r="U1399">
        <v>199500</v>
      </c>
      <c r="V1399" t="s">
        <v>8705</v>
      </c>
      <c r="W1399" t="s">
        <v>1523</v>
      </c>
      <c r="X1399" t="s">
        <v>8706</v>
      </c>
      <c r="Y1399" t="s">
        <v>8707</v>
      </c>
      <c r="AA1399" t="s">
        <v>8708</v>
      </c>
      <c r="AB1399" t="s">
        <v>8709</v>
      </c>
      <c r="AC1399">
        <v>99157</v>
      </c>
      <c r="AD1399" t="s">
        <v>8710</v>
      </c>
      <c r="AE1399">
        <v>-38.136562269999999</v>
      </c>
      <c r="AF1399">
        <v>176.22725711999999</v>
      </c>
      <c r="AG1399">
        <v>48</v>
      </c>
      <c r="AH1399">
        <v>12</v>
      </c>
      <c r="AI1399">
        <v>4</v>
      </c>
      <c r="AJ1399">
        <v>5</v>
      </c>
      <c r="AK1399">
        <v>7</v>
      </c>
      <c r="AL1399">
        <v>12</v>
      </c>
      <c r="AM1399">
        <v>11</v>
      </c>
      <c r="AN1399">
        <v>1</v>
      </c>
      <c r="AO1399">
        <v>40</v>
      </c>
      <c r="AP1399">
        <v>23</v>
      </c>
      <c r="AQ1399">
        <v>5</v>
      </c>
      <c r="AR1399">
        <v>3</v>
      </c>
      <c r="AS1399">
        <v>11</v>
      </c>
      <c r="AT1399">
        <v>3</v>
      </c>
    </row>
    <row r="1400" spans="1:46">
      <c r="A1400">
        <v>30179</v>
      </c>
      <c r="B1400" t="s">
        <v>8711</v>
      </c>
      <c r="C1400" t="s">
        <v>8712</v>
      </c>
      <c r="D1400" t="s">
        <v>8713</v>
      </c>
      <c r="E1400" t="s">
        <v>8714</v>
      </c>
      <c r="F1400" t="s">
        <v>3729</v>
      </c>
      <c r="G1400" t="s">
        <v>2081</v>
      </c>
      <c r="H1400" t="s">
        <v>3942</v>
      </c>
      <c r="J1400" t="s">
        <v>518</v>
      </c>
      <c r="K1400" t="s">
        <v>519</v>
      </c>
      <c r="M1400" t="s">
        <v>1297</v>
      </c>
      <c r="N1400" t="s">
        <v>521</v>
      </c>
      <c r="O1400" t="s">
        <v>2082</v>
      </c>
      <c r="P1400" t="s">
        <v>584</v>
      </c>
      <c r="Q1400" t="s">
        <v>2083</v>
      </c>
      <c r="R1400" t="s">
        <v>2084</v>
      </c>
      <c r="S1400" t="s">
        <v>1473</v>
      </c>
      <c r="T1400" t="s">
        <v>2085</v>
      </c>
      <c r="U1400">
        <v>205700</v>
      </c>
      <c r="V1400" t="s">
        <v>3729</v>
      </c>
      <c r="W1400" t="s">
        <v>2087</v>
      </c>
      <c r="X1400" t="s">
        <v>8715</v>
      </c>
      <c r="Y1400" t="s">
        <v>8716</v>
      </c>
      <c r="Z1400" t="s">
        <v>2081</v>
      </c>
      <c r="AA1400" t="s">
        <v>2090</v>
      </c>
      <c r="AE1400">
        <v>-38.643510829999997</v>
      </c>
      <c r="AF1400">
        <v>178.00015253000001</v>
      </c>
      <c r="AG1400">
        <v>30</v>
      </c>
      <c r="AH1400">
        <v>10</v>
      </c>
      <c r="AI1400">
        <v>2</v>
      </c>
      <c r="AJ1400">
        <v>2</v>
      </c>
      <c r="AK1400">
        <v>6</v>
      </c>
      <c r="AL1400">
        <v>3</v>
      </c>
      <c r="AM1400">
        <v>1</v>
      </c>
      <c r="AN1400">
        <v>2</v>
      </c>
      <c r="AO1400">
        <v>16</v>
      </c>
      <c r="AP1400">
        <v>3</v>
      </c>
      <c r="AQ1400">
        <v>15</v>
      </c>
      <c r="AR1400">
        <v>1</v>
      </c>
      <c r="AS1400">
        <v>1</v>
      </c>
      <c r="AT1400">
        <v>1</v>
      </c>
    </row>
    <row r="1401" spans="1:46">
      <c r="A1401">
        <v>30180</v>
      </c>
      <c r="B1401" t="s">
        <v>8717</v>
      </c>
      <c r="C1401" t="s">
        <v>8718</v>
      </c>
      <c r="D1401" t="s">
        <v>8719</v>
      </c>
      <c r="E1401" t="s">
        <v>8720</v>
      </c>
      <c r="G1401" t="s">
        <v>2216</v>
      </c>
      <c r="H1401" t="s">
        <v>3942</v>
      </c>
      <c r="J1401" t="s">
        <v>3962</v>
      </c>
      <c r="K1401" t="s">
        <v>519</v>
      </c>
      <c r="M1401" t="s">
        <v>1297</v>
      </c>
      <c r="N1401" t="s">
        <v>571</v>
      </c>
      <c r="O1401" t="s">
        <v>2198</v>
      </c>
      <c r="P1401" t="s">
        <v>1262</v>
      </c>
      <c r="Q1401" t="s">
        <v>2118</v>
      </c>
      <c r="R1401" t="s">
        <v>2084</v>
      </c>
      <c r="S1401" t="s">
        <v>2199</v>
      </c>
      <c r="T1401" t="s">
        <v>2085</v>
      </c>
      <c r="U1401">
        <v>211600</v>
      </c>
      <c r="V1401" t="s">
        <v>8721</v>
      </c>
      <c r="W1401" t="s">
        <v>2200</v>
      </c>
      <c r="X1401" t="s">
        <v>8722</v>
      </c>
      <c r="Y1401" t="s">
        <v>8723</v>
      </c>
      <c r="Z1401" t="s">
        <v>2216</v>
      </c>
      <c r="AA1401" t="s">
        <v>8724</v>
      </c>
      <c r="AB1401" t="s">
        <v>8725</v>
      </c>
      <c r="AC1401">
        <v>99022</v>
      </c>
      <c r="AD1401" t="s">
        <v>2218</v>
      </c>
      <c r="AE1401">
        <v>-39.671614339999998</v>
      </c>
      <c r="AF1401">
        <v>176.87647010000001</v>
      </c>
      <c r="AG1401">
        <v>54</v>
      </c>
      <c r="AH1401">
        <v>38</v>
      </c>
      <c r="AI1401">
        <v>0</v>
      </c>
      <c r="AJ1401">
        <v>12</v>
      </c>
      <c r="AK1401">
        <v>15</v>
      </c>
      <c r="AL1401">
        <v>9</v>
      </c>
      <c r="AM1401">
        <v>8</v>
      </c>
      <c r="AN1401">
        <v>0</v>
      </c>
      <c r="AO1401">
        <v>44</v>
      </c>
      <c r="AP1401">
        <v>39</v>
      </c>
      <c r="AQ1401">
        <v>5</v>
      </c>
      <c r="AR1401">
        <v>1</v>
      </c>
      <c r="AS1401">
        <v>4</v>
      </c>
      <c r="AT1401">
        <v>1</v>
      </c>
    </row>
    <row r="1402" spans="1:46">
      <c r="A1402">
        <v>30184</v>
      </c>
      <c r="B1402" t="s">
        <v>8726</v>
      </c>
      <c r="C1402" t="s">
        <v>8727</v>
      </c>
      <c r="D1402" t="s">
        <v>8728</v>
      </c>
      <c r="E1402" t="s">
        <v>8729</v>
      </c>
      <c r="F1402" t="s">
        <v>1295</v>
      </c>
      <c r="G1402" t="s">
        <v>1296</v>
      </c>
      <c r="H1402" t="s">
        <v>3942</v>
      </c>
      <c r="J1402" t="s">
        <v>3962</v>
      </c>
      <c r="K1402" t="s">
        <v>519</v>
      </c>
      <c r="M1402" t="s">
        <v>1297</v>
      </c>
      <c r="N1402" t="s">
        <v>571</v>
      </c>
      <c r="O1402" t="s">
        <v>1298</v>
      </c>
      <c r="P1402" t="s">
        <v>654</v>
      </c>
      <c r="Q1402" t="s">
        <v>1299</v>
      </c>
      <c r="R1402" t="s">
        <v>1300</v>
      </c>
      <c r="S1402" t="s">
        <v>1301</v>
      </c>
      <c r="T1402" t="s">
        <v>1235</v>
      </c>
      <c r="U1402">
        <v>179502</v>
      </c>
      <c r="V1402" t="s">
        <v>1363</v>
      </c>
      <c r="W1402" t="s">
        <v>1303</v>
      </c>
      <c r="X1402" t="s">
        <v>8730</v>
      </c>
      <c r="Y1402" t="s">
        <v>4658</v>
      </c>
      <c r="Z1402" t="s">
        <v>958</v>
      </c>
      <c r="AA1402" t="s">
        <v>4659</v>
      </c>
      <c r="AB1402" t="s">
        <v>8731</v>
      </c>
      <c r="AE1402">
        <v>-37.806058309999997</v>
      </c>
      <c r="AF1402">
        <v>175.28047139</v>
      </c>
      <c r="AG1402">
        <v>50</v>
      </c>
      <c r="AH1402">
        <v>20</v>
      </c>
      <c r="AI1402">
        <v>3</v>
      </c>
      <c r="AJ1402">
        <v>14</v>
      </c>
      <c r="AK1402">
        <v>13</v>
      </c>
      <c r="AL1402">
        <v>12</v>
      </c>
      <c r="AM1402">
        <v>10</v>
      </c>
      <c r="AN1402">
        <v>0</v>
      </c>
      <c r="AO1402">
        <v>52</v>
      </c>
      <c r="AP1402">
        <v>21</v>
      </c>
      <c r="AQ1402">
        <v>3</v>
      </c>
      <c r="AR1402">
        <v>1</v>
      </c>
      <c r="AS1402">
        <v>33</v>
      </c>
      <c r="AT1402">
        <v>3</v>
      </c>
    </row>
    <row r="1403" spans="1:46">
      <c r="A1403">
        <v>30185</v>
      </c>
      <c r="B1403" t="s">
        <v>8732</v>
      </c>
      <c r="C1403" t="s">
        <v>8733</v>
      </c>
      <c r="D1403" t="s">
        <v>8734</v>
      </c>
      <c r="E1403" t="s">
        <v>8735</v>
      </c>
      <c r="F1403" t="s">
        <v>1312</v>
      </c>
      <c r="G1403" t="s">
        <v>1296</v>
      </c>
      <c r="H1403" t="s">
        <v>3942</v>
      </c>
      <c r="I1403" t="s">
        <v>6231</v>
      </c>
      <c r="J1403" t="s">
        <v>518</v>
      </c>
      <c r="K1403" t="s">
        <v>519</v>
      </c>
      <c r="M1403" t="s">
        <v>1297</v>
      </c>
      <c r="N1403" t="s">
        <v>571</v>
      </c>
      <c r="O1403" t="s">
        <v>1298</v>
      </c>
      <c r="P1403" t="s">
        <v>654</v>
      </c>
      <c r="Q1403" t="s">
        <v>1299</v>
      </c>
      <c r="R1403" t="s">
        <v>1300</v>
      </c>
      <c r="S1403" t="s">
        <v>1312</v>
      </c>
      <c r="T1403" t="s">
        <v>1235</v>
      </c>
      <c r="U1403">
        <v>179700</v>
      </c>
      <c r="V1403" t="s">
        <v>8736</v>
      </c>
      <c r="W1403" t="s">
        <v>1314</v>
      </c>
      <c r="X1403" t="s">
        <v>8737</v>
      </c>
      <c r="Y1403" t="s">
        <v>8738</v>
      </c>
      <c r="Z1403" t="s">
        <v>1312</v>
      </c>
      <c r="AA1403" t="s">
        <v>1306</v>
      </c>
      <c r="AB1403" t="s">
        <v>8733</v>
      </c>
      <c r="AC1403">
        <v>99103</v>
      </c>
      <c r="AD1403" t="s">
        <v>8739</v>
      </c>
      <c r="AE1403">
        <v>-37.790740399999997</v>
      </c>
      <c r="AF1403">
        <v>175.29559731000001</v>
      </c>
      <c r="AG1403">
        <v>30</v>
      </c>
      <c r="AH1403">
        <v>0</v>
      </c>
      <c r="AI1403">
        <v>0</v>
      </c>
      <c r="AJ1403">
        <v>0</v>
      </c>
      <c r="AK1403">
        <v>2</v>
      </c>
      <c r="AL1403">
        <v>11</v>
      </c>
      <c r="AM1403">
        <v>20</v>
      </c>
      <c r="AN1403">
        <v>1</v>
      </c>
      <c r="AO1403">
        <v>34</v>
      </c>
      <c r="AP1403">
        <v>9</v>
      </c>
      <c r="AQ1403">
        <v>2</v>
      </c>
      <c r="AR1403">
        <v>7</v>
      </c>
      <c r="AS1403">
        <v>21</v>
      </c>
      <c r="AT1403">
        <v>0</v>
      </c>
    </row>
    <row r="1404" spans="1:46">
      <c r="A1404">
        <v>30192</v>
      </c>
      <c r="B1404" t="s">
        <v>8740</v>
      </c>
      <c r="C1404" t="s">
        <v>8741</v>
      </c>
      <c r="E1404" t="s">
        <v>8742</v>
      </c>
      <c r="F1404" t="s">
        <v>8491</v>
      </c>
      <c r="G1404" t="s">
        <v>1521</v>
      </c>
      <c r="H1404" t="s">
        <v>3942</v>
      </c>
      <c r="J1404" t="s">
        <v>3962</v>
      </c>
      <c r="K1404" t="s">
        <v>519</v>
      </c>
      <c r="M1404" t="s">
        <v>1297</v>
      </c>
      <c r="N1404" t="s">
        <v>571</v>
      </c>
      <c r="O1404" t="s">
        <v>1522</v>
      </c>
      <c r="P1404" t="s">
        <v>584</v>
      </c>
      <c r="Q1404" t="s">
        <v>1471</v>
      </c>
      <c r="R1404" t="s">
        <v>1472</v>
      </c>
      <c r="S1404" t="s">
        <v>1521</v>
      </c>
      <c r="T1404" t="s">
        <v>1474</v>
      </c>
      <c r="U1404">
        <v>200100</v>
      </c>
      <c r="V1404" t="s">
        <v>8491</v>
      </c>
      <c r="W1404" t="s">
        <v>1523</v>
      </c>
      <c r="X1404" t="s">
        <v>8743</v>
      </c>
      <c r="Y1404" t="s">
        <v>8742</v>
      </c>
      <c r="AA1404" t="s">
        <v>8520</v>
      </c>
      <c r="AB1404" t="s">
        <v>8741</v>
      </c>
      <c r="AC1404">
        <v>99019</v>
      </c>
      <c r="AD1404" t="s">
        <v>1565</v>
      </c>
      <c r="AE1404">
        <v>-38.136628399999999</v>
      </c>
      <c r="AF1404">
        <v>176.2478735</v>
      </c>
      <c r="AG1404">
        <v>27</v>
      </c>
      <c r="AH1404">
        <v>10</v>
      </c>
      <c r="AI1404">
        <v>0</v>
      </c>
      <c r="AJ1404">
        <v>8</v>
      </c>
      <c r="AK1404">
        <v>5</v>
      </c>
      <c r="AL1404">
        <v>5</v>
      </c>
      <c r="AM1404">
        <v>4</v>
      </c>
      <c r="AN1404">
        <v>0</v>
      </c>
      <c r="AO1404">
        <v>22</v>
      </c>
      <c r="AP1404">
        <v>14</v>
      </c>
      <c r="AQ1404">
        <v>12</v>
      </c>
      <c r="AR1404">
        <v>1</v>
      </c>
      <c r="AS1404">
        <v>4</v>
      </c>
      <c r="AT1404">
        <v>0</v>
      </c>
    </row>
    <row r="1405" spans="1:46">
      <c r="A1405">
        <v>30193</v>
      </c>
      <c r="B1405" t="s">
        <v>8744</v>
      </c>
      <c r="C1405" t="s">
        <v>8745</v>
      </c>
      <c r="D1405" t="s">
        <v>8746</v>
      </c>
      <c r="E1405" t="s">
        <v>8747</v>
      </c>
      <c r="G1405" t="s">
        <v>8748</v>
      </c>
      <c r="H1405" t="s">
        <v>3942</v>
      </c>
      <c r="J1405" t="s">
        <v>518</v>
      </c>
      <c r="K1405" t="s">
        <v>519</v>
      </c>
      <c r="M1405" t="s">
        <v>1297</v>
      </c>
      <c r="N1405" t="s">
        <v>571</v>
      </c>
      <c r="O1405" t="s">
        <v>2198</v>
      </c>
      <c r="P1405" t="s">
        <v>572</v>
      </c>
      <c r="Q1405" t="s">
        <v>2118</v>
      </c>
      <c r="R1405" t="s">
        <v>2084</v>
      </c>
      <c r="S1405" t="s">
        <v>2199</v>
      </c>
      <c r="T1405" t="s">
        <v>2085</v>
      </c>
      <c r="U1405">
        <v>208200</v>
      </c>
      <c r="V1405" t="s">
        <v>8748</v>
      </c>
      <c r="W1405" t="s">
        <v>8749</v>
      </c>
      <c r="X1405" t="s">
        <v>8750</v>
      </c>
      <c r="Y1405" t="s">
        <v>8751</v>
      </c>
      <c r="Z1405" t="s">
        <v>2197</v>
      </c>
      <c r="AA1405" t="s">
        <v>8752</v>
      </c>
      <c r="AB1405" t="s">
        <v>8753</v>
      </c>
      <c r="AE1405">
        <v>-39.648899100000001</v>
      </c>
      <c r="AF1405">
        <v>176.61818592</v>
      </c>
      <c r="AG1405">
        <v>26</v>
      </c>
      <c r="AH1405">
        <v>0</v>
      </c>
      <c r="AI1405">
        <v>0</v>
      </c>
      <c r="AJ1405">
        <v>0</v>
      </c>
      <c r="AK1405">
        <v>4</v>
      </c>
      <c r="AL1405">
        <v>15</v>
      </c>
      <c r="AM1405">
        <v>7</v>
      </c>
      <c r="AN1405">
        <v>0</v>
      </c>
      <c r="AO1405">
        <v>26</v>
      </c>
      <c r="AP1405">
        <v>24</v>
      </c>
      <c r="AQ1405">
        <v>6</v>
      </c>
      <c r="AR1405">
        <v>0</v>
      </c>
      <c r="AS1405">
        <v>1</v>
      </c>
      <c r="AT1405">
        <v>1</v>
      </c>
    </row>
    <row r="1406" spans="1:46">
      <c r="A1406">
        <v>30194</v>
      </c>
      <c r="B1406" t="s">
        <v>8754</v>
      </c>
      <c r="C1406" t="s">
        <v>8755</v>
      </c>
      <c r="D1406" t="s">
        <v>8756</v>
      </c>
      <c r="E1406" t="s">
        <v>8757</v>
      </c>
      <c r="G1406" t="s">
        <v>1598</v>
      </c>
      <c r="H1406" t="s">
        <v>517</v>
      </c>
      <c r="J1406" t="s">
        <v>518</v>
      </c>
      <c r="K1406" t="s">
        <v>519</v>
      </c>
      <c r="M1406" t="s">
        <v>1297</v>
      </c>
      <c r="N1406" t="s">
        <v>571</v>
      </c>
      <c r="O1406" t="s">
        <v>1743</v>
      </c>
      <c r="P1406" t="s">
        <v>572</v>
      </c>
      <c r="Q1406" t="s">
        <v>1471</v>
      </c>
      <c r="R1406" t="s">
        <v>1472</v>
      </c>
      <c r="S1406" t="s">
        <v>1438</v>
      </c>
      <c r="T1406" t="s">
        <v>1474</v>
      </c>
      <c r="U1406">
        <v>190902</v>
      </c>
      <c r="V1406" t="s">
        <v>8758</v>
      </c>
      <c r="W1406" t="s">
        <v>8759</v>
      </c>
      <c r="X1406" t="s">
        <v>1596</v>
      </c>
      <c r="Y1406" t="s">
        <v>1597</v>
      </c>
      <c r="Z1406" t="s">
        <v>1598</v>
      </c>
      <c r="AA1406" t="s">
        <v>1599</v>
      </c>
      <c r="AB1406" t="s">
        <v>1600</v>
      </c>
      <c r="AE1406">
        <v>-37.715376329999998</v>
      </c>
      <c r="AF1406">
        <v>175.99582845</v>
      </c>
      <c r="AG1406">
        <v>30</v>
      </c>
      <c r="AH1406">
        <v>0</v>
      </c>
      <c r="AI1406">
        <v>0</v>
      </c>
      <c r="AJ1406">
        <v>0</v>
      </c>
      <c r="AK1406">
        <v>7</v>
      </c>
      <c r="AL1406">
        <v>14</v>
      </c>
      <c r="AM1406">
        <v>18</v>
      </c>
      <c r="AN1406">
        <v>1</v>
      </c>
      <c r="AO1406">
        <v>40</v>
      </c>
      <c r="AP1406">
        <v>38</v>
      </c>
      <c r="AQ1406">
        <v>6</v>
      </c>
      <c r="AR1406">
        <v>0</v>
      </c>
      <c r="AS1406">
        <v>2</v>
      </c>
      <c r="AT1406">
        <v>0</v>
      </c>
    </row>
    <row r="1407" spans="1:46">
      <c r="A1407">
        <v>30197</v>
      </c>
      <c r="B1407" t="s">
        <v>8760</v>
      </c>
      <c r="C1407" t="s">
        <v>8761</v>
      </c>
      <c r="D1407" t="s">
        <v>8762</v>
      </c>
      <c r="E1407" t="s">
        <v>8763</v>
      </c>
      <c r="F1407" t="s">
        <v>1313</v>
      </c>
      <c r="G1407" t="s">
        <v>1296</v>
      </c>
      <c r="H1407" t="s">
        <v>4716</v>
      </c>
      <c r="J1407" t="s">
        <v>3962</v>
      </c>
      <c r="K1407" t="s">
        <v>519</v>
      </c>
      <c r="M1407" t="s">
        <v>1297</v>
      </c>
      <c r="N1407" t="s">
        <v>571</v>
      </c>
      <c r="O1407" t="s">
        <v>1298</v>
      </c>
      <c r="P1407" t="s">
        <v>654</v>
      </c>
      <c r="Q1407" t="s">
        <v>1299</v>
      </c>
      <c r="R1407" t="s">
        <v>1760</v>
      </c>
      <c r="S1407" t="s">
        <v>1312</v>
      </c>
      <c r="T1407" t="s">
        <v>1235</v>
      </c>
      <c r="U1407">
        <v>177300</v>
      </c>
      <c r="V1407" t="s">
        <v>1313</v>
      </c>
      <c r="W1407" t="s">
        <v>1314</v>
      </c>
      <c r="X1407" t="s">
        <v>8764</v>
      </c>
      <c r="Y1407" t="s">
        <v>8763</v>
      </c>
      <c r="Z1407" t="s">
        <v>1313</v>
      </c>
      <c r="AA1407" t="s">
        <v>8511</v>
      </c>
      <c r="AB1407" t="s">
        <v>8761</v>
      </c>
      <c r="AE1407">
        <v>-37.749666830000002</v>
      </c>
      <c r="AF1407">
        <v>175.27363188999999</v>
      </c>
      <c r="AG1407">
        <v>80</v>
      </c>
      <c r="AH1407">
        <v>80</v>
      </c>
      <c r="AI1407">
        <v>4</v>
      </c>
      <c r="AJ1407">
        <v>13</v>
      </c>
      <c r="AK1407">
        <v>22</v>
      </c>
      <c r="AL1407">
        <v>13</v>
      </c>
      <c r="AM1407">
        <v>11</v>
      </c>
      <c r="AN1407">
        <v>0</v>
      </c>
      <c r="AO1407">
        <v>63</v>
      </c>
      <c r="AP1407">
        <v>57</v>
      </c>
      <c r="AQ1407">
        <v>14</v>
      </c>
      <c r="AR1407">
        <v>2</v>
      </c>
      <c r="AS1407">
        <v>3</v>
      </c>
      <c r="AT1407">
        <v>1</v>
      </c>
    </row>
    <row r="1408" spans="1:46">
      <c r="A1408">
        <v>30203</v>
      </c>
      <c r="B1408" t="s">
        <v>8765</v>
      </c>
      <c r="C1408" t="s">
        <v>8766</v>
      </c>
      <c r="E1408" t="s">
        <v>8767</v>
      </c>
      <c r="F1408" t="s">
        <v>1393</v>
      </c>
      <c r="G1408" t="s">
        <v>1296</v>
      </c>
      <c r="H1408" t="s">
        <v>3942</v>
      </c>
      <c r="J1408" t="s">
        <v>518</v>
      </c>
      <c r="K1408" t="s">
        <v>519</v>
      </c>
      <c r="M1408" t="s">
        <v>1297</v>
      </c>
      <c r="N1408" t="s">
        <v>557</v>
      </c>
      <c r="O1408" t="s">
        <v>1298</v>
      </c>
      <c r="P1408" t="s">
        <v>654</v>
      </c>
      <c r="Q1408" t="s">
        <v>1299</v>
      </c>
      <c r="R1408" t="s">
        <v>1300</v>
      </c>
      <c r="S1408" t="s">
        <v>1301</v>
      </c>
      <c r="T1408" t="s">
        <v>1235</v>
      </c>
      <c r="U1408">
        <v>180100</v>
      </c>
      <c r="V1408" t="s">
        <v>8768</v>
      </c>
      <c r="W1408" t="s">
        <v>1303</v>
      </c>
      <c r="X1408" t="s">
        <v>8377</v>
      </c>
      <c r="Y1408" t="s">
        <v>3944</v>
      </c>
      <c r="Z1408" t="s">
        <v>3945</v>
      </c>
      <c r="AA1408" t="s">
        <v>3946</v>
      </c>
      <c r="AB1408" t="s">
        <v>8378</v>
      </c>
      <c r="AE1408">
        <v>-37.808454609999998</v>
      </c>
      <c r="AF1408">
        <v>175.28302732</v>
      </c>
      <c r="AG1408">
        <v>30</v>
      </c>
      <c r="AH1408">
        <v>0</v>
      </c>
      <c r="AI1408">
        <v>0</v>
      </c>
      <c r="AJ1408">
        <v>0</v>
      </c>
      <c r="AK1408">
        <v>5</v>
      </c>
      <c r="AL1408">
        <v>7</v>
      </c>
      <c r="AM1408">
        <v>23</v>
      </c>
      <c r="AN1408">
        <v>0</v>
      </c>
      <c r="AO1408">
        <v>35</v>
      </c>
      <c r="AP1408">
        <v>2</v>
      </c>
      <c r="AQ1408">
        <v>3</v>
      </c>
      <c r="AR1408">
        <v>1</v>
      </c>
      <c r="AS1408">
        <v>30</v>
      </c>
      <c r="AT1408">
        <v>3</v>
      </c>
    </row>
    <row r="1409" spans="1:46">
      <c r="A1409">
        <v>30205</v>
      </c>
      <c r="B1409" t="s">
        <v>8769</v>
      </c>
      <c r="C1409" t="s">
        <v>8770</v>
      </c>
      <c r="E1409" t="s">
        <v>8771</v>
      </c>
      <c r="F1409" t="s">
        <v>1295</v>
      </c>
      <c r="G1409" t="s">
        <v>1296</v>
      </c>
      <c r="H1409" t="s">
        <v>3942</v>
      </c>
      <c r="J1409" t="s">
        <v>3962</v>
      </c>
      <c r="K1409" t="s">
        <v>519</v>
      </c>
      <c r="M1409" t="s">
        <v>1297</v>
      </c>
      <c r="N1409" t="s">
        <v>571</v>
      </c>
      <c r="O1409" t="s">
        <v>1298</v>
      </c>
      <c r="P1409" t="s">
        <v>654</v>
      </c>
      <c r="Q1409" t="s">
        <v>1299</v>
      </c>
      <c r="R1409" t="s">
        <v>1300</v>
      </c>
      <c r="S1409" t="s">
        <v>1301</v>
      </c>
      <c r="T1409" t="s">
        <v>1235</v>
      </c>
      <c r="U1409">
        <v>179001</v>
      </c>
      <c r="V1409" t="s">
        <v>8772</v>
      </c>
      <c r="W1409" t="s">
        <v>1303</v>
      </c>
      <c r="X1409" t="s">
        <v>8773</v>
      </c>
      <c r="Y1409" t="s">
        <v>8774</v>
      </c>
      <c r="AA1409" t="s">
        <v>8650</v>
      </c>
      <c r="AB1409" t="s">
        <v>8775</v>
      </c>
      <c r="AC1409">
        <v>99035</v>
      </c>
      <c r="AD1409" t="s">
        <v>1308</v>
      </c>
      <c r="AE1409">
        <v>-37.781941160000002</v>
      </c>
      <c r="AF1409">
        <v>175.27708204000001</v>
      </c>
      <c r="AG1409">
        <v>60</v>
      </c>
      <c r="AH1409">
        <v>20</v>
      </c>
      <c r="AI1409">
        <v>1</v>
      </c>
      <c r="AJ1409">
        <v>11</v>
      </c>
      <c r="AK1409">
        <v>12</v>
      </c>
      <c r="AL1409">
        <v>10</v>
      </c>
      <c r="AM1409">
        <v>16</v>
      </c>
      <c r="AN1409">
        <v>0</v>
      </c>
      <c r="AO1409">
        <v>50</v>
      </c>
      <c r="AP1409">
        <v>27</v>
      </c>
      <c r="AQ1409">
        <v>15</v>
      </c>
      <c r="AR1409">
        <v>3</v>
      </c>
      <c r="AS1409">
        <v>15</v>
      </c>
      <c r="AT1409">
        <v>2</v>
      </c>
    </row>
    <row r="1410" spans="1:46">
      <c r="A1410">
        <v>30207</v>
      </c>
      <c r="B1410" t="s">
        <v>8776</v>
      </c>
      <c r="C1410" t="s">
        <v>8777</v>
      </c>
      <c r="D1410" t="s">
        <v>8778</v>
      </c>
      <c r="E1410" t="s">
        <v>8779</v>
      </c>
      <c r="G1410" t="s">
        <v>1555</v>
      </c>
      <c r="H1410" t="s">
        <v>3942</v>
      </c>
      <c r="J1410" t="s">
        <v>3962</v>
      </c>
      <c r="K1410" t="s">
        <v>519</v>
      </c>
      <c r="M1410" t="s">
        <v>1297</v>
      </c>
      <c r="N1410" t="s">
        <v>727</v>
      </c>
      <c r="O1410" t="s">
        <v>1351</v>
      </c>
      <c r="P1410" t="s">
        <v>523</v>
      </c>
      <c r="Q1410" t="s">
        <v>1299</v>
      </c>
      <c r="R1410" t="s">
        <v>1300</v>
      </c>
      <c r="S1410" t="s">
        <v>1300</v>
      </c>
      <c r="T1410" t="s">
        <v>1235</v>
      </c>
      <c r="U1410">
        <v>171502</v>
      </c>
      <c r="V1410" t="s">
        <v>1556</v>
      </c>
      <c r="W1410" t="s">
        <v>1557</v>
      </c>
      <c r="X1410" t="s">
        <v>8780</v>
      </c>
      <c r="Y1410" t="s">
        <v>8781</v>
      </c>
      <c r="Z1410" t="s">
        <v>7660</v>
      </c>
      <c r="AA1410" t="s">
        <v>8072</v>
      </c>
      <c r="AB1410" t="s">
        <v>8782</v>
      </c>
      <c r="AE1410">
        <v>-37.571519500000001</v>
      </c>
      <c r="AF1410">
        <v>175.15722700000001</v>
      </c>
      <c r="AG1410">
        <v>46</v>
      </c>
      <c r="AH1410">
        <v>16</v>
      </c>
      <c r="AI1410">
        <v>1</v>
      </c>
      <c r="AJ1410">
        <v>10</v>
      </c>
      <c r="AK1410">
        <v>9</v>
      </c>
      <c r="AL1410">
        <v>14</v>
      </c>
      <c r="AM1410">
        <v>12</v>
      </c>
      <c r="AN1410">
        <v>0</v>
      </c>
      <c r="AO1410">
        <v>46</v>
      </c>
      <c r="AP1410">
        <v>34</v>
      </c>
      <c r="AQ1410">
        <v>10</v>
      </c>
      <c r="AR1410">
        <v>6</v>
      </c>
      <c r="AS1410">
        <v>4</v>
      </c>
      <c r="AT1410">
        <v>0</v>
      </c>
    </row>
    <row r="1411" spans="1:46">
      <c r="A1411">
        <v>30208</v>
      </c>
      <c r="B1411" t="s">
        <v>8783</v>
      </c>
      <c r="C1411" t="s">
        <v>8784</v>
      </c>
      <c r="D1411" t="s">
        <v>8785</v>
      </c>
      <c r="E1411" t="s">
        <v>8786</v>
      </c>
      <c r="F1411" t="s">
        <v>8787</v>
      </c>
      <c r="G1411" t="s">
        <v>2197</v>
      </c>
      <c r="H1411" t="s">
        <v>3942</v>
      </c>
      <c r="J1411" t="s">
        <v>3962</v>
      </c>
      <c r="K1411" t="s">
        <v>519</v>
      </c>
      <c r="M1411" t="s">
        <v>1297</v>
      </c>
      <c r="N1411" t="s">
        <v>557</v>
      </c>
      <c r="O1411" t="s">
        <v>2198</v>
      </c>
      <c r="P1411" t="s">
        <v>584</v>
      </c>
      <c r="Q1411" t="s">
        <v>2118</v>
      </c>
      <c r="R1411" t="s">
        <v>2084</v>
      </c>
      <c r="S1411" t="s">
        <v>2199</v>
      </c>
      <c r="T1411" t="s">
        <v>2085</v>
      </c>
      <c r="U1411">
        <v>209700</v>
      </c>
      <c r="V1411" t="s">
        <v>8788</v>
      </c>
      <c r="W1411" t="s">
        <v>2200</v>
      </c>
      <c r="X1411" t="s">
        <v>8789</v>
      </c>
      <c r="Y1411" t="s">
        <v>8790</v>
      </c>
      <c r="AA1411" t="s">
        <v>8791</v>
      </c>
      <c r="AC1411">
        <v>99159</v>
      </c>
      <c r="AD1411" t="s">
        <v>2206</v>
      </c>
      <c r="AE1411">
        <v>-39.635939489999998</v>
      </c>
      <c r="AF1411">
        <v>176.83802094999999</v>
      </c>
      <c r="AG1411">
        <v>35</v>
      </c>
      <c r="AH1411">
        <v>12</v>
      </c>
      <c r="AI1411">
        <v>2</v>
      </c>
      <c r="AJ1411">
        <v>10</v>
      </c>
      <c r="AK1411">
        <v>6</v>
      </c>
      <c r="AL1411">
        <v>7</v>
      </c>
      <c r="AM1411">
        <v>8</v>
      </c>
      <c r="AN1411">
        <v>0</v>
      </c>
      <c r="AO1411">
        <v>33</v>
      </c>
      <c r="AP1411">
        <v>15</v>
      </c>
      <c r="AQ1411">
        <v>3</v>
      </c>
      <c r="AR1411">
        <v>5</v>
      </c>
      <c r="AS1411">
        <v>15</v>
      </c>
      <c r="AT1411">
        <v>0</v>
      </c>
    </row>
    <row r="1412" spans="1:46">
      <c r="A1412">
        <v>30209</v>
      </c>
      <c r="B1412" t="s">
        <v>8792</v>
      </c>
      <c r="C1412" t="s">
        <v>8793</v>
      </c>
      <c r="D1412" t="s">
        <v>8794</v>
      </c>
      <c r="E1412" t="s">
        <v>8795</v>
      </c>
      <c r="G1412" t="s">
        <v>2197</v>
      </c>
      <c r="H1412" t="s">
        <v>4032</v>
      </c>
      <c r="I1412" t="s">
        <v>4033</v>
      </c>
      <c r="J1412" t="s">
        <v>518</v>
      </c>
      <c r="K1412" t="s">
        <v>519</v>
      </c>
      <c r="M1412" t="s">
        <v>1297</v>
      </c>
      <c r="N1412" t="s">
        <v>727</v>
      </c>
      <c r="O1412" t="s">
        <v>2198</v>
      </c>
      <c r="P1412" t="s">
        <v>584</v>
      </c>
      <c r="Q1412" t="s">
        <v>2118</v>
      </c>
      <c r="R1412" t="s">
        <v>2084</v>
      </c>
      <c r="S1412" t="s">
        <v>2199</v>
      </c>
      <c r="T1412" t="s">
        <v>2085</v>
      </c>
      <c r="U1412">
        <v>209500</v>
      </c>
      <c r="V1412" t="s">
        <v>2196</v>
      </c>
      <c r="W1412" t="s">
        <v>2200</v>
      </c>
      <c r="X1412" t="s">
        <v>8796</v>
      </c>
      <c r="Y1412" t="s">
        <v>8797</v>
      </c>
      <c r="AA1412" t="s">
        <v>8798</v>
      </c>
      <c r="AB1412" t="s">
        <v>8799</v>
      </c>
      <c r="AE1412">
        <v>-39.626998450000002</v>
      </c>
      <c r="AF1412">
        <v>176.82513308</v>
      </c>
      <c r="AG1412">
        <v>11</v>
      </c>
      <c r="AH1412">
        <v>7</v>
      </c>
    </row>
    <row r="1413" spans="1:46">
      <c r="A1413">
        <v>30211</v>
      </c>
      <c r="B1413" t="s">
        <v>8800</v>
      </c>
      <c r="C1413" t="s">
        <v>8801</v>
      </c>
      <c r="D1413" t="s">
        <v>8802</v>
      </c>
      <c r="E1413" t="s">
        <v>8803</v>
      </c>
      <c r="F1413" t="s">
        <v>2258</v>
      </c>
      <c r="G1413" t="s">
        <v>2197</v>
      </c>
      <c r="H1413" t="s">
        <v>343</v>
      </c>
      <c r="J1413" t="s">
        <v>518</v>
      </c>
      <c r="K1413" t="s">
        <v>519</v>
      </c>
      <c r="L1413" t="s">
        <v>4205</v>
      </c>
      <c r="M1413" t="s">
        <v>1297</v>
      </c>
      <c r="N1413" t="s">
        <v>727</v>
      </c>
      <c r="O1413" t="s">
        <v>2198</v>
      </c>
      <c r="P1413" t="s">
        <v>584</v>
      </c>
      <c r="Q1413" t="s">
        <v>2118</v>
      </c>
      <c r="R1413" t="s">
        <v>2084</v>
      </c>
      <c r="S1413" t="s">
        <v>2199</v>
      </c>
      <c r="T1413" t="s">
        <v>2085</v>
      </c>
      <c r="U1413">
        <v>209901</v>
      </c>
      <c r="V1413" t="s">
        <v>2258</v>
      </c>
      <c r="W1413" t="s">
        <v>2200</v>
      </c>
      <c r="X1413" t="s">
        <v>8804</v>
      </c>
      <c r="Y1413" t="s">
        <v>4208</v>
      </c>
      <c r="Z1413" t="s">
        <v>4209</v>
      </c>
      <c r="AA1413" t="s">
        <v>4210</v>
      </c>
      <c r="AB1413" t="s">
        <v>8805</v>
      </c>
      <c r="AE1413">
        <v>-39.640339349999998</v>
      </c>
      <c r="AF1413">
        <v>176.8192837</v>
      </c>
      <c r="AG1413">
        <v>30</v>
      </c>
      <c r="AH1413">
        <v>15</v>
      </c>
      <c r="AI1413">
        <v>2</v>
      </c>
      <c r="AJ1413">
        <v>6</v>
      </c>
      <c r="AK1413">
        <v>6</v>
      </c>
      <c r="AL1413">
        <v>10</v>
      </c>
      <c r="AM1413">
        <v>6</v>
      </c>
      <c r="AN1413">
        <v>0</v>
      </c>
      <c r="AO1413">
        <v>30</v>
      </c>
      <c r="AP1413">
        <v>0</v>
      </c>
      <c r="AQ1413">
        <v>29</v>
      </c>
      <c r="AR1413">
        <v>1</v>
      </c>
      <c r="AS1413">
        <v>0</v>
      </c>
      <c r="AT1413">
        <v>0</v>
      </c>
    </row>
    <row r="1414" spans="1:46">
      <c r="A1414">
        <v>30216</v>
      </c>
      <c r="B1414" t="s">
        <v>8806</v>
      </c>
      <c r="C1414" t="s">
        <v>8807</v>
      </c>
      <c r="D1414" t="s">
        <v>8808</v>
      </c>
      <c r="E1414" t="s">
        <v>8809</v>
      </c>
      <c r="F1414" t="s">
        <v>1398</v>
      </c>
      <c r="G1414" t="s">
        <v>1296</v>
      </c>
      <c r="H1414" t="s">
        <v>3942</v>
      </c>
      <c r="J1414" t="s">
        <v>518</v>
      </c>
      <c r="K1414" t="s">
        <v>519</v>
      </c>
      <c r="M1414" t="s">
        <v>1297</v>
      </c>
      <c r="N1414" t="s">
        <v>571</v>
      </c>
      <c r="O1414" t="s">
        <v>1298</v>
      </c>
      <c r="P1414" t="s">
        <v>654</v>
      </c>
      <c r="Q1414" t="s">
        <v>1299</v>
      </c>
      <c r="R1414" t="s">
        <v>1300</v>
      </c>
      <c r="S1414" t="s">
        <v>1312</v>
      </c>
      <c r="T1414" t="s">
        <v>1235</v>
      </c>
      <c r="U1414">
        <v>179600</v>
      </c>
      <c r="V1414" t="s">
        <v>8810</v>
      </c>
      <c r="W1414" t="s">
        <v>1314</v>
      </c>
      <c r="X1414" t="s">
        <v>8377</v>
      </c>
      <c r="Y1414" t="s">
        <v>3944</v>
      </c>
      <c r="Z1414" t="s">
        <v>3945</v>
      </c>
      <c r="AA1414" t="s">
        <v>3946</v>
      </c>
      <c r="AB1414" t="s">
        <v>8378</v>
      </c>
      <c r="AE1414">
        <v>-37.774831540000001</v>
      </c>
      <c r="AF1414">
        <v>175.29588440000001</v>
      </c>
      <c r="AG1414">
        <v>36</v>
      </c>
      <c r="AH1414">
        <v>10</v>
      </c>
      <c r="AI1414">
        <v>0</v>
      </c>
      <c r="AJ1414">
        <v>1</v>
      </c>
      <c r="AK1414">
        <v>13</v>
      </c>
      <c r="AL1414">
        <v>9</v>
      </c>
      <c r="AM1414">
        <v>12</v>
      </c>
      <c r="AN1414">
        <v>0</v>
      </c>
      <c r="AO1414">
        <v>35</v>
      </c>
      <c r="AP1414">
        <v>7</v>
      </c>
      <c r="AQ1414">
        <v>14</v>
      </c>
      <c r="AR1414">
        <v>3</v>
      </c>
      <c r="AS1414">
        <v>14</v>
      </c>
      <c r="AT1414">
        <v>3</v>
      </c>
    </row>
    <row r="1415" spans="1:46">
      <c r="A1415">
        <v>30217</v>
      </c>
      <c r="B1415" t="s">
        <v>8811</v>
      </c>
      <c r="C1415" t="s">
        <v>8399</v>
      </c>
      <c r="D1415" t="s">
        <v>8400</v>
      </c>
      <c r="E1415" t="s">
        <v>8401</v>
      </c>
      <c r="G1415" t="s">
        <v>1598</v>
      </c>
      <c r="H1415" t="s">
        <v>4716</v>
      </c>
      <c r="J1415" t="s">
        <v>3962</v>
      </c>
      <c r="K1415" t="s">
        <v>519</v>
      </c>
      <c r="M1415" t="s">
        <v>1297</v>
      </c>
      <c r="N1415" t="s">
        <v>571</v>
      </c>
      <c r="O1415" t="s">
        <v>1698</v>
      </c>
      <c r="P1415" t="s">
        <v>654</v>
      </c>
      <c r="Q1415" t="s">
        <v>1471</v>
      </c>
      <c r="R1415" t="s">
        <v>1300</v>
      </c>
      <c r="S1415" t="s">
        <v>1598</v>
      </c>
      <c r="T1415" t="s">
        <v>1474</v>
      </c>
      <c r="U1415">
        <v>193800</v>
      </c>
      <c r="V1415" t="s">
        <v>8402</v>
      </c>
      <c r="W1415" t="s">
        <v>3724</v>
      </c>
      <c r="X1415" t="s">
        <v>8403</v>
      </c>
      <c r="Y1415" t="s">
        <v>8401</v>
      </c>
      <c r="AA1415" t="s">
        <v>8404</v>
      </c>
      <c r="AE1415">
        <v>-37.684214740000002</v>
      </c>
      <c r="AF1415">
        <v>176.16808179</v>
      </c>
      <c r="AG1415">
        <v>80</v>
      </c>
      <c r="AH1415">
        <v>50</v>
      </c>
      <c r="AI1415">
        <v>3</v>
      </c>
      <c r="AJ1415">
        <v>10</v>
      </c>
      <c r="AK1415">
        <v>16</v>
      </c>
      <c r="AL1415">
        <v>8</v>
      </c>
      <c r="AM1415">
        <v>8</v>
      </c>
      <c r="AN1415">
        <v>0</v>
      </c>
      <c r="AO1415">
        <v>45</v>
      </c>
      <c r="AP1415">
        <v>29</v>
      </c>
      <c r="AQ1415">
        <v>12</v>
      </c>
      <c r="AR1415">
        <v>7</v>
      </c>
      <c r="AS1415">
        <v>8</v>
      </c>
      <c r="AT1415">
        <v>4</v>
      </c>
    </row>
    <row r="1416" spans="1:46">
      <c r="A1416">
        <v>30218</v>
      </c>
      <c r="B1416" t="s">
        <v>8812</v>
      </c>
      <c r="C1416" t="s">
        <v>8813</v>
      </c>
      <c r="E1416" t="s">
        <v>8814</v>
      </c>
      <c r="G1416" t="s">
        <v>1350</v>
      </c>
      <c r="H1416" t="s">
        <v>3942</v>
      </c>
      <c r="J1416" t="s">
        <v>3962</v>
      </c>
      <c r="K1416" t="s">
        <v>519</v>
      </c>
      <c r="M1416" t="s">
        <v>1297</v>
      </c>
      <c r="N1416" t="s">
        <v>539</v>
      </c>
      <c r="O1416" t="s">
        <v>1351</v>
      </c>
      <c r="P1416" t="s">
        <v>523</v>
      </c>
      <c r="Q1416" t="s">
        <v>1299</v>
      </c>
      <c r="R1416" t="s">
        <v>1300</v>
      </c>
      <c r="S1416" t="s">
        <v>1300</v>
      </c>
      <c r="T1416" t="s">
        <v>1235</v>
      </c>
      <c r="U1416">
        <v>172100</v>
      </c>
      <c r="V1416" t="s">
        <v>1352</v>
      </c>
      <c r="W1416" t="s">
        <v>1353</v>
      </c>
      <c r="X1416" t="s">
        <v>8815</v>
      </c>
      <c r="Y1416" t="s">
        <v>8816</v>
      </c>
      <c r="Z1416" t="s">
        <v>8817</v>
      </c>
      <c r="AA1416" t="s">
        <v>8818</v>
      </c>
      <c r="AB1416" t="s">
        <v>8819</v>
      </c>
      <c r="AC1416">
        <v>99156</v>
      </c>
      <c r="AD1416" t="s">
        <v>1354</v>
      </c>
      <c r="AE1416">
        <v>-37.666705489999998</v>
      </c>
      <c r="AF1416">
        <v>175.15000402000001</v>
      </c>
      <c r="AG1416">
        <v>30</v>
      </c>
      <c r="AH1416">
        <v>10</v>
      </c>
      <c r="AI1416">
        <v>1</v>
      </c>
      <c r="AJ1416">
        <v>6</v>
      </c>
      <c r="AK1416">
        <v>5</v>
      </c>
      <c r="AL1416">
        <v>10</v>
      </c>
      <c r="AM1416">
        <v>6</v>
      </c>
      <c r="AN1416">
        <v>1</v>
      </c>
      <c r="AO1416">
        <v>29</v>
      </c>
      <c r="AP1416">
        <v>0</v>
      </c>
      <c r="AQ1416">
        <v>27</v>
      </c>
      <c r="AR1416">
        <v>2</v>
      </c>
      <c r="AS1416">
        <v>0</v>
      </c>
      <c r="AT1416">
        <v>0</v>
      </c>
    </row>
    <row r="1417" spans="1:46">
      <c r="A1417">
        <v>30220</v>
      </c>
      <c r="B1417" t="s">
        <v>8820</v>
      </c>
      <c r="C1417" t="s">
        <v>8821</v>
      </c>
      <c r="D1417" t="s">
        <v>8822</v>
      </c>
      <c r="E1417" t="s">
        <v>8823</v>
      </c>
      <c r="F1417" t="s">
        <v>1295</v>
      </c>
      <c r="G1417" t="s">
        <v>1296</v>
      </c>
      <c r="H1417" t="s">
        <v>8824</v>
      </c>
      <c r="I1417" t="s">
        <v>6218</v>
      </c>
      <c r="J1417" t="s">
        <v>518</v>
      </c>
      <c r="K1417" t="s">
        <v>519</v>
      </c>
      <c r="M1417" t="s">
        <v>1297</v>
      </c>
      <c r="N1417" t="s">
        <v>557</v>
      </c>
      <c r="O1417" t="s">
        <v>1298</v>
      </c>
      <c r="P1417" t="s">
        <v>654</v>
      </c>
      <c r="Q1417" t="s">
        <v>1299</v>
      </c>
      <c r="R1417" t="s">
        <v>1300</v>
      </c>
      <c r="S1417" t="s">
        <v>1301</v>
      </c>
      <c r="T1417" t="s">
        <v>1235</v>
      </c>
      <c r="U1417">
        <v>176301</v>
      </c>
      <c r="V1417" t="s">
        <v>8429</v>
      </c>
      <c r="W1417" t="s">
        <v>1303</v>
      </c>
      <c r="X1417" t="s">
        <v>8825</v>
      </c>
      <c r="Y1417" t="s">
        <v>8598</v>
      </c>
      <c r="Z1417" t="s">
        <v>8599</v>
      </c>
      <c r="AA1417" t="s">
        <v>8600</v>
      </c>
      <c r="AB1417" t="s">
        <v>8826</v>
      </c>
      <c r="AE1417">
        <v>-37.761238890000001</v>
      </c>
      <c r="AF1417">
        <v>175.25005127</v>
      </c>
      <c r="AG1417">
        <v>53</v>
      </c>
      <c r="AH1417">
        <v>15</v>
      </c>
      <c r="AI1417">
        <v>1</v>
      </c>
      <c r="AJ1417">
        <v>5</v>
      </c>
      <c r="AK1417">
        <v>14</v>
      </c>
      <c r="AL1417">
        <v>16</v>
      </c>
      <c r="AM1417">
        <v>10</v>
      </c>
      <c r="AN1417">
        <v>1</v>
      </c>
      <c r="AO1417">
        <v>47</v>
      </c>
      <c r="AP1417">
        <v>11</v>
      </c>
      <c r="AQ1417">
        <v>44</v>
      </c>
      <c r="AR1417">
        <v>8</v>
      </c>
      <c r="AS1417">
        <v>2</v>
      </c>
      <c r="AT1417">
        <v>1</v>
      </c>
    </row>
    <row r="1418" spans="1:46">
      <c r="A1418">
        <v>30230</v>
      </c>
      <c r="B1418" t="s">
        <v>8827</v>
      </c>
      <c r="C1418" t="s">
        <v>8821</v>
      </c>
      <c r="D1418" t="s">
        <v>8828</v>
      </c>
      <c r="E1418" t="s">
        <v>8829</v>
      </c>
      <c r="G1418" t="s">
        <v>1538</v>
      </c>
      <c r="H1418" t="s">
        <v>3942</v>
      </c>
      <c r="I1418" t="s">
        <v>6218</v>
      </c>
      <c r="J1418" t="s">
        <v>518</v>
      </c>
      <c r="K1418" t="s">
        <v>519</v>
      </c>
      <c r="M1418" t="s">
        <v>1297</v>
      </c>
      <c r="N1418" t="s">
        <v>571</v>
      </c>
      <c r="O1418" t="s">
        <v>1319</v>
      </c>
      <c r="P1418" t="s">
        <v>1262</v>
      </c>
      <c r="Q1418" t="s">
        <v>1299</v>
      </c>
      <c r="R1418" t="s">
        <v>1300</v>
      </c>
      <c r="S1418" t="s">
        <v>1417</v>
      </c>
      <c r="T1418" t="s">
        <v>1235</v>
      </c>
      <c r="U1418">
        <v>183300</v>
      </c>
      <c r="V1418" t="s">
        <v>8830</v>
      </c>
      <c r="W1418" t="s">
        <v>1540</v>
      </c>
      <c r="X1418" t="s">
        <v>8831</v>
      </c>
      <c r="Y1418" t="s">
        <v>8598</v>
      </c>
      <c r="Z1418" t="s">
        <v>8599</v>
      </c>
      <c r="AA1418" t="s">
        <v>8600</v>
      </c>
      <c r="AB1418" t="s">
        <v>8821</v>
      </c>
      <c r="AE1418">
        <v>-38.003069830000001</v>
      </c>
      <c r="AF1418">
        <v>175.31518876000001</v>
      </c>
      <c r="AG1418">
        <v>50</v>
      </c>
      <c r="AH1418">
        <v>12</v>
      </c>
      <c r="AI1418">
        <v>4</v>
      </c>
      <c r="AJ1418">
        <v>5</v>
      </c>
      <c r="AK1418">
        <v>14</v>
      </c>
      <c r="AL1418">
        <v>7</v>
      </c>
      <c r="AM1418">
        <v>11</v>
      </c>
      <c r="AN1418">
        <v>0</v>
      </c>
      <c r="AO1418">
        <v>41</v>
      </c>
      <c r="AP1418">
        <v>10</v>
      </c>
      <c r="AQ1418">
        <v>40</v>
      </c>
      <c r="AR1418">
        <v>4</v>
      </c>
      <c r="AS1418">
        <v>1</v>
      </c>
      <c r="AT1418">
        <v>0</v>
      </c>
    </row>
    <row r="1419" spans="1:46">
      <c r="A1419">
        <v>30233</v>
      </c>
      <c r="B1419" t="s">
        <v>8832</v>
      </c>
      <c r="C1419" t="s">
        <v>8833</v>
      </c>
      <c r="D1419" t="s">
        <v>8834</v>
      </c>
      <c r="E1419" t="s">
        <v>8835</v>
      </c>
      <c r="G1419" t="s">
        <v>1649</v>
      </c>
      <c r="H1419" t="s">
        <v>517</v>
      </c>
      <c r="J1419" t="s">
        <v>518</v>
      </c>
      <c r="K1419" t="s">
        <v>519</v>
      </c>
      <c r="M1419" t="s">
        <v>1297</v>
      </c>
      <c r="N1419" t="s">
        <v>727</v>
      </c>
      <c r="O1419" t="s">
        <v>1650</v>
      </c>
      <c r="P1419" t="s">
        <v>523</v>
      </c>
      <c r="Q1419" t="s">
        <v>1471</v>
      </c>
      <c r="R1419" t="s">
        <v>1472</v>
      </c>
      <c r="S1419" t="s">
        <v>1473</v>
      </c>
      <c r="T1419" t="s">
        <v>1474</v>
      </c>
      <c r="U1419">
        <v>203902</v>
      </c>
      <c r="V1419" t="s">
        <v>8836</v>
      </c>
      <c r="W1419" t="s">
        <v>1652</v>
      </c>
      <c r="X1419" t="s">
        <v>1477</v>
      </c>
      <c r="Y1419" t="s">
        <v>1441</v>
      </c>
      <c r="AA1419" t="s">
        <v>1442</v>
      </c>
      <c r="AB1419" t="s">
        <v>1478</v>
      </c>
      <c r="AC1419">
        <v>99038</v>
      </c>
      <c r="AD1419" t="s">
        <v>1515</v>
      </c>
      <c r="AE1419">
        <v>-38.095161820000001</v>
      </c>
      <c r="AF1419">
        <v>176.70342832</v>
      </c>
      <c r="AG1419">
        <v>38</v>
      </c>
      <c r="AH1419">
        <v>15</v>
      </c>
      <c r="AI1419">
        <v>0</v>
      </c>
      <c r="AJ1419">
        <v>4</v>
      </c>
      <c r="AK1419">
        <v>10</v>
      </c>
      <c r="AL1419">
        <v>16</v>
      </c>
      <c r="AM1419">
        <v>11</v>
      </c>
      <c r="AN1419">
        <v>2</v>
      </c>
      <c r="AO1419">
        <v>43</v>
      </c>
      <c r="AP1419">
        <v>19</v>
      </c>
      <c r="AQ1419">
        <v>36</v>
      </c>
      <c r="AR1419">
        <v>3</v>
      </c>
      <c r="AS1419">
        <v>3</v>
      </c>
      <c r="AT1419">
        <v>1</v>
      </c>
    </row>
    <row r="1420" spans="1:46">
      <c r="A1420">
        <v>30236</v>
      </c>
      <c r="B1420" t="s">
        <v>8837</v>
      </c>
      <c r="C1420" t="s">
        <v>8838</v>
      </c>
      <c r="D1420" t="s">
        <v>8839</v>
      </c>
      <c r="E1420" t="s">
        <v>8840</v>
      </c>
      <c r="G1420" t="s">
        <v>1619</v>
      </c>
      <c r="H1420" t="s">
        <v>3942</v>
      </c>
      <c r="J1420" t="s">
        <v>3962</v>
      </c>
      <c r="K1420" t="s">
        <v>519</v>
      </c>
      <c r="M1420" t="s">
        <v>1297</v>
      </c>
      <c r="N1420" t="s">
        <v>571</v>
      </c>
      <c r="O1420" t="s">
        <v>1620</v>
      </c>
      <c r="P1420" t="s">
        <v>523</v>
      </c>
      <c r="Q1420" t="s">
        <v>1299</v>
      </c>
      <c r="R1420" t="s">
        <v>1300</v>
      </c>
      <c r="S1420" t="s">
        <v>1417</v>
      </c>
      <c r="T1420" t="s">
        <v>1485</v>
      </c>
      <c r="U1420">
        <v>185500</v>
      </c>
      <c r="V1420" t="s">
        <v>1621</v>
      </c>
      <c r="W1420" t="s">
        <v>1622</v>
      </c>
      <c r="X1420" t="s">
        <v>8841</v>
      </c>
      <c r="Y1420" t="s">
        <v>8840</v>
      </c>
      <c r="Z1420" t="s">
        <v>1619</v>
      </c>
      <c r="AA1420" t="s">
        <v>8842</v>
      </c>
      <c r="AB1420" t="s">
        <v>8843</v>
      </c>
      <c r="AE1420">
        <v>-38.180311070000002</v>
      </c>
      <c r="AF1420">
        <v>175.20638041000001</v>
      </c>
      <c r="AG1420">
        <v>35</v>
      </c>
      <c r="AH1420">
        <v>12</v>
      </c>
      <c r="AI1420">
        <v>6</v>
      </c>
      <c r="AJ1420">
        <v>12</v>
      </c>
      <c r="AK1420">
        <v>22</v>
      </c>
      <c r="AL1420">
        <v>8</v>
      </c>
      <c r="AM1420">
        <v>0</v>
      </c>
      <c r="AN1420">
        <v>0</v>
      </c>
      <c r="AO1420">
        <v>48</v>
      </c>
      <c r="AP1420">
        <v>44</v>
      </c>
      <c r="AQ1420">
        <v>15</v>
      </c>
      <c r="AR1420">
        <v>2</v>
      </c>
      <c r="AS1420">
        <v>3</v>
      </c>
      <c r="AT1420">
        <v>1</v>
      </c>
    </row>
    <row r="1421" spans="1:46">
      <c r="A1421">
        <v>30237</v>
      </c>
      <c r="B1421" t="s">
        <v>8844</v>
      </c>
      <c r="C1421" t="s">
        <v>8845</v>
      </c>
      <c r="D1421" t="s">
        <v>8846</v>
      </c>
      <c r="E1421" t="s">
        <v>8847</v>
      </c>
      <c r="F1421" t="s">
        <v>3770</v>
      </c>
      <c r="G1421" t="s">
        <v>1598</v>
      </c>
      <c r="H1421" t="s">
        <v>3942</v>
      </c>
      <c r="J1421" t="s">
        <v>3962</v>
      </c>
      <c r="K1421" t="s">
        <v>519</v>
      </c>
      <c r="M1421" t="s">
        <v>1297</v>
      </c>
      <c r="N1421" t="s">
        <v>571</v>
      </c>
      <c r="O1421" t="s">
        <v>1698</v>
      </c>
      <c r="P1421" t="s">
        <v>654</v>
      </c>
      <c r="Q1421" t="s">
        <v>1471</v>
      </c>
      <c r="R1421" t="s">
        <v>1472</v>
      </c>
      <c r="S1421" t="s">
        <v>1699</v>
      </c>
      <c r="T1421" t="s">
        <v>1474</v>
      </c>
      <c r="U1421">
        <v>197000</v>
      </c>
      <c r="V1421" t="s">
        <v>4717</v>
      </c>
      <c r="W1421" t="s">
        <v>1701</v>
      </c>
      <c r="X1421" t="s">
        <v>8848</v>
      </c>
      <c r="Y1421" t="s">
        <v>8849</v>
      </c>
      <c r="Z1421" t="s">
        <v>3770</v>
      </c>
      <c r="AA1421" t="s">
        <v>4719</v>
      </c>
      <c r="AB1421" t="s">
        <v>8850</v>
      </c>
      <c r="AC1421">
        <v>99064</v>
      </c>
      <c r="AD1421" t="s">
        <v>1702</v>
      </c>
      <c r="AE1421">
        <v>-37.697477890000002</v>
      </c>
      <c r="AF1421">
        <v>176.26662400000001</v>
      </c>
      <c r="AG1421">
        <v>24</v>
      </c>
      <c r="AH1421">
        <v>8</v>
      </c>
      <c r="AI1421">
        <v>1</v>
      </c>
      <c r="AJ1421">
        <v>2</v>
      </c>
      <c r="AK1421">
        <v>4</v>
      </c>
      <c r="AL1421">
        <v>7</v>
      </c>
      <c r="AM1421">
        <v>11</v>
      </c>
      <c r="AN1421">
        <v>0</v>
      </c>
      <c r="AO1421">
        <v>25</v>
      </c>
      <c r="AP1421">
        <v>11</v>
      </c>
      <c r="AQ1421">
        <v>17</v>
      </c>
      <c r="AR1421">
        <v>2</v>
      </c>
      <c r="AS1421">
        <v>4</v>
      </c>
      <c r="AT1421">
        <v>1</v>
      </c>
    </row>
    <row r="1422" spans="1:46">
      <c r="A1422">
        <v>30238</v>
      </c>
      <c r="B1422" t="s">
        <v>8851</v>
      </c>
      <c r="C1422" t="s">
        <v>8852</v>
      </c>
      <c r="D1422" t="s">
        <v>8853</v>
      </c>
      <c r="E1422" t="s">
        <v>8854</v>
      </c>
      <c r="G1422" t="s">
        <v>1497</v>
      </c>
      <c r="H1422" t="s">
        <v>3942</v>
      </c>
      <c r="J1422" t="s">
        <v>3962</v>
      </c>
      <c r="K1422" t="s">
        <v>519</v>
      </c>
      <c r="M1422" t="s">
        <v>1297</v>
      </c>
      <c r="N1422" t="s">
        <v>557</v>
      </c>
      <c r="O1422" t="s">
        <v>1484</v>
      </c>
      <c r="P1422" t="s">
        <v>523</v>
      </c>
      <c r="Q1422" t="s">
        <v>1299</v>
      </c>
      <c r="R1422" t="s">
        <v>1300</v>
      </c>
      <c r="S1422" t="s">
        <v>1320</v>
      </c>
      <c r="T1422" t="s">
        <v>1485</v>
      </c>
      <c r="U1422">
        <v>186000</v>
      </c>
      <c r="V1422" t="s">
        <v>1498</v>
      </c>
      <c r="W1422" t="s">
        <v>1499</v>
      </c>
      <c r="X1422" t="s">
        <v>8855</v>
      </c>
      <c r="Y1422" t="s">
        <v>3981</v>
      </c>
      <c r="AA1422" t="s">
        <v>3982</v>
      </c>
      <c r="AB1422" t="s">
        <v>8852</v>
      </c>
      <c r="AE1422">
        <v>-38.049096300000002</v>
      </c>
      <c r="AF1422">
        <v>175.77776678999999</v>
      </c>
      <c r="AG1422">
        <v>60</v>
      </c>
      <c r="AH1422">
        <v>16</v>
      </c>
      <c r="AI1422">
        <v>5</v>
      </c>
      <c r="AJ1422">
        <v>17</v>
      </c>
      <c r="AK1422">
        <v>14</v>
      </c>
      <c r="AL1422">
        <v>7</v>
      </c>
      <c r="AM1422">
        <v>16</v>
      </c>
      <c r="AN1422">
        <v>0</v>
      </c>
      <c r="AO1422">
        <v>59</v>
      </c>
      <c r="AP1422">
        <v>29</v>
      </c>
      <c r="AQ1422">
        <v>9</v>
      </c>
      <c r="AR1422">
        <v>1</v>
      </c>
      <c r="AS1422">
        <v>1</v>
      </c>
      <c r="AT1422">
        <v>22</v>
      </c>
    </row>
    <row r="1423" spans="1:46">
      <c r="A1423">
        <v>30240</v>
      </c>
      <c r="B1423" t="s">
        <v>8856</v>
      </c>
      <c r="C1423" t="s">
        <v>8857</v>
      </c>
      <c r="D1423" t="s">
        <v>8858</v>
      </c>
      <c r="E1423" t="s">
        <v>8401</v>
      </c>
      <c r="G1423" t="s">
        <v>1598</v>
      </c>
      <c r="H1423" t="s">
        <v>4716</v>
      </c>
      <c r="J1423" t="s">
        <v>3962</v>
      </c>
      <c r="K1423" t="s">
        <v>519</v>
      </c>
      <c r="M1423" t="s">
        <v>520</v>
      </c>
      <c r="N1423" t="s">
        <v>571</v>
      </c>
      <c r="O1423" t="s">
        <v>1698</v>
      </c>
      <c r="P1423" t="s">
        <v>654</v>
      </c>
      <c r="Q1423" t="s">
        <v>1471</v>
      </c>
      <c r="R1423" t="s">
        <v>639</v>
      </c>
      <c r="S1423" t="s">
        <v>1598</v>
      </c>
      <c r="T1423" t="s">
        <v>1474</v>
      </c>
      <c r="U1423">
        <v>193800</v>
      </c>
      <c r="V1423" t="s">
        <v>8402</v>
      </c>
      <c r="W1423" t="s">
        <v>3724</v>
      </c>
      <c r="X1423" t="s">
        <v>8859</v>
      </c>
      <c r="Y1423" t="s">
        <v>8401</v>
      </c>
      <c r="AA1423" t="s">
        <v>8404</v>
      </c>
      <c r="AB1423" t="s">
        <v>8857</v>
      </c>
      <c r="AE1423">
        <v>-37.684240080000002</v>
      </c>
      <c r="AF1423">
        <v>176.16818140000001</v>
      </c>
      <c r="AG1423">
        <v>50</v>
      </c>
      <c r="AH1423">
        <v>50</v>
      </c>
      <c r="AI1423">
        <v>1</v>
      </c>
      <c r="AJ1423">
        <v>9</v>
      </c>
      <c r="AK1423">
        <v>16</v>
      </c>
      <c r="AL1423">
        <v>12</v>
      </c>
      <c r="AM1423">
        <v>2</v>
      </c>
      <c r="AN1423">
        <v>0</v>
      </c>
      <c r="AO1423">
        <v>40</v>
      </c>
      <c r="AP1423">
        <v>27</v>
      </c>
      <c r="AQ1423">
        <v>5</v>
      </c>
      <c r="AR1423">
        <v>3</v>
      </c>
      <c r="AS1423">
        <v>7</v>
      </c>
      <c r="AT1423">
        <v>8</v>
      </c>
    </row>
    <row r="1424" spans="1:46">
      <c r="A1424">
        <v>30244</v>
      </c>
      <c r="B1424" t="s">
        <v>8860</v>
      </c>
      <c r="C1424" t="s">
        <v>8861</v>
      </c>
      <c r="D1424" t="s">
        <v>8862</v>
      </c>
      <c r="E1424" t="s">
        <v>8863</v>
      </c>
      <c r="G1424" t="s">
        <v>2119</v>
      </c>
      <c r="H1424" t="s">
        <v>3942</v>
      </c>
      <c r="I1424" t="s">
        <v>4165</v>
      </c>
      <c r="J1424" t="s">
        <v>518</v>
      </c>
      <c r="K1424" t="s">
        <v>519</v>
      </c>
      <c r="M1424" t="s">
        <v>1297</v>
      </c>
      <c r="N1424" t="s">
        <v>727</v>
      </c>
      <c r="O1424" t="s">
        <v>2131</v>
      </c>
      <c r="P1424" t="s">
        <v>584</v>
      </c>
      <c r="Q1424" t="s">
        <v>2118</v>
      </c>
      <c r="R1424" t="s">
        <v>2084</v>
      </c>
      <c r="S1424" t="s">
        <v>2119</v>
      </c>
      <c r="T1424" t="s">
        <v>2085</v>
      </c>
      <c r="U1424">
        <v>215401</v>
      </c>
      <c r="V1424" t="s">
        <v>8864</v>
      </c>
      <c r="W1424" t="s">
        <v>2140</v>
      </c>
      <c r="X1424" t="s">
        <v>8865</v>
      </c>
      <c r="Y1424" t="s">
        <v>8866</v>
      </c>
      <c r="Z1424" t="s">
        <v>2122</v>
      </c>
      <c r="AA1424" t="s">
        <v>2123</v>
      </c>
      <c r="AB1424" t="s">
        <v>8867</v>
      </c>
      <c r="AE1424">
        <v>-39.520568259999997</v>
      </c>
      <c r="AF1424">
        <v>176.90025437</v>
      </c>
      <c r="AG1424">
        <v>48</v>
      </c>
      <c r="AH1424">
        <v>15</v>
      </c>
      <c r="AI1424">
        <v>1</v>
      </c>
      <c r="AJ1424">
        <v>8</v>
      </c>
      <c r="AK1424">
        <v>6</v>
      </c>
      <c r="AL1424">
        <v>6</v>
      </c>
      <c r="AM1424">
        <v>10</v>
      </c>
      <c r="AN1424">
        <v>0</v>
      </c>
      <c r="AO1424">
        <v>31</v>
      </c>
      <c r="AP1424">
        <v>1</v>
      </c>
      <c r="AQ1424">
        <v>5</v>
      </c>
      <c r="AR1424">
        <v>29</v>
      </c>
      <c r="AS1424">
        <v>0</v>
      </c>
      <c r="AT1424">
        <v>0</v>
      </c>
    </row>
    <row r="1425" spans="1:46">
      <c r="A1425">
        <v>30248</v>
      </c>
      <c r="B1425" t="s">
        <v>8868</v>
      </c>
      <c r="C1425" t="s">
        <v>8869</v>
      </c>
      <c r="D1425" t="s">
        <v>8870</v>
      </c>
      <c r="E1425" t="s">
        <v>8871</v>
      </c>
      <c r="G1425" t="s">
        <v>1469</v>
      </c>
      <c r="H1425" t="s">
        <v>3942</v>
      </c>
      <c r="J1425" t="s">
        <v>3962</v>
      </c>
      <c r="K1425" t="s">
        <v>519</v>
      </c>
      <c r="M1425" t="s">
        <v>1297</v>
      </c>
      <c r="N1425" t="s">
        <v>557</v>
      </c>
      <c r="O1425" t="s">
        <v>1470</v>
      </c>
      <c r="P1425" t="s">
        <v>1262</v>
      </c>
      <c r="Q1425" t="s">
        <v>1471</v>
      </c>
      <c r="R1425" t="s">
        <v>1472</v>
      </c>
      <c r="S1425" t="s">
        <v>1473</v>
      </c>
      <c r="T1425" t="s">
        <v>1474</v>
      </c>
      <c r="U1425">
        <v>202900</v>
      </c>
      <c r="V1425" t="s">
        <v>8872</v>
      </c>
      <c r="W1425" t="s">
        <v>1476</v>
      </c>
      <c r="X1425" t="s">
        <v>8873</v>
      </c>
      <c r="Y1425" t="s">
        <v>4107</v>
      </c>
      <c r="AA1425" t="s">
        <v>3982</v>
      </c>
      <c r="AB1425" t="s">
        <v>8445</v>
      </c>
      <c r="AC1425">
        <v>99016</v>
      </c>
      <c r="AD1425" t="s">
        <v>1479</v>
      </c>
      <c r="AE1425">
        <v>-37.967261499999999</v>
      </c>
      <c r="AF1425">
        <v>176.98835646000001</v>
      </c>
      <c r="AG1425">
        <v>75</v>
      </c>
      <c r="AH1425">
        <v>28</v>
      </c>
      <c r="AI1425">
        <v>5</v>
      </c>
      <c r="AJ1425">
        <v>18</v>
      </c>
      <c r="AK1425">
        <v>24</v>
      </c>
      <c r="AL1425">
        <v>25</v>
      </c>
      <c r="AM1425">
        <v>23</v>
      </c>
      <c r="AN1425">
        <v>0</v>
      </c>
      <c r="AO1425">
        <v>95</v>
      </c>
      <c r="AP1425">
        <v>55</v>
      </c>
      <c r="AQ1425">
        <v>48</v>
      </c>
      <c r="AR1425">
        <v>4</v>
      </c>
      <c r="AS1425">
        <v>21</v>
      </c>
      <c r="AT1425">
        <v>2</v>
      </c>
    </row>
    <row r="1426" spans="1:46">
      <c r="A1426">
        <v>30249</v>
      </c>
      <c r="B1426" t="s">
        <v>8874</v>
      </c>
      <c r="C1426" t="s">
        <v>8875</v>
      </c>
      <c r="D1426" t="s">
        <v>8876</v>
      </c>
      <c r="E1426" t="s">
        <v>8877</v>
      </c>
      <c r="F1426" t="s">
        <v>1345</v>
      </c>
      <c r="G1426" t="s">
        <v>1296</v>
      </c>
      <c r="H1426" t="s">
        <v>3942</v>
      </c>
      <c r="J1426" t="s">
        <v>518</v>
      </c>
      <c r="K1426" t="s">
        <v>519</v>
      </c>
      <c r="M1426" t="s">
        <v>1297</v>
      </c>
      <c r="N1426" t="s">
        <v>571</v>
      </c>
      <c r="O1426" t="s">
        <v>1298</v>
      </c>
      <c r="P1426" t="s">
        <v>654</v>
      </c>
      <c r="Q1426" t="s">
        <v>1299</v>
      </c>
      <c r="R1426" t="s">
        <v>1300</v>
      </c>
      <c r="S1426" t="s">
        <v>1301</v>
      </c>
      <c r="T1426" t="s">
        <v>1235</v>
      </c>
      <c r="U1426">
        <v>178901</v>
      </c>
      <c r="V1426" t="s">
        <v>8352</v>
      </c>
      <c r="W1426" t="s">
        <v>1303</v>
      </c>
      <c r="X1426" t="s">
        <v>8377</v>
      </c>
      <c r="Y1426" t="s">
        <v>3944</v>
      </c>
      <c r="Z1426" t="s">
        <v>3945</v>
      </c>
      <c r="AA1426" t="s">
        <v>3946</v>
      </c>
      <c r="AB1426" t="s">
        <v>8378</v>
      </c>
      <c r="AC1426">
        <v>99035</v>
      </c>
      <c r="AD1426" t="s">
        <v>1308</v>
      </c>
      <c r="AE1426">
        <v>-37.784929980000001</v>
      </c>
      <c r="AF1426">
        <v>175.25314700999999</v>
      </c>
      <c r="AG1426">
        <v>80</v>
      </c>
      <c r="AH1426">
        <v>20</v>
      </c>
      <c r="AI1426">
        <v>6</v>
      </c>
      <c r="AJ1426">
        <v>18</v>
      </c>
      <c r="AK1426">
        <v>20</v>
      </c>
      <c r="AL1426">
        <v>18</v>
      </c>
      <c r="AM1426">
        <v>12</v>
      </c>
      <c r="AN1426">
        <v>1</v>
      </c>
      <c r="AO1426">
        <v>75</v>
      </c>
      <c r="AP1426">
        <v>34</v>
      </c>
      <c r="AQ1426">
        <v>39</v>
      </c>
      <c r="AR1426">
        <v>14</v>
      </c>
      <c r="AS1426">
        <v>12</v>
      </c>
      <c r="AT1426">
        <v>5</v>
      </c>
    </row>
    <row r="1427" spans="1:46">
      <c r="A1427">
        <v>30255</v>
      </c>
      <c r="B1427" t="s">
        <v>8878</v>
      </c>
      <c r="C1427" t="s">
        <v>8879</v>
      </c>
      <c r="D1427" t="s">
        <v>8880</v>
      </c>
      <c r="E1427" t="s">
        <v>8881</v>
      </c>
      <c r="F1427" t="s">
        <v>1715</v>
      </c>
      <c r="G1427" t="s">
        <v>1598</v>
      </c>
      <c r="H1427" t="s">
        <v>3942</v>
      </c>
      <c r="J1427" t="s">
        <v>3962</v>
      </c>
      <c r="K1427" t="s">
        <v>519</v>
      </c>
      <c r="M1427" t="s">
        <v>1297</v>
      </c>
      <c r="N1427" t="s">
        <v>4519</v>
      </c>
      <c r="O1427" t="s">
        <v>1698</v>
      </c>
      <c r="P1427" t="s">
        <v>654</v>
      </c>
      <c r="Q1427" t="s">
        <v>1471</v>
      </c>
      <c r="R1427" t="s">
        <v>1472</v>
      </c>
      <c r="S1427" t="s">
        <v>1598</v>
      </c>
      <c r="T1427" t="s">
        <v>1474</v>
      </c>
      <c r="U1427">
        <v>195200</v>
      </c>
      <c r="V1427" t="s">
        <v>8882</v>
      </c>
      <c r="W1427" t="s">
        <v>1717</v>
      </c>
      <c r="X1427" t="s">
        <v>8883</v>
      </c>
      <c r="Y1427" t="s">
        <v>8881</v>
      </c>
      <c r="Z1427" t="s">
        <v>1715</v>
      </c>
      <c r="AA1427" t="s">
        <v>8884</v>
      </c>
      <c r="AB1427" t="s">
        <v>8885</v>
      </c>
      <c r="AC1427">
        <v>99085</v>
      </c>
      <c r="AD1427" t="s">
        <v>1718</v>
      </c>
      <c r="AE1427">
        <v>-37.73139922</v>
      </c>
      <c r="AF1427">
        <v>176.12783049000001</v>
      </c>
      <c r="AG1427">
        <v>45</v>
      </c>
      <c r="AH1427">
        <v>16</v>
      </c>
      <c r="AI1427">
        <v>2</v>
      </c>
      <c r="AJ1427">
        <v>8</v>
      </c>
      <c r="AK1427">
        <v>12</v>
      </c>
      <c r="AL1427">
        <v>14</v>
      </c>
      <c r="AM1427">
        <v>11</v>
      </c>
      <c r="AN1427">
        <v>2</v>
      </c>
      <c r="AO1427">
        <v>49</v>
      </c>
      <c r="AP1427">
        <v>34</v>
      </c>
      <c r="AQ1427">
        <v>7</v>
      </c>
      <c r="AR1427">
        <v>0</v>
      </c>
      <c r="AS1427">
        <v>10</v>
      </c>
      <c r="AT1427">
        <v>3</v>
      </c>
    </row>
    <row r="1428" spans="1:46">
      <c r="A1428">
        <v>30256</v>
      </c>
      <c r="B1428" t="s">
        <v>8886</v>
      </c>
      <c r="C1428" t="s">
        <v>8887</v>
      </c>
      <c r="D1428" t="s">
        <v>8888</v>
      </c>
      <c r="E1428" t="s">
        <v>8889</v>
      </c>
      <c r="G1428" t="s">
        <v>8890</v>
      </c>
      <c r="H1428" t="s">
        <v>3942</v>
      </c>
      <c r="J1428" t="s">
        <v>3962</v>
      </c>
      <c r="K1428" t="s">
        <v>519</v>
      </c>
      <c r="M1428" t="s">
        <v>1297</v>
      </c>
      <c r="N1428" t="s">
        <v>571</v>
      </c>
      <c r="O1428" t="s">
        <v>1743</v>
      </c>
      <c r="P1428" t="s">
        <v>523</v>
      </c>
      <c r="Q1428" t="s">
        <v>1471</v>
      </c>
      <c r="R1428" t="s">
        <v>1472</v>
      </c>
      <c r="S1428" t="s">
        <v>1438</v>
      </c>
      <c r="T1428" t="s">
        <v>1474</v>
      </c>
      <c r="U1428">
        <v>191001</v>
      </c>
      <c r="V1428" t="s">
        <v>8891</v>
      </c>
      <c r="W1428" t="s">
        <v>8759</v>
      </c>
      <c r="X1428" t="s">
        <v>8892</v>
      </c>
      <c r="Y1428" t="s">
        <v>8889</v>
      </c>
      <c r="AA1428" t="s">
        <v>8893</v>
      </c>
      <c r="AB1428" t="s">
        <v>8887</v>
      </c>
      <c r="AE1428">
        <v>-37.641109309999997</v>
      </c>
      <c r="AF1428">
        <v>176.04006778999999</v>
      </c>
      <c r="AG1428">
        <v>27</v>
      </c>
      <c r="AH1428">
        <v>5</v>
      </c>
      <c r="AI1428">
        <v>1</v>
      </c>
      <c r="AJ1428">
        <v>1</v>
      </c>
      <c r="AK1428">
        <v>8</v>
      </c>
      <c r="AL1428">
        <v>4</v>
      </c>
      <c r="AM1428">
        <v>7</v>
      </c>
      <c r="AN1428">
        <v>2</v>
      </c>
      <c r="AO1428">
        <v>23</v>
      </c>
      <c r="AP1428">
        <v>21</v>
      </c>
      <c r="AQ1428">
        <v>7</v>
      </c>
      <c r="AR1428">
        <v>0</v>
      </c>
      <c r="AS1428">
        <v>2</v>
      </c>
      <c r="AT1428">
        <v>0</v>
      </c>
    </row>
    <row r="1429" spans="1:46">
      <c r="A1429">
        <v>30257</v>
      </c>
      <c r="B1429" t="s">
        <v>8894</v>
      </c>
      <c r="C1429" t="s">
        <v>8895</v>
      </c>
      <c r="D1429" t="s">
        <v>8896</v>
      </c>
      <c r="E1429" t="s">
        <v>8897</v>
      </c>
      <c r="F1429" t="s">
        <v>2138</v>
      </c>
      <c r="G1429" t="s">
        <v>2119</v>
      </c>
      <c r="H1429" t="s">
        <v>3942</v>
      </c>
      <c r="J1429" t="s">
        <v>518</v>
      </c>
      <c r="K1429" t="s">
        <v>519</v>
      </c>
      <c r="M1429" t="s">
        <v>1297</v>
      </c>
      <c r="N1429" t="s">
        <v>571</v>
      </c>
      <c r="O1429" t="s">
        <v>2131</v>
      </c>
      <c r="P1429" t="s">
        <v>584</v>
      </c>
      <c r="Q1429" t="s">
        <v>2118</v>
      </c>
      <c r="R1429" t="s">
        <v>2084</v>
      </c>
      <c r="S1429" t="s">
        <v>2119</v>
      </c>
      <c r="T1429" t="s">
        <v>2085</v>
      </c>
      <c r="U1429">
        <v>214400</v>
      </c>
      <c r="V1429" t="s">
        <v>8898</v>
      </c>
      <c r="W1429" t="s">
        <v>2140</v>
      </c>
      <c r="X1429" t="s">
        <v>8899</v>
      </c>
      <c r="Y1429" t="s">
        <v>3944</v>
      </c>
      <c r="Z1429" t="s">
        <v>3945</v>
      </c>
      <c r="AA1429" t="s">
        <v>3946</v>
      </c>
      <c r="AB1429" t="s">
        <v>8900</v>
      </c>
      <c r="AE1429">
        <v>-39.5227042</v>
      </c>
      <c r="AF1429">
        <v>176.8708493</v>
      </c>
      <c r="AG1429">
        <v>59</v>
      </c>
      <c r="AH1429">
        <v>16</v>
      </c>
      <c r="AI1429">
        <v>2</v>
      </c>
      <c r="AJ1429">
        <v>12</v>
      </c>
      <c r="AK1429">
        <v>18</v>
      </c>
      <c r="AL1429">
        <v>19</v>
      </c>
      <c r="AM1429">
        <v>15</v>
      </c>
      <c r="AN1429">
        <v>1</v>
      </c>
      <c r="AO1429">
        <v>67</v>
      </c>
      <c r="AP1429">
        <v>39</v>
      </c>
      <c r="AQ1429">
        <v>26</v>
      </c>
      <c r="AR1429">
        <v>4</v>
      </c>
      <c r="AS1429">
        <v>13</v>
      </c>
      <c r="AT1429">
        <v>6</v>
      </c>
    </row>
    <row r="1430" spans="1:46">
      <c r="A1430">
        <v>30273</v>
      </c>
      <c r="B1430" t="s">
        <v>8901</v>
      </c>
      <c r="C1430" t="s">
        <v>8902</v>
      </c>
      <c r="D1430" t="s">
        <v>8903</v>
      </c>
      <c r="E1430" t="s">
        <v>8904</v>
      </c>
      <c r="F1430" t="s">
        <v>1521</v>
      </c>
      <c r="G1430" t="s">
        <v>1521</v>
      </c>
      <c r="H1430" t="s">
        <v>3942</v>
      </c>
      <c r="J1430" t="s">
        <v>3962</v>
      </c>
      <c r="K1430" t="s">
        <v>519</v>
      </c>
      <c r="M1430" t="s">
        <v>1297</v>
      </c>
      <c r="N1430" t="s">
        <v>571</v>
      </c>
      <c r="O1430" t="s">
        <v>1522</v>
      </c>
      <c r="P1430" t="s">
        <v>584</v>
      </c>
      <c r="Q1430" t="s">
        <v>1471</v>
      </c>
      <c r="R1430" t="s">
        <v>1472</v>
      </c>
      <c r="S1430" t="s">
        <v>1521</v>
      </c>
      <c r="T1430" t="s">
        <v>1474</v>
      </c>
      <c r="U1430">
        <v>200500</v>
      </c>
      <c r="V1430" t="s">
        <v>8905</v>
      </c>
      <c r="W1430" t="s">
        <v>1523</v>
      </c>
      <c r="X1430" t="s">
        <v>8906</v>
      </c>
      <c r="Y1430" t="s">
        <v>8904</v>
      </c>
      <c r="Z1430" t="s">
        <v>8907</v>
      </c>
      <c r="AA1430" t="s">
        <v>8908</v>
      </c>
      <c r="AB1430" t="s">
        <v>8909</v>
      </c>
      <c r="AE1430">
        <v>-38.148614299999998</v>
      </c>
      <c r="AF1430">
        <v>176.246824</v>
      </c>
      <c r="AG1430">
        <v>38</v>
      </c>
      <c r="AH1430">
        <v>16</v>
      </c>
      <c r="AI1430">
        <v>3</v>
      </c>
      <c r="AJ1430">
        <v>7</v>
      </c>
      <c r="AK1430">
        <v>14</v>
      </c>
      <c r="AL1430">
        <v>7</v>
      </c>
      <c r="AM1430">
        <v>9</v>
      </c>
      <c r="AN1430">
        <v>1</v>
      </c>
      <c r="AO1430">
        <v>41</v>
      </c>
      <c r="AP1430">
        <v>30</v>
      </c>
      <c r="AQ1430">
        <v>10</v>
      </c>
      <c r="AR1430">
        <v>3</v>
      </c>
      <c r="AS1430">
        <v>11</v>
      </c>
      <c r="AT1430">
        <v>1</v>
      </c>
    </row>
    <row r="1431" spans="1:46">
      <c r="A1431">
        <v>30274</v>
      </c>
      <c r="B1431" t="s">
        <v>8910</v>
      </c>
      <c r="C1431" t="s">
        <v>8326</v>
      </c>
      <c r="D1431" t="s">
        <v>8911</v>
      </c>
      <c r="E1431" t="s">
        <v>8912</v>
      </c>
      <c r="G1431" t="s">
        <v>3683</v>
      </c>
      <c r="H1431" t="s">
        <v>298</v>
      </c>
      <c r="J1431" t="s">
        <v>518</v>
      </c>
      <c r="K1431" t="s">
        <v>519</v>
      </c>
      <c r="M1431" t="s">
        <v>1297</v>
      </c>
      <c r="N1431" t="s">
        <v>557</v>
      </c>
      <c r="O1431" t="s">
        <v>1437</v>
      </c>
      <c r="P1431" t="s">
        <v>523</v>
      </c>
      <c r="Q1431" t="s">
        <v>1299</v>
      </c>
      <c r="R1431" t="s">
        <v>1300</v>
      </c>
      <c r="S1431" t="s">
        <v>1438</v>
      </c>
      <c r="T1431" t="s">
        <v>1235</v>
      </c>
      <c r="U1431">
        <v>169600</v>
      </c>
      <c r="V1431" t="s">
        <v>8913</v>
      </c>
      <c r="W1431" t="s">
        <v>3685</v>
      </c>
      <c r="X1431" t="s">
        <v>8330</v>
      </c>
      <c r="Y1431" t="s">
        <v>5187</v>
      </c>
      <c r="AA1431" t="s">
        <v>5188</v>
      </c>
      <c r="AB1431" t="s">
        <v>8326</v>
      </c>
      <c r="AE1431">
        <v>-37.397735300000001</v>
      </c>
      <c r="AF1431">
        <v>175.83299909999999</v>
      </c>
      <c r="AG1431">
        <v>30</v>
      </c>
      <c r="AH1431">
        <v>15</v>
      </c>
      <c r="AI1431">
        <v>1</v>
      </c>
      <c r="AJ1431">
        <v>7</v>
      </c>
      <c r="AK1431">
        <v>7</v>
      </c>
      <c r="AL1431">
        <v>3</v>
      </c>
      <c r="AM1431">
        <v>1</v>
      </c>
      <c r="AN1431">
        <v>1</v>
      </c>
      <c r="AO1431">
        <v>20</v>
      </c>
      <c r="AP1431">
        <v>19</v>
      </c>
      <c r="AQ1431">
        <v>0</v>
      </c>
      <c r="AR1431">
        <v>0</v>
      </c>
      <c r="AS1431">
        <v>3</v>
      </c>
      <c r="AT1431">
        <v>0</v>
      </c>
    </row>
    <row r="1432" spans="1:46">
      <c r="A1432">
        <v>30275</v>
      </c>
      <c r="B1432" t="s">
        <v>8914</v>
      </c>
      <c r="C1432" t="s">
        <v>8915</v>
      </c>
      <c r="D1432" t="s">
        <v>1293</v>
      </c>
      <c r="E1432" t="s">
        <v>8916</v>
      </c>
      <c r="F1432" t="s">
        <v>8917</v>
      </c>
      <c r="G1432" t="s">
        <v>1296</v>
      </c>
      <c r="H1432" t="s">
        <v>3942</v>
      </c>
      <c r="J1432" t="s">
        <v>518</v>
      </c>
      <c r="K1432" t="s">
        <v>519</v>
      </c>
      <c r="M1432" t="s">
        <v>1297</v>
      </c>
      <c r="N1432" t="s">
        <v>571</v>
      </c>
      <c r="O1432" t="s">
        <v>1298</v>
      </c>
      <c r="P1432" t="s">
        <v>654</v>
      </c>
      <c r="Q1432" t="s">
        <v>1299</v>
      </c>
      <c r="R1432" t="s">
        <v>1300</v>
      </c>
      <c r="S1432" t="s">
        <v>1312</v>
      </c>
      <c r="T1432" t="s">
        <v>1235</v>
      </c>
      <c r="U1432">
        <v>176202</v>
      </c>
      <c r="V1432" t="s">
        <v>8659</v>
      </c>
      <c r="W1432" t="s">
        <v>1314</v>
      </c>
      <c r="X1432" t="s">
        <v>1304</v>
      </c>
      <c r="Y1432" t="s">
        <v>1305</v>
      </c>
      <c r="Z1432" t="s">
        <v>1312</v>
      </c>
      <c r="AA1432" t="s">
        <v>1306</v>
      </c>
      <c r="AB1432" t="s">
        <v>1307</v>
      </c>
      <c r="AC1432">
        <v>99132</v>
      </c>
      <c r="AD1432" t="s">
        <v>8513</v>
      </c>
      <c r="AE1432">
        <v>-37.732274269999998</v>
      </c>
      <c r="AF1432">
        <v>175.27660094000001</v>
      </c>
      <c r="AG1432">
        <v>65</v>
      </c>
      <c r="AH1432">
        <v>28</v>
      </c>
      <c r="AI1432">
        <v>1</v>
      </c>
      <c r="AJ1432">
        <v>13</v>
      </c>
      <c r="AK1432">
        <v>15</v>
      </c>
      <c r="AL1432">
        <v>16</v>
      </c>
      <c r="AM1432">
        <v>12</v>
      </c>
      <c r="AN1432">
        <v>1</v>
      </c>
      <c r="AO1432">
        <v>58</v>
      </c>
      <c r="AP1432">
        <v>37</v>
      </c>
      <c r="AQ1432">
        <v>4</v>
      </c>
      <c r="AR1432">
        <v>0</v>
      </c>
      <c r="AS1432">
        <v>25</v>
      </c>
      <c r="AT1432">
        <v>0</v>
      </c>
    </row>
    <row r="1433" spans="1:46">
      <c r="A1433">
        <v>30276</v>
      </c>
      <c r="B1433" t="s">
        <v>8918</v>
      </c>
      <c r="C1433" t="s">
        <v>8919</v>
      </c>
      <c r="D1433" t="s">
        <v>8920</v>
      </c>
      <c r="E1433" t="s">
        <v>8921</v>
      </c>
      <c r="F1433" t="s">
        <v>1313</v>
      </c>
      <c r="G1433" t="s">
        <v>1296</v>
      </c>
      <c r="H1433" t="s">
        <v>3942</v>
      </c>
      <c r="J1433" t="s">
        <v>518</v>
      </c>
      <c r="K1433" t="s">
        <v>519</v>
      </c>
      <c r="M1433" t="s">
        <v>1297</v>
      </c>
      <c r="N1433" t="s">
        <v>571</v>
      </c>
      <c r="O1433" t="s">
        <v>1351</v>
      </c>
      <c r="P1433" t="s">
        <v>572</v>
      </c>
      <c r="Q1433" t="s">
        <v>1299</v>
      </c>
      <c r="R1433" t="s">
        <v>1300</v>
      </c>
      <c r="S1433" t="s">
        <v>1300</v>
      </c>
      <c r="T1433" t="s">
        <v>1235</v>
      </c>
      <c r="U1433">
        <v>173000</v>
      </c>
      <c r="V1433" t="s">
        <v>8357</v>
      </c>
      <c r="W1433" t="s">
        <v>8358</v>
      </c>
      <c r="X1433" t="s">
        <v>8377</v>
      </c>
      <c r="Y1433" t="s">
        <v>3944</v>
      </c>
      <c r="Z1433" t="s">
        <v>3945</v>
      </c>
      <c r="AA1433" t="s">
        <v>3946</v>
      </c>
      <c r="AB1433" t="s">
        <v>8378</v>
      </c>
      <c r="AE1433">
        <v>-37.73254893</v>
      </c>
      <c r="AF1433">
        <v>175.30384290000001</v>
      </c>
      <c r="AG1433">
        <v>68</v>
      </c>
      <c r="AH1433">
        <v>15</v>
      </c>
      <c r="AI1433">
        <v>3</v>
      </c>
      <c r="AJ1433">
        <v>16</v>
      </c>
      <c r="AK1433">
        <v>18</v>
      </c>
      <c r="AL1433">
        <v>29</v>
      </c>
      <c r="AM1433">
        <v>17</v>
      </c>
      <c r="AN1433">
        <v>0</v>
      </c>
      <c r="AO1433">
        <v>83</v>
      </c>
      <c r="AP1433">
        <v>70</v>
      </c>
      <c r="AQ1433">
        <v>26</v>
      </c>
      <c r="AR1433">
        <v>1</v>
      </c>
      <c r="AS1433">
        <v>6</v>
      </c>
      <c r="AT1433">
        <v>7</v>
      </c>
    </row>
    <row r="1434" spans="1:46">
      <c r="A1434">
        <v>30278</v>
      </c>
      <c r="B1434" t="s">
        <v>8922</v>
      </c>
      <c r="C1434" t="s">
        <v>8923</v>
      </c>
      <c r="D1434" t="s">
        <v>8924</v>
      </c>
      <c r="E1434" t="s">
        <v>8925</v>
      </c>
      <c r="G1434" t="s">
        <v>1318</v>
      </c>
      <c r="H1434" t="s">
        <v>3942</v>
      </c>
      <c r="I1434" t="s">
        <v>4065</v>
      </c>
      <c r="J1434" t="s">
        <v>3962</v>
      </c>
      <c r="K1434" t="s">
        <v>519</v>
      </c>
      <c r="M1434" t="s">
        <v>1297</v>
      </c>
      <c r="N1434" t="s">
        <v>571</v>
      </c>
      <c r="O1434" t="s">
        <v>1319</v>
      </c>
      <c r="P1434" t="s">
        <v>1262</v>
      </c>
      <c r="Q1434" t="s">
        <v>1299</v>
      </c>
      <c r="R1434" t="s">
        <v>1300</v>
      </c>
      <c r="S1434" t="s">
        <v>1320</v>
      </c>
      <c r="T1434" t="s">
        <v>1235</v>
      </c>
      <c r="U1434">
        <v>182700</v>
      </c>
      <c r="V1434" t="s">
        <v>8926</v>
      </c>
      <c r="W1434" t="s">
        <v>1322</v>
      </c>
      <c r="X1434" t="s">
        <v>8927</v>
      </c>
      <c r="Y1434" t="s">
        <v>8925</v>
      </c>
      <c r="AA1434" t="s">
        <v>8928</v>
      </c>
      <c r="AB1434" t="s">
        <v>8929</v>
      </c>
      <c r="AE1434">
        <v>-37.8812967</v>
      </c>
      <c r="AF1434">
        <v>175.45925649</v>
      </c>
      <c r="AG1434">
        <v>45</v>
      </c>
      <c r="AH1434">
        <v>0</v>
      </c>
      <c r="AI1434">
        <v>0</v>
      </c>
      <c r="AJ1434">
        <v>0</v>
      </c>
      <c r="AK1434">
        <v>13</v>
      </c>
      <c r="AL1434">
        <v>15</v>
      </c>
      <c r="AM1434">
        <v>18</v>
      </c>
      <c r="AN1434">
        <v>1</v>
      </c>
      <c r="AO1434">
        <v>47</v>
      </c>
      <c r="AP1434">
        <v>42</v>
      </c>
      <c r="AQ1434">
        <v>5</v>
      </c>
      <c r="AR1434">
        <v>3</v>
      </c>
      <c r="AS1434">
        <v>4</v>
      </c>
      <c r="AT1434">
        <v>2</v>
      </c>
    </row>
    <row r="1435" spans="1:46">
      <c r="A1435">
        <v>30280</v>
      </c>
      <c r="B1435" t="s">
        <v>8930</v>
      </c>
      <c r="C1435" t="s">
        <v>8931</v>
      </c>
      <c r="D1435" t="s">
        <v>8932</v>
      </c>
      <c r="E1435" t="s">
        <v>8933</v>
      </c>
      <c r="G1435" t="s">
        <v>2267</v>
      </c>
      <c r="H1435" t="s">
        <v>4716</v>
      </c>
      <c r="J1435" t="s">
        <v>3962</v>
      </c>
      <c r="K1435" t="s">
        <v>519</v>
      </c>
      <c r="M1435" t="s">
        <v>1297</v>
      </c>
      <c r="N1435" t="s">
        <v>557</v>
      </c>
      <c r="O1435" t="s">
        <v>2268</v>
      </c>
      <c r="P1435" t="s">
        <v>523</v>
      </c>
      <c r="Q1435" t="s">
        <v>2118</v>
      </c>
      <c r="R1435" t="s">
        <v>2084</v>
      </c>
      <c r="S1435" t="s">
        <v>2269</v>
      </c>
      <c r="T1435" t="s">
        <v>2085</v>
      </c>
      <c r="U1435">
        <v>215801</v>
      </c>
      <c r="V1435" t="s">
        <v>2270</v>
      </c>
      <c r="W1435" t="s">
        <v>2271</v>
      </c>
      <c r="X1435" t="s">
        <v>8934</v>
      </c>
      <c r="Y1435" t="s">
        <v>8935</v>
      </c>
      <c r="Z1435" t="s">
        <v>2267</v>
      </c>
      <c r="AA1435" t="s">
        <v>8936</v>
      </c>
      <c r="AB1435" t="s">
        <v>8937</v>
      </c>
      <c r="AC1435">
        <v>99047</v>
      </c>
      <c r="AD1435" t="s">
        <v>2296</v>
      </c>
      <c r="AE1435">
        <v>-39.995002100000001</v>
      </c>
      <c r="AF1435">
        <v>176.55811471000001</v>
      </c>
      <c r="AG1435">
        <v>80</v>
      </c>
      <c r="AH1435">
        <v>80</v>
      </c>
      <c r="AI1435">
        <v>9</v>
      </c>
      <c r="AJ1435">
        <v>18</v>
      </c>
      <c r="AK1435">
        <v>23</v>
      </c>
      <c r="AL1435">
        <v>27</v>
      </c>
      <c r="AM1435">
        <v>20</v>
      </c>
      <c r="AN1435">
        <v>1</v>
      </c>
      <c r="AO1435">
        <v>98</v>
      </c>
      <c r="AP1435">
        <v>67</v>
      </c>
      <c r="AQ1435">
        <v>47</v>
      </c>
      <c r="AR1435">
        <v>6</v>
      </c>
      <c r="AS1435">
        <v>2</v>
      </c>
      <c r="AT1435">
        <v>0</v>
      </c>
    </row>
    <row r="1436" spans="1:46">
      <c r="A1436">
        <v>30281</v>
      </c>
      <c r="B1436" t="s">
        <v>8938</v>
      </c>
      <c r="C1436" t="s">
        <v>8939</v>
      </c>
      <c r="D1436" t="s">
        <v>8940</v>
      </c>
      <c r="E1436" t="s">
        <v>8941</v>
      </c>
      <c r="G1436" t="s">
        <v>1586</v>
      </c>
      <c r="H1436" t="s">
        <v>3942</v>
      </c>
      <c r="J1436" t="s">
        <v>3962</v>
      </c>
      <c r="K1436" t="s">
        <v>519</v>
      </c>
      <c r="M1436" t="s">
        <v>1297</v>
      </c>
      <c r="N1436" t="s">
        <v>571</v>
      </c>
      <c r="O1436" t="s">
        <v>1450</v>
      </c>
      <c r="P1436" t="s">
        <v>523</v>
      </c>
      <c r="Q1436" t="s">
        <v>1299</v>
      </c>
      <c r="R1436" t="s">
        <v>1300</v>
      </c>
      <c r="S1436" t="s">
        <v>1300</v>
      </c>
      <c r="T1436" t="s">
        <v>1235</v>
      </c>
      <c r="U1436">
        <v>174001</v>
      </c>
      <c r="V1436" t="s">
        <v>3822</v>
      </c>
      <c r="W1436" t="s">
        <v>1588</v>
      </c>
      <c r="X1436" t="s">
        <v>8942</v>
      </c>
      <c r="Y1436" t="s">
        <v>3981</v>
      </c>
      <c r="AA1436" t="s">
        <v>3982</v>
      </c>
      <c r="AB1436" t="s">
        <v>8943</v>
      </c>
      <c r="AC1436">
        <v>99131</v>
      </c>
      <c r="AD1436" t="s">
        <v>1589</v>
      </c>
      <c r="AE1436">
        <v>-37.66397551</v>
      </c>
      <c r="AF1436">
        <v>175.51146562</v>
      </c>
      <c r="AG1436">
        <v>50</v>
      </c>
      <c r="AH1436">
        <v>15</v>
      </c>
      <c r="AI1436">
        <v>5</v>
      </c>
      <c r="AJ1436">
        <v>12</v>
      </c>
      <c r="AK1436">
        <v>17</v>
      </c>
      <c r="AL1436">
        <v>18</v>
      </c>
      <c r="AM1436">
        <v>17</v>
      </c>
      <c r="AN1436">
        <v>1</v>
      </c>
      <c r="AO1436">
        <v>70</v>
      </c>
      <c r="AP1436">
        <v>61</v>
      </c>
      <c r="AQ1436">
        <v>15</v>
      </c>
      <c r="AR1436">
        <v>1</v>
      </c>
      <c r="AS1436">
        <v>3</v>
      </c>
      <c r="AT1436">
        <v>4</v>
      </c>
    </row>
    <row r="1437" spans="1:46">
      <c r="A1437">
        <v>30282</v>
      </c>
      <c r="B1437" t="s">
        <v>8944</v>
      </c>
      <c r="C1437" t="s">
        <v>8945</v>
      </c>
      <c r="D1437" t="s">
        <v>8506</v>
      </c>
      <c r="E1437" t="s">
        <v>8946</v>
      </c>
      <c r="F1437" t="s">
        <v>1313</v>
      </c>
      <c r="G1437" t="s">
        <v>1296</v>
      </c>
      <c r="H1437" t="s">
        <v>3942</v>
      </c>
      <c r="J1437" t="s">
        <v>3962</v>
      </c>
      <c r="K1437" t="s">
        <v>519</v>
      </c>
      <c r="M1437" t="s">
        <v>1297</v>
      </c>
      <c r="N1437" t="s">
        <v>571</v>
      </c>
      <c r="O1437" t="s">
        <v>1298</v>
      </c>
      <c r="P1437" t="s">
        <v>654</v>
      </c>
      <c r="Q1437" t="s">
        <v>1299</v>
      </c>
      <c r="R1437" t="s">
        <v>1300</v>
      </c>
      <c r="S1437" t="s">
        <v>1312</v>
      </c>
      <c r="T1437" t="s">
        <v>1235</v>
      </c>
      <c r="U1437">
        <v>176600</v>
      </c>
      <c r="V1437" t="s">
        <v>1326</v>
      </c>
      <c r="W1437" t="s">
        <v>1314</v>
      </c>
      <c r="X1437" t="s">
        <v>8508</v>
      </c>
      <c r="Y1437" t="s">
        <v>8509</v>
      </c>
      <c r="Z1437" t="s">
        <v>8510</v>
      </c>
      <c r="AA1437" t="s">
        <v>8511</v>
      </c>
      <c r="AB1437" t="s">
        <v>8512</v>
      </c>
      <c r="AC1437">
        <v>99132</v>
      </c>
      <c r="AD1437" t="s">
        <v>8513</v>
      </c>
      <c r="AE1437">
        <v>-37.750486770000002</v>
      </c>
      <c r="AF1437">
        <v>175.26859586</v>
      </c>
      <c r="AG1437">
        <v>25</v>
      </c>
      <c r="AH1437">
        <v>25</v>
      </c>
      <c r="AI1437">
        <v>3</v>
      </c>
      <c r="AJ1437">
        <v>17</v>
      </c>
      <c r="AK1437">
        <v>7</v>
      </c>
      <c r="AL1437">
        <v>0</v>
      </c>
      <c r="AM1437">
        <v>0</v>
      </c>
      <c r="AN1437">
        <v>0</v>
      </c>
      <c r="AO1437">
        <v>27</v>
      </c>
      <c r="AP1437">
        <v>21</v>
      </c>
      <c r="AQ1437">
        <v>4</v>
      </c>
      <c r="AR1437">
        <v>1</v>
      </c>
      <c r="AS1437">
        <v>6</v>
      </c>
      <c r="AT1437">
        <v>0</v>
      </c>
    </row>
    <row r="1438" spans="1:46">
      <c r="A1438">
        <v>30285</v>
      </c>
      <c r="B1438" t="s">
        <v>8947</v>
      </c>
      <c r="C1438" t="s">
        <v>8948</v>
      </c>
      <c r="D1438" t="s">
        <v>8949</v>
      </c>
      <c r="E1438" t="s">
        <v>8950</v>
      </c>
      <c r="F1438" t="s">
        <v>1366</v>
      </c>
      <c r="G1438" t="s">
        <v>1296</v>
      </c>
      <c r="H1438" t="s">
        <v>3942</v>
      </c>
      <c r="I1438" t="s">
        <v>4065</v>
      </c>
      <c r="J1438" t="s">
        <v>518</v>
      </c>
      <c r="K1438" t="s">
        <v>519</v>
      </c>
      <c r="M1438" t="s">
        <v>1297</v>
      </c>
      <c r="N1438" t="s">
        <v>571</v>
      </c>
      <c r="O1438" t="s">
        <v>1351</v>
      </c>
      <c r="P1438" t="s">
        <v>572</v>
      </c>
      <c r="Q1438" t="s">
        <v>1299</v>
      </c>
      <c r="R1438" t="s">
        <v>1300</v>
      </c>
      <c r="S1438" t="s">
        <v>1300</v>
      </c>
      <c r="T1438" t="s">
        <v>1235</v>
      </c>
      <c r="U1438">
        <v>173202</v>
      </c>
      <c r="V1438" t="s">
        <v>8951</v>
      </c>
      <c r="W1438" t="s">
        <v>8358</v>
      </c>
      <c r="X1438" t="s">
        <v>8952</v>
      </c>
      <c r="Y1438" t="s">
        <v>8953</v>
      </c>
      <c r="Z1438" t="s">
        <v>1422</v>
      </c>
      <c r="AA1438" t="s">
        <v>8954</v>
      </c>
      <c r="AB1438" t="s">
        <v>8948</v>
      </c>
      <c r="AE1438">
        <v>-37.82736191</v>
      </c>
      <c r="AF1438">
        <v>175.34023429999999</v>
      </c>
      <c r="AG1438">
        <v>60</v>
      </c>
      <c r="AH1438">
        <v>0</v>
      </c>
      <c r="AI1438">
        <v>0</v>
      </c>
      <c r="AJ1438">
        <v>0</v>
      </c>
      <c r="AK1438">
        <v>13</v>
      </c>
      <c r="AL1438">
        <v>20</v>
      </c>
      <c r="AM1438">
        <v>17</v>
      </c>
      <c r="AN1438">
        <v>10</v>
      </c>
      <c r="AO1438">
        <v>60</v>
      </c>
      <c r="AP1438">
        <v>32</v>
      </c>
      <c r="AQ1438">
        <v>3</v>
      </c>
      <c r="AR1438">
        <v>1</v>
      </c>
      <c r="AS1438">
        <v>29</v>
      </c>
      <c r="AT1438">
        <v>4</v>
      </c>
    </row>
    <row r="1439" spans="1:46">
      <c r="A1439">
        <v>30288</v>
      </c>
      <c r="B1439" t="s">
        <v>8955</v>
      </c>
      <c r="C1439" t="s">
        <v>8956</v>
      </c>
      <c r="D1439" t="s">
        <v>8957</v>
      </c>
      <c r="E1439" t="s">
        <v>8958</v>
      </c>
      <c r="F1439" t="s">
        <v>1312</v>
      </c>
      <c r="G1439" t="s">
        <v>1296</v>
      </c>
      <c r="H1439" t="s">
        <v>3942</v>
      </c>
      <c r="J1439" t="s">
        <v>518</v>
      </c>
      <c r="K1439" t="s">
        <v>519</v>
      </c>
      <c r="M1439" t="s">
        <v>1297</v>
      </c>
      <c r="N1439" t="s">
        <v>571</v>
      </c>
      <c r="O1439" t="s">
        <v>1298</v>
      </c>
      <c r="P1439" t="s">
        <v>654</v>
      </c>
      <c r="Q1439" t="s">
        <v>1299</v>
      </c>
      <c r="R1439" t="s">
        <v>1300</v>
      </c>
      <c r="S1439" t="s">
        <v>1312</v>
      </c>
      <c r="T1439" t="s">
        <v>1235</v>
      </c>
      <c r="U1439">
        <v>179600</v>
      </c>
      <c r="V1439" t="s">
        <v>8810</v>
      </c>
      <c r="W1439" t="s">
        <v>1314</v>
      </c>
      <c r="X1439" t="s">
        <v>8377</v>
      </c>
      <c r="Y1439" t="s">
        <v>3944</v>
      </c>
      <c r="Z1439" t="s">
        <v>3945</v>
      </c>
      <c r="AA1439" t="s">
        <v>3946</v>
      </c>
      <c r="AB1439" t="s">
        <v>8378</v>
      </c>
      <c r="AE1439">
        <v>-37.783897590000002</v>
      </c>
      <c r="AF1439">
        <v>175.30280259</v>
      </c>
      <c r="AG1439">
        <v>70</v>
      </c>
      <c r="AH1439">
        <v>20</v>
      </c>
      <c r="AI1439">
        <v>5</v>
      </c>
      <c r="AJ1439">
        <v>9</v>
      </c>
      <c r="AK1439">
        <v>13</v>
      </c>
      <c r="AL1439">
        <v>17</v>
      </c>
      <c r="AM1439">
        <v>22</v>
      </c>
      <c r="AN1439">
        <v>1</v>
      </c>
      <c r="AO1439">
        <v>67</v>
      </c>
      <c r="AP1439">
        <v>11</v>
      </c>
      <c r="AQ1439">
        <v>44</v>
      </c>
      <c r="AR1439">
        <v>12</v>
      </c>
      <c r="AS1439">
        <v>12</v>
      </c>
      <c r="AT1439">
        <v>11</v>
      </c>
    </row>
    <row r="1440" spans="1:46">
      <c r="A1440">
        <v>30291</v>
      </c>
      <c r="B1440" t="s">
        <v>8959</v>
      </c>
      <c r="C1440" t="s">
        <v>8960</v>
      </c>
      <c r="D1440" t="s">
        <v>8961</v>
      </c>
      <c r="E1440" t="s">
        <v>8962</v>
      </c>
      <c r="G1440" t="s">
        <v>8963</v>
      </c>
      <c r="H1440" t="s">
        <v>3942</v>
      </c>
      <c r="J1440" t="s">
        <v>3962</v>
      </c>
      <c r="K1440" t="s">
        <v>519</v>
      </c>
      <c r="M1440" t="s">
        <v>1297</v>
      </c>
      <c r="N1440" t="s">
        <v>571</v>
      </c>
      <c r="O1440" t="s">
        <v>1319</v>
      </c>
      <c r="P1440" t="s">
        <v>523</v>
      </c>
      <c r="Q1440" t="s">
        <v>1299</v>
      </c>
      <c r="R1440" t="s">
        <v>1300</v>
      </c>
      <c r="S1440" t="s">
        <v>1417</v>
      </c>
      <c r="T1440" t="s">
        <v>1235</v>
      </c>
      <c r="U1440">
        <v>181900</v>
      </c>
      <c r="V1440" t="s">
        <v>8963</v>
      </c>
      <c r="W1440" t="s">
        <v>8964</v>
      </c>
      <c r="X1440" t="s">
        <v>8965</v>
      </c>
      <c r="Y1440" t="s">
        <v>8966</v>
      </c>
      <c r="AA1440" t="s">
        <v>8967</v>
      </c>
      <c r="AB1440" t="s">
        <v>8960</v>
      </c>
      <c r="AE1440">
        <v>-37.991771329999999</v>
      </c>
      <c r="AF1440">
        <v>175.20655525999999</v>
      </c>
      <c r="AG1440">
        <v>143</v>
      </c>
      <c r="AH1440">
        <v>40</v>
      </c>
      <c r="AI1440">
        <v>7</v>
      </c>
      <c r="AJ1440">
        <v>15</v>
      </c>
      <c r="AK1440">
        <v>30</v>
      </c>
      <c r="AL1440">
        <v>31</v>
      </c>
      <c r="AM1440">
        <v>39</v>
      </c>
      <c r="AN1440">
        <v>2</v>
      </c>
      <c r="AO1440">
        <v>124</v>
      </c>
      <c r="AP1440">
        <v>113</v>
      </c>
      <c r="AQ1440">
        <v>18</v>
      </c>
      <c r="AR1440">
        <v>4</v>
      </c>
      <c r="AS1440">
        <v>2</v>
      </c>
      <c r="AT1440">
        <v>1</v>
      </c>
    </row>
    <row r="1441" spans="1:46">
      <c r="A1441">
        <v>30293</v>
      </c>
      <c r="B1441" t="s">
        <v>8968</v>
      </c>
      <c r="C1441" t="s">
        <v>8969</v>
      </c>
      <c r="E1441" t="s">
        <v>8970</v>
      </c>
      <c r="G1441" t="s">
        <v>8971</v>
      </c>
      <c r="H1441" t="s">
        <v>3942</v>
      </c>
      <c r="J1441" t="s">
        <v>3962</v>
      </c>
      <c r="K1441" t="s">
        <v>519</v>
      </c>
      <c r="M1441" t="s">
        <v>1297</v>
      </c>
      <c r="N1441" t="s">
        <v>571</v>
      </c>
      <c r="O1441" t="s">
        <v>1351</v>
      </c>
      <c r="P1441" t="s">
        <v>572</v>
      </c>
      <c r="Q1441" t="s">
        <v>1299</v>
      </c>
      <c r="R1441" t="s">
        <v>1300</v>
      </c>
      <c r="S1441" t="s">
        <v>1300</v>
      </c>
      <c r="T1441" t="s">
        <v>1235</v>
      </c>
      <c r="U1441">
        <v>173202</v>
      </c>
      <c r="V1441" t="s">
        <v>8951</v>
      </c>
      <c r="W1441" t="s">
        <v>8358</v>
      </c>
      <c r="X1441" t="s">
        <v>8415</v>
      </c>
      <c r="Y1441" t="s">
        <v>8416</v>
      </c>
      <c r="Z1441" t="s">
        <v>1295</v>
      </c>
      <c r="AA1441" t="s">
        <v>8417</v>
      </c>
      <c r="AB1441" t="s">
        <v>8418</v>
      </c>
      <c r="AE1441">
        <v>-37.82754611</v>
      </c>
      <c r="AF1441">
        <v>175.35149848</v>
      </c>
      <c r="AG1441">
        <v>110</v>
      </c>
      <c r="AH1441">
        <v>25</v>
      </c>
      <c r="AI1441">
        <v>7</v>
      </c>
      <c r="AJ1441">
        <v>11</v>
      </c>
      <c r="AK1441">
        <v>30</v>
      </c>
      <c r="AL1441">
        <v>32</v>
      </c>
      <c r="AM1441">
        <v>43</v>
      </c>
      <c r="AN1441">
        <v>6</v>
      </c>
      <c r="AO1441">
        <v>129</v>
      </c>
      <c r="AP1441">
        <v>116</v>
      </c>
      <c r="AQ1441">
        <v>16</v>
      </c>
      <c r="AR1441">
        <v>3</v>
      </c>
      <c r="AS1441">
        <v>13</v>
      </c>
      <c r="AT1441">
        <v>5</v>
      </c>
    </row>
    <row r="1442" spans="1:46">
      <c r="A1442">
        <v>30294</v>
      </c>
      <c r="B1442" t="s">
        <v>8972</v>
      </c>
      <c r="C1442" t="s">
        <v>8973</v>
      </c>
      <c r="D1442" t="s">
        <v>8974</v>
      </c>
      <c r="E1442" t="s">
        <v>8975</v>
      </c>
      <c r="F1442" t="s">
        <v>8510</v>
      </c>
      <c r="G1442" t="s">
        <v>1296</v>
      </c>
      <c r="H1442" t="s">
        <v>3942</v>
      </c>
      <c r="J1442" t="s">
        <v>518</v>
      </c>
      <c r="K1442" t="s">
        <v>519</v>
      </c>
      <c r="M1442" t="s">
        <v>1297</v>
      </c>
      <c r="N1442" t="s">
        <v>4519</v>
      </c>
      <c r="O1442" t="s">
        <v>1298</v>
      </c>
      <c r="P1442" t="s">
        <v>654</v>
      </c>
      <c r="Q1442" t="s">
        <v>1299</v>
      </c>
      <c r="R1442" t="s">
        <v>1300</v>
      </c>
      <c r="S1442" t="s">
        <v>1312</v>
      </c>
      <c r="T1442" t="s">
        <v>1235</v>
      </c>
      <c r="U1442">
        <v>176101</v>
      </c>
      <c r="V1442" t="s">
        <v>8976</v>
      </c>
      <c r="W1442" t="s">
        <v>1314</v>
      </c>
      <c r="X1442" t="s">
        <v>8977</v>
      </c>
      <c r="Y1442" t="s">
        <v>8975</v>
      </c>
      <c r="Z1442" t="s">
        <v>8510</v>
      </c>
      <c r="AA1442" t="s">
        <v>8511</v>
      </c>
      <c r="AB1442" t="s">
        <v>8973</v>
      </c>
      <c r="AE1442">
        <v>-37.725941339999999</v>
      </c>
      <c r="AF1442">
        <v>175.27746908</v>
      </c>
      <c r="AG1442">
        <v>60</v>
      </c>
      <c r="AH1442">
        <v>27</v>
      </c>
      <c r="AI1442">
        <v>1</v>
      </c>
      <c r="AJ1442">
        <v>8</v>
      </c>
      <c r="AK1442">
        <v>13</v>
      </c>
      <c r="AL1442">
        <v>10</v>
      </c>
      <c r="AM1442">
        <v>12</v>
      </c>
      <c r="AN1442">
        <v>1</v>
      </c>
      <c r="AO1442">
        <v>45</v>
      </c>
      <c r="AP1442">
        <v>33</v>
      </c>
      <c r="AQ1442">
        <v>9</v>
      </c>
      <c r="AR1442">
        <v>1</v>
      </c>
      <c r="AS1442">
        <v>9</v>
      </c>
      <c r="AT1442">
        <v>4</v>
      </c>
    </row>
    <row r="1443" spans="1:46">
      <c r="A1443">
        <v>30295</v>
      </c>
      <c r="B1443" t="s">
        <v>8978</v>
      </c>
      <c r="C1443" t="s">
        <v>8979</v>
      </c>
      <c r="D1443" t="s">
        <v>8980</v>
      </c>
      <c r="E1443" t="s">
        <v>8981</v>
      </c>
      <c r="G1443" t="s">
        <v>1438</v>
      </c>
      <c r="H1443" t="s">
        <v>3942</v>
      </c>
      <c r="J1443" t="s">
        <v>518</v>
      </c>
      <c r="K1443" t="s">
        <v>519</v>
      </c>
      <c r="M1443" t="s">
        <v>1297</v>
      </c>
      <c r="N1443" t="s">
        <v>571</v>
      </c>
      <c r="O1443" t="s">
        <v>1461</v>
      </c>
      <c r="P1443" t="s">
        <v>523</v>
      </c>
      <c r="Q1443" t="s">
        <v>1299</v>
      </c>
      <c r="R1443" t="s">
        <v>1300</v>
      </c>
      <c r="S1443" t="s">
        <v>1438</v>
      </c>
      <c r="T1443" t="s">
        <v>1235</v>
      </c>
      <c r="U1443">
        <v>166700</v>
      </c>
      <c r="V1443" t="s">
        <v>1438</v>
      </c>
      <c r="W1443" t="s">
        <v>8982</v>
      </c>
      <c r="X1443" t="s">
        <v>8983</v>
      </c>
      <c r="Y1443" t="s">
        <v>8981</v>
      </c>
      <c r="Z1443" t="s">
        <v>1438</v>
      </c>
      <c r="AA1443" t="s">
        <v>8984</v>
      </c>
      <c r="AB1443" t="s">
        <v>8985</v>
      </c>
      <c r="AC1443">
        <v>99155</v>
      </c>
      <c r="AD1443" t="s">
        <v>3829</v>
      </c>
      <c r="AE1443">
        <v>-36.75948167</v>
      </c>
      <c r="AF1443">
        <v>175.4969151</v>
      </c>
      <c r="AG1443">
        <v>35</v>
      </c>
      <c r="AH1443">
        <v>8</v>
      </c>
      <c r="AI1443">
        <v>2</v>
      </c>
      <c r="AJ1443">
        <v>6</v>
      </c>
      <c r="AK1443">
        <v>7</v>
      </c>
      <c r="AL1443">
        <v>14</v>
      </c>
      <c r="AM1443">
        <v>12</v>
      </c>
      <c r="AN1443">
        <v>0</v>
      </c>
      <c r="AO1443">
        <v>41</v>
      </c>
      <c r="AP1443">
        <v>29</v>
      </c>
      <c r="AQ1443">
        <v>23</v>
      </c>
      <c r="AR1443">
        <v>3</v>
      </c>
      <c r="AS1443">
        <v>0</v>
      </c>
      <c r="AT1443">
        <v>4</v>
      </c>
    </row>
    <row r="1444" spans="1:46">
      <c r="A1444">
        <v>30296</v>
      </c>
      <c r="B1444" t="s">
        <v>8986</v>
      </c>
      <c r="C1444" t="s">
        <v>8987</v>
      </c>
      <c r="E1444" t="s">
        <v>8988</v>
      </c>
      <c r="G1444" t="s">
        <v>1318</v>
      </c>
      <c r="H1444" t="s">
        <v>3942</v>
      </c>
      <c r="J1444" t="s">
        <v>518</v>
      </c>
      <c r="K1444" t="s">
        <v>519</v>
      </c>
      <c r="M1444" t="s">
        <v>1297</v>
      </c>
      <c r="N1444" t="s">
        <v>571</v>
      </c>
      <c r="O1444" t="s">
        <v>1319</v>
      </c>
      <c r="P1444" t="s">
        <v>1262</v>
      </c>
      <c r="Q1444" t="s">
        <v>1299</v>
      </c>
      <c r="R1444" t="s">
        <v>1300</v>
      </c>
      <c r="S1444" t="s">
        <v>1320</v>
      </c>
      <c r="T1444" t="s">
        <v>1235</v>
      </c>
      <c r="U1444">
        <v>183200</v>
      </c>
      <c r="V1444" t="s">
        <v>8500</v>
      </c>
      <c r="W1444" t="s">
        <v>1322</v>
      </c>
      <c r="X1444" t="s">
        <v>8989</v>
      </c>
      <c r="Y1444" t="s">
        <v>8988</v>
      </c>
      <c r="AA1444" t="s">
        <v>8928</v>
      </c>
      <c r="AB1444" t="s">
        <v>8990</v>
      </c>
      <c r="AE1444">
        <v>-37.896143770000002</v>
      </c>
      <c r="AF1444">
        <v>175.47278857000001</v>
      </c>
      <c r="AG1444">
        <v>30</v>
      </c>
      <c r="AH1444">
        <v>0</v>
      </c>
      <c r="AI1444">
        <v>0</v>
      </c>
      <c r="AJ1444">
        <v>0</v>
      </c>
      <c r="AK1444">
        <v>0</v>
      </c>
      <c r="AL1444">
        <v>25</v>
      </c>
      <c r="AM1444">
        <v>10</v>
      </c>
      <c r="AN1444">
        <v>1</v>
      </c>
      <c r="AO1444">
        <v>36</v>
      </c>
      <c r="AP1444">
        <v>35</v>
      </c>
      <c r="AQ1444">
        <v>4</v>
      </c>
      <c r="AR1444">
        <v>3</v>
      </c>
      <c r="AS1444">
        <v>1</v>
      </c>
      <c r="AT1444">
        <v>1</v>
      </c>
    </row>
    <row r="1445" spans="1:46">
      <c r="A1445">
        <v>30297</v>
      </c>
      <c r="B1445" t="s">
        <v>8991</v>
      </c>
      <c r="C1445" t="s">
        <v>8992</v>
      </c>
      <c r="D1445" t="s">
        <v>8993</v>
      </c>
      <c r="E1445" t="s">
        <v>8994</v>
      </c>
      <c r="F1445" t="s">
        <v>8510</v>
      </c>
      <c r="G1445" t="s">
        <v>1296</v>
      </c>
      <c r="H1445" t="s">
        <v>3942</v>
      </c>
      <c r="J1445" t="s">
        <v>3962</v>
      </c>
      <c r="K1445" t="s">
        <v>519</v>
      </c>
      <c r="M1445" t="s">
        <v>1297</v>
      </c>
      <c r="N1445" t="s">
        <v>8995</v>
      </c>
      <c r="O1445" t="s">
        <v>1298</v>
      </c>
      <c r="P1445" t="s">
        <v>654</v>
      </c>
      <c r="Q1445" t="s">
        <v>1299</v>
      </c>
      <c r="R1445" t="s">
        <v>1300</v>
      </c>
      <c r="S1445" t="s">
        <v>1312</v>
      </c>
      <c r="T1445" t="s">
        <v>1235</v>
      </c>
      <c r="U1445">
        <v>176101</v>
      </c>
      <c r="V1445" t="s">
        <v>8976</v>
      </c>
      <c r="W1445" t="s">
        <v>1314</v>
      </c>
      <c r="X1445" t="s">
        <v>8996</v>
      </c>
      <c r="Y1445" t="s">
        <v>8997</v>
      </c>
      <c r="Z1445" t="s">
        <v>1330</v>
      </c>
      <c r="AA1445" t="s">
        <v>8998</v>
      </c>
      <c r="AB1445" t="s">
        <v>8999</v>
      </c>
      <c r="AE1445">
        <v>-37.729039999999998</v>
      </c>
      <c r="AF1445">
        <v>175.27511601</v>
      </c>
      <c r="AG1445">
        <v>50</v>
      </c>
      <c r="AH1445">
        <v>20</v>
      </c>
      <c r="AI1445">
        <v>2</v>
      </c>
      <c r="AJ1445">
        <v>7</v>
      </c>
      <c r="AK1445">
        <v>15</v>
      </c>
      <c r="AL1445">
        <v>15</v>
      </c>
      <c r="AM1445">
        <v>7</v>
      </c>
      <c r="AN1445">
        <v>0</v>
      </c>
      <c r="AO1445">
        <v>46</v>
      </c>
      <c r="AP1445">
        <v>18</v>
      </c>
      <c r="AQ1445">
        <v>11</v>
      </c>
      <c r="AR1445">
        <v>4</v>
      </c>
      <c r="AS1445">
        <v>18</v>
      </c>
      <c r="AT1445">
        <v>3</v>
      </c>
    </row>
    <row r="1446" spans="1:46">
      <c r="A1446">
        <v>30300</v>
      </c>
      <c r="B1446" t="s">
        <v>9000</v>
      </c>
      <c r="C1446" t="s">
        <v>9001</v>
      </c>
      <c r="E1446" t="s">
        <v>9002</v>
      </c>
      <c r="F1446" t="s">
        <v>9003</v>
      </c>
      <c r="G1446" t="s">
        <v>2081</v>
      </c>
      <c r="H1446" t="s">
        <v>4716</v>
      </c>
      <c r="J1446" t="s">
        <v>3962</v>
      </c>
      <c r="K1446" t="s">
        <v>519</v>
      </c>
      <c r="M1446" t="s">
        <v>1297</v>
      </c>
      <c r="N1446" t="s">
        <v>571</v>
      </c>
      <c r="O1446" t="s">
        <v>2082</v>
      </c>
      <c r="P1446" t="s">
        <v>584</v>
      </c>
      <c r="Q1446" t="s">
        <v>2083</v>
      </c>
      <c r="R1446" t="s">
        <v>2084</v>
      </c>
      <c r="S1446" t="s">
        <v>1473</v>
      </c>
      <c r="T1446" t="s">
        <v>2085</v>
      </c>
      <c r="U1446">
        <v>206700</v>
      </c>
      <c r="V1446" t="s">
        <v>9004</v>
      </c>
      <c r="W1446" t="s">
        <v>2087</v>
      </c>
      <c r="X1446" t="s">
        <v>9005</v>
      </c>
      <c r="Y1446" t="s">
        <v>9006</v>
      </c>
      <c r="Z1446" t="s">
        <v>9007</v>
      </c>
      <c r="AA1446" t="s">
        <v>2090</v>
      </c>
      <c r="AB1446" t="s">
        <v>9008</v>
      </c>
      <c r="AC1446">
        <v>99083</v>
      </c>
      <c r="AD1446" t="s">
        <v>2099</v>
      </c>
      <c r="AE1446">
        <v>-38.655316589999998</v>
      </c>
      <c r="AF1446">
        <v>178.02458367</v>
      </c>
      <c r="AG1446">
        <v>80</v>
      </c>
      <c r="AH1446">
        <v>80</v>
      </c>
      <c r="AI1446">
        <v>1</v>
      </c>
      <c r="AJ1446">
        <v>9</v>
      </c>
      <c r="AK1446">
        <v>9</v>
      </c>
      <c r="AL1446">
        <v>5</v>
      </c>
      <c r="AM1446">
        <v>2</v>
      </c>
      <c r="AN1446">
        <v>0</v>
      </c>
      <c r="AO1446">
        <v>26</v>
      </c>
      <c r="AP1446">
        <v>14</v>
      </c>
      <c r="AQ1446">
        <v>11</v>
      </c>
      <c r="AR1446">
        <v>1</v>
      </c>
      <c r="AS1446">
        <v>0</v>
      </c>
      <c r="AT1446">
        <v>5</v>
      </c>
    </row>
    <row r="1447" spans="1:46">
      <c r="A1447">
        <v>30301</v>
      </c>
      <c r="B1447" t="s">
        <v>9009</v>
      </c>
      <c r="C1447" t="s">
        <v>9010</v>
      </c>
      <c r="D1447" t="s">
        <v>9011</v>
      </c>
      <c r="E1447" t="s">
        <v>9012</v>
      </c>
      <c r="F1447" t="s">
        <v>1393</v>
      </c>
      <c r="G1447" t="s">
        <v>1296</v>
      </c>
      <c r="H1447" t="s">
        <v>3942</v>
      </c>
      <c r="J1447" t="s">
        <v>3962</v>
      </c>
      <c r="K1447" t="s">
        <v>519</v>
      </c>
      <c r="M1447" t="s">
        <v>1297</v>
      </c>
      <c r="N1447" t="s">
        <v>571</v>
      </c>
      <c r="O1447" t="s">
        <v>1298</v>
      </c>
      <c r="P1447" t="s">
        <v>654</v>
      </c>
      <c r="Q1447" t="s">
        <v>1299</v>
      </c>
      <c r="R1447" t="s">
        <v>1300</v>
      </c>
      <c r="S1447" t="s">
        <v>1301</v>
      </c>
      <c r="T1447" t="s">
        <v>1235</v>
      </c>
      <c r="U1447">
        <v>178901</v>
      </c>
      <c r="V1447" t="s">
        <v>8352</v>
      </c>
      <c r="W1447" t="s">
        <v>1303</v>
      </c>
      <c r="X1447" t="s">
        <v>9013</v>
      </c>
      <c r="Y1447" t="s">
        <v>9014</v>
      </c>
      <c r="Z1447" t="s">
        <v>8599</v>
      </c>
      <c r="AA1447" t="s">
        <v>9015</v>
      </c>
      <c r="AB1447" t="s">
        <v>9010</v>
      </c>
      <c r="AE1447">
        <v>-37.812024049999998</v>
      </c>
      <c r="AF1447">
        <v>175.26978700000001</v>
      </c>
      <c r="AG1447">
        <v>75</v>
      </c>
      <c r="AH1447">
        <v>25</v>
      </c>
      <c r="AI1447">
        <v>6</v>
      </c>
      <c r="AJ1447">
        <v>17</v>
      </c>
      <c r="AK1447">
        <v>16</v>
      </c>
      <c r="AL1447">
        <v>20</v>
      </c>
      <c r="AM1447">
        <v>16</v>
      </c>
      <c r="AN1447">
        <v>1</v>
      </c>
      <c r="AO1447">
        <v>76</v>
      </c>
      <c r="AP1447">
        <v>36</v>
      </c>
      <c r="AQ1447">
        <v>15</v>
      </c>
      <c r="AR1447">
        <v>7</v>
      </c>
      <c r="AS1447">
        <v>32</v>
      </c>
      <c r="AT1447">
        <v>2</v>
      </c>
    </row>
    <row r="1448" spans="1:46">
      <c r="A1448">
        <v>30303</v>
      </c>
      <c r="B1448" t="s">
        <v>9016</v>
      </c>
      <c r="C1448" t="s">
        <v>9017</v>
      </c>
      <c r="D1448" t="s">
        <v>9018</v>
      </c>
      <c r="E1448" t="s">
        <v>9019</v>
      </c>
      <c r="G1448" t="s">
        <v>3826</v>
      </c>
      <c r="H1448" t="s">
        <v>3942</v>
      </c>
      <c r="J1448" t="s">
        <v>3962</v>
      </c>
      <c r="K1448" t="s">
        <v>519</v>
      </c>
      <c r="M1448" t="s">
        <v>1297</v>
      </c>
      <c r="N1448" t="s">
        <v>571</v>
      </c>
      <c r="O1448" t="s">
        <v>1461</v>
      </c>
      <c r="P1448" t="s">
        <v>523</v>
      </c>
      <c r="Q1448" t="s">
        <v>1299</v>
      </c>
      <c r="R1448" t="s">
        <v>1300</v>
      </c>
      <c r="S1448" t="s">
        <v>1438</v>
      </c>
      <c r="T1448" t="s">
        <v>1235</v>
      </c>
      <c r="U1448">
        <v>167102</v>
      </c>
      <c r="V1448" t="s">
        <v>9020</v>
      </c>
      <c r="W1448" t="s">
        <v>3828</v>
      </c>
      <c r="X1448" t="s">
        <v>9021</v>
      </c>
      <c r="Y1448" t="s">
        <v>9019</v>
      </c>
      <c r="AA1448" t="s">
        <v>9022</v>
      </c>
      <c r="AB1448" t="s">
        <v>9017</v>
      </c>
      <c r="AC1448">
        <v>99155</v>
      </c>
      <c r="AD1448" t="s">
        <v>3829</v>
      </c>
      <c r="AE1448">
        <v>-36.834243360000002</v>
      </c>
      <c r="AF1448">
        <v>175.69376020000001</v>
      </c>
      <c r="AG1448">
        <v>39</v>
      </c>
      <c r="AH1448">
        <v>10</v>
      </c>
      <c r="AI1448">
        <v>0</v>
      </c>
      <c r="AJ1448">
        <v>2</v>
      </c>
      <c r="AK1448">
        <v>5</v>
      </c>
      <c r="AL1448">
        <v>8</v>
      </c>
      <c r="AM1448">
        <v>7</v>
      </c>
      <c r="AN1448">
        <v>0</v>
      </c>
      <c r="AO1448">
        <v>22</v>
      </c>
      <c r="AP1448">
        <v>20</v>
      </c>
      <c r="AQ1448">
        <v>12</v>
      </c>
      <c r="AR1448">
        <v>0</v>
      </c>
      <c r="AS1448">
        <v>0</v>
      </c>
      <c r="AT1448">
        <v>2</v>
      </c>
    </row>
    <row r="1449" spans="1:46">
      <c r="A1449">
        <v>30305</v>
      </c>
      <c r="B1449" t="s">
        <v>9023</v>
      </c>
      <c r="C1449" t="s">
        <v>9024</v>
      </c>
      <c r="D1449" t="s">
        <v>9025</v>
      </c>
      <c r="E1449" t="s">
        <v>9026</v>
      </c>
      <c r="G1449" t="s">
        <v>2427</v>
      </c>
      <c r="H1449" t="s">
        <v>4716</v>
      </c>
      <c r="J1449" t="s">
        <v>3962</v>
      </c>
      <c r="K1449" t="s">
        <v>519</v>
      </c>
      <c r="M1449" t="s">
        <v>2287</v>
      </c>
      <c r="N1449" t="s">
        <v>571</v>
      </c>
      <c r="O1449" t="s">
        <v>2428</v>
      </c>
      <c r="P1449" t="s">
        <v>654</v>
      </c>
      <c r="Q1449" t="s">
        <v>2319</v>
      </c>
      <c r="R1449" t="s">
        <v>2289</v>
      </c>
      <c r="S1449" t="s">
        <v>2429</v>
      </c>
      <c r="T1449" t="s">
        <v>2448</v>
      </c>
      <c r="U1449">
        <v>244300</v>
      </c>
      <c r="V1449" t="s">
        <v>9027</v>
      </c>
      <c r="W1449" t="s">
        <v>2443</v>
      </c>
      <c r="X1449" t="s">
        <v>9028</v>
      </c>
      <c r="Y1449" t="s">
        <v>9026</v>
      </c>
      <c r="Z1449" t="s">
        <v>2427</v>
      </c>
      <c r="AA1449" t="s">
        <v>9029</v>
      </c>
      <c r="AB1449" t="s">
        <v>9030</v>
      </c>
      <c r="AE1449">
        <v>-41.207195560000002</v>
      </c>
      <c r="AF1449">
        <v>174.91014913999999</v>
      </c>
      <c r="AG1449">
        <v>50</v>
      </c>
      <c r="AH1449">
        <v>50</v>
      </c>
      <c r="AI1449">
        <v>0</v>
      </c>
      <c r="AJ1449">
        <v>3</v>
      </c>
      <c r="AK1449">
        <v>4</v>
      </c>
      <c r="AL1449">
        <v>4</v>
      </c>
      <c r="AM1449">
        <v>2</v>
      </c>
      <c r="AN1449">
        <v>0</v>
      </c>
      <c r="AO1449">
        <v>13</v>
      </c>
      <c r="AP1449">
        <v>11</v>
      </c>
      <c r="AQ1449">
        <v>7</v>
      </c>
      <c r="AR1449">
        <v>3</v>
      </c>
      <c r="AS1449">
        <v>0</v>
      </c>
      <c r="AT1449">
        <v>0</v>
      </c>
    </row>
    <row r="1450" spans="1:46">
      <c r="A1450">
        <v>30307</v>
      </c>
      <c r="B1450" t="s">
        <v>9031</v>
      </c>
      <c r="C1450" t="s">
        <v>9032</v>
      </c>
      <c r="E1450" t="s">
        <v>9033</v>
      </c>
      <c r="F1450" t="s">
        <v>9034</v>
      </c>
      <c r="G1450" t="s">
        <v>1296</v>
      </c>
      <c r="H1450" t="s">
        <v>343</v>
      </c>
      <c r="J1450" t="s">
        <v>518</v>
      </c>
      <c r="K1450" t="s">
        <v>519</v>
      </c>
      <c r="L1450" t="s">
        <v>4205</v>
      </c>
      <c r="M1450" t="s">
        <v>1297</v>
      </c>
      <c r="N1450" t="s">
        <v>557</v>
      </c>
      <c r="O1450" t="s">
        <v>1298</v>
      </c>
      <c r="P1450" t="s">
        <v>654</v>
      </c>
      <c r="Q1450" t="s">
        <v>1299</v>
      </c>
      <c r="R1450" t="s">
        <v>1300</v>
      </c>
      <c r="S1450" t="s">
        <v>1312</v>
      </c>
      <c r="T1450" t="s">
        <v>1235</v>
      </c>
      <c r="U1450">
        <v>179202</v>
      </c>
      <c r="V1450" t="s">
        <v>9035</v>
      </c>
      <c r="W1450" t="s">
        <v>1314</v>
      </c>
      <c r="X1450" t="s">
        <v>7630</v>
      </c>
      <c r="Y1450" t="s">
        <v>4208</v>
      </c>
      <c r="Z1450" t="s">
        <v>4209</v>
      </c>
      <c r="AA1450" t="s">
        <v>4210</v>
      </c>
      <c r="AB1450" t="s">
        <v>7631</v>
      </c>
      <c r="AE1450">
        <v>-37.788077100000002</v>
      </c>
      <c r="AF1450">
        <v>175.32345824000001</v>
      </c>
      <c r="AG1450">
        <v>25</v>
      </c>
      <c r="AH1450">
        <v>10</v>
      </c>
      <c r="AI1450">
        <v>0</v>
      </c>
      <c r="AJ1450">
        <v>4</v>
      </c>
      <c r="AK1450">
        <v>5</v>
      </c>
      <c r="AL1450">
        <v>6</v>
      </c>
      <c r="AM1450">
        <v>6</v>
      </c>
      <c r="AN1450">
        <v>0</v>
      </c>
      <c r="AO1450">
        <v>21</v>
      </c>
      <c r="AP1450">
        <v>0</v>
      </c>
      <c r="AQ1450">
        <v>20</v>
      </c>
      <c r="AR1450">
        <v>1</v>
      </c>
      <c r="AS1450">
        <v>0</v>
      </c>
      <c r="AT1450">
        <v>0</v>
      </c>
    </row>
    <row r="1451" spans="1:46">
      <c r="A1451">
        <v>30313</v>
      </c>
      <c r="B1451" t="s">
        <v>9036</v>
      </c>
      <c r="C1451" t="s">
        <v>9037</v>
      </c>
      <c r="E1451" t="s">
        <v>9038</v>
      </c>
      <c r="F1451" t="s">
        <v>1313</v>
      </c>
      <c r="G1451" t="s">
        <v>1296</v>
      </c>
      <c r="H1451" t="s">
        <v>3942</v>
      </c>
      <c r="J1451" t="s">
        <v>3962</v>
      </c>
      <c r="K1451" t="s">
        <v>519</v>
      </c>
      <c r="M1451" t="s">
        <v>1297</v>
      </c>
      <c r="N1451" t="s">
        <v>571</v>
      </c>
      <c r="O1451" t="s">
        <v>1298</v>
      </c>
      <c r="P1451" t="s">
        <v>654</v>
      </c>
      <c r="Q1451" t="s">
        <v>1299</v>
      </c>
      <c r="R1451" t="s">
        <v>1300</v>
      </c>
      <c r="S1451" t="s">
        <v>1312</v>
      </c>
      <c r="T1451" t="s">
        <v>1235</v>
      </c>
      <c r="U1451">
        <v>176600</v>
      </c>
      <c r="V1451" t="s">
        <v>1326</v>
      </c>
      <c r="W1451" t="s">
        <v>1314</v>
      </c>
      <c r="X1451" t="s">
        <v>8508</v>
      </c>
      <c r="Y1451" t="s">
        <v>8509</v>
      </c>
      <c r="Z1451" t="s">
        <v>8510</v>
      </c>
      <c r="AA1451" t="s">
        <v>8511</v>
      </c>
      <c r="AB1451" t="s">
        <v>8512</v>
      </c>
      <c r="AC1451">
        <v>99132</v>
      </c>
      <c r="AD1451" t="s">
        <v>8513</v>
      </c>
      <c r="AE1451">
        <v>-37.75084099</v>
      </c>
      <c r="AF1451">
        <v>175.26885523999999</v>
      </c>
      <c r="AG1451">
        <v>30</v>
      </c>
      <c r="AH1451">
        <v>0</v>
      </c>
      <c r="AI1451">
        <v>0</v>
      </c>
      <c r="AJ1451">
        <v>0</v>
      </c>
      <c r="AK1451">
        <v>19</v>
      </c>
      <c r="AL1451">
        <v>11</v>
      </c>
      <c r="AM1451">
        <v>0</v>
      </c>
      <c r="AN1451">
        <v>0</v>
      </c>
      <c r="AO1451">
        <v>30</v>
      </c>
      <c r="AP1451">
        <v>26</v>
      </c>
      <c r="AQ1451">
        <v>3</v>
      </c>
      <c r="AR1451">
        <v>1</v>
      </c>
      <c r="AS1451">
        <v>6</v>
      </c>
      <c r="AT1451">
        <v>0</v>
      </c>
    </row>
    <row r="1452" spans="1:46">
      <c r="A1452">
        <v>30316</v>
      </c>
      <c r="B1452" t="s">
        <v>9039</v>
      </c>
      <c r="C1452" t="s">
        <v>9040</v>
      </c>
      <c r="D1452" t="s">
        <v>9041</v>
      </c>
      <c r="E1452" t="s">
        <v>9042</v>
      </c>
      <c r="F1452" t="s">
        <v>1295</v>
      </c>
      <c r="G1452" t="s">
        <v>1296</v>
      </c>
      <c r="H1452" t="s">
        <v>3942</v>
      </c>
      <c r="J1452" t="s">
        <v>3962</v>
      </c>
      <c r="K1452" t="s">
        <v>519</v>
      </c>
      <c r="M1452" t="s">
        <v>1297</v>
      </c>
      <c r="N1452" t="s">
        <v>571</v>
      </c>
      <c r="O1452" t="s">
        <v>1298</v>
      </c>
      <c r="P1452" t="s">
        <v>654</v>
      </c>
      <c r="Q1452" t="s">
        <v>1299</v>
      </c>
      <c r="R1452" t="s">
        <v>1300</v>
      </c>
      <c r="S1452" t="s">
        <v>1301</v>
      </c>
      <c r="T1452" t="s">
        <v>1235</v>
      </c>
      <c r="U1452">
        <v>178301</v>
      </c>
      <c r="V1452" t="s">
        <v>1431</v>
      </c>
      <c r="W1452" t="s">
        <v>1303</v>
      </c>
      <c r="X1452" t="s">
        <v>9043</v>
      </c>
      <c r="Y1452" t="s">
        <v>9044</v>
      </c>
      <c r="Z1452" t="s">
        <v>8001</v>
      </c>
      <c r="AA1452" t="s">
        <v>9045</v>
      </c>
      <c r="AB1452" t="s">
        <v>9040</v>
      </c>
      <c r="AE1452">
        <v>-37.777583839999998</v>
      </c>
      <c r="AF1452">
        <v>175.26758422</v>
      </c>
      <c r="AG1452">
        <v>50</v>
      </c>
      <c r="AH1452">
        <v>20</v>
      </c>
      <c r="AI1452">
        <v>1</v>
      </c>
      <c r="AJ1452">
        <v>13</v>
      </c>
      <c r="AK1452">
        <v>7</v>
      </c>
      <c r="AL1452">
        <v>13</v>
      </c>
      <c r="AM1452">
        <v>13</v>
      </c>
      <c r="AN1452">
        <v>2</v>
      </c>
      <c r="AO1452">
        <v>49</v>
      </c>
      <c r="AP1452">
        <v>36</v>
      </c>
      <c r="AQ1452">
        <v>19</v>
      </c>
      <c r="AR1452">
        <v>1</v>
      </c>
      <c r="AS1452">
        <v>12</v>
      </c>
      <c r="AT1452">
        <v>1</v>
      </c>
    </row>
    <row r="1453" spans="1:46">
      <c r="A1453">
        <v>30317</v>
      </c>
      <c r="B1453" t="s">
        <v>9046</v>
      </c>
      <c r="C1453" t="s">
        <v>9047</v>
      </c>
      <c r="D1453" t="s">
        <v>9048</v>
      </c>
      <c r="E1453" t="s">
        <v>9049</v>
      </c>
      <c r="G1453" t="s">
        <v>1579</v>
      </c>
      <c r="H1453" t="s">
        <v>3942</v>
      </c>
      <c r="J1453" t="s">
        <v>3962</v>
      </c>
      <c r="K1453" t="s">
        <v>519</v>
      </c>
      <c r="M1453" t="s">
        <v>1297</v>
      </c>
      <c r="N1453" t="s">
        <v>4519</v>
      </c>
      <c r="O1453" t="s">
        <v>1450</v>
      </c>
      <c r="P1453" t="s">
        <v>523</v>
      </c>
      <c r="Q1453" t="s">
        <v>1299</v>
      </c>
      <c r="R1453" t="s">
        <v>1300</v>
      </c>
      <c r="S1453" t="s">
        <v>1300</v>
      </c>
      <c r="T1453" t="s">
        <v>1235</v>
      </c>
      <c r="U1453">
        <v>174901</v>
      </c>
      <c r="V1453" t="s">
        <v>1656</v>
      </c>
      <c r="W1453" t="s">
        <v>1581</v>
      </c>
      <c r="X1453" t="s">
        <v>6262</v>
      </c>
      <c r="Y1453" t="s">
        <v>9050</v>
      </c>
      <c r="AA1453" t="s">
        <v>9051</v>
      </c>
      <c r="AB1453" t="s">
        <v>6264</v>
      </c>
      <c r="AC1453">
        <v>99104</v>
      </c>
      <c r="AD1453" t="s">
        <v>1582</v>
      </c>
      <c r="AE1453">
        <v>-37.80520799</v>
      </c>
      <c r="AF1453">
        <v>175.76969172</v>
      </c>
      <c r="AG1453">
        <v>72</v>
      </c>
      <c r="AH1453">
        <v>19</v>
      </c>
      <c r="AI1453">
        <v>4</v>
      </c>
      <c r="AJ1453">
        <v>11</v>
      </c>
      <c r="AK1453">
        <v>10</v>
      </c>
      <c r="AL1453">
        <v>31</v>
      </c>
      <c r="AM1453">
        <v>19</v>
      </c>
      <c r="AN1453">
        <v>1</v>
      </c>
      <c r="AO1453">
        <v>76</v>
      </c>
      <c r="AP1453">
        <v>72</v>
      </c>
      <c r="AQ1453">
        <v>18</v>
      </c>
      <c r="AR1453">
        <v>2</v>
      </c>
      <c r="AS1453">
        <v>5</v>
      </c>
      <c r="AT1453">
        <v>1</v>
      </c>
    </row>
    <row r="1454" spans="1:46">
      <c r="A1454">
        <v>30322</v>
      </c>
      <c r="B1454" t="s">
        <v>9052</v>
      </c>
      <c r="C1454" t="s">
        <v>9053</v>
      </c>
      <c r="D1454" t="s">
        <v>9054</v>
      </c>
      <c r="E1454" t="s">
        <v>9055</v>
      </c>
      <c r="G1454" t="s">
        <v>1619</v>
      </c>
      <c r="H1454" t="s">
        <v>3942</v>
      </c>
      <c r="J1454" t="s">
        <v>3962</v>
      </c>
      <c r="K1454" t="s">
        <v>519</v>
      </c>
      <c r="M1454" t="s">
        <v>1297</v>
      </c>
      <c r="N1454" t="s">
        <v>571</v>
      </c>
      <c r="O1454" t="s">
        <v>1620</v>
      </c>
      <c r="P1454" t="s">
        <v>523</v>
      </c>
      <c r="Q1454" t="s">
        <v>1299</v>
      </c>
      <c r="R1454" t="s">
        <v>1300</v>
      </c>
      <c r="S1454" t="s">
        <v>1417</v>
      </c>
      <c r="T1454" t="s">
        <v>1485</v>
      </c>
      <c r="U1454">
        <v>185500</v>
      </c>
      <c r="V1454" t="s">
        <v>1621</v>
      </c>
      <c r="W1454" t="s">
        <v>1622</v>
      </c>
      <c r="X1454" t="s">
        <v>8841</v>
      </c>
      <c r="Y1454" t="s">
        <v>8840</v>
      </c>
      <c r="Z1454" t="s">
        <v>1619</v>
      </c>
      <c r="AA1454" t="s">
        <v>8842</v>
      </c>
      <c r="AB1454" t="s">
        <v>8843</v>
      </c>
      <c r="AC1454">
        <v>99194</v>
      </c>
      <c r="AD1454" t="s">
        <v>1623</v>
      </c>
      <c r="AE1454">
        <v>-38.182317169999997</v>
      </c>
      <c r="AF1454">
        <v>175.20641251000001</v>
      </c>
      <c r="AG1454">
        <v>30</v>
      </c>
      <c r="AH1454">
        <v>0</v>
      </c>
      <c r="AI1454">
        <v>0</v>
      </c>
      <c r="AJ1454">
        <v>0</v>
      </c>
      <c r="AK1454">
        <v>0</v>
      </c>
      <c r="AL1454">
        <v>20</v>
      </c>
      <c r="AM1454">
        <v>19</v>
      </c>
      <c r="AN1454">
        <v>1</v>
      </c>
      <c r="AO1454">
        <v>40</v>
      </c>
      <c r="AP1454">
        <v>36</v>
      </c>
      <c r="AQ1454">
        <v>9</v>
      </c>
      <c r="AR1454">
        <v>0</v>
      </c>
      <c r="AS1454">
        <v>6</v>
      </c>
      <c r="AT1454">
        <v>1</v>
      </c>
    </row>
    <row r="1455" spans="1:46">
      <c r="A1455">
        <v>30325</v>
      </c>
      <c r="B1455" t="s">
        <v>9056</v>
      </c>
      <c r="C1455" t="s">
        <v>9057</v>
      </c>
      <c r="D1455" t="s">
        <v>9058</v>
      </c>
      <c r="E1455" t="s">
        <v>9059</v>
      </c>
      <c r="F1455" t="s">
        <v>1411</v>
      </c>
      <c r="G1455" t="s">
        <v>1296</v>
      </c>
      <c r="H1455" t="s">
        <v>3942</v>
      </c>
      <c r="J1455" t="s">
        <v>518</v>
      </c>
      <c r="K1455" t="s">
        <v>519</v>
      </c>
      <c r="M1455" t="s">
        <v>1297</v>
      </c>
      <c r="N1455" t="s">
        <v>571</v>
      </c>
      <c r="O1455" t="s">
        <v>1298</v>
      </c>
      <c r="P1455" t="s">
        <v>654</v>
      </c>
      <c r="Q1455" t="s">
        <v>1299</v>
      </c>
      <c r="R1455" t="s">
        <v>1300</v>
      </c>
      <c r="S1455" t="s">
        <v>1301</v>
      </c>
      <c r="T1455" t="s">
        <v>1235</v>
      </c>
      <c r="U1455">
        <v>175201</v>
      </c>
      <c r="V1455" t="s">
        <v>9060</v>
      </c>
      <c r="W1455" t="s">
        <v>1303</v>
      </c>
      <c r="X1455" t="s">
        <v>8377</v>
      </c>
      <c r="Y1455" t="s">
        <v>3944</v>
      </c>
      <c r="Z1455" t="s">
        <v>3945</v>
      </c>
      <c r="AA1455" t="s">
        <v>3946</v>
      </c>
      <c r="AB1455" t="s">
        <v>8378</v>
      </c>
      <c r="AC1455">
        <v>99035</v>
      </c>
      <c r="AD1455" t="s">
        <v>1308</v>
      </c>
      <c r="AE1455">
        <v>-37.741498059999998</v>
      </c>
      <c r="AF1455">
        <v>175.2297002</v>
      </c>
      <c r="AG1455">
        <v>100</v>
      </c>
      <c r="AH1455">
        <v>24</v>
      </c>
      <c r="AI1455">
        <v>4</v>
      </c>
      <c r="AJ1455">
        <v>19</v>
      </c>
      <c r="AK1455">
        <v>20</v>
      </c>
      <c r="AL1455">
        <v>18</v>
      </c>
      <c r="AM1455">
        <v>15</v>
      </c>
      <c r="AN1455">
        <v>1</v>
      </c>
      <c r="AO1455">
        <v>77</v>
      </c>
      <c r="AP1455">
        <v>50</v>
      </c>
      <c r="AQ1455">
        <v>21</v>
      </c>
      <c r="AR1455">
        <v>4</v>
      </c>
      <c r="AS1455">
        <v>22</v>
      </c>
      <c r="AT1455">
        <v>1</v>
      </c>
    </row>
    <row r="1456" spans="1:46">
      <c r="A1456">
        <v>30327</v>
      </c>
      <c r="B1456" t="s">
        <v>9061</v>
      </c>
      <c r="C1456" t="s">
        <v>9062</v>
      </c>
      <c r="E1456" t="s">
        <v>9063</v>
      </c>
      <c r="G1456" t="s">
        <v>9064</v>
      </c>
      <c r="H1456" t="s">
        <v>343</v>
      </c>
      <c r="J1456" t="s">
        <v>518</v>
      </c>
      <c r="K1456" t="s">
        <v>519</v>
      </c>
      <c r="L1456" t="s">
        <v>4205</v>
      </c>
      <c r="M1456" t="s">
        <v>1297</v>
      </c>
      <c r="N1456" t="s">
        <v>539</v>
      </c>
      <c r="O1456" t="s">
        <v>1351</v>
      </c>
      <c r="P1456" t="s">
        <v>572</v>
      </c>
      <c r="Q1456" t="s">
        <v>1299</v>
      </c>
      <c r="R1456" t="s">
        <v>1300</v>
      </c>
      <c r="S1456" t="s">
        <v>1300</v>
      </c>
      <c r="T1456" t="s">
        <v>1235</v>
      </c>
      <c r="U1456">
        <v>171901</v>
      </c>
      <c r="V1456" t="s">
        <v>9065</v>
      </c>
      <c r="W1456" t="s">
        <v>1353</v>
      </c>
      <c r="X1456" t="s">
        <v>7630</v>
      </c>
      <c r="Y1456" t="s">
        <v>4208</v>
      </c>
      <c r="Z1456" t="s">
        <v>4209</v>
      </c>
      <c r="AA1456" t="s">
        <v>4210</v>
      </c>
      <c r="AB1456" t="s">
        <v>7631</v>
      </c>
      <c r="AE1456">
        <v>-37.665253399999997</v>
      </c>
      <c r="AF1456">
        <v>175.23495249999999</v>
      </c>
      <c r="AG1456">
        <v>25</v>
      </c>
      <c r="AH1456">
        <v>6</v>
      </c>
      <c r="AI1456">
        <v>1</v>
      </c>
      <c r="AJ1456">
        <v>5</v>
      </c>
      <c r="AK1456">
        <v>6</v>
      </c>
      <c r="AL1456">
        <v>5</v>
      </c>
      <c r="AM1456">
        <v>2</v>
      </c>
      <c r="AN1456">
        <v>0</v>
      </c>
      <c r="AO1456">
        <v>19</v>
      </c>
      <c r="AP1456">
        <v>0</v>
      </c>
      <c r="AQ1456">
        <v>19</v>
      </c>
      <c r="AR1456">
        <v>0</v>
      </c>
      <c r="AS1456">
        <v>0</v>
      </c>
      <c r="AT1456">
        <v>0</v>
      </c>
    </row>
    <row r="1457" spans="1:46">
      <c r="A1457">
        <v>30330</v>
      </c>
      <c r="B1457" t="s">
        <v>9066</v>
      </c>
      <c r="C1457" t="s">
        <v>9067</v>
      </c>
      <c r="E1457" t="s">
        <v>9068</v>
      </c>
      <c r="G1457" t="s">
        <v>1634</v>
      </c>
      <c r="H1457" t="s">
        <v>343</v>
      </c>
      <c r="J1457" t="s">
        <v>518</v>
      </c>
      <c r="K1457" t="s">
        <v>519</v>
      </c>
      <c r="L1457" t="s">
        <v>4205</v>
      </c>
      <c r="M1457" t="s">
        <v>1297</v>
      </c>
      <c r="N1457" t="s">
        <v>727</v>
      </c>
      <c r="O1457" t="s">
        <v>1635</v>
      </c>
      <c r="P1457" t="s">
        <v>572</v>
      </c>
      <c r="Q1457" t="s">
        <v>1636</v>
      </c>
      <c r="R1457" t="s">
        <v>1760</v>
      </c>
      <c r="S1457" t="s">
        <v>1417</v>
      </c>
      <c r="T1457" t="s">
        <v>1485</v>
      </c>
      <c r="U1457">
        <v>222400</v>
      </c>
      <c r="V1457" t="s">
        <v>9069</v>
      </c>
      <c r="W1457" t="s">
        <v>1639</v>
      </c>
      <c r="X1457" t="s">
        <v>9070</v>
      </c>
      <c r="Y1457" t="s">
        <v>4208</v>
      </c>
      <c r="Z1457" t="s">
        <v>4209</v>
      </c>
      <c r="AA1457" t="s">
        <v>4210</v>
      </c>
      <c r="AB1457" t="s">
        <v>9071</v>
      </c>
      <c r="AE1457">
        <v>-38.807218839999997</v>
      </c>
      <c r="AF1457">
        <v>175.22308676</v>
      </c>
      <c r="AG1457">
        <v>25</v>
      </c>
      <c r="AH1457">
        <v>6</v>
      </c>
      <c r="AI1457">
        <v>2</v>
      </c>
      <c r="AJ1457">
        <v>4</v>
      </c>
      <c r="AK1457">
        <v>2</v>
      </c>
      <c r="AL1457">
        <v>7</v>
      </c>
      <c r="AM1457">
        <v>5</v>
      </c>
      <c r="AN1457">
        <v>0</v>
      </c>
      <c r="AO1457">
        <v>20</v>
      </c>
      <c r="AP1457">
        <v>0</v>
      </c>
      <c r="AQ1457">
        <v>20</v>
      </c>
      <c r="AR1457">
        <v>0</v>
      </c>
      <c r="AS1457">
        <v>0</v>
      </c>
      <c r="AT1457">
        <v>0</v>
      </c>
    </row>
    <row r="1458" spans="1:46">
      <c r="A1458">
        <v>30335</v>
      </c>
      <c r="B1458" t="s">
        <v>9072</v>
      </c>
      <c r="C1458" t="s">
        <v>9073</v>
      </c>
      <c r="D1458" t="s">
        <v>1447</v>
      </c>
      <c r="E1458" t="s">
        <v>9074</v>
      </c>
      <c r="G1458" t="s">
        <v>9075</v>
      </c>
      <c r="H1458" t="s">
        <v>517</v>
      </c>
      <c r="J1458" t="s">
        <v>518</v>
      </c>
      <c r="K1458" t="s">
        <v>519</v>
      </c>
      <c r="M1458" t="s">
        <v>1297</v>
      </c>
      <c r="N1458" t="s">
        <v>571</v>
      </c>
      <c r="O1458" t="s">
        <v>1450</v>
      </c>
      <c r="P1458" t="s">
        <v>540</v>
      </c>
      <c r="Q1458" t="s">
        <v>1299</v>
      </c>
      <c r="R1458" t="s">
        <v>1300</v>
      </c>
      <c r="S1458" t="s">
        <v>1300</v>
      </c>
      <c r="T1458" t="s">
        <v>1235</v>
      </c>
      <c r="U1458">
        <v>174400</v>
      </c>
      <c r="V1458" t="s">
        <v>9076</v>
      </c>
      <c r="W1458" t="s">
        <v>1452</v>
      </c>
      <c r="X1458" t="s">
        <v>1453</v>
      </c>
      <c r="Y1458" t="s">
        <v>1448</v>
      </c>
      <c r="Z1458" t="s">
        <v>1449</v>
      </c>
      <c r="AA1458" t="s">
        <v>1454</v>
      </c>
      <c r="AB1458" t="s">
        <v>1455</v>
      </c>
      <c r="AC1458">
        <v>99202</v>
      </c>
      <c r="AD1458" t="s">
        <v>1456</v>
      </c>
      <c r="AE1458">
        <v>-37.596297100000001</v>
      </c>
      <c r="AF1458">
        <v>175.63683560000001</v>
      </c>
      <c r="AG1458">
        <v>40</v>
      </c>
      <c r="AH1458">
        <v>0</v>
      </c>
      <c r="AI1458">
        <v>0</v>
      </c>
      <c r="AJ1458">
        <v>0</v>
      </c>
      <c r="AK1458">
        <v>0</v>
      </c>
      <c r="AL1458">
        <v>27</v>
      </c>
      <c r="AM1458">
        <v>24</v>
      </c>
      <c r="AN1458">
        <v>3</v>
      </c>
      <c r="AO1458">
        <v>54</v>
      </c>
      <c r="AP1458">
        <v>48</v>
      </c>
      <c r="AQ1458">
        <v>7</v>
      </c>
      <c r="AR1458">
        <v>3</v>
      </c>
      <c r="AS1458">
        <v>4</v>
      </c>
      <c r="AT1458">
        <v>1</v>
      </c>
    </row>
    <row r="1459" spans="1:46">
      <c r="A1459">
        <v>30342</v>
      </c>
      <c r="B1459" t="s">
        <v>9077</v>
      </c>
      <c r="C1459" t="s">
        <v>9078</v>
      </c>
      <c r="E1459" t="s">
        <v>9079</v>
      </c>
      <c r="G1459" t="s">
        <v>9080</v>
      </c>
      <c r="H1459" t="s">
        <v>343</v>
      </c>
      <c r="J1459" t="s">
        <v>518</v>
      </c>
      <c r="K1459" t="s">
        <v>519</v>
      </c>
      <c r="L1459" t="s">
        <v>4205</v>
      </c>
      <c r="M1459" t="s">
        <v>1297</v>
      </c>
      <c r="N1459" t="s">
        <v>557</v>
      </c>
      <c r="O1459" t="s">
        <v>1351</v>
      </c>
      <c r="P1459" t="s">
        <v>572</v>
      </c>
      <c r="Q1459" t="s">
        <v>1299</v>
      </c>
      <c r="R1459" t="s">
        <v>1300</v>
      </c>
      <c r="S1459" t="s">
        <v>1417</v>
      </c>
      <c r="T1459" t="s">
        <v>1235</v>
      </c>
      <c r="U1459">
        <v>172800</v>
      </c>
      <c r="V1459" t="s">
        <v>9081</v>
      </c>
      <c r="W1459" t="s">
        <v>1353</v>
      </c>
      <c r="X1459" t="s">
        <v>7630</v>
      </c>
      <c r="Y1459" t="s">
        <v>4208</v>
      </c>
      <c r="Z1459" t="s">
        <v>4209</v>
      </c>
      <c r="AA1459" t="s">
        <v>4210</v>
      </c>
      <c r="AB1459" t="s">
        <v>7631</v>
      </c>
      <c r="AE1459">
        <v>-37.7889847</v>
      </c>
      <c r="AF1459">
        <v>175.1472085</v>
      </c>
      <c r="AG1459">
        <v>23</v>
      </c>
      <c r="AH1459">
        <v>8</v>
      </c>
      <c r="AI1459">
        <v>0</v>
      </c>
      <c r="AJ1459">
        <v>3</v>
      </c>
      <c r="AK1459">
        <v>4</v>
      </c>
      <c r="AL1459">
        <v>4</v>
      </c>
      <c r="AM1459">
        <v>4</v>
      </c>
      <c r="AN1459">
        <v>0</v>
      </c>
      <c r="AO1459">
        <v>15</v>
      </c>
      <c r="AP1459">
        <v>0</v>
      </c>
      <c r="AQ1459">
        <v>15</v>
      </c>
      <c r="AR1459">
        <v>0</v>
      </c>
      <c r="AS1459">
        <v>0</v>
      </c>
      <c r="AT1459">
        <v>0</v>
      </c>
    </row>
    <row r="1460" spans="1:46">
      <c r="A1460">
        <v>30343</v>
      </c>
      <c r="B1460" t="s">
        <v>9082</v>
      </c>
      <c r="D1460" t="s">
        <v>9083</v>
      </c>
      <c r="E1460" t="s">
        <v>9084</v>
      </c>
      <c r="F1460" t="s">
        <v>1312</v>
      </c>
      <c r="G1460" t="s">
        <v>1296</v>
      </c>
      <c r="H1460" t="s">
        <v>3942</v>
      </c>
      <c r="J1460" t="s">
        <v>3962</v>
      </c>
      <c r="K1460" t="s">
        <v>519</v>
      </c>
      <c r="M1460" t="s">
        <v>1297</v>
      </c>
      <c r="N1460" t="s">
        <v>727</v>
      </c>
      <c r="O1460" t="s">
        <v>1298</v>
      </c>
      <c r="P1460" t="s">
        <v>654</v>
      </c>
      <c r="Q1460" t="s">
        <v>1299</v>
      </c>
      <c r="R1460" t="s">
        <v>1300</v>
      </c>
      <c r="S1460" t="s">
        <v>1312</v>
      </c>
      <c r="T1460" t="s">
        <v>1235</v>
      </c>
      <c r="U1460">
        <v>179700</v>
      </c>
      <c r="V1460" t="s">
        <v>8736</v>
      </c>
      <c r="W1460" t="s">
        <v>1314</v>
      </c>
      <c r="X1460" t="s">
        <v>9085</v>
      </c>
      <c r="Y1460" t="s">
        <v>9086</v>
      </c>
      <c r="Z1460" t="s">
        <v>1313</v>
      </c>
      <c r="AA1460" t="s">
        <v>8511</v>
      </c>
      <c r="AB1460" t="s">
        <v>9087</v>
      </c>
      <c r="AE1460">
        <v>-37.797275200000001</v>
      </c>
      <c r="AF1460">
        <v>175.29441979999999</v>
      </c>
      <c r="AG1460">
        <v>40</v>
      </c>
      <c r="AH1460">
        <v>10</v>
      </c>
      <c r="AI1460">
        <v>1</v>
      </c>
      <c r="AJ1460">
        <v>10</v>
      </c>
      <c r="AK1460">
        <v>6</v>
      </c>
      <c r="AL1460">
        <v>8</v>
      </c>
      <c r="AM1460">
        <v>10</v>
      </c>
      <c r="AN1460">
        <v>2</v>
      </c>
      <c r="AO1460">
        <v>37</v>
      </c>
      <c r="AP1460">
        <v>23</v>
      </c>
      <c r="AQ1460">
        <v>14</v>
      </c>
      <c r="AR1460">
        <v>2</v>
      </c>
      <c r="AS1460">
        <v>6</v>
      </c>
      <c r="AT1460">
        <v>0</v>
      </c>
    </row>
    <row r="1461" spans="1:46">
      <c r="A1461">
        <v>30346</v>
      </c>
      <c r="B1461" t="s">
        <v>9088</v>
      </c>
      <c r="C1461" t="s">
        <v>9089</v>
      </c>
      <c r="D1461" t="s">
        <v>9090</v>
      </c>
      <c r="E1461" t="s">
        <v>9091</v>
      </c>
      <c r="F1461" t="s">
        <v>1379</v>
      </c>
      <c r="G1461" t="s">
        <v>1318</v>
      </c>
      <c r="H1461" t="s">
        <v>3942</v>
      </c>
      <c r="I1461" t="s">
        <v>9092</v>
      </c>
      <c r="J1461" t="s">
        <v>518</v>
      </c>
      <c r="K1461" t="s">
        <v>519</v>
      </c>
      <c r="M1461" t="s">
        <v>1297</v>
      </c>
      <c r="N1461" t="s">
        <v>571</v>
      </c>
      <c r="O1461" t="s">
        <v>1319</v>
      </c>
      <c r="P1461" t="s">
        <v>1262</v>
      </c>
      <c r="Q1461" t="s">
        <v>1299</v>
      </c>
      <c r="R1461" t="s">
        <v>1300</v>
      </c>
      <c r="S1461" t="s">
        <v>1320</v>
      </c>
      <c r="T1461" t="s">
        <v>1235</v>
      </c>
      <c r="U1461">
        <v>183500</v>
      </c>
      <c r="V1461" t="s">
        <v>1389</v>
      </c>
      <c r="W1461" t="s">
        <v>1322</v>
      </c>
      <c r="X1461" t="s">
        <v>9093</v>
      </c>
      <c r="Y1461" t="s">
        <v>9091</v>
      </c>
      <c r="Z1461" t="s">
        <v>1379</v>
      </c>
      <c r="AA1461" t="s">
        <v>9094</v>
      </c>
      <c r="AB1461" t="s">
        <v>9095</v>
      </c>
      <c r="AC1461">
        <v>99034</v>
      </c>
      <c r="AD1461" t="s">
        <v>8503</v>
      </c>
      <c r="AE1461">
        <v>-37.901398589999999</v>
      </c>
      <c r="AF1461">
        <v>175.47267876000001</v>
      </c>
      <c r="AG1461">
        <v>60</v>
      </c>
      <c r="AH1461">
        <v>20</v>
      </c>
      <c r="AI1461">
        <v>3</v>
      </c>
      <c r="AJ1461">
        <v>18</v>
      </c>
      <c r="AK1461">
        <v>17</v>
      </c>
      <c r="AL1461">
        <v>16</v>
      </c>
      <c r="AM1461">
        <v>18</v>
      </c>
      <c r="AN1461">
        <v>0</v>
      </c>
      <c r="AO1461">
        <v>72</v>
      </c>
      <c r="AP1461">
        <v>57</v>
      </c>
      <c r="AQ1461">
        <v>6</v>
      </c>
      <c r="AR1461">
        <v>3</v>
      </c>
      <c r="AS1461">
        <v>18</v>
      </c>
      <c r="AT1461">
        <v>4</v>
      </c>
    </row>
    <row r="1462" spans="1:46">
      <c r="A1462">
        <v>30349</v>
      </c>
      <c r="B1462" t="s">
        <v>9096</v>
      </c>
      <c r="C1462" t="s">
        <v>9097</v>
      </c>
      <c r="D1462" t="s">
        <v>9098</v>
      </c>
      <c r="E1462" t="s">
        <v>9099</v>
      </c>
      <c r="G1462" t="s">
        <v>1318</v>
      </c>
      <c r="H1462" t="s">
        <v>3942</v>
      </c>
      <c r="J1462" t="s">
        <v>3962</v>
      </c>
      <c r="K1462" t="s">
        <v>519</v>
      </c>
      <c r="M1462" t="s">
        <v>1297</v>
      </c>
      <c r="N1462" t="s">
        <v>571</v>
      </c>
      <c r="O1462" t="s">
        <v>1319</v>
      </c>
      <c r="P1462" t="s">
        <v>1262</v>
      </c>
      <c r="Q1462" t="s">
        <v>1299</v>
      </c>
      <c r="R1462" t="s">
        <v>1300</v>
      </c>
      <c r="S1462" t="s">
        <v>1320</v>
      </c>
      <c r="T1462" t="s">
        <v>1235</v>
      </c>
      <c r="U1462">
        <v>182600</v>
      </c>
      <c r="V1462" t="s">
        <v>9100</v>
      </c>
      <c r="W1462" t="s">
        <v>1322</v>
      </c>
      <c r="X1462" t="s">
        <v>9101</v>
      </c>
      <c r="Y1462" t="s">
        <v>3981</v>
      </c>
      <c r="AA1462" t="s">
        <v>3982</v>
      </c>
      <c r="AB1462" t="s">
        <v>9102</v>
      </c>
      <c r="AE1462">
        <v>-37.870119600000002</v>
      </c>
      <c r="AF1462">
        <v>175.472508</v>
      </c>
      <c r="AG1462">
        <v>133</v>
      </c>
      <c r="AH1462">
        <v>25</v>
      </c>
      <c r="AI1462">
        <v>2</v>
      </c>
      <c r="AJ1462">
        <v>14</v>
      </c>
      <c r="AK1462">
        <v>30</v>
      </c>
      <c r="AL1462">
        <v>28</v>
      </c>
      <c r="AM1462">
        <v>23</v>
      </c>
      <c r="AN1462">
        <v>1</v>
      </c>
      <c r="AO1462">
        <v>98</v>
      </c>
      <c r="AP1462">
        <v>70</v>
      </c>
      <c r="AQ1462">
        <v>16</v>
      </c>
      <c r="AR1462">
        <v>4</v>
      </c>
      <c r="AS1462">
        <v>6</v>
      </c>
      <c r="AT1462">
        <v>21</v>
      </c>
    </row>
    <row r="1463" spans="1:46">
      <c r="A1463">
        <v>30350</v>
      </c>
      <c r="B1463" t="s">
        <v>9103</v>
      </c>
      <c r="C1463" t="s">
        <v>9104</v>
      </c>
      <c r="D1463" t="s">
        <v>9105</v>
      </c>
      <c r="E1463" t="s">
        <v>9106</v>
      </c>
      <c r="G1463" t="s">
        <v>9107</v>
      </c>
      <c r="H1463" t="s">
        <v>3942</v>
      </c>
      <c r="J1463" t="s">
        <v>518</v>
      </c>
      <c r="K1463" t="s">
        <v>519</v>
      </c>
      <c r="M1463" t="s">
        <v>1297</v>
      </c>
      <c r="N1463" t="s">
        <v>557</v>
      </c>
      <c r="O1463" t="s">
        <v>1437</v>
      </c>
      <c r="P1463" t="s">
        <v>540</v>
      </c>
      <c r="Q1463" t="s">
        <v>1299</v>
      </c>
      <c r="R1463" t="s">
        <v>1300</v>
      </c>
      <c r="S1463" t="s">
        <v>1438</v>
      </c>
      <c r="T1463" t="s">
        <v>1235</v>
      </c>
      <c r="U1463">
        <v>168800</v>
      </c>
      <c r="V1463" t="s">
        <v>9108</v>
      </c>
      <c r="W1463" t="s">
        <v>3856</v>
      </c>
      <c r="X1463" t="s">
        <v>9109</v>
      </c>
      <c r="Y1463" t="s">
        <v>6369</v>
      </c>
      <c r="Z1463" t="s">
        <v>4555</v>
      </c>
      <c r="AA1463" t="s">
        <v>4556</v>
      </c>
      <c r="AB1463" t="s">
        <v>9110</v>
      </c>
      <c r="AC1463">
        <v>99015</v>
      </c>
      <c r="AD1463" t="s">
        <v>3857</v>
      </c>
      <c r="AE1463">
        <v>-37.239174220000002</v>
      </c>
      <c r="AF1463">
        <v>175.56281508000001</v>
      </c>
      <c r="AG1463">
        <v>55</v>
      </c>
      <c r="AH1463">
        <v>15</v>
      </c>
      <c r="AI1463">
        <v>2</v>
      </c>
      <c r="AJ1463">
        <v>5</v>
      </c>
      <c r="AK1463">
        <v>10</v>
      </c>
      <c r="AL1463">
        <v>11</v>
      </c>
      <c r="AM1463">
        <v>13</v>
      </c>
      <c r="AN1463">
        <v>1</v>
      </c>
      <c r="AO1463">
        <v>42</v>
      </c>
      <c r="AP1463">
        <v>39</v>
      </c>
      <c r="AQ1463">
        <v>10</v>
      </c>
      <c r="AR1463">
        <v>1</v>
      </c>
      <c r="AS1463">
        <v>0</v>
      </c>
      <c r="AT1463">
        <v>0</v>
      </c>
    </row>
    <row r="1464" spans="1:46">
      <c r="A1464">
        <v>30352</v>
      </c>
      <c r="B1464" t="s">
        <v>9111</v>
      </c>
      <c r="C1464" t="s">
        <v>9112</v>
      </c>
      <c r="D1464" t="s">
        <v>9113</v>
      </c>
      <c r="E1464" t="s">
        <v>9114</v>
      </c>
      <c r="G1464" t="s">
        <v>1318</v>
      </c>
      <c r="H1464" t="s">
        <v>3942</v>
      </c>
      <c r="J1464" t="s">
        <v>3962</v>
      </c>
      <c r="K1464" t="s">
        <v>519</v>
      </c>
      <c r="M1464" t="s">
        <v>1297</v>
      </c>
      <c r="N1464" t="s">
        <v>571</v>
      </c>
      <c r="O1464" t="s">
        <v>1319</v>
      </c>
      <c r="P1464" t="s">
        <v>1262</v>
      </c>
      <c r="Q1464" t="s">
        <v>1299</v>
      </c>
      <c r="R1464" t="s">
        <v>1300</v>
      </c>
      <c r="S1464" t="s">
        <v>1320</v>
      </c>
      <c r="T1464" t="s">
        <v>1235</v>
      </c>
      <c r="U1464">
        <v>182600</v>
      </c>
      <c r="V1464" t="s">
        <v>9100</v>
      </c>
      <c r="W1464" t="s">
        <v>1322</v>
      </c>
      <c r="X1464" t="s">
        <v>9115</v>
      </c>
      <c r="Y1464" t="s">
        <v>9116</v>
      </c>
      <c r="Z1464" t="s">
        <v>4125</v>
      </c>
      <c r="AA1464" t="s">
        <v>4564</v>
      </c>
      <c r="AB1464" t="s">
        <v>9117</v>
      </c>
      <c r="AE1464">
        <v>-37.876782560000002</v>
      </c>
      <c r="AF1464">
        <v>175.47123131000001</v>
      </c>
      <c r="AG1464">
        <v>60</v>
      </c>
      <c r="AH1464">
        <v>20</v>
      </c>
      <c r="AI1464">
        <v>2</v>
      </c>
      <c r="AJ1464">
        <v>5</v>
      </c>
      <c r="AK1464">
        <v>8</v>
      </c>
      <c r="AL1464">
        <v>5</v>
      </c>
      <c r="AM1464">
        <v>4</v>
      </c>
      <c r="AN1464">
        <v>0</v>
      </c>
      <c r="AO1464">
        <v>24</v>
      </c>
      <c r="AP1464">
        <v>4</v>
      </c>
      <c r="AQ1464">
        <v>2</v>
      </c>
      <c r="AR1464">
        <v>1</v>
      </c>
      <c r="AS1464">
        <v>18</v>
      </c>
      <c r="AT1464">
        <v>0</v>
      </c>
    </row>
    <row r="1465" spans="1:46">
      <c r="A1465">
        <v>30353</v>
      </c>
      <c r="B1465" t="s">
        <v>9118</v>
      </c>
      <c r="C1465" t="s">
        <v>9119</v>
      </c>
      <c r="E1465" t="s">
        <v>9120</v>
      </c>
      <c r="F1465" t="s">
        <v>1330</v>
      </c>
      <c r="G1465" t="s">
        <v>1296</v>
      </c>
      <c r="H1465" t="s">
        <v>3942</v>
      </c>
      <c r="J1465" t="s">
        <v>518</v>
      </c>
      <c r="K1465" t="s">
        <v>519</v>
      </c>
      <c r="L1465" t="s">
        <v>4205</v>
      </c>
      <c r="M1465" t="s">
        <v>1297</v>
      </c>
      <c r="N1465" t="s">
        <v>571</v>
      </c>
      <c r="O1465" t="s">
        <v>1319</v>
      </c>
      <c r="P1465" t="s">
        <v>572</v>
      </c>
      <c r="Q1465" t="s">
        <v>1299</v>
      </c>
      <c r="R1465" t="s">
        <v>1300</v>
      </c>
      <c r="S1465" t="s">
        <v>1417</v>
      </c>
      <c r="T1465" t="s">
        <v>1235</v>
      </c>
      <c r="U1465">
        <v>181600</v>
      </c>
      <c r="V1465" t="s">
        <v>9121</v>
      </c>
      <c r="W1465" t="s">
        <v>8964</v>
      </c>
      <c r="X1465" t="s">
        <v>9122</v>
      </c>
      <c r="Y1465" t="s">
        <v>4208</v>
      </c>
      <c r="Z1465" t="s">
        <v>4209</v>
      </c>
      <c r="AA1465" t="s">
        <v>4210</v>
      </c>
      <c r="AE1465">
        <v>-37.824313510000003</v>
      </c>
      <c r="AF1465">
        <v>175.27152719</v>
      </c>
      <c r="AG1465">
        <v>40</v>
      </c>
      <c r="AH1465">
        <v>10</v>
      </c>
      <c r="AI1465">
        <v>1</v>
      </c>
      <c r="AJ1465">
        <v>2</v>
      </c>
      <c r="AK1465">
        <v>6</v>
      </c>
      <c r="AL1465">
        <v>8</v>
      </c>
      <c r="AM1465">
        <v>5</v>
      </c>
      <c r="AN1465">
        <v>0</v>
      </c>
      <c r="AO1465">
        <v>22</v>
      </c>
      <c r="AP1465">
        <v>0</v>
      </c>
      <c r="AQ1465">
        <v>21</v>
      </c>
      <c r="AR1465">
        <v>1</v>
      </c>
      <c r="AS1465">
        <v>0</v>
      </c>
      <c r="AT1465">
        <v>0</v>
      </c>
    </row>
    <row r="1466" spans="1:46">
      <c r="A1466">
        <v>30355</v>
      </c>
      <c r="B1466" t="s">
        <v>9123</v>
      </c>
      <c r="C1466" t="s">
        <v>9124</v>
      </c>
      <c r="D1466" t="s">
        <v>9125</v>
      </c>
      <c r="E1466" t="s">
        <v>9126</v>
      </c>
      <c r="G1466" t="s">
        <v>1416</v>
      </c>
      <c r="H1466" t="s">
        <v>3942</v>
      </c>
      <c r="J1466" t="s">
        <v>3962</v>
      </c>
      <c r="K1466" t="s">
        <v>519</v>
      </c>
      <c r="M1466" t="s">
        <v>1297</v>
      </c>
      <c r="N1466" t="s">
        <v>571</v>
      </c>
      <c r="O1466" t="s">
        <v>1351</v>
      </c>
      <c r="P1466" t="s">
        <v>572</v>
      </c>
      <c r="Q1466" t="s">
        <v>1299</v>
      </c>
      <c r="R1466" t="s">
        <v>1300</v>
      </c>
      <c r="S1466" t="s">
        <v>1417</v>
      </c>
      <c r="T1466" t="s">
        <v>1235</v>
      </c>
      <c r="U1466">
        <v>171803</v>
      </c>
      <c r="V1466" t="s">
        <v>9127</v>
      </c>
      <c r="W1466" t="s">
        <v>1418</v>
      </c>
      <c r="X1466" t="s">
        <v>9128</v>
      </c>
      <c r="Y1466" t="s">
        <v>9129</v>
      </c>
      <c r="Z1466" t="s">
        <v>1416</v>
      </c>
      <c r="AA1466" t="s">
        <v>9130</v>
      </c>
      <c r="AB1466" t="s">
        <v>9131</v>
      </c>
      <c r="AE1466">
        <v>-37.860248380000002</v>
      </c>
      <c r="AF1466">
        <v>174.89421701000001</v>
      </c>
      <c r="AG1466">
        <v>40</v>
      </c>
      <c r="AH1466">
        <v>0</v>
      </c>
      <c r="AI1466">
        <v>0</v>
      </c>
      <c r="AJ1466">
        <v>0</v>
      </c>
      <c r="AK1466">
        <v>0</v>
      </c>
      <c r="AL1466">
        <v>13</v>
      </c>
      <c r="AM1466">
        <v>26</v>
      </c>
      <c r="AN1466">
        <v>7</v>
      </c>
      <c r="AO1466">
        <v>46</v>
      </c>
      <c r="AP1466">
        <v>35</v>
      </c>
      <c r="AQ1466">
        <v>15</v>
      </c>
      <c r="AR1466">
        <v>1</v>
      </c>
      <c r="AS1466">
        <v>1</v>
      </c>
      <c r="AT1466">
        <v>11</v>
      </c>
    </row>
    <row r="1467" spans="1:46">
      <c r="A1467">
        <v>31001</v>
      </c>
      <c r="B1467" t="s">
        <v>9132</v>
      </c>
      <c r="C1467" t="s">
        <v>8326</v>
      </c>
      <c r="D1467" t="s">
        <v>8327</v>
      </c>
      <c r="E1467" t="s">
        <v>9133</v>
      </c>
      <c r="G1467" t="s">
        <v>9134</v>
      </c>
      <c r="H1467" t="s">
        <v>298</v>
      </c>
      <c r="J1467" t="s">
        <v>518</v>
      </c>
      <c r="K1467" t="s">
        <v>519</v>
      </c>
      <c r="M1467" t="s">
        <v>1297</v>
      </c>
      <c r="N1467" t="s">
        <v>571</v>
      </c>
      <c r="O1467" t="s">
        <v>8637</v>
      </c>
      <c r="P1467" t="s">
        <v>572</v>
      </c>
      <c r="Q1467" t="s">
        <v>1299</v>
      </c>
      <c r="R1467" t="s">
        <v>1300</v>
      </c>
      <c r="S1467" t="s">
        <v>1417</v>
      </c>
      <c r="T1467" t="s">
        <v>1485</v>
      </c>
      <c r="U1467">
        <v>187200</v>
      </c>
      <c r="V1467" t="s">
        <v>9134</v>
      </c>
      <c r="W1467" t="s">
        <v>9135</v>
      </c>
      <c r="X1467" t="s">
        <v>8330</v>
      </c>
      <c r="Y1467" t="s">
        <v>5187</v>
      </c>
      <c r="AA1467" t="s">
        <v>5188</v>
      </c>
      <c r="AB1467" t="s">
        <v>8326</v>
      </c>
      <c r="AE1467">
        <v>-38.563031299999999</v>
      </c>
      <c r="AF1467">
        <v>174.98580784999999</v>
      </c>
      <c r="AG1467">
        <v>25</v>
      </c>
      <c r="AH1467">
        <v>15</v>
      </c>
      <c r="AI1467">
        <v>1</v>
      </c>
      <c r="AJ1467">
        <v>0</v>
      </c>
      <c r="AK1467">
        <v>2</v>
      </c>
      <c r="AL1467">
        <v>1</v>
      </c>
      <c r="AM1467">
        <v>1</v>
      </c>
      <c r="AN1467">
        <v>0</v>
      </c>
      <c r="AO1467">
        <v>5</v>
      </c>
      <c r="AP1467">
        <v>5</v>
      </c>
      <c r="AQ1467">
        <v>1</v>
      </c>
      <c r="AR1467">
        <v>0</v>
      </c>
      <c r="AS1467">
        <v>0</v>
      </c>
      <c r="AT1467">
        <v>0</v>
      </c>
    </row>
    <row r="1468" spans="1:46">
      <c r="A1468">
        <v>31002</v>
      </c>
      <c r="B1468" t="s">
        <v>9136</v>
      </c>
      <c r="C1468" t="s">
        <v>8326</v>
      </c>
      <c r="D1468" t="s">
        <v>8327</v>
      </c>
      <c r="E1468" t="s">
        <v>9137</v>
      </c>
      <c r="G1468" t="s">
        <v>9138</v>
      </c>
      <c r="H1468" t="s">
        <v>298</v>
      </c>
      <c r="J1468" t="s">
        <v>518</v>
      </c>
      <c r="K1468" t="s">
        <v>519</v>
      </c>
      <c r="M1468" t="s">
        <v>1297</v>
      </c>
      <c r="N1468" t="s">
        <v>571</v>
      </c>
      <c r="O1468" t="s">
        <v>1620</v>
      </c>
      <c r="P1468" t="s">
        <v>572</v>
      </c>
      <c r="Q1468" t="s">
        <v>1299</v>
      </c>
      <c r="R1468" t="s">
        <v>1300</v>
      </c>
      <c r="S1468" t="s">
        <v>1417</v>
      </c>
      <c r="T1468" t="s">
        <v>1485</v>
      </c>
      <c r="U1468">
        <v>185700</v>
      </c>
      <c r="V1468" t="s">
        <v>9139</v>
      </c>
      <c r="W1468" t="s">
        <v>9140</v>
      </c>
      <c r="X1468" t="s">
        <v>8330</v>
      </c>
      <c r="Y1468" t="s">
        <v>5187</v>
      </c>
      <c r="AA1468" t="s">
        <v>5188</v>
      </c>
      <c r="AB1468" t="s">
        <v>8326</v>
      </c>
      <c r="AE1468">
        <v>-38.192399119999997</v>
      </c>
      <c r="AF1468">
        <v>175.6125462</v>
      </c>
      <c r="AG1468">
        <v>25</v>
      </c>
      <c r="AH1468">
        <v>10</v>
      </c>
      <c r="AI1468">
        <v>0</v>
      </c>
      <c r="AJ1468">
        <v>2</v>
      </c>
      <c r="AK1468">
        <v>0</v>
      </c>
      <c r="AL1468">
        <v>7</v>
      </c>
      <c r="AM1468">
        <v>3</v>
      </c>
      <c r="AN1468">
        <v>0</v>
      </c>
      <c r="AO1468">
        <v>12</v>
      </c>
      <c r="AP1468">
        <v>8</v>
      </c>
      <c r="AQ1468">
        <v>2</v>
      </c>
      <c r="AR1468">
        <v>0</v>
      </c>
      <c r="AS1468">
        <v>1</v>
      </c>
      <c r="AT1468">
        <v>1</v>
      </c>
    </row>
    <row r="1469" spans="1:46">
      <c r="A1469">
        <v>31004</v>
      </c>
      <c r="B1469" t="s">
        <v>9141</v>
      </c>
      <c r="C1469" t="s">
        <v>8326</v>
      </c>
      <c r="D1469" t="s">
        <v>9142</v>
      </c>
      <c r="E1469" t="s">
        <v>9143</v>
      </c>
      <c r="G1469" t="s">
        <v>1619</v>
      </c>
      <c r="H1469" t="s">
        <v>298</v>
      </c>
      <c r="J1469" t="s">
        <v>518</v>
      </c>
      <c r="K1469" t="s">
        <v>519</v>
      </c>
      <c r="M1469" t="s">
        <v>1297</v>
      </c>
      <c r="N1469" t="s">
        <v>571</v>
      </c>
      <c r="O1469" t="s">
        <v>1620</v>
      </c>
      <c r="P1469" t="s">
        <v>523</v>
      </c>
      <c r="Q1469" t="s">
        <v>1299</v>
      </c>
      <c r="R1469" t="s">
        <v>1300</v>
      </c>
      <c r="S1469" t="s">
        <v>1417</v>
      </c>
      <c r="T1469" t="s">
        <v>1485</v>
      </c>
      <c r="U1469">
        <v>185500</v>
      </c>
      <c r="V1469" t="s">
        <v>1621</v>
      </c>
      <c r="W1469" t="s">
        <v>1622</v>
      </c>
      <c r="X1469" t="s">
        <v>8330</v>
      </c>
      <c r="Y1469" t="s">
        <v>5187</v>
      </c>
      <c r="AA1469" t="s">
        <v>5188</v>
      </c>
      <c r="AB1469" t="s">
        <v>8326</v>
      </c>
      <c r="AE1469">
        <v>-38.183443310000001</v>
      </c>
      <c r="AF1469">
        <v>175.20532051000001</v>
      </c>
      <c r="AG1469">
        <v>30</v>
      </c>
      <c r="AH1469">
        <v>15</v>
      </c>
      <c r="AI1469">
        <v>2</v>
      </c>
      <c r="AJ1469">
        <v>5</v>
      </c>
      <c r="AK1469">
        <v>6</v>
      </c>
      <c r="AL1469">
        <v>4</v>
      </c>
      <c r="AM1469">
        <v>4</v>
      </c>
      <c r="AN1469">
        <v>2</v>
      </c>
      <c r="AO1469">
        <v>23</v>
      </c>
      <c r="AP1469">
        <v>20</v>
      </c>
      <c r="AQ1469">
        <v>5</v>
      </c>
      <c r="AR1469">
        <v>1</v>
      </c>
      <c r="AS1469">
        <v>0</v>
      </c>
      <c r="AT1469">
        <v>0</v>
      </c>
    </row>
    <row r="1470" spans="1:46">
      <c r="A1470">
        <v>31005</v>
      </c>
      <c r="B1470" t="s">
        <v>9144</v>
      </c>
      <c r="C1470" t="s">
        <v>8326</v>
      </c>
      <c r="E1470" t="s">
        <v>9145</v>
      </c>
      <c r="G1470" t="s">
        <v>9146</v>
      </c>
      <c r="H1470" t="s">
        <v>298</v>
      </c>
      <c r="J1470" t="s">
        <v>518</v>
      </c>
      <c r="K1470" t="s">
        <v>519</v>
      </c>
      <c r="M1470" t="s">
        <v>1297</v>
      </c>
      <c r="N1470" t="s">
        <v>571</v>
      </c>
      <c r="O1470" t="s">
        <v>1620</v>
      </c>
      <c r="P1470" t="s">
        <v>572</v>
      </c>
      <c r="Q1470" t="s">
        <v>1299</v>
      </c>
      <c r="R1470" t="s">
        <v>1300</v>
      </c>
      <c r="S1470" t="s">
        <v>1417</v>
      </c>
      <c r="T1470" t="s">
        <v>1485</v>
      </c>
      <c r="U1470">
        <v>185600</v>
      </c>
      <c r="V1470" t="s">
        <v>9146</v>
      </c>
      <c r="W1470" t="s">
        <v>9147</v>
      </c>
      <c r="X1470" t="s">
        <v>8330</v>
      </c>
      <c r="Y1470" t="s">
        <v>5187</v>
      </c>
      <c r="AA1470" t="s">
        <v>5188</v>
      </c>
      <c r="AB1470" t="s">
        <v>8326</v>
      </c>
      <c r="AE1470">
        <v>-38.215957899999999</v>
      </c>
      <c r="AF1470">
        <v>175.38465479999999</v>
      </c>
      <c r="AG1470">
        <v>30</v>
      </c>
      <c r="AH1470">
        <v>11</v>
      </c>
      <c r="AI1470">
        <v>0</v>
      </c>
      <c r="AJ1470">
        <v>3</v>
      </c>
      <c r="AK1470">
        <v>4</v>
      </c>
      <c r="AL1470">
        <v>3</v>
      </c>
      <c r="AM1470">
        <v>2</v>
      </c>
      <c r="AN1470">
        <v>0</v>
      </c>
      <c r="AO1470">
        <v>12</v>
      </c>
      <c r="AP1470">
        <v>12</v>
      </c>
      <c r="AQ1470">
        <v>2</v>
      </c>
      <c r="AR1470">
        <v>0</v>
      </c>
      <c r="AS1470">
        <v>0</v>
      </c>
      <c r="AT1470">
        <v>0</v>
      </c>
    </row>
    <row r="1471" spans="1:46">
      <c r="A1471">
        <v>31006</v>
      </c>
      <c r="B1471" t="s">
        <v>9148</v>
      </c>
      <c r="C1471" t="s">
        <v>8326</v>
      </c>
      <c r="E1471" t="s">
        <v>9149</v>
      </c>
      <c r="G1471" t="s">
        <v>9150</v>
      </c>
      <c r="H1471" t="s">
        <v>298</v>
      </c>
      <c r="J1471" t="s">
        <v>518</v>
      </c>
      <c r="K1471" t="s">
        <v>519</v>
      </c>
      <c r="M1471" t="s">
        <v>1297</v>
      </c>
      <c r="N1471" t="s">
        <v>571</v>
      </c>
      <c r="O1471" t="s">
        <v>8637</v>
      </c>
      <c r="P1471" t="s">
        <v>540</v>
      </c>
      <c r="Q1471" t="s">
        <v>1299</v>
      </c>
      <c r="R1471" t="s">
        <v>1300</v>
      </c>
      <c r="S1471" t="s">
        <v>1417</v>
      </c>
      <c r="T1471" t="s">
        <v>1485</v>
      </c>
      <c r="U1471">
        <v>187200</v>
      </c>
      <c r="V1471" t="s">
        <v>9134</v>
      </c>
      <c r="W1471" t="s">
        <v>9135</v>
      </c>
      <c r="X1471" t="s">
        <v>8330</v>
      </c>
      <c r="Y1471" t="s">
        <v>5187</v>
      </c>
      <c r="AA1471" t="s">
        <v>5188</v>
      </c>
      <c r="AB1471" t="s">
        <v>8326</v>
      </c>
      <c r="AE1471">
        <v>-38.468144940000002</v>
      </c>
      <c r="AF1471">
        <v>175.01496405</v>
      </c>
      <c r="AG1471">
        <v>30</v>
      </c>
      <c r="AH1471">
        <v>10</v>
      </c>
      <c r="AI1471">
        <v>0</v>
      </c>
      <c r="AJ1471">
        <v>2</v>
      </c>
      <c r="AK1471">
        <v>1</v>
      </c>
      <c r="AL1471">
        <v>2</v>
      </c>
      <c r="AM1471">
        <v>1</v>
      </c>
      <c r="AN1471">
        <v>0</v>
      </c>
      <c r="AO1471">
        <v>6</v>
      </c>
      <c r="AP1471">
        <v>6</v>
      </c>
      <c r="AQ1471">
        <v>0</v>
      </c>
      <c r="AR1471">
        <v>0</v>
      </c>
      <c r="AS1471">
        <v>0</v>
      </c>
      <c r="AT1471">
        <v>0</v>
      </c>
    </row>
    <row r="1472" spans="1:46">
      <c r="A1472">
        <v>31007</v>
      </c>
      <c r="B1472" t="s">
        <v>9151</v>
      </c>
      <c r="C1472" t="s">
        <v>8326</v>
      </c>
      <c r="D1472" t="s">
        <v>8327</v>
      </c>
      <c r="E1472" t="s">
        <v>9152</v>
      </c>
      <c r="G1472" t="s">
        <v>8963</v>
      </c>
      <c r="H1472" t="s">
        <v>298</v>
      </c>
      <c r="J1472" t="s">
        <v>518</v>
      </c>
      <c r="K1472" t="s">
        <v>519</v>
      </c>
      <c r="M1472" t="s">
        <v>1297</v>
      </c>
      <c r="N1472" t="s">
        <v>571</v>
      </c>
      <c r="O1472" t="s">
        <v>1319</v>
      </c>
      <c r="P1472" t="s">
        <v>523</v>
      </c>
      <c r="Q1472" t="s">
        <v>1299</v>
      </c>
      <c r="R1472" t="s">
        <v>1300</v>
      </c>
      <c r="S1472" t="s">
        <v>1417</v>
      </c>
      <c r="T1472" t="s">
        <v>1235</v>
      </c>
      <c r="U1472">
        <v>181900</v>
      </c>
      <c r="V1472" t="s">
        <v>8963</v>
      </c>
      <c r="W1472" t="s">
        <v>8964</v>
      </c>
      <c r="X1472" t="s">
        <v>8330</v>
      </c>
      <c r="Y1472" t="s">
        <v>5187</v>
      </c>
      <c r="AA1472" t="s">
        <v>5188</v>
      </c>
      <c r="AB1472" t="s">
        <v>8326</v>
      </c>
      <c r="AE1472">
        <v>-37.990361819999997</v>
      </c>
      <c r="AF1472">
        <v>175.20024305999999</v>
      </c>
      <c r="AG1472">
        <v>26</v>
      </c>
      <c r="AH1472">
        <v>15</v>
      </c>
      <c r="AI1472">
        <v>4</v>
      </c>
      <c r="AJ1472">
        <v>2</v>
      </c>
      <c r="AK1472">
        <v>9</v>
      </c>
      <c r="AL1472">
        <v>3</v>
      </c>
      <c r="AM1472">
        <v>7</v>
      </c>
      <c r="AN1472">
        <v>0</v>
      </c>
      <c r="AO1472">
        <v>25</v>
      </c>
      <c r="AP1472">
        <v>23</v>
      </c>
      <c r="AQ1472">
        <v>3</v>
      </c>
      <c r="AR1472">
        <v>2</v>
      </c>
      <c r="AS1472">
        <v>1</v>
      </c>
      <c r="AT1472">
        <v>0</v>
      </c>
    </row>
    <row r="1473" spans="1:46">
      <c r="A1473">
        <v>31009</v>
      </c>
      <c r="B1473" t="s">
        <v>9153</v>
      </c>
      <c r="C1473" t="s">
        <v>8326</v>
      </c>
      <c r="D1473" t="s">
        <v>8327</v>
      </c>
      <c r="E1473" t="s">
        <v>9154</v>
      </c>
      <c r="G1473" t="s">
        <v>1538</v>
      </c>
      <c r="H1473" t="s">
        <v>298</v>
      </c>
      <c r="J1473" t="s">
        <v>518</v>
      </c>
      <c r="K1473" t="s">
        <v>519</v>
      </c>
      <c r="M1473" t="s">
        <v>1297</v>
      </c>
      <c r="N1473" t="s">
        <v>571</v>
      </c>
      <c r="O1473" t="s">
        <v>1319</v>
      </c>
      <c r="P1473" t="s">
        <v>572</v>
      </c>
      <c r="Q1473" t="s">
        <v>1299</v>
      </c>
      <c r="R1473" t="s">
        <v>1300</v>
      </c>
      <c r="S1473" t="s">
        <v>1417</v>
      </c>
      <c r="T1473" t="s">
        <v>1235</v>
      </c>
      <c r="U1473">
        <v>184601</v>
      </c>
      <c r="V1473" t="s">
        <v>9155</v>
      </c>
      <c r="W1473" t="s">
        <v>8964</v>
      </c>
      <c r="X1473" t="s">
        <v>8330</v>
      </c>
      <c r="Y1473" t="s">
        <v>5187</v>
      </c>
      <c r="AA1473" t="s">
        <v>5188</v>
      </c>
      <c r="AB1473" t="s">
        <v>8326</v>
      </c>
      <c r="AE1473">
        <v>-38.037519000000003</v>
      </c>
      <c r="AF1473">
        <v>175.40907139999999</v>
      </c>
      <c r="AG1473">
        <v>25</v>
      </c>
      <c r="AH1473">
        <v>15</v>
      </c>
      <c r="AI1473">
        <v>1</v>
      </c>
      <c r="AJ1473">
        <v>4</v>
      </c>
      <c r="AK1473">
        <v>1</v>
      </c>
      <c r="AL1473">
        <v>1</v>
      </c>
      <c r="AM1473">
        <v>0</v>
      </c>
      <c r="AN1473">
        <v>1</v>
      </c>
      <c r="AO1473">
        <v>8</v>
      </c>
      <c r="AP1473">
        <v>7</v>
      </c>
      <c r="AQ1473">
        <v>1</v>
      </c>
      <c r="AR1473">
        <v>0</v>
      </c>
      <c r="AS1473">
        <v>1</v>
      </c>
      <c r="AT1473">
        <v>0</v>
      </c>
    </row>
    <row r="1474" spans="1:46">
      <c r="A1474">
        <v>31010</v>
      </c>
      <c r="B1474" t="s">
        <v>9156</v>
      </c>
      <c r="C1474" t="s">
        <v>8326</v>
      </c>
      <c r="D1474" t="s">
        <v>8327</v>
      </c>
      <c r="E1474" t="s">
        <v>9157</v>
      </c>
      <c r="G1474" t="s">
        <v>9158</v>
      </c>
      <c r="H1474" t="s">
        <v>298</v>
      </c>
      <c r="J1474" t="s">
        <v>518</v>
      </c>
      <c r="K1474" t="s">
        <v>519</v>
      </c>
      <c r="M1474" t="s">
        <v>1297</v>
      </c>
      <c r="N1474" t="s">
        <v>571</v>
      </c>
      <c r="O1474" t="s">
        <v>1319</v>
      </c>
      <c r="P1474" t="s">
        <v>572</v>
      </c>
      <c r="Q1474" t="s">
        <v>1299</v>
      </c>
      <c r="R1474" t="s">
        <v>1300</v>
      </c>
      <c r="S1474" t="s">
        <v>1417</v>
      </c>
      <c r="T1474" t="s">
        <v>1485</v>
      </c>
      <c r="U1474">
        <v>185000</v>
      </c>
      <c r="V1474" t="s">
        <v>9159</v>
      </c>
      <c r="W1474" t="s">
        <v>8964</v>
      </c>
      <c r="X1474" t="s">
        <v>8330</v>
      </c>
      <c r="Y1474" t="s">
        <v>5187</v>
      </c>
      <c r="AA1474" t="s">
        <v>5188</v>
      </c>
      <c r="AB1474" t="s">
        <v>8326</v>
      </c>
      <c r="AE1474">
        <v>-38.064610500000001</v>
      </c>
      <c r="AF1474">
        <v>175.5587616</v>
      </c>
      <c r="AG1474">
        <v>25</v>
      </c>
      <c r="AH1474">
        <v>10</v>
      </c>
      <c r="AI1474">
        <v>0</v>
      </c>
      <c r="AJ1474">
        <v>0</v>
      </c>
      <c r="AK1474">
        <v>1</v>
      </c>
      <c r="AL1474">
        <v>0</v>
      </c>
      <c r="AM1474">
        <v>0</v>
      </c>
      <c r="AN1474">
        <v>0</v>
      </c>
      <c r="AO1474">
        <v>1</v>
      </c>
      <c r="AP1474">
        <v>1</v>
      </c>
      <c r="AQ1474">
        <v>0</v>
      </c>
      <c r="AR1474">
        <v>0</v>
      </c>
      <c r="AS1474">
        <v>0</v>
      </c>
      <c r="AT1474">
        <v>0</v>
      </c>
    </row>
    <row r="1475" spans="1:46">
      <c r="A1475">
        <v>31013</v>
      </c>
      <c r="B1475" t="s">
        <v>9160</v>
      </c>
      <c r="D1475" t="s">
        <v>8327</v>
      </c>
      <c r="E1475" t="s">
        <v>9161</v>
      </c>
      <c r="G1475" t="s">
        <v>1538</v>
      </c>
      <c r="H1475" t="s">
        <v>298</v>
      </c>
      <c r="J1475" t="s">
        <v>518</v>
      </c>
      <c r="K1475" t="s">
        <v>519</v>
      </c>
      <c r="M1475" t="s">
        <v>1297</v>
      </c>
      <c r="N1475" t="s">
        <v>571</v>
      </c>
      <c r="O1475" t="s">
        <v>1319</v>
      </c>
      <c r="P1475" t="s">
        <v>1262</v>
      </c>
      <c r="Q1475" t="s">
        <v>1299</v>
      </c>
      <c r="R1475" t="s">
        <v>1300</v>
      </c>
      <c r="S1475" t="s">
        <v>1417</v>
      </c>
      <c r="T1475" t="s">
        <v>1235</v>
      </c>
      <c r="U1475">
        <v>183300</v>
      </c>
      <c r="V1475" t="s">
        <v>8830</v>
      </c>
      <c r="W1475" t="s">
        <v>1540</v>
      </c>
      <c r="X1475" t="s">
        <v>8330</v>
      </c>
      <c r="Y1475" t="s">
        <v>5187</v>
      </c>
      <c r="AA1475" t="s">
        <v>5188</v>
      </c>
      <c r="AB1475" t="s">
        <v>8326</v>
      </c>
      <c r="AE1475">
        <v>-38.005949000000001</v>
      </c>
      <c r="AF1475">
        <v>175.32905880000001</v>
      </c>
      <c r="AG1475">
        <v>30</v>
      </c>
      <c r="AH1475">
        <v>15</v>
      </c>
      <c r="AI1475">
        <v>7</v>
      </c>
      <c r="AJ1475">
        <v>7</v>
      </c>
      <c r="AK1475">
        <v>6</v>
      </c>
      <c r="AL1475">
        <v>4</v>
      </c>
      <c r="AM1475">
        <v>4</v>
      </c>
      <c r="AN1475">
        <v>0</v>
      </c>
      <c r="AO1475">
        <v>28</v>
      </c>
      <c r="AP1475">
        <v>25</v>
      </c>
      <c r="AQ1475">
        <v>4</v>
      </c>
      <c r="AR1475">
        <v>2</v>
      </c>
      <c r="AS1475">
        <v>2</v>
      </c>
      <c r="AT1475">
        <v>1</v>
      </c>
    </row>
    <row r="1476" spans="1:46">
      <c r="A1476">
        <v>31014</v>
      </c>
      <c r="B1476" t="s">
        <v>9162</v>
      </c>
      <c r="C1476" t="s">
        <v>8326</v>
      </c>
      <c r="D1476" t="s">
        <v>8327</v>
      </c>
      <c r="E1476" t="s">
        <v>9163</v>
      </c>
      <c r="G1476" t="s">
        <v>8636</v>
      </c>
      <c r="H1476" t="s">
        <v>298</v>
      </c>
      <c r="J1476" t="s">
        <v>518</v>
      </c>
      <c r="K1476" t="s">
        <v>519</v>
      </c>
      <c r="M1476" t="s">
        <v>1297</v>
      </c>
      <c r="N1476" t="s">
        <v>557</v>
      </c>
      <c r="O1476" t="s">
        <v>8637</v>
      </c>
      <c r="P1476" t="s">
        <v>523</v>
      </c>
      <c r="Q1476" t="s">
        <v>1299</v>
      </c>
      <c r="R1476" t="s">
        <v>1300</v>
      </c>
      <c r="S1476" t="s">
        <v>1417</v>
      </c>
      <c r="T1476" t="s">
        <v>1485</v>
      </c>
      <c r="U1476">
        <v>187300</v>
      </c>
      <c r="V1476" t="s">
        <v>9164</v>
      </c>
      <c r="W1476" t="s">
        <v>8639</v>
      </c>
      <c r="X1476" t="s">
        <v>8330</v>
      </c>
      <c r="Y1476" t="s">
        <v>5187</v>
      </c>
      <c r="AA1476" t="s">
        <v>5188</v>
      </c>
      <c r="AB1476" t="s">
        <v>8326</v>
      </c>
      <c r="AE1476">
        <v>-38.3352121</v>
      </c>
      <c r="AF1476">
        <v>175.15991030000001</v>
      </c>
      <c r="AG1476">
        <v>30</v>
      </c>
      <c r="AH1476">
        <v>15</v>
      </c>
      <c r="AI1476">
        <v>2</v>
      </c>
      <c r="AJ1476">
        <v>4</v>
      </c>
      <c r="AK1476">
        <v>3</v>
      </c>
      <c r="AL1476">
        <v>2</v>
      </c>
      <c r="AM1476">
        <v>2</v>
      </c>
      <c r="AN1476">
        <v>0</v>
      </c>
      <c r="AO1476">
        <v>13</v>
      </c>
      <c r="AP1476">
        <v>8</v>
      </c>
      <c r="AQ1476">
        <v>3</v>
      </c>
      <c r="AR1476">
        <v>1</v>
      </c>
      <c r="AS1476">
        <v>4</v>
      </c>
      <c r="AT1476">
        <v>0</v>
      </c>
    </row>
    <row r="1477" spans="1:46">
      <c r="A1477">
        <v>31016</v>
      </c>
      <c r="B1477" t="s">
        <v>9165</v>
      </c>
      <c r="C1477" t="s">
        <v>8326</v>
      </c>
      <c r="D1477" t="s">
        <v>8327</v>
      </c>
      <c r="E1477" t="s">
        <v>9166</v>
      </c>
      <c r="G1477" t="s">
        <v>1538</v>
      </c>
      <c r="H1477" t="s">
        <v>298</v>
      </c>
      <c r="J1477" t="s">
        <v>518</v>
      </c>
      <c r="K1477" t="s">
        <v>519</v>
      </c>
      <c r="M1477" t="s">
        <v>1297</v>
      </c>
      <c r="N1477" t="s">
        <v>571</v>
      </c>
      <c r="O1477" t="s">
        <v>1620</v>
      </c>
      <c r="P1477" t="s">
        <v>572</v>
      </c>
      <c r="Q1477" t="s">
        <v>1299</v>
      </c>
      <c r="R1477" t="s">
        <v>1300</v>
      </c>
      <c r="S1477" t="s">
        <v>1417</v>
      </c>
      <c r="T1477" t="s">
        <v>1485</v>
      </c>
      <c r="U1477">
        <v>185700</v>
      </c>
      <c r="V1477" t="s">
        <v>9139</v>
      </c>
      <c r="W1477" t="s">
        <v>9167</v>
      </c>
      <c r="X1477" t="s">
        <v>8330</v>
      </c>
      <c r="Y1477" t="s">
        <v>5187</v>
      </c>
      <c r="AA1477" t="s">
        <v>5188</v>
      </c>
      <c r="AB1477" t="s">
        <v>8326</v>
      </c>
      <c r="AE1477">
        <v>-38.143969290000001</v>
      </c>
      <c r="AF1477">
        <v>175.41104086999999</v>
      </c>
      <c r="AG1477">
        <v>30</v>
      </c>
      <c r="AH1477">
        <v>15</v>
      </c>
      <c r="AI1477">
        <v>1</v>
      </c>
      <c r="AJ1477">
        <v>5</v>
      </c>
      <c r="AK1477">
        <v>5</v>
      </c>
      <c r="AL1477">
        <v>3</v>
      </c>
      <c r="AM1477">
        <v>9</v>
      </c>
      <c r="AN1477">
        <v>0</v>
      </c>
      <c r="AO1477">
        <v>23</v>
      </c>
      <c r="AP1477">
        <v>23</v>
      </c>
      <c r="AQ1477">
        <v>2</v>
      </c>
      <c r="AR1477">
        <v>0</v>
      </c>
      <c r="AS1477">
        <v>0</v>
      </c>
      <c r="AT1477">
        <v>1</v>
      </c>
    </row>
    <row r="1478" spans="1:46">
      <c r="A1478">
        <v>32001</v>
      </c>
      <c r="B1478" t="s">
        <v>9168</v>
      </c>
      <c r="D1478" t="s">
        <v>8911</v>
      </c>
      <c r="E1478" t="s">
        <v>9169</v>
      </c>
      <c r="G1478" t="s">
        <v>1438</v>
      </c>
      <c r="H1478" t="s">
        <v>298</v>
      </c>
      <c r="J1478" t="s">
        <v>518</v>
      </c>
      <c r="K1478" t="s">
        <v>519</v>
      </c>
      <c r="M1478" t="s">
        <v>1297</v>
      </c>
      <c r="N1478" t="s">
        <v>571</v>
      </c>
      <c r="O1478" t="s">
        <v>1461</v>
      </c>
      <c r="P1478" t="s">
        <v>523</v>
      </c>
      <c r="Q1478" t="s">
        <v>1299</v>
      </c>
      <c r="R1478" t="s">
        <v>1300</v>
      </c>
      <c r="S1478" t="s">
        <v>1438</v>
      </c>
      <c r="T1478" t="s">
        <v>1235</v>
      </c>
      <c r="U1478">
        <v>166700</v>
      </c>
      <c r="V1478" t="s">
        <v>1438</v>
      </c>
      <c r="W1478" t="s">
        <v>8982</v>
      </c>
      <c r="X1478" t="s">
        <v>8330</v>
      </c>
      <c r="Y1478" t="s">
        <v>5187</v>
      </c>
      <c r="AA1478" t="s">
        <v>5188</v>
      </c>
      <c r="AB1478" t="s">
        <v>8326</v>
      </c>
      <c r="AE1478">
        <v>-36.759246959999999</v>
      </c>
      <c r="AF1478">
        <v>175.4990506</v>
      </c>
      <c r="AG1478">
        <v>30</v>
      </c>
      <c r="AH1478">
        <v>13</v>
      </c>
      <c r="AI1478">
        <v>0</v>
      </c>
      <c r="AJ1478">
        <v>2</v>
      </c>
      <c r="AK1478">
        <v>1</v>
      </c>
      <c r="AL1478">
        <v>4</v>
      </c>
      <c r="AM1478">
        <v>1</v>
      </c>
      <c r="AN1478">
        <v>0</v>
      </c>
      <c r="AO1478">
        <v>8</v>
      </c>
      <c r="AP1478">
        <v>6</v>
      </c>
      <c r="AQ1478">
        <v>5</v>
      </c>
      <c r="AR1478">
        <v>0</v>
      </c>
      <c r="AS1478">
        <v>0</v>
      </c>
      <c r="AT1478">
        <v>0</v>
      </c>
    </row>
    <row r="1479" spans="1:46">
      <c r="A1479">
        <v>32003</v>
      </c>
      <c r="B1479" t="s">
        <v>9170</v>
      </c>
      <c r="D1479" t="s">
        <v>8911</v>
      </c>
      <c r="E1479" t="s">
        <v>9171</v>
      </c>
      <c r="G1479" t="s">
        <v>9172</v>
      </c>
      <c r="H1479" t="s">
        <v>298</v>
      </c>
      <c r="J1479" t="s">
        <v>518</v>
      </c>
      <c r="K1479" t="s">
        <v>519</v>
      </c>
      <c r="M1479" t="s">
        <v>1297</v>
      </c>
      <c r="N1479" t="s">
        <v>571</v>
      </c>
      <c r="O1479" t="s">
        <v>1351</v>
      </c>
      <c r="P1479" t="s">
        <v>572</v>
      </c>
      <c r="Q1479" t="s">
        <v>1299</v>
      </c>
      <c r="R1479" t="s">
        <v>1300</v>
      </c>
      <c r="S1479" t="s">
        <v>1438</v>
      </c>
      <c r="T1479" t="s">
        <v>1235</v>
      </c>
      <c r="U1479">
        <v>170700</v>
      </c>
      <c r="V1479" t="s">
        <v>7773</v>
      </c>
      <c r="W1479" t="s">
        <v>7703</v>
      </c>
      <c r="X1479" t="s">
        <v>8330</v>
      </c>
      <c r="Y1479" t="s">
        <v>5187</v>
      </c>
      <c r="AA1479" t="s">
        <v>5188</v>
      </c>
      <c r="AB1479" t="s">
        <v>8326</v>
      </c>
      <c r="AE1479">
        <v>-37.200073580000002</v>
      </c>
      <c r="AF1479">
        <v>175.20408739999999</v>
      </c>
      <c r="AG1479">
        <v>30</v>
      </c>
      <c r="AH1479">
        <v>10</v>
      </c>
      <c r="AI1479">
        <v>1</v>
      </c>
      <c r="AJ1479">
        <v>1</v>
      </c>
      <c r="AK1479">
        <v>2</v>
      </c>
      <c r="AL1479">
        <v>1</v>
      </c>
      <c r="AM1479">
        <v>0</v>
      </c>
      <c r="AN1479">
        <v>0</v>
      </c>
      <c r="AO1479">
        <v>5</v>
      </c>
      <c r="AP1479">
        <v>5</v>
      </c>
      <c r="AQ1479">
        <v>1</v>
      </c>
      <c r="AR1479">
        <v>0</v>
      </c>
      <c r="AS1479">
        <v>0</v>
      </c>
      <c r="AT1479">
        <v>0</v>
      </c>
    </row>
    <row r="1480" spans="1:46">
      <c r="A1480">
        <v>32005</v>
      </c>
      <c r="B1480" t="s">
        <v>9173</v>
      </c>
      <c r="D1480" t="s">
        <v>8327</v>
      </c>
      <c r="E1480" t="s">
        <v>9174</v>
      </c>
      <c r="G1480" t="s">
        <v>1449</v>
      </c>
      <c r="H1480" t="s">
        <v>298</v>
      </c>
      <c r="J1480" t="s">
        <v>518</v>
      </c>
      <c r="K1480" t="s">
        <v>519</v>
      </c>
      <c r="M1480" t="s">
        <v>1297</v>
      </c>
      <c r="N1480" t="s">
        <v>571</v>
      </c>
      <c r="O1480" t="s">
        <v>1450</v>
      </c>
      <c r="P1480" t="s">
        <v>572</v>
      </c>
      <c r="Q1480" t="s">
        <v>1299</v>
      </c>
      <c r="R1480" t="s">
        <v>1300</v>
      </c>
      <c r="S1480" t="s">
        <v>1300</v>
      </c>
      <c r="T1480" t="s">
        <v>1235</v>
      </c>
      <c r="U1480">
        <v>174300</v>
      </c>
      <c r="V1480" t="s">
        <v>9175</v>
      </c>
      <c r="W1480" t="s">
        <v>1452</v>
      </c>
      <c r="X1480" t="s">
        <v>8330</v>
      </c>
      <c r="Y1480" t="s">
        <v>5187</v>
      </c>
      <c r="AA1480" t="s">
        <v>5188</v>
      </c>
      <c r="AB1480" t="s">
        <v>8326</v>
      </c>
      <c r="AE1480">
        <v>-37.62969116</v>
      </c>
      <c r="AF1480">
        <v>175.76285996999999</v>
      </c>
      <c r="AG1480">
        <v>25</v>
      </c>
      <c r="AH1480">
        <v>14</v>
      </c>
      <c r="AI1480">
        <v>0</v>
      </c>
      <c r="AJ1480">
        <v>2</v>
      </c>
      <c r="AK1480">
        <v>1</v>
      </c>
      <c r="AL1480">
        <v>1</v>
      </c>
      <c r="AM1480">
        <v>4</v>
      </c>
      <c r="AN1480">
        <v>0</v>
      </c>
      <c r="AO1480">
        <v>8</v>
      </c>
      <c r="AP1480">
        <v>7</v>
      </c>
      <c r="AQ1480">
        <v>3</v>
      </c>
      <c r="AR1480">
        <v>0</v>
      </c>
      <c r="AS1480">
        <v>1</v>
      </c>
      <c r="AT1480">
        <v>0</v>
      </c>
    </row>
    <row r="1481" spans="1:46">
      <c r="A1481">
        <v>32006</v>
      </c>
      <c r="B1481" t="s">
        <v>9176</v>
      </c>
      <c r="D1481" t="s">
        <v>8911</v>
      </c>
      <c r="E1481" t="s">
        <v>9177</v>
      </c>
      <c r="G1481" t="s">
        <v>3855</v>
      </c>
      <c r="H1481" t="s">
        <v>298</v>
      </c>
      <c r="J1481" t="s">
        <v>518</v>
      </c>
      <c r="K1481" t="s">
        <v>519</v>
      </c>
      <c r="M1481" t="s">
        <v>1297</v>
      </c>
      <c r="N1481" t="s">
        <v>571</v>
      </c>
      <c r="O1481" t="s">
        <v>1437</v>
      </c>
      <c r="P1481" t="s">
        <v>523</v>
      </c>
      <c r="Q1481" t="s">
        <v>1299</v>
      </c>
      <c r="R1481" t="s">
        <v>1300</v>
      </c>
      <c r="S1481" t="s">
        <v>1438</v>
      </c>
      <c r="T1481" t="s">
        <v>1235</v>
      </c>
      <c r="U1481">
        <v>168901</v>
      </c>
      <c r="V1481" t="s">
        <v>3855</v>
      </c>
      <c r="W1481" t="s">
        <v>3856</v>
      </c>
      <c r="X1481" t="s">
        <v>8330</v>
      </c>
      <c r="Y1481" t="s">
        <v>5187</v>
      </c>
      <c r="AA1481" t="s">
        <v>5188</v>
      </c>
      <c r="AB1481" t="s">
        <v>8326</v>
      </c>
      <c r="AE1481">
        <v>-37.2780773</v>
      </c>
      <c r="AF1481">
        <v>175.49357660000001</v>
      </c>
      <c r="AG1481">
        <v>24</v>
      </c>
      <c r="AH1481">
        <v>13</v>
      </c>
      <c r="AI1481">
        <v>3</v>
      </c>
      <c r="AJ1481">
        <v>4</v>
      </c>
      <c r="AK1481">
        <v>8</v>
      </c>
      <c r="AL1481">
        <v>8</v>
      </c>
      <c r="AM1481">
        <v>3</v>
      </c>
      <c r="AN1481">
        <v>0</v>
      </c>
      <c r="AO1481">
        <v>26</v>
      </c>
      <c r="AP1481">
        <v>23</v>
      </c>
      <c r="AQ1481">
        <v>4</v>
      </c>
      <c r="AR1481">
        <v>0</v>
      </c>
      <c r="AS1481">
        <v>1</v>
      </c>
      <c r="AT1481">
        <v>2</v>
      </c>
    </row>
    <row r="1482" spans="1:46">
      <c r="A1482">
        <v>32007</v>
      </c>
      <c r="B1482" t="s">
        <v>9178</v>
      </c>
      <c r="C1482" t="s">
        <v>8326</v>
      </c>
      <c r="D1482" t="s">
        <v>8911</v>
      </c>
      <c r="E1482" t="s">
        <v>9179</v>
      </c>
      <c r="G1482" t="s">
        <v>1436</v>
      </c>
      <c r="H1482" t="s">
        <v>298</v>
      </c>
      <c r="J1482" t="s">
        <v>518</v>
      </c>
      <c r="K1482" t="s">
        <v>519</v>
      </c>
      <c r="M1482" t="s">
        <v>1297</v>
      </c>
      <c r="N1482" t="s">
        <v>571</v>
      </c>
      <c r="O1482" t="s">
        <v>1437</v>
      </c>
      <c r="P1482" t="s">
        <v>523</v>
      </c>
      <c r="Q1482" t="s">
        <v>1299</v>
      </c>
      <c r="R1482" t="s">
        <v>1300</v>
      </c>
      <c r="S1482" t="s">
        <v>1438</v>
      </c>
      <c r="T1482" t="s">
        <v>1235</v>
      </c>
      <c r="U1482">
        <v>169200</v>
      </c>
      <c r="V1482" t="s">
        <v>1436</v>
      </c>
      <c r="W1482" t="s">
        <v>1439</v>
      </c>
      <c r="X1482" t="s">
        <v>8330</v>
      </c>
      <c r="Y1482" t="s">
        <v>5187</v>
      </c>
      <c r="AA1482" t="s">
        <v>5188</v>
      </c>
      <c r="AB1482" t="s">
        <v>8326</v>
      </c>
      <c r="AC1482">
        <v>99070</v>
      </c>
      <c r="AD1482" t="s">
        <v>1444</v>
      </c>
      <c r="AE1482">
        <v>-37.377822889999997</v>
      </c>
      <c r="AF1482">
        <v>175.68445396999999</v>
      </c>
      <c r="AG1482">
        <v>30</v>
      </c>
      <c r="AH1482">
        <v>14</v>
      </c>
      <c r="AI1482">
        <v>1</v>
      </c>
      <c r="AJ1482">
        <v>3</v>
      </c>
      <c r="AK1482">
        <v>4</v>
      </c>
      <c r="AL1482">
        <v>3</v>
      </c>
      <c r="AM1482">
        <v>2</v>
      </c>
      <c r="AN1482">
        <v>0</v>
      </c>
      <c r="AO1482">
        <v>13</v>
      </c>
      <c r="AP1482">
        <v>13</v>
      </c>
      <c r="AQ1482">
        <v>5</v>
      </c>
      <c r="AR1482">
        <v>0</v>
      </c>
      <c r="AS1482">
        <v>0</v>
      </c>
      <c r="AT1482">
        <v>0</v>
      </c>
    </row>
    <row r="1483" spans="1:46">
      <c r="A1483">
        <v>32009</v>
      </c>
      <c r="B1483" t="s">
        <v>9180</v>
      </c>
      <c r="C1483" t="s">
        <v>8326</v>
      </c>
      <c r="D1483" t="s">
        <v>8911</v>
      </c>
      <c r="E1483" t="s">
        <v>9181</v>
      </c>
      <c r="G1483" t="s">
        <v>1449</v>
      </c>
      <c r="H1483" t="s">
        <v>298</v>
      </c>
      <c r="J1483" t="s">
        <v>518</v>
      </c>
      <c r="K1483" t="s">
        <v>519</v>
      </c>
      <c r="M1483" t="s">
        <v>1297</v>
      </c>
      <c r="N1483" t="s">
        <v>571</v>
      </c>
      <c r="O1483" t="s">
        <v>1450</v>
      </c>
      <c r="P1483" t="s">
        <v>523</v>
      </c>
      <c r="Q1483" t="s">
        <v>1299</v>
      </c>
      <c r="R1483" t="s">
        <v>1300</v>
      </c>
      <c r="S1483" t="s">
        <v>1300</v>
      </c>
      <c r="T1483" t="s">
        <v>1235</v>
      </c>
      <c r="U1483">
        <v>174100</v>
      </c>
      <c r="V1483" t="s">
        <v>1451</v>
      </c>
      <c r="W1483" t="s">
        <v>1452</v>
      </c>
      <c r="X1483" t="s">
        <v>8330</v>
      </c>
      <c r="Y1483" t="s">
        <v>5187</v>
      </c>
      <c r="AA1483" t="s">
        <v>5188</v>
      </c>
      <c r="AB1483" t="s">
        <v>8326</v>
      </c>
      <c r="AE1483">
        <v>-37.542103599999997</v>
      </c>
      <c r="AF1483">
        <v>175.70565855000001</v>
      </c>
      <c r="AG1483">
        <v>30</v>
      </c>
      <c r="AH1483">
        <v>15</v>
      </c>
      <c r="AI1483">
        <v>3</v>
      </c>
      <c r="AJ1483">
        <v>2</v>
      </c>
      <c r="AK1483">
        <v>5</v>
      </c>
      <c r="AL1483">
        <v>1</v>
      </c>
      <c r="AM1483">
        <v>6</v>
      </c>
      <c r="AN1483">
        <v>0</v>
      </c>
      <c r="AO1483">
        <v>17</v>
      </c>
      <c r="AP1483">
        <v>13</v>
      </c>
      <c r="AQ1483">
        <v>0</v>
      </c>
      <c r="AR1483">
        <v>0</v>
      </c>
      <c r="AS1483">
        <v>4</v>
      </c>
      <c r="AT1483">
        <v>0</v>
      </c>
    </row>
    <row r="1484" spans="1:46">
      <c r="A1484">
        <v>32010</v>
      </c>
      <c r="B1484" t="s">
        <v>9182</v>
      </c>
      <c r="C1484" t="s">
        <v>8326</v>
      </c>
      <c r="D1484" t="s">
        <v>8911</v>
      </c>
      <c r="E1484" t="s">
        <v>9183</v>
      </c>
      <c r="G1484" t="s">
        <v>1460</v>
      </c>
      <c r="H1484" t="s">
        <v>298</v>
      </c>
      <c r="J1484" t="s">
        <v>518</v>
      </c>
      <c r="K1484" t="s">
        <v>519</v>
      </c>
      <c r="M1484" t="s">
        <v>1297</v>
      </c>
      <c r="N1484" t="s">
        <v>571</v>
      </c>
      <c r="O1484" t="s">
        <v>1461</v>
      </c>
      <c r="P1484" t="s">
        <v>523</v>
      </c>
      <c r="Q1484" t="s">
        <v>1299</v>
      </c>
      <c r="R1484" t="s">
        <v>1300</v>
      </c>
      <c r="S1484" t="s">
        <v>1438</v>
      </c>
      <c r="T1484" t="s">
        <v>1235</v>
      </c>
      <c r="U1484">
        <v>167800</v>
      </c>
      <c r="V1484" t="s">
        <v>9184</v>
      </c>
      <c r="W1484" t="s">
        <v>1463</v>
      </c>
      <c r="X1484" t="s">
        <v>8330</v>
      </c>
      <c r="Y1484" t="s">
        <v>5187</v>
      </c>
      <c r="AA1484" t="s">
        <v>5188</v>
      </c>
      <c r="AB1484" t="s">
        <v>8326</v>
      </c>
      <c r="AE1484">
        <v>-37.151872820000001</v>
      </c>
      <c r="AF1484">
        <v>175.55705803999999</v>
      </c>
      <c r="AG1484">
        <v>30</v>
      </c>
      <c r="AH1484">
        <v>15</v>
      </c>
      <c r="AI1484">
        <v>1</v>
      </c>
      <c r="AJ1484">
        <v>2</v>
      </c>
      <c r="AK1484">
        <v>7</v>
      </c>
      <c r="AL1484">
        <v>1</v>
      </c>
      <c r="AM1484">
        <v>3</v>
      </c>
      <c r="AN1484">
        <v>0</v>
      </c>
      <c r="AO1484">
        <v>14</v>
      </c>
      <c r="AP1484">
        <v>11</v>
      </c>
      <c r="AQ1484">
        <v>5</v>
      </c>
      <c r="AR1484">
        <v>1</v>
      </c>
      <c r="AS1484">
        <v>0</v>
      </c>
      <c r="AT1484">
        <v>1</v>
      </c>
    </row>
    <row r="1485" spans="1:46">
      <c r="A1485">
        <v>32011</v>
      </c>
      <c r="B1485" t="s">
        <v>9185</v>
      </c>
      <c r="C1485" t="s">
        <v>9186</v>
      </c>
      <c r="D1485" t="s">
        <v>8911</v>
      </c>
      <c r="E1485" t="s">
        <v>9187</v>
      </c>
      <c r="G1485" t="s">
        <v>9107</v>
      </c>
      <c r="H1485" t="s">
        <v>298</v>
      </c>
      <c r="J1485" t="s">
        <v>518</v>
      </c>
      <c r="K1485" t="s">
        <v>519</v>
      </c>
      <c r="M1485" t="s">
        <v>1297</v>
      </c>
      <c r="N1485" t="s">
        <v>571</v>
      </c>
      <c r="O1485" t="s">
        <v>1437</v>
      </c>
      <c r="P1485" t="s">
        <v>540</v>
      </c>
      <c r="Q1485" t="s">
        <v>1299</v>
      </c>
      <c r="R1485" t="s">
        <v>1300</v>
      </c>
      <c r="S1485" t="s">
        <v>1438</v>
      </c>
      <c r="T1485" t="s">
        <v>1235</v>
      </c>
      <c r="U1485">
        <v>168800</v>
      </c>
      <c r="V1485" t="s">
        <v>9108</v>
      </c>
      <c r="W1485" t="s">
        <v>3856</v>
      </c>
      <c r="X1485" t="s">
        <v>8330</v>
      </c>
      <c r="Y1485" t="s">
        <v>5187</v>
      </c>
      <c r="AA1485" t="s">
        <v>5188</v>
      </c>
      <c r="AB1485" t="s">
        <v>8326</v>
      </c>
      <c r="AC1485">
        <v>99015</v>
      </c>
      <c r="AD1485" t="s">
        <v>3857</v>
      </c>
      <c r="AE1485">
        <v>-37.241419440000001</v>
      </c>
      <c r="AF1485">
        <v>175.56867155</v>
      </c>
      <c r="AG1485">
        <v>22</v>
      </c>
      <c r="AH1485">
        <v>13</v>
      </c>
      <c r="AI1485">
        <v>1</v>
      </c>
      <c r="AJ1485">
        <v>1</v>
      </c>
      <c r="AK1485">
        <v>5</v>
      </c>
      <c r="AL1485">
        <v>0</v>
      </c>
      <c r="AM1485">
        <v>4</v>
      </c>
      <c r="AN1485">
        <v>0</v>
      </c>
      <c r="AO1485">
        <v>11</v>
      </c>
      <c r="AP1485">
        <v>11</v>
      </c>
      <c r="AQ1485">
        <v>3</v>
      </c>
      <c r="AR1485">
        <v>0</v>
      </c>
      <c r="AS1485">
        <v>0</v>
      </c>
      <c r="AT1485">
        <v>0</v>
      </c>
    </row>
    <row r="1486" spans="1:46">
      <c r="A1486">
        <v>32013</v>
      </c>
      <c r="B1486" t="s">
        <v>9188</v>
      </c>
      <c r="C1486" t="s">
        <v>8326</v>
      </c>
      <c r="D1486" t="s">
        <v>8911</v>
      </c>
      <c r="E1486" t="s">
        <v>5444</v>
      </c>
      <c r="G1486" t="s">
        <v>9189</v>
      </c>
      <c r="H1486" t="s">
        <v>298</v>
      </c>
      <c r="J1486" t="s">
        <v>518</v>
      </c>
      <c r="K1486" t="s">
        <v>519</v>
      </c>
      <c r="M1486" t="s">
        <v>1297</v>
      </c>
      <c r="N1486" t="s">
        <v>571</v>
      </c>
      <c r="O1486" t="s">
        <v>1743</v>
      </c>
      <c r="P1486" t="s">
        <v>523</v>
      </c>
      <c r="Q1486" t="s">
        <v>1471</v>
      </c>
      <c r="R1486" t="s">
        <v>1300</v>
      </c>
      <c r="S1486" t="s">
        <v>1438</v>
      </c>
      <c r="T1486" t="s">
        <v>1235</v>
      </c>
      <c r="U1486">
        <v>190200</v>
      </c>
      <c r="V1486" t="s">
        <v>9190</v>
      </c>
      <c r="W1486" t="s">
        <v>3789</v>
      </c>
      <c r="X1486" t="s">
        <v>8330</v>
      </c>
      <c r="Y1486" t="s">
        <v>5187</v>
      </c>
      <c r="AA1486" t="s">
        <v>5188</v>
      </c>
      <c r="AB1486" t="s">
        <v>8326</v>
      </c>
      <c r="AE1486">
        <v>-37.406200779999999</v>
      </c>
      <c r="AF1486">
        <v>175.93746182000001</v>
      </c>
      <c r="AG1486">
        <v>28</v>
      </c>
      <c r="AH1486">
        <v>15</v>
      </c>
      <c r="AI1486">
        <v>1</v>
      </c>
      <c r="AJ1486">
        <v>2</v>
      </c>
      <c r="AK1486">
        <v>5</v>
      </c>
      <c r="AL1486">
        <v>3</v>
      </c>
      <c r="AM1486">
        <v>0</v>
      </c>
      <c r="AN1486">
        <v>0</v>
      </c>
      <c r="AO1486">
        <v>11</v>
      </c>
      <c r="AP1486">
        <v>10</v>
      </c>
      <c r="AQ1486">
        <v>0</v>
      </c>
      <c r="AR1486">
        <v>0</v>
      </c>
      <c r="AS1486">
        <v>1</v>
      </c>
      <c r="AT1486">
        <v>0</v>
      </c>
    </row>
    <row r="1487" spans="1:46">
      <c r="A1487">
        <v>32015</v>
      </c>
      <c r="B1487" t="s">
        <v>9191</v>
      </c>
      <c r="C1487" t="s">
        <v>8326</v>
      </c>
      <c r="D1487" t="s">
        <v>8911</v>
      </c>
      <c r="E1487" t="s">
        <v>9192</v>
      </c>
      <c r="G1487" t="s">
        <v>9193</v>
      </c>
      <c r="H1487" t="s">
        <v>298</v>
      </c>
      <c r="J1487" t="s">
        <v>518</v>
      </c>
      <c r="K1487" t="s">
        <v>519</v>
      </c>
      <c r="M1487" t="s">
        <v>1297</v>
      </c>
      <c r="N1487" t="s">
        <v>571</v>
      </c>
      <c r="O1487" t="s">
        <v>1461</v>
      </c>
      <c r="P1487" t="s">
        <v>523</v>
      </c>
      <c r="Q1487" t="s">
        <v>1299</v>
      </c>
      <c r="R1487" t="s">
        <v>1300</v>
      </c>
      <c r="S1487" t="s">
        <v>1438</v>
      </c>
      <c r="T1487" t="s">
        <v>1235</v>
      </c>
      <c r="U1487">
        <v>168502</v>
      </c>
      <c r="V1487" t="s">
        <v>9194</v>
      </c>
      <c r="W1487" t="s">
        <v>8606</v>
      </c>
      <c r="X1487" t="s">
        <v>8330</v>
      </c>
      <c r="Y1487" t="s">
        <v>5187</v>
      </c>
      <c r="AA1487" t="s">
        <v>5188</v>
      </c>
      <c r="AB1487" t="s">
        <v>8326</v>
      </c>
      <c r="AE1487">
        <v>-37.216335800000003</v>
      </c>
      <c r="AF1487">
        <v>175.86629624</v>
      </c>
      <c r="AG1487">
        <v>25</v>
      </c>
      <c r="AH1487">
        <v>12</v>
      </c>
      <c r="AI1487">
        <v>0</v>
      </c>
      <c r="AJ1487">
        <v>2</v>
      </c>
      <c r="AK1487">
        <v>5</v>
      </c>
      <c r="AL1487">
        <v>3</v>
      </c>
      <c r="AM1487">
        <v>5</v>
      </c>
      <c r="AN1487">
        <v>0</v>
      </c>
      <c r="AO1487">
        <v>15</v>
      </c>
      <c r="AP1487">
        <v>15</v>
      </c>
      <c r="AQ1487">
        <v>4</v>
      </c>
      <c r="AR1487">
        <v>0</v>
      </c>
      <c r="AS1487">
        <v>0</v>
      </c>
      <c r="AT1487">
        <v>0</v>
      </c>
    </row>
    <row r="1488" spans="1:46">
      <c r="A1488">
        <v>32016</v>
      </c>
      <c r="B1488" t="s">
        <v>9195</v>
      </c>
      <c r="C1488" t="s">
        <v>9196</v>
      </c>
      <c r="D1488" t="s">
        <v>8911</v>
      </c>
      <c r="E1488" t="s">
        <v>9197</v>
      </c>
      <c r="G1488" t="s">
        <v>3826</v>
      </c>
      <c r="H1488" t="s">
        <v>298</v>
      </c>
      <c r="J1488" t="s">
        <v>518</v>
      </c>
      <c r="K1488" t="s">
        <v>519</v>
      </c>
      <c r="M1488" t="s">
        <v>1297</v>
      </c>
      <c r="N1488" t="s">
        <v>571</v>
      </c>
      <c r="O1488" t="s">
        <v>1461</v>
      </c>
      <c r="P1488" t="s">
        <v>523</v>
      </c>
      <c r="Q1488" t="s">
        <v>1299</v>
      </c>
      <c r="R1488" t="s">
        <v>1300</v>
      </c>
      <c r="S1488" t="s">
        <v>1438</v>
      </c>
      <c r="T1488" t="s">
        <v>1235</v>
      </c>
      <c r="U1488">
        <v>167101</v>
      </c>
      <c r="V1488" t="s">
        <v>3827</v>
      </c>
      <c r="W1488" t="s">
        <v>3828</v>
      </c>
      <c r="X1488" t="s">
        <v>8330</v>
      </c>
      <c r="Y1488" t="s">
        <v>5187</v>
      </c>
      <c r="AA1488" t="s">
        <v>5188</v>
      </c>
      <c r="AB1488" t="s">
        <v>8326</v>
      </c>
      <c r="AE1488">
        <v>-36.840441599999998</v>
      </c>
      <c r="AF1488">
        <v>175.70142469999999</v>
      </c>
      <c r="AG1488">
        <v>27</v>
      </c>
      <c r="AH1488">
        <v>15</v>
      </c>
      <c r="AI1488">
        <v>3</v>
      </c>
      <c r="AJ1488">
        <v>7</v>
      </c>
      <c r="AK1488">
        <v>6</v>
      </c>
      <c r="AL1488">
        <v>9</v>
      </c>
      <c r="AM1488">
        <v>2</v>
      </c>
      <c r="AN1488">
        <v>0</v>
      </c>
      <c r="AO1488">
        <v>27</v>
      </c>
      <c r="AP1488">
        <v>25</v>
      </c>
      <c r="AQ1488">
        <v>1</v>
      </c>
      <c r="AR1488">
        <v>0</v>
      </c>
      <c r="AS1488">
        <v>3</v>
      </c>
      <c r="AT1488">
        <v>0</v>
      </c>
    </row>
    <row r="1489" spans="1:46">
      <c r="A1489">
        <v>33001</v>
      </c>
      <c r="B1489" t="s">
        <v>9198</v>
      </c>
      <c r="C1489" t="s">
        <v>9199</v>
      </c>
      <c r="D1489" t="s">
        <v>8327</v>
      </c>
      <c r="E1489" t="s">
        <v>9200</v>
      </c>
      <c r="G1489" t="s">
        <v>1318</v>
      </c>
      <c r="H1489" t="s">
        <v>298</v>
      </c>
      <c r="J1489" t="s">
        <v>518</v>
      </c>
      <c r="K1489" t="s">
        <v>519</v>
      </c>
      <c r="M1489" t="s">
        <v>1297</v>
      </c>
      <c r="N1489" t="s">
        <v>571</v>
      </c>
      <c r="O1489" t="s">
        <v>1319</v>
      </c>
      <c r="P1489" t="s">
        <v>1262</v>
      </c>
      <c r="Q1489" t="s">
        <v>1299</v>
      </c>
      <c r="R1489" t="s">
        <v>1300</v>
      </c>
      <c r="S1489" t="s">
        <v>1320</v>
      </c>
      <c r="T1489" t="s">
        <v>1235</v>
      </c>
      <c r="U1489">
        <v>182700</v>
      </c>
      <c r="V1489" t="s">
        <v>8926</v>
      </c>
      <c r="W1489" t="s">
        <v>1322</v>
      </c>
      <c r="X1489" t="s">
        <v>8330</v>
      </c>
      <c r="Y1489" t="s">
        <v>5187</v>
      </c>
      <c r="AA1489" t="s">
        <v>5188</v>
      </c>
      <c r="AB1489" t="s">
        <v>8326</v>
      </c>
      <c r="AE1489">
        <v>-37.888015099999997</v>
      </c>
      <c r="AF1489">
        <v>175.45614879999999</v>
      </c>
      <c r="AG1489">
        <v>30</v>
      </c>
      <c r="AH1489">
        <v>17</v>
      </c>
      <c r="AI1489">
        <v>14</v>
      </c>
      <c r="AJ1489">
        <v>2</v>
      </c>
      <c r="AK1489">
        <v>7</v>
      </c>
      <c r="AL1489">
        <v>5</v>
      </c>
      <c r="AM1489">
        <v>2</v>
      </c>
      <c r="AN1489">
        <v>0</v>
      </c>
      <c r="AO1489">
        <v>30</v>
      </c>
      <c r="AP1489">
        <v>26</v>
      </c>
      <c r="AQ1489">
        <v>3</v>
      </c>
      <c r="AR1489">
        <v>0</v>
      </c>
      <c r="AS1489">
        <v>2</v>
      </c>
      <c r="AT1489">
        <v>1</v>
      </c>
    </row>
    <row r="1490" spans="1:46">
      <c r="A1490">
        <v>33003</v>
      </c>
      <c r="B1490" t="s">
        <v>9201</v>
      </c>
      <c r="C1490" t="s">
        <v>9199</v>
      </c>
      <c r="D1490" t="s">
        <v>8911</v>
      </c>
      <c r="E1490" t="s">
        <v>9202</v>
      </c>
      <c r="F1490" t="s">
        <v>1330</v>
      </c>
      <c r="G1490" t="s">
        <v>1296</v>
      </c>
      <c r="H1490" t="s">
        <v>298</v>
      </c>
      <c r="J1490" t="s">
        <v>518</v>
      </c>
      <c r="K1490" t="s">
        <v>519</v>
      </c>
      <c r="M1490" t="s">
        <v>1297</v>
      </c>
      <c r="N1490" t="s">
        <v>571</v>
      </c>
      <c r="O1490" t="s">
        <v>1298</v>
      </c>
      <c r="P1490" t="s">
        <v>654</v>
      </c>
      <c r="Q1490" t="s">
        <v>1299</v>
      </c>
      <c r="R1490" t="s">
        <v>1300</v>
      </c>
      <c r="S1490" t="s">
        <v>1301</v>
      </c>
      <c r="T1490" t="s">
        <v>1235</v>
      </c>
      <c r="U1490">
        <v>180400</v>
      </c>
      <c r="V1490" t="s">
        <v>1330</v>
      </c>
      <c r="W1490" t="s">
        <v>1303</v>
      </c>
      <c r="X1490" t="s">
        <v>8330</v>
      </c>
      <c r="Y1490" t="s">
        <v>5187</v>
      </c>
      <c r="AA1490" t="s">
        <v>5188</v>
      </c>
      <c r="AB1490" t="s">
        <v>8326</v>
      </c>
      <c r="AE1490">
        <v>-37.819988760000001</v>
      </c>
      <c r="AF1490">
        <v>175.27540289999999</v>
      </c>
      <c r="AG1490">
        <v>30</v>
      </c>
      <c r="AH1490">
        <v>15</v>
      </c>
      <c r="AI1490">
        <v>2</v>
      </c>
      <c r="AJ1490">
        <v>3</v>
      </c>
      <c r="AK1490">
        <v>3</v>
      </c>
      <c r="AL1490">
        <v>4</v>
      </c>
      <c r="AM1490">
        <v>2</v>
      </c>
      <c r="AN1490">
        <v>0</v>
      </c>
      <c r="AO1490">
        <v>14</v>
      </c>
      <c r="AP1490">
        <v>10</v>
      </c>
      <c r="AQ1490">
        <v>5</v>
      </c>
      <c r="AR1490">
        <v>1</v>
      </c>
      <c r="AS1490">
        <v>0</v>
      </c>
      <c r="AT1490">
        <v>2</v>
      </c>
    </row>
    <row r="1491" spans="1:46">
      <c r="A1491">
        <v>33004</v>
      </c>
      <c r="B1491" t="s">
        <v>9203</v>
      </c>
      <c r="C1491" t="s">
        <v>9199</v>
      </c>
      <c r="D1491" t="s">
        <v>8911</v>
      </c>
      <c r="E1491" t="s">
        <v>9204</v>
      </c>
      <c r="F1491" t="s">
        <v>1345</v>
      </c>
      <c r="G1491" t="s">
        <v>1296</v>
      </c>
      <c r="H1491" t="s">
        <v>298</v>
      </c>
      <c r="J1491" t="s">
        <v>518</v>
      </c>
      <c r="K1491" t="s">
        <v>519</v>
      </c>
      <c r="M1491" t="s">
        <v>1297</v>
      </c>
      <c r="N1491" t="s">
        <v>571</v>
      </c>
      <c r="O1491" t="s">
        <v>1298</v>
      </c>
      <c r="P1491" t="s">
        <v>654</v>
      </c>
      <c r="Q1491" t="s">
        <v>1299</v>
      </c>
      <c r="R1491" t="s">
        <v>1300</v>
      </c>
      <c r="S1491" t="s">
        <v>1301</v>
      </c>
      <c r="T1491" t="s">
        <v>1235</v>
      </c>
      <c r="U1491">
        <v>177901</v>
      </c>
      <c r="V1491" t="s">
        <v>1302</v>
      </c>
      <c r="W1491" t="s">
        <v>1303</v>
      </c>
      <c r="X1491" t="s">
        <v>8330</v>
      </c>
      <c r="Y1491" t="s">
        <v>5187</v>
      </c>
      <c r="AA1491" t="s">
        <v>5188</v>
      </c>
      <c r="AB1491" t="s">
        <v>8326</v>
      </c>
      <c r="AE1491">
        <v>-37.782268979999998</v>
      </c>
      <c r="AF1491">
        <v>175.2503624</v>
      </c>
      <c r="AG1491">
        <v>25</v>
      </c>
      <c r="AH1491">
        <v>15</v>
      </c>
      <c r="AI1491">
        <v>4</v>
      </c>
      <c r="AJ1491">
        <v>6</v>
      </c>
      <c r="AK1491">
        <v>10</v>
      </c>
      <c r="AL1491">
        <v>7</v>
      </c>
      <c r="AM1491">
        <v>6</v>
      </c>
      <c r="AN1491">
        <v>3</v>
      </c>
      <c r="AO1491">
        <v>36</v>
      </c>
      <c r="AP1491">
        <v>33</v>
      </c>
      <c r="AQ1491">
        <v>7</v>
      </c>
      <c r="AR1491">
        <v>5</v>
      </c>
      <c r="AS1491">
        <v>2</v>
      </c>
      <c r="AT1491">
        <v>0</v>
      </c>
    </row>
    <row r="1492" spans="1:46">
      <c r="A1492">
        <v>33008</v>
      </c>
      <c r="B1492" t="s">
        <v>9205</v>
      </c>
      <c r="C1492" t="s">
        <v>9199</v>
      </c>
      <c r="D1492" t="s">
        <v>8911</v>
      </c>
      <c r="E1492" t="s">
        <v>9206</v>
      </c>
      <c r="F1492" t="s">
        <v>1312</v>
      </c>
      <c r="G1492" t="s">
        <v>1296</v>
      </c>
      <c r="H1492" t="s">
        <v>298</v>
      </c>
      <c r="J1492" t="s">
        <v>518</v>
      </c>
      <c r="K1492" t="s">
        <v>519</v>
      </c>
      <c r="M1492" t="s">
        <v>1297</v>
      </c>
      <c r="N1492" t="s">
        <v>571</v>
      </c>
      <c r="O1492" t="s">
        <v>1298</v>
      </c>
      <c r="P1492" t="s">
        <v>654</v>
      </c>
      <c r="Q1492" t="s">
        <v>1299</v>
      </c>
      <c r="R1492" t="s">
        <v>1300</v>
      </c>
      <c r="S1492" t="s">
        <v>1312</v>
      </c>
      <c r="T1492" t="s">
        <v>1235</v>
      </c>
      <c r="U1492">
        <v>180200</v>
      </c>
      <c r="V1492" t="s">
        <v>1312</v>
      </c>
      <c r="W1492" t="s">
        <v>1314</v>
      </c>
      <c r="X1492" t="s">
        <v>8330</v>
      </c>
      <c r="Y1492" t="s">
        <v>5187</v>
      </c>
      <c r="AA1492" t="s">
        <v>5188</v>
      </c>
      <c r="AB1492" t="s">
        <v>8326</v>
      </c>
      <c r="AE1492">
        <v>-37.801090309999999</v>
      </c>
      <c r="AF1492">
        <v>175.29627195</v>
      </c>
      <c r="AG1492">
        <v>30</v>
      </c>
      <c r="AH1492">
        <v>17</v>
      </c>
      <c r="AI1492">
        <v>22</v>
      </c>
      <c r="AJ1492">
        <v>7</v>
      </c>
      <c r="AK1492">
        <v>14</v>
      </c>
      <c r="AL1492">
        <v>7</v>
      </c>
      <c r="AM1492">
        <v>4</v>
      </c>
      <c r="AN1492">
        <v>0</v>
      </c>
      <c r="AO1492">
        <v>54</v>
      </c>
      <c r="AP1492">
        <v>47</v>
      </c>
      <c r="AQ1492">
        <v>1</v>
      </c>
      <c r="AR1492">
        <v>1</v>
      </c>
      <c r="AS1492">
        <v>6</v>
      </c>
      <c r="AT1492">
        <v>3</v>
      </c>
    </row>
    <row r="1493" spans="1:46">
      <c r="A1493">
        <v>33009</v>
      </c>
      <c r="B1493" t="s">
        <v>9207</v>
      </c>
      <c r="C1493" t="s">
        <v>9199</v>
      </c>
      <c r="D1493" t="s">
        <v>8911</v>
      </c>
      <c r="E1493" t="s">
        <v>9208</v>
      </c>
      <c r="G1493" t="s">
        <v>8817</v>
      </c>
      <c r="H1493" t="s">
        <v>298</v>
      </c>
      <c r="J1493" t="s">
        <v>518</v>
      </c>
      <c r="K1493" t="s">
        <v>519</v>
      </c>
      <c r="M1493" t="s">
        <v>1297</v>
      </c>
      <c r="N1493" t="s">
        <v>571</v>
      </c>
      <c r="O1493" t="s">
        <v>1351</v>
      </c>
      <c r="P1493" t="s">
        <v>540</v>
      </c>
      <c r="Q1493" t="s">
        <v>1299</v>
      </c>
      <c r="R1493" t="s">
        <v>1300</v>
      </c>
      <c r="S1493" t="s">
        <v>1417</v>
      </c>
      <c r="T1493" t="s">
        <v>1235</v>
      </c>
      <c r="U1493">
        <v>172601</v>
      </c>
      <c r="V1493" t="s">
        <v>8817</v>
      </c>
      <c r="W1493" t="s">
        <v>1353</v>
      </c>
      <c r="X1493" t="s">
        <v>8330</v>
      </c>
      <c r="Y1493" t="s">
        <v>5187</v>
      </c>
      <c r="AA1493" t="s">
        <v>5188</v>
      </c>
      <c r="AB1493" t="s">
        <v>8326</v>
      </c>
      <c r="AE1493">
        <v>-37.701912800000002</v>
      </c>
      <c r="AF1493">
        <v>175.20381019999999</v>
      </c>
      <c r="AG1493">
        <v>30</v>
      </c>
      <c r="AH1493">
        <v>15</v>
      </c>
      <c r="AI1493">
        <v>4</v>
      </c>
      <c r="AJ1493">
        <v>1</v>
      </c>
      <c r="AK1493">
        <v>2</v>
      </c>
      <c r="AL1493">
        <v>2</v>
      </c>
      <c r="AM1493">
        <v>0</v>
      </c>
      <c r="AN1493">
        <v>0</v>
      </c>
      <c r="AO1493">
        <v>9</v>
      </c>
      <c r="AP1493">
        <v>7</v>
      </c>
      <c r="AQ1493">
        <v>6</v>
      </c>
      <c r="AR1493">
        <v>0</v>
      </c>
      <c r="AS1493">
        <v>0</v>
      </c>
      <c r="AT1493">
        <v>0</v>
      </c>
    </row>
    <row r="1494" spans="1:46">
      <c r="A1494">
        <v>33011</v>
      </c>
      <c r="B1494" t="s">
        <v>9209</v>
      </c>
      <c r="C1494" t="s">
        <v>9210</v>
      </c>
      <c r="D1494" t="s">
        <v>8911</v>
      </c>
      <c r="E1494" t="s">
        <v>9211</v>
      </c>
      <c r="G1494" t="s">
        <v>9212</v>
      </c>
      <c r="H1494" t="s">
        <v>298</v>
      </c>
      <c r="J1494" t="s">
        <v>518</v>
      </c>
      <c r="K1494" t="s">
        <v>519</v>
      </c>
      <c r="M1494" t="s">
        <v>1297</v>
      </c>
      <c r="N1494" t="s">
        <v>571</v>
      </c>
      <c r="O1494" t="s">
        <v>1351</v>
      </c>
      <c r="P1494" t="s">
        <v>572</v>
      </c>
      <c r="Q1494" t="s">
        <v>1299</v>
      </c>
      <c r="R1494" t="s">
        <v>1300</v>
      </c>
      <c r="S1494" t="s">
        <v>1300</v>
      </c>
      <c r="T1494" t="s">
        <v>1235</v>
      </c>
      <c r="U1494">
        <v>171700</v>
      </c>
      <c r="V1494" t="s">
        <v>9213</v>
      </c>
      <c r="W1494" t="s">
        <v>7799</v>
      </c>
      <c r="X1494" t="s">
        <v>8330</v>
      </c>
      <c r="Y1494" t="s">
        <v>5187</v>
      </c>
      <c r="AA1494" t="s">
        <v>5188</v>
      </c>
      <c r="AB1494" t="s">
        <v>8326</v>
      </c>
      <c r="AE1494">
        <v>-37.596027739999997</v>
      </c>
      <c r="AF1494">
        <v>175.36363322</v>
      </c>
      <c r="AG1494">
        <v>29</v>
      </c>
      <c r="AH1494">
        <v>15</v>
      </c>
      <c r="AI1494">
        <v>3</v>
      </c>
      <c r="AJ1494">
        <v>3</v>
      </c>
      <c r="AK1494">
        <v>2</v>
      </c>
      <c r="AL1494">
        <v>9</v>
      </c>
      <c r="AM1494">
        <v>6</v>
      </c>
      <c r="AN1494">
        <v>0</v>
      </c>
      <c r="AO1494">
        <v>23</v>
      </c>
      <c r="AP1494">
        <v>21</v>
      </c>
      <c r="AQ1494">
        <v>3</v>
      </c>
      <c r="AR1494">
        <v>0</v>
      </c>
      <c r="AS1494">
        <v>1</v>
      </c>
      <c r="AT1494">
        <v>0</v>
      </c>
    </row>
    <row r="1495" spans="1:46">
      <c r="A1495">
        <v>33012</v>
      </c>
      <c r="B1495" t="s">
        <v>9214</v>
      </c>
      <c r="C1495" t="s">
        <v>9199</v>
      </c>
      <c r="E1495" t="s">
        <v>9215</v>
      </c>
      <c r="F1495" t="s">
        <v>1379</v>
      </c>
      <c r="G1495" t="s">
        <v>1318</v>
      </c>
      <c r="H1495" t="s">
        <v>298</v>
      </c>
      <c r="J1495" t="s">
        <v>518</v>
      </c>
      <c r="K1495" t="s">
        <v>519</v>
      </c>
      <c r="M1495" t="s">
        <v>1297</v>
      </c>
      <c r="N1495" t="s">
        <v>571</v>
      </c>
      <c r="O1495" t="s">
        <v>1319</v>
      </c>
      <c r="P1495" t="s">
        <v>1262</v>
      </c>
      <c r="Q1495" t="s">
        <v>1299</v>
      </c>
      <c r="R1495" t="s">
        <v>1300</v>
      </c>
      <c r="S1495" t="s">
        <v>1320</v>
      </c>
      <c r="T1495" t="s">
        <v>1235</v>
      </c>
      <c r="U1495">
        <v>183500</v>
      </c>
      <c r="V1495" t="s">
        <v>1389</v>
      </c>
      <c r="W1495" t="s">
        <v>1322</v>
      </c>
      <c r="X1495" t="s">
        <v>8330</v>
      </c>
      <c r="Y1495" t="s">
        <v>5187</v>
      </c>
      <c r="AA1495" t="s">
        <v>5188</v>
      </c>
      <c r="AB1495" t="s">
        <v>8326</v>
      </c>
      <c r="AE1495">
        <v>-37.907556499999998</v>
      </c>
      <c r="AF1495">
        <v>175.47162760000001</v>
      </c>
      <c r="AG1495">
        <v>30</v>
      </c>
      <c r="AH1495">
        <v>17</v>
      </c>
      <c r="AI1495">
        <v>50</v>
      </c>
      <c r="AJ1495">
        <v>15</v>
      </c>
      <c r="AK1495">
        <v>5</v>
      </c>
      <c r="AL1495">
        <v>6</v>
      </c>
      <c r="AM1495">
        <v>3</v>
      </c>
      <c r="AN1495">
        <v>0</v>
      </c>
      <c r="AO1495">
        <v>79</v>
      </c>
      <c r="AP1495">
        <v>76</v>
      </c>
      <c r="AQ1495">
        <v>9</v>
      </c>
      <c r="AR1495">
        <v>2</v>
      </c>
      <c r="AS1495">
        <v>4</v>
      </c>
      <c r="AT1495">
        <v>2</v>
      </c>
    </row>
    <row r="1496" spans="1:46">
      <c r="A1496">
        <v>33015</v>
      </c>
      <c r="B1496" t="s">
        <v>9216</v>
      </c>
      <c r="C1496" t="s">
        <v>9199</v>
      </c>
      <c r="E1496" t="s">
        <v>9217</v>
      </c>
      <c r="G1496" t="s">
        <v>1586</v>
      </c>
      <c r="H1496" t="s">
        <v>298</v>
      </c>
      <c r="J1496" t="s">
        <v>518</v>
      </c>
      <c r="K1496" t="s">
        <v>519</v>
      </c>
      <c r="M1496" t="s">
        <v>1297</v>
      </c>
      <c r="N1496" t="s">
        <v>571</v>
      </c>
      <c r="O1496" t="s">
        <v>1450</v>
      </c>
      <c r="P1496" t="s">
        <v>523</v>
      </c>
      <c r="Q1496" t="s">
        <v>1299</v>
      </c>
      <c r="R1496" t="s">
        <v>1300</v>
      </c>
      <c r="S1496" t="s">
        <v>1300</v>
      </c>
      <c r="T1496" t="s">
        <v>1235</v>
      </c>
      <c r="U1496">
        <v>174001</v>
      </c>
      <c r="V1496" t="s">
        <v>3822</v>
      </c>
      <c r="W1496" t="s">
        <v>1588</v>
      </c>
      <c r="X1496" t="s">
        <v>8330</v>
      </c>
      <c r="Y1496" t="s">
        <v>5187</v>
      </c>
      <c r="AA1496" t="s">
        <v>5188</v>
      </c>
      <c r="AB1496" t="s">
        <v>8326</v>
      </c>
      <c r="AE1496">
        <v>-37.657025099999998</v>
      </c>
      <c r="AF1496">
        <v>175.52521999999999</v>
      </c>
      <c r="AG1496">
        <v>30</v>
      </c>
      <c r="AH1496">
        <v>18</v>
      </c>
      <c r="AI1496">
        <v>25</v>
      </c>
      <c r="AJ1496">
        <v>10</v>
      </c>
      <c r="AK1496">
        <v>11</v>
      </c>
      <c r="AL1496">
        <v>6</v>
      </c>
      <c r="AM1496">
        <v>7</v>
      </c>
      <c r="AN1496">
        <v>1</v>
      </c>
      <c r="AO1496">
        <v>60</v>
      </c>
      <c r="AP1496">
        <v>55</v>
      </c>
      <c r="AQ1496">
        <v>7</v>
      </c>
      <c r="AR1496">
        <v>1</v>
      </c>
      <c r="AS1496">
        <v>3</v>
      </c>
      <c r="AT1496">
        <v>0</v>
      </c>
    </row>
    <row r="1497" spans="1:46">
      <c r="A1497">
        <v>33016</v>
      </c>
      <c r="B1497" t="s">
        <v>9218</v>
      </c>
      <c r="C1497" t="s">
        <v>9199</v>
      </c>
      <c r="D1497" t="s">
        <v>8911</v>
      </c>
      <c r="E1497" t="s">
        <v>9219</v>
      </c>
      <c r="F1497" t="s">
        <v>1358</v>
      </c>
      <c r="G1497" t="s">
        <v>1296</v>
      </c>
      <c r="H1497" t="s">
        <v>298</v>
      </c>
      <c r="J1497" t="s">
        <v>518</v>
      </c>
      <c r="K1497" t="s">
        <v>519</v>
      </c>
      <c r="M1497" t="s">
        <v>1297</v>
      </c>
      <c r="N1497" t="s">
        <v>521</v>
      </c>
      <c r="O1497" t="s">
        <v>1298</v>
      </c>
      <c r="P1497" t="s">
        <v>654</v>
      </c>
      <c r="Q1497" t="s">
        <v>1299</v>
      </c>
      <c r="R1497" t="s">
        <v>1300</v>
      </c>
      <c r="S1497" t="s">
        <v>1301</v>
      </c>
      <c r="T1497" t="s">
        <v>1235</v>
      </c>
      <c r="U1497">
        <v>176800</v>
      </c>
      <c r="V1497" t="s">
        <v>3782</v>
      </c>
      <c r="W1497" t="s">
        <v>1303</v>
      </c>
      <c r="X1497" t="s">
        <v>8330</v>
      </c>
      <c r="Y1497" t="s">
        <v>5187</v>
      </c>
      <c r="AA1497" t="s">
        <v>5188</v>
      </c>
      <c r="AB1497" t="s">
        <v>8326</v>
      </c>
      <c r="AE1497">
        <v>-37.777293499999999</v>
      </c>
      <c r="AF1497">
        <v>175.2332692</v>
      </c>
      <c r="AG1497">
        <v>30</v>
      </c>
      <c r="AH1497">
        <v>25</v>
      </c>
      <c r="AI1497">
        <v>86</v>
      </c>
      <c r="AJ1497">
        <v>3</v>
      </c>
      <c r="AK1497">
        <v>0</v>
      </c>
      <c r="AL1497">
        <v>0</v>
      </c>
      <c r="AM1497">
        <v>0</v>
      </c>
      <c r="AN1497">
        <v>0</v>
      </c>
      <c r="AO1497">
        <v>89</v>
      </c>
      <c r="AP1497">
        <v>77</v>
      </c>
      <c r="AQ1497">
        <v>19</v>
      </c>
      <c r="AR1497">
        <v>8</v>
      </c>
      <c r="AS1497">
        <v>10</v>
      </c>
      <c r="AT1497">
        <v>5</v>
      </c>
    </row>
    <row r="1498" spans="1:46">
      <c r="A1498">
        <v>33017</v>
      </c>
      <c r="B1498" t="s">
        <v>9220</v>
      </c>
      <c r="C1498" t="s">
        <v>9199</v>
      </c>
      <c r="E1498" t="s">
        <v>9221</v>
      </c>
      <c r="G1498" t="s">
        <v>9222</v>
      </c>
      <c r="H1498" t="s">
        <v>298</v>
      </c>
      <c r="J1498" t="s">
        <v>518</v>
      </c>
      <c r="K1498" t="s">
        <v>519</v>
      </c>
      <c r="M1498" t="s">
        <v>1297</v>
      </c>
      <c r="N1498" t="s">
        <v>571</v>
      </c>
      <c r="O1498" t="s">
        <v>1319</v>
      </c>
      <c r="P1498" t="s">
        <v>540</v>
      </c>
      <c r="Q1498" t="s">
        <v>1299</v>
      </c>
      <c r="R1498" t="s">
        <v>1300</v>
      </c>
      <c r="S1498" t="s">
        <v>1417</v>
      </c>
      <c r="T1498" t="s">
        <v>1235</v>
      </c>
      <c r="U1498">
        <v>181800</v>
      </c>
      <c r="V1498" t="s">
        <v>9223</v>
      </c>
      <c r="W1498" t="s">
        <v>8964</v>
      </c>
      <c r="X1498" t="s">
        <v>8330</v>
      </c>
      <c r="Y1498" t="s">
        <v>5187</v>
      </c>
      <c r="AA1498" t="s">
        <v>5188</v>
      </c>
      <c r="AB1498" t="s">
        <v>8326</v>
      </c>
      <c r="AE1498">
        <v>-37.915936799999997</v>
      </c>
      <c r="AF1498">
        <v>175.30344650000001</v>
      </c>
      <c r="AG1498">
        <v>30</v>
      </c>
      <c r="AH1498">
        <v>15</v>
      </c>
      <c r="AI1498">
        <v>1</v>
      </c>
      <c r="AJ1498">
        <v>4</v>
      </c>
      <c r="AK1498">
        <v>2</v>
      </c>
      <c r="AL1498">
        <v>0</v>
      </c>
      <c r="AM1498">
        <v>5</v>
      </c>
      <c r="AN1498">
        <v>0</v>
      </c>
      <c r="AO1498">
        <v>12</v>
      </c>
      <c r="AP1498">
        <v>11</v>
      </c>
      <c r="AQ1498">
        <v>2</v>
      </c>
      <c r="AR1498">
        <v>0</v>
      </c>
      <c r="AS1498">
        <v>2</v>
      </c>
      <c r="AT1498">
        <v>0</v>
      </c>
    </row>
    <row r="1499" spans="1:46">
      <c r="A1499">
        <v>33019</v>
      </c>
      <c r="B1499" t="s">
        <v>9224</v>
      </c>
      <c r="C1499" t="s">
        <v>9199</v>
      </c>
      <c r="E1499" t="s">
        <v>9225</v>
      </c>
      <c r="F1499" t="s">
        <v>1295</v>
      </c>
      <c r="G1499" t="s">
        <v>1296</v>
      </c>
      <c r="H1499" t="s">
        <v>298</v>
      </c>
      <c r="J1499" t="s">
        <v>518</v>
      </c>
      <c r="K1499" t="s">
        <v>519</v>
      </c>
      <c r="M1499" t="s">
        <v>1297</v>
      </c>
      <c r="N1499" t="s">
        <v>571</v>
      </c>
      <c r="O1499" t="s">
        <v>1298</v>
      </c>
      <c r="P1499" t="s">
        <v>654</v>
      </c>
      <c r="Q1499" t="s">
        <v>1299</v>
      </c>
      <c r="R1499" t="s">
        <v>1300</v>
      </c>
      <c r="S1499" t="s">
        <v>1301</v>
      </c>
      <c r="T1499" t="s">
        <v>1235</v>
      </c>
      <c r="U1499">
        <v>178800</v>
      </c>
      <c r="V1499" t="s">
        <v>3678</v>
      </c>
      <c r="W1499" t="s">
        <v>1303</v>
      </c>
      <c r="X1499" t="s">
        <v>8330</v>
      </c>
      <c r="Y1499" t="s">
        <v>5187</v>
      </c>
      <c r="AA1499" t="s">
        <v>5188</v>
      </c>
      <c r="AB1499" t="s">
        <v>8326</v>
      </c>
      <c r="AE1499">
        <v>-37.797869759999998</v>
      </c>
      <c r="AF1499">
        <v>175.24943575</v>
      </c>
      <c r="AG1499">
        <v>30</v>
      </c>
      <c r="AH1499">
        <v>17</v>
      </c>
      <c r="AI1499">
        <v>16</v>
      </c>
      <c r="AJ1499">
        <v>5</v>
      </c>
      <c r="AK1499">
        <v>7</v>
      </c>
      <c r="AL1499">
        <v>1</v>
      </c>
      <c r="AM1499">
        <v>4</v>
      </c>
      <c r="AN1499">
        <v>0</v>
      </c>
      <c r="AO1499">
        <v>33</v>
      </c>
      <c r="AP1499">
        <v>28</v>
      </c>
      <c r="AQ1499">
        <v>7</v>
      </c>
      <c r="AR1499">
        <v>6</v>
      </c>
      <c r="AS1499">
        <v>2</v>
      </c>
      <c r="AT1499">
        <v>2</v>
      </c>
    </row>
    <row r="1500" spans="1:46">
      <c r="A1500">
        <v>33020</v>
      </c>
      <c r="B1500" t="s">
        <v>9226</v>
      </c>
      <c r="C1500" t="s">
        <v>9199</v>
      </c>
      <c r="D1500" t="s">
        <v>8911</v>
      </c>
      <c r="E1500" t="s">
        <v>9227</v>
      </c>
      <c r="F1500" t="s">
        <v>1295</v>
      </c>
      <c r="G1500" t="s">
        <v>1296</v>
      </c>
      <c r="H1500" t="s">
        <v>298</v>
      </c>
      <c r="J1500" t="s">
        <v>518</v>
      </c>
      <c r="K1500" t="s">
        <v>519</v>
      </c>
      <c r="M1500" t="s">
        <v>1297</v>
      </c>
      <c r="N1500" t="s">
        <v>571</v>
      </c>
      <c r="O1500" t="s">
        <v>1298</v>
      </c>
      <c r="P1500" t="s">
        <v>654</v>
      </c>
      <c r="Q1500" t="s">
        <v>1299</v>
      </c>
      <c r="R1500" t="s">
        <v>1300</v>
      </c>
      <c r="S1500" t="s">
        <v>1312</v>
      </c>
      <c r="T1500" t="s">
        <v>1235</v>
      </c>
      <c r="U1500">
        <v>179600</v>
      </c>
      <c r="V1500" t="s">
        <v>8810</v>
      </c>
      <c r="W1500" t="s">
        <v>1314</v>
      </c>
      <c r="X1500" t="s">
        <v>8330</v>
      </c>
      <c r="Y1500" t="s">
        <v>5187</v>
      </c>
      <c r="AA1500" t="s">
        <v>5188</v>
      </c>
      <c r="AB1500" t="s">
        <v>8326</v>
      </c>
      <c r="AE1500">
        <v>-37.783352450000002</v>
      </c>
      <c r="AF1500">
        <v>175.29960156000001</v>
      </c>
      <c r="AG1500">
        <v>30</v>
      </c>
      <c r="AH1500">
        <v>13</v>
      </c>
      <c r="AI1500">
        <v>1</v>
      </c>
      <c r="AJ1500">
        <v>10</v>
      </c>
      <c r="AK1500">
        <v>7</v>
      </c>
      <c r="AL1500">
        <v>8</v>
      </c>
      <c r="AM1500">
        <v>10</v>
      </c>
      <c r="AN1500">
        <v>3</v>
      </c>
      <c r="AO1500">
        <v>39</v>
      </c>
      <c r="AP1500">
        <v>32</v>
      </c>
      <c r="AQ1500">
        <v>8</v>
      </c>
      <c r="AR1500">
        <v>0</v>
      </c>
      <c r="AS1500">
        <v>5</v>
      </c>
      <c r="AT1500">
        <v>2</v>
      </c>
    </row>
    <row r="1501" spans="1:46">
      <c r="A1501">
        <v>33021</v>
      </c>
      <c r="B1501" t="s">
        <v>9228</v>
      </c>
      <c r="C1501" t="s">
        <v>9199</v>
      </c>
      <c r="D1501" t="s">
        <v>8911</v>
      </c>
      <c r="E1501" t="s">
        <v>9229</v>
      </c>
      <c r="F1501" t="s">
        <v>1295</v>
      </c>
      <c r="G1501" t="s">
        <v>1296</v>
      </c>
      <c r="H1501" t="s">
        <v>298</v>
      </c>
      <c r="J1501" t="s">
        <v>518</v>
      </c>
      <c r="K1501" t="s">
        <v>519</v>
      </c>
      <c r="M1501" t="s">
        <v>1297</v>
      </c>
      <c r="N1501" t="s">
        <v>571</v>
      </c>
      <c r="O1501" t="s">
        <v>1298</v>
      </c>
      <c r="P1501" t="s">
        <v>654</v>
      </c>
      <c r="Q1501" t="s">
        <v>1299</v>
      </c>
      <c r="R1501" t="s">
        <v>1300</v>
      </c>
      <c r="S1501" t="s">
        <v>1312</v>
      </c>
      <c r="T1501" t="s">
        <v>1235</v>
      </c>
      <c r="U1501">
        <v>175801</v>
      </c>
      <c r="V1501" t="s">
        <v>8592</v>
      </c>
      <c r="W1501" t="s">
        <v>1314</v>
      </c>
      <c r="X1501" t="s">
        <v>8330</v>
      </c>
      <c r="Y1501" t="s">
        <v>5187</v>
      </c>
      <c r="AA1501" t="s">
        <v>5188</v>
      </c>
      <c r="AB1501" t="s">
        <v>8326</v>
      </c>
      <c r="AE1501">
        <v>-37.738043730000001</v>
      </c>
      <c r="AF1501">
        <v>175.25552956999999</v>
      </c>
      <c r="AG1501">
        <v>30</v>
      </c>
      <c r="AH1501">
        <v>20</v>
      </c>
      <c r="AI1501">
        <v>4</v>
      </c>
      <c r="AJ1501">
        <v>10</v>
      </c>
      <c r="AK1501">
        <v>8</v>
      </c>
      <c r="AL1501">
        <v>2</v>
      </c>
      <c r="AM1501">
        <v>5</v>
      </c>
      <c r="AN1501">
        <v>0</v>
      </c>
      <c r="AO1501">
        <v>29</v>
      </c>
      <c r="AP1501">
        <v>22</v>
      </c>
      <c r="AQ1501">
        <v>4</v>
      </c>
      <c r="AR1501">
        <v>0</v>
      </c>
      <c r="AS1501">
        <v>9</v>
      </c>
      <c r="AT1501">
        <v>1</v>
      </c>
    </row>
    <row r="1502" spans="1:46">
      <c r="A1502">
        <v>33024</v>
      </c>
      <c r="B1502" t="s">
        <v>9230</v>
      </c>
      <c r="C1502" t="s">
        <v>9199</v>
      </c>
      <c r="E1502" t="s">
        <v>9231</v>
      </c>
      <c r="G1502" t="s">
        <v>8971</v>
      </c>
      <c r="H1502" t="s">
        <v>298</v>
      </c>
      <c r="J1502" t="s">
        <v>518</v>
      </c>
      <c r="K1502" t="s">
        <v>519</v>
      </c>
      <c r="M1502" t="s">
        <v>1297</v>
      </c>
      <c r="N1502" t="s">
        <v>571</v>
      </c>
      <c r="O1502" t="s">
        <v>1351</v>
      </c>
      <c r="P1502" t="s">
        <v>572</v>
      </c>
      <c r="Q1502" t="s">
        <v>1299</v>
      </c>
      <c r="R1502" t="s">
        <v>1300</v>
      </c>
      <c r="S1502" t="s">
        <v>1300</v>
      </c>
      <c r="T1502" t="s">
        <v>1235</v>
      </c>
      <c r="U1502">
        <v>173202</v>
      </c>
      <c r="V1502" t="s">
        <v>8951</v>
      </c>
      <c r="W1502" t="s">
        <v>8358</v>
      </c>
      <c r="X1502" t="s">
        <v>8330</v>
      </c>
      <c r="Y1502" t="s">
        <v>5187</v>
      </c>
      <c r="AA1502" t="s">
        <v>5188</v>
      </c>
      <c r="AB1502" t="s">
        <v>8326</v>
      </c>
      <c r="AE1502">
        <v>-37.828182300000002</v>
      </c>
      <c r="AF1502">
        <v>175.35232769999999</v>
      </c>
      <c r="AG1502">
        <v>30</v>
      </c>
      <c r="AH1502">
        <v>15</v>
      </c>
      <c r="AI1502">
        <v>4</v>
      </c>
      <c r="AJ1502">
        <v>12</v>
      </c>
      <c r="AK1502">
        <v>17</v>
      </c>
      <c r="AL1502">
        <v>7</v>
      </c>
      <c r="AM1502">
        <v>7</v>
      </c>
      <c r="AN1502">
        <v>0</v>
      </c>
      <c r="AO1502">
        <v>47</v>
      </c>
      <c r="AP1502">
        <v>46</v>
      </c>
      <c r="AQ1502">
        <v>1</v>
      </c>
      <c r="AR1502">
        <v>2</v>
      </c>
      <c r="AS1502">
        <v>0</v>
      </c>
      <c r="AT1502">
        <v>2</v>
      </c>
    </row>
    <row r="1503" spans="1:46">
      <c r="A1503">
        <v>33025</v>
      </c>
      <c r="B1503" t="s">
        <v>9232</v>
      </c>
      <c r="C1503" t="s">
        <v>9199</v>
      </c>
      <c r="D1503" t="s">
        <v>8911</v>
      </c>
      <c r="E1503" t="s">
        <v>9233</v>
      </c>
      <c r="G1503" t="s">
        <v>9064</v>
      </c>
      <c r="H1503" t="s">
        <v>298</v>
      </c>
      <c r="J1503" t="s">
        <v>518</v>
      </c>
      <c r="K1503" t="s">
        <v>519</v>
      </c>
      <c r="M1503" t="s">
        <v>1297</v>
      </c>
      <c r="N1503" t="s">
        <v>571</v>
      </c>
      <c r="O1503" t="s">
        <v>1351</v>
      </c>
      <c r="P1503" t="s">
        <v>540</v>
      </c>
      <c r="Q1503" t="s">
        <v>1299</v>
      </c>
      <c r="R1503" t="s">
        <v>1300</v>
      </c>
      <c r="S1503" t="s">
        <v>1300</v>
      </c>
      <c r="T1503" t="s">
        <v>1235</v>
      </c>
      <c r="U1503">
        <v>171901</v>
      </c>
      <c r="V1503" t="s">
        <v>9065</v>
      </c>
      <c r="W1503" t="s">
        <v>1353</v>
      </c>
      <c r="X1503" t="s">
        <v>8330</v>
      </c>
      <c r="Y1503" t="s">
        <v>5187</v>
      </c>
      <c r="AA1503" t="s">
        <v>5188</v>
      </c>
      <c r="AB1503" t="s">
        <v>8326</v>
      </c>
      <c r="AE1503">
        <v>-37.613849469999998</v>
      </c>
      <c r="AF1503">
        <v>175.18841393</v>
      </c>
      <c r="AG1503">
        <v>28</v>
      </c>
      <c r="AH1503">
        <v>15</v>
      </c>
      <c r="AI1503">
        <v>1</v>
      </c>
      <c r="AJ1503">
        <v>3</v>
      </c>
      <c r="AK1503">
        <v>6</v>
      </c>
      <c r="AL1503">
        <v>4</v>
      </c>
      <c r="AM1503">
        <v>2</v>
      </c>
      <c r="AN1503">
        <v>1</v>
      </c>
      <c r="AO1503">
        <v>17</v>
      </c>
      <c r="AP1503">
        <v>16</v>
      </c>
      <c r="AQ1503">
        <v>3</v>
      </c>
      <c r="AR1503">
        <v>1</v>
      </c>
      <c r="AS1503">
        <v>0</v>
      </c>
      <c r="AT1503">
        <v>0</v>
      </c>
    </row>
    <row r="1504" spans="1:46">
      <c r="A1504">
        <v>33026</v>
      </c>
      <c r="B1504" t="s">
        <v>9234</v>
      </c>
      <c r="C1504" t="s">
        <v>9199</v>
      </c>
      <c r="D1504" t="s">
        <v>8911</v>
      </c>
      <c r="E1504" t="s">
        <v>9235</v>
      </c>
      <c r="G1504" t="s">
        <v>1586</v>
      </c>
      <c r="H1504" t="s">
        <v>298</v>
      </c>
      <c r="J1504" t="s">
        <v>518</v>
      </c>
      <c r="K1504" t="s">
        <v>519</v>
      </c>
      <c r="M1504" t="s">
        <v>1297</v>
      </c>
      <c r="N1504" t="s">
        <v>571</v>
      </c>
      <c r="O1504" t="s">
        <v>1450</v>
      </c>
      <c r="P1504" t="s">
        <v>540</v>
      </c>
      <c r="Q1504" t="s">
        <v>1299</v>
      </c>
      <c r="R1504" t="s">
        <v>1300</v>
      </c>
      <c r="S1504" t="s">
        <v>1300</v>
      </c>
      <c r="T1504" t="s">
        <v>1235</v>
      </c>
      <c r="U1504">
        <v>173500</v>
      </c>
      <c r="V1504" t="s">
        <v>9236</v>
      </c>
      <c r="W1504" t="s">
        <v>1588</v>
      </c>
      <c r="X1504" t="s">
        <v>8330</v>
      </c>
      <c r="Y1504" t="s">
        <v>5187</v>
      </c>
      <c r="AA1504" t="s">
        <v>5188</v>
      </c>
      <c r="AB1504" t="s">
        <v>8326</v>
      </c>
      <c r="AE1504">
        <v>-37.501903059999997</v>
      </c>
      <c r="AF1504">
        <v>175.4892868</v>
      </c>
      <c r="AG1504">
        <v>24</v>
      </c>
      <c r="AH1504">
        <v>10</v>
      </c>
      <c r="AI1504">
        <v>0</v>
      </c>
      <c r="AJ1504">
        <v>2</v>
      </c>
      <c r="AK1504">
        <v>0</v>
      </c>
      <c r="AL1504">
        <v>1</v>
      </c>
      <c r="AM1504">
        <v>2</v>
      </c>
      <c r="AN1504">
        <v>0</v>
      </c>
      <c r="AO1504">
        <v>5</v>
      </c>
      <c r="AP1504">
        <v>5</v>
      </c>
      <c r="AQ1504">
        <v>1</v>
      </c>
      <c r="AR1504">
        <v>0</v>
      </c>
      <c r="AS1504">
        <v>0</v>
      </c>
      <c r="AT1504">
        <v>0</v>
      </c>
    </row>
    <row r="1505" spans="1:46">
      <c r="A1505">
        <v>33027</v>
      </c>
      <c r="B1505" t="s">
        <v>9237</v>
      </c>
      <c r="C1505" t="s">
        <v>9199</v>
      </c>
      <c r="D1505" t="s">
        <v>8911</v>
      </c>
      <c r="E1505" t="s">
        <v>9238</v>
      </c>
      <c r="G1505" t="s">
        <v>1350</v>
      </c>
      <c r="H1505" t="s">
        <v>298</v>
      </c>
      <c r="J1505" t="s">
        <v>518</v>
      </c>
      <c r="K1505" t="s">
        <v>519</v>
      </c>
      <c r="M1505" t="s">
        <v>1297</v>
      </c>
      <c r="N1505" t="s">
        <v>571</v>
      </c>
      <c r="O1505" t="s">
        <v>1351</v>
      </c>
      <c r="P1505" t="s">
        <v>572</v>
      </c>
      <c r="Q1505" t="s">
        <v>1299</v>
      </c>
      <c r="R1505" t="s">
        <v>1300</v>
      </c>
      <c r="S1505" t="s">
        <v>1417</v>
      </c>
      <c r="T1505" t="s">
        <v>1235</v>
      </c>
      <c r="U1505">
        <v>170901</v>
      </c>
      <c r="V1505" t="s">
        <v>9239</v>
      </c>
      <c r="W1505" t="s">
        <v>7895</v>
      </c>
      <c r="X1505" t="s">
        <v>8330</v>
      </c>
      <c r="Y1505" t="s">
        <v>5187</v>
      </c>
      <c r="AA1505" t="s">
        <v>5188</v>
      </c>
      <c r="AB1505" t="s">
        <v>8326</v>
      </c>
      <c r="AE1505">
        <v>-37.668978099999997</v>
      </c>
      <c r="AF1505">
        <v>174.87322028</v>
      </c>
      <c r="AG1505">
        <v>25</v>
      </c>
      <c r="AH1505">
        <v>15</v>
      </c>
      <c r="AI1505">
        <v>1</v>
      </c>
      <c r="AJ1505">
        <v>1</v>
      </c>
      <c r="AK1505">
        <v>4</v>
      </c>
      <c r="AL1505">
        <v>2</v>
      </c>
      <c r="AM1505">
        <v>3</v>
      </c>
      <c r="AN1505">
        <v>0</v>
      </c>
      <c r="AO1505">
        <v>11</v>
      </c>
      <c r="AP1505">
        <v>11</v>
      </c>
      <c r="AQ1505">
        <v>1</v>
      </c>
      <c r="AR1505">
        <v>0</v>
      </c>
      <c r="AS1505">
        <v>0</v>
      </c>
      <c r="AT1505">
        <v>0</v>
      </c>
    </row>
    <row r="1506" spans="1:46">
      <c r="A1506">
        <v>33036</v>
      </c>
      <c r="B1506" t="s">
        <v>9240</v>
      </c>
      <c r="C1506" t="s">
        <v>9199</v>
      </c>
      <c r="D1506" t="s">
        <v>8911</v>
      </c>
      <c r="E1506" t="s">
        <v>9241</v>
      </c>
      <c r="F1506" t="s">
        <v>1411</v>
      </c>
      <c r="G1506" t="s">
        <v>1296</v>
      </c>
      <c r="H1506" t="s">
        <v>298</v>
      </c>
      <c r="J1506" t="s">
        <v>518</v>
      </c>
      <c r="K1506" t="s">
        <v>519</v>
      </c>
      <c r="M1506" t="s">
        <v>1297</v>
      </c>
      <c r="N1506" t="s">
        <v>571</v>
      </c>
      <c r="O1506" t="s">
        <v>1298</v>
      </c>
      <c r="P1506" t="s">
        <v>654</v>
      </c>
      <c r="Q1506" t="s">
        <v>1299</v>
      </c>
      <c r="R1506" t="s">
        <v>1300</v>
      </c>
      <c r="S1506" t="s">
        <v>1301</v>
      </c>
      <c r="T1506" t="s">
        <v>1235</v>
      </c>
      <c r="U1506">
        <v>175700</v>
      </c>
      <c r="V1506" t="s">
        <v>9242</v>
      </c>
      <c r="W1506" t="s">
        <v>1303</v>
      </c>
      <c r="X1506" t="s">
        <v>8330</v>
      </c>
      <c r="Y1506" t="s">
        <v>5187</v>
      </c>
      <c r="AA1506" t="s">
        <v>5188</v>
      </c>
      <c r="AB1506" t="s">
        <v>8326</v>
      </c>
      <c r="AE1506">
        <v>-37.739916379999997</v>
      </c>
      <c r="AF1506">
        <v>175.23630818000001</v>
      </c>
      <c r="AG1506">
        <v>25</v>
      </c>
      <c r="AH1506">
        <v>15</v>
      </c>
      <c r="AI1506">
        <v>1</v>
      </c>
      <c r="AJ1506">
        <v>7</v>
      </c>
      <c r="AK1506">
        <v>15</v>
      </c>
      <c r="AL1506">
        <v>8</v>
      </c>
      <c r="AM1506">
        <v>9</v>
      </c>
      <c r="AN1506">
        <v>1</v>
      </c>
      <c r="AO1506">
        <v>41</v>
      </c>
      <c r="AP1506">
        <v>36</v>
      </c>
      <c r="AQ1506">
        <v>10</v>
      </c>
      <c r="AR1506">
        <v>1</v>
      </c>
      <c r="AS1506">
        <v>4</v>
      </c>
      <c r="AT1506">
        <v>0</v>
      </c>
    </row>
    <row r="1507" spans="1:46">
      <c r="A1507">
        <v>34002</v>
      </c>
      <c r="B1507" t="s">
        <v>9243</v>
      </c>
      <c r="C1507" t="s">
        <v>8987</v>
      </c>
      <c r="E1507" t="s">
        <v>9244</v>
      </c>
      <c r="G1507" t="s">
        <v>1318</v>
      </c>
      <c r="H1507" t="s">
        <v>3942</v>
      </c>
      <c r="J1507" t="s">
        <v>518</v>
      </c>
      <c r="K1507" t="s">
        <v>519</v>
      </c>
      <c r="M1507" t="s">
        <v>1297</v>
      </c>
      <c r="N1507" t="s">
        <v>571</v>
      </c>
      <c r="O1507" t="s">
        <v>1319</v>
      </c>
      <c r="P1507" t="s">
        <v>1262</v>
      </c>
      <c r="Q1507" t="s">
        <v>1299</v>
      </c>
      <c r="R1507" t="s">
        <v>1300</v>
      </c>
      <c r="S1507" t="s">
        <v>1320</v>
      </c>
      <c r="T1507" t="s">
        <v>1235</v>
      </c>
      <c r="U1507">
        <v>183200</v>
      </c>
      <c r="V1507" t="s">
        <v>8500</v>
      </c>
      <c r="W1507" t="s">
        <v>1322</v>
      </c>
      <c r="X1507" t="s">
        <v>8989</v>
      </c>
      <c r="Y1507" t="s">
        <v>8988</v>
      </c>
      <c r="AA1507" t="s">
        <v>8928</v>
      </c>
      <c r="AB1507" t="s">
        <v>8990</v>
      </c>
      <c r="AE1507">
        <v>-37.896215210000001</v>
      </c>
      <c r="AF1507">
        <v>175.47280183000001</v>
      </c>
      <c r="AG1507">
        <v>75</v>
      </c>
      <c r="AH1507">
        <v>26</v>
      </c>
      <c r="AI1507">
        <v>8</v>
      </c>
      <c r="AJ1507">
        <v>17</v>
      </c>
      <c r="AK1507">
        <v>29</v>
      </c>
      <c r="AL1507">
        <v>0</v>
      </c>
      <c r="AM1507">
        <v>0</v>
      </c>
      <c r="AN1507">
        <v>0</v>
      </c>
      <c r="AO1507">
        <v>54</v>
      </c>
      <c r="AP1507">
        <v>51</v>
      </c>
      <c r="AQ1507">
        <v>7</v>
      </c>
      <c r="AR1507">
        <v>1</v>
      </c>
      <c r="AS1507">
        <v>2</v>
      </c>
      <c r="AT1507">
        <v>0</v>
      </c>
    </row>
    <row r="1508" spans="1:46">
      <c r="A1508">
        <v>34003</v>
      </c>
      <c r="B1508" t="s">
        <v>9245</v>
      </c>
      <c r="C1508" t="s">
        <v>9246</v>
      </c>
      <c r="D1508" t="s">
        <v>9247</v>
      </c>
      <c r="E1508" t="s">
        <v>9248</v>
      </c>
      <c r="F1508" t="s">
        <v>1366</v>
      </c>
      <c r="G1508" t="s">
        <v>1296</v>
      </c>
      <c r="H1508" t="s">
        <v>3942</v>
      </c>
      <c r="J1508" t="s">
        <v>518</v>
      </c>
      <c r="K1508" t="s">
        <v>519</v>
      </c>
      <c r="M1508" t="s">
        <v>1297</v>
      </c>
      <c r="N1508" t="s">
        <v>571</v>
      </c>
      <c r="O1508" t="s">
        <v>1298</v>
      </c>
      <c r="P1508" t="s">
        <v>654</v>
      </c>
      <c r="Q1508" t="s">
        <v>1299</v>
      </c>
      <c r="R1508" t="s">
        <v>1300</v>
      </c>
      <c r="S1508" t="s">
        <v>1312</v>
      </c>
      <c r="T1508" t="s">
        <v>1235</v>
      </c>
      <c r="U1508">
        <v>181200</v>
      </c>
      <c r="V1508" t="s">
        <v>9249</v>
      </c>
      <c r="W1508" t="s">
        <v>1314</v>
      </c>
      <c r="X1508" t="s">
        <v>9250</v>
      </c>
      <c r="Y1508" t="s">
        <v>9251</v>
      </c>
      <c r="Z1508" t="s">
        <v>1366</v>
      </c>
      <c r="AA1508" t="s">
        <v>9252</v>
      </c>
      <c r="AB1508" t="s">
        <v>9253</v>
      </c>
      <c r="AE1508">
        <v>-37.801101559999999</v>
      </c>
      <c r="AF1508">
        <v>175.32142379000001</v>
      </c>
      <c r="AG1508">
        <v>20</v>
      </c>
      <c r="AH1508">
        <v>0</v>
      </c>
      <c r="AI1508">
        <v>0</v>
      </c>
      <c r="AJ1508">
        <v>0</v>
      </c>
      <c r="AK1508">
        <v>1</v>
      </c>
      <c r="AL1508">
        <v>8</v>
      </c>
      <c r="AM1508">
        <v>16</v>
      </c>
      <c r="AN1508">
        <v>2</v>
      </c>
      <c r="AO1508">
        <v>27</v>
      </c>
      <c r="AP1508">
        <v>17</v>
      </c>
      <c r="AQ1508">
        <v>7</v>
      </c>
      <c r="AR1508">
        <v>3</v>
      </c>
      <c r="AS1508">
        <v>8</v>
      </c>
      <c r="AT1508">
        <v>0</v>
      </c>
    </row>
    <row r="1509" spans="1:46">
      <c r="A1509">
        <v>34005</v>
      </c>
      <c r="B1509" t="s">
        <v>9254</v>
      </c>
      <c r="C1509" t="s">
        <v>9255</v>
      </c>
      <c r="D1509" t="s">
        <v>9256</v>
      </c>
      <c r="E1509" t="s">
        <v>9257</v>
      </c>
      <c r="F1509" t="s">
        <v>1295</v>
      </c>
      <c r="G1509" t="s">
        <v>1296</v>
      </c>
      <c r="H1509" t="s">
        <v>3942</v>
      </c>
      <c r="J1509" t="s">
        <v>518</v>
      </c>
      <c r="K1509" t="s">
        <v>519</v>
      </c>
      <c r="M1509" t="s">
        <v>1297</v>
      </c>
      <c r="N1509" t="s">
        <v>571</v>
      </c>
      <c r="O1509" t="s">
        <v>1298</v>
      </c>
      <c r="P1509" t="s">
        <v>654</v>
      </c>
      <c r="Q1509" t="s">
        <v>1299</v>
      </c>
      <c r="R1509" t="s">
        <v>1300</v>
      </c>
      <c r="S1509" t="s">
        <v>1312</v>
      </c>
      <c r="T1509" t="s">
        <v>1235</v>
      </c>
      <c r="U1509">
        <v>179202</v>
      </c>
      <c r="V1509" t="s">
        <v>9035</v>
      </c>
      <c r="W1509" t="s">
        <v>1314</v>
      </c>
      <c r="X1509" t="s">
        <v>8648</v>
      </c>
      <c r="Y1509" t="s">
        <v>8649</v>
      </c>
      <c r="AA1509" t="s">
        <v>8650</v>
      </c>
      <c r="AB1509" t="s">
        <v>8651</v>
      </c>
      <c r="AE1509">
        <v>-37.786734090000003</v>
      </c>
      <c r="AF1509">
        <v>175.32087469000001</v>
      </c>
      <c r="AG1509">
        <v>143</v>
      </c>
      <c r="AH1509">
        <v>42</v>
      </c>
      <c r="AI1509">
        <v>5</v>
      </c>
      <c r="AJ1509">
        <v>18</v>
      </c>
      <c r="AK1509">
        <v>26</v>
      </c>
      <c r="AL1509">
        <v>15</v>
      </c>
      <c r="AM1509">
        <v>19</v>
      </c>
      <c r="AN1509">
        <v>1</v>
      </c>
      <c r="AO1509">
        <v>84</v>
      </c>
      <c r="AP1509">
        <v>52</v>
      </c>
      <c r="AQ1509">
        <v>28</v>
      </c>
      <c r="AR1509">
        <v>8</v>
      </c>
      <c r="AS1509">
        <v>27</v>
      </c>
      <c r="AT1509">
        <v>4</v>
      </c>
    </row>
    <row r="1510" spans="1:46">
      <c r="A1510">
        <v>34014</v>
      </c>
      <c r="B1510" t="s">
        <v>9258</v>
      </c>
      <c r="C1510" t="s">
        <v>9259</v>
      </c>
      <c r="D1510" t="s">
        <v>9260</v>
      </c>
      <c r="E1510" t="s">
        <v>9261</v>
      </c>
      <c r="G1510" t="s">
        <v>1586</v>
      </c>
      <c r="H1510" t="s">
        <v>3942</v>
      </c>
      <c r="I1510" t="s">
        <v>5772</v>
      </c>
      <c r="J1510" t="s">
        <v>518</v>
      </c>
      <c r="K1510" t="s">
        <v>519</v>
      </c>
      <c r="M1510" t="s">
        <v>1297</v>
      </c>
      <c r="N1510" t="s">
        <v>571</v>
      </c>
      <c r="O1510" t="s">
        <v>1450</v>
      </c>
      <c r="P1510" t="s">
        <v>523</v>
      </c>
      <c r="Q1510" t="s">
        <v>1299</v>
      </c>
      <c r="R1510" t="s">
        <v>1300</v>
      </c>
      <c r="S1510" t="s">
        <v>1300</v>
      </c>
      <c r="T1510" t="s">
        <v>1235</v>
      </c>
      <c r="U1510">
        <v>174001</v>
      </c>
      <c r="V1510" t="s">
        <v>3822</v>
      </c>
      <c r="W1510" t="s">
        <v>1588</v>
      </c>
      <c r="X1510" t="s">
        <v>9262</v>
      </c>
      <c r="Y1510" t="s">
        <v>9263</v>
      </c>
      <c r="Z1510" t="s">
        <v>1586</v>
      </c>
      <c r="AA1510" t="s">
        <v>9264</v>
      </c>
      <c r="AB1510" t="s">
        <v>9265</v>
      </c>
      <c r="AC1510">
        <v>99131</v>
      </c>
      <c r="AD1510" t="s">
        <v>1589</v>
      </c>
      <c r="AE1510">
        <v>-37.656609950000004</v>
      </c>
      <c r="AF1510">
        <v>175.52911198999999</v>
      </c>
      <c r="AG1510">
        <v>30</v>
      </c>
      <c r="AH1510">
        <v>0</v>
      </c>
      <c r="AI1510">
        <v>0</v>
      </c>
      <c r="AJ1510">
        <v>0</v>
      </c>
      <c r="AK1510">
        <v>11</v>
      </c>
      <c r="AL1510">
        <v>12</v>
      </c>
      <c r="AM1510">
        <v>22</v>
      </c>
      <c r="AN1510">
        <v>0</v>
      </c>
      <c r="AO1510">
        <v>45</v>
      </c>
      <c r="AP1510">
        <v>34</v>
      </c>
      <c r="AQ1510">
        <v>9</v>
      </c>
      <c r="AR1510">
        <v>1</v>
      </c>
      <c r="AS1510">
        <v>5</v>
      </c>
      <c r="AT1510">
        <v>5</v>
      </c>
    </row>
    <row r="1511" spans="1:46">
      <c r="A1511">
        <v>34015</v>
      </c>
      <c r="B1511" t="s">
        <v>9266</v>
      </c>
      <c r="C1511" t="s">
        <v>9267</v>
      </c>
      <c r="D1511" t="s">
        <v>1293</v>
      </c>
      <c r="E1511" t="s">
        <v>9268</v>
      </c>
      <c r="F1511" t="s">
        <v>1340</v>
      </c>
      <c r="G1511" t="s">
        <v>1296</v>
      </c>
      <c r="H1511" t="s">
        <v>3942</v>
      </c>
      <c r="J1511" t="s">
        <v>518</v>
      </c>
      <c r="K1511" t="s">
        <v>519</v>
      </c>
      <c r="M1511" t="s">
        <v>1297</v>
      </c>
      <c r="N1511" t="s">
        <v>557</v>
      </c>
      <c r="O1511" t="s">
        <v>1298</v>
      </c>
      <c r="P1511" t="s">
        <v>654</v>
      </c>
      <c r="Q1511" t="s">
        <v>1299</v>
      </c>
      <c r="R1511" t="s">
        <v>1300</v>
      </c>
      <c r="S1511" t="s">
        <v>1312</v>
      </c>
      <c r="T1511" t="s">
        <v>1235</v>
      </c>
      <c r="U1511">
        <v>177700</v>
      </c>
      <c r="V1511" t="s">
        <v>9269</v>
      </c>
      <c r="W1511" t="s">
        <v>1314</v>
      </c>
      <c r="X1511" t="s">
        <v>1304</v>
      </c>
      <c r="Y1511" t="s">
        <v>1305</v>
      </c>
      <c r="Z1511" t="s">
        <v>1312</v>
      </c>
      <c r="AA1511" t="s">
        <v>1306</v>
      </c>
      <c r="AB1511" t="s">
        <v>1307</v>
      </c>
      <c r="AC1511">
        <v>99132</v>
      </c>
      <c r="AD1511" t="s">
        <v>8513</v>
      </c>
      <c r="AE1511">
        <v>-37.761920760000002</v>
      </c>
      <c r="AF1511">
        <v>175.27658033</v>
      </c>
      <c r="AG1511">
        <v>70</v>
      </c>
      <c r="AH1511">
        <v>25</v>
      </c>
      <c r="AI1511">
        <v>3</v>
      </c>
      <c r="AJ1511">
        <v>15</v>
      </c>
      <c r="AK1511">
        <v>19</v>
      </c>
      <c r="AL1511">
        <v>10</v>
      </c>
      <c r="AM1511">
        <v>21</v>
      </c>
      <c r="AN1511">
        <v>2</v>
      </c>
      <c r="AO1511">
        <v>70</v>
      </c>
      <c r="AP1511">
        <v>57</v>
      </c>
      <c r="AQ1511">
        <v>27</v>
      </c>
      <c r="AR1511">
        <v>8</v>
      </c>
      <c r="AS1511">
        <v>5</v>
      </c>
      <c r="AT1511">
        <v>3</v>
      </c>
    </row>
    <row r="1512" spans="1:46">
      <c r="A1512">
        <v>34016</v>
      </c>
      <c r="B1512" t="s">
        <v>9270</v>
      </c>
      <c r="C1512" t="s">
        <v>9267</v>
      </c>
      <c r="D1512" t="s">
        <v>1293</v>
      </c>
      <c r="E1512" t="s">
        <v>9271</v>
      </c>
      <c r="F1512" t="s">
        <v>1312</v>
      </c>
      <c r="G1512" t="s">
        <v>1296</v>
      </c>
      <c r="H1512" t="s">
        <v>4716</v>
      </c>
      <c r="J1512" t="s">
        <v>518</v>
      </c>
      <c r="K1512" t="s">
        <v>519</v>
      </c>
      <c r="M1512" t="s">
        <v>1297</v>
      </c>
      <c r="N1512" t="s">
        <v>557</v>
      </c>
      <c r="O1512" t="s">
        <v>1298</v>
      </c>
      <c r="P1512" t="s">
        <v>654</v>
      </c>
      <c r="Q1512" t="s">
        <v>1299</v>
      </c>
      <c r="R1512" t="s">
        <v>1300</v>
      </c>
      <c r="S1512" t="s">
        <v>1312</v>
      </c>
      <c r="T1512" t="s">
        <v>1235</v>
      </c>
      <c r="U1512">
        <v>179700</v>
      </c>
      <c r="V1512" t="s">
        <v>8736</v>
      </c>
      <c r="W1512" t="s">
        <v>1314</v>
      </c>
      <c r="X1512" t="s">
        <v>1304</v>
      </c>
      <c r="Y1512" t="s">
        <v>1305</v>
      </c>
      <c r="Z1512" t="s">
        <v>1312</v>
      </c>
      <c r="AA1512" t="s">
        <v>1306</v>
      </c>
      <c r="AB1512" t="s">
        <v>1307</v>
      </c>
      <c r="AE1512">
        <v>-37.794849620000001</v>
      </c>
      <c r="AF1512">
        <v>175.29353259999999</v>
      </c>
      <c r="AG1512">
        <v>60</v>
      </c>
      <c r="AH1512">
        <v>60</v>
      </c>
      <c r="AI1512">
        <v>1</v>
      </c>
      <c r="AJ1512">
        <v>10</v>
      </c>
      <c r="AK1512">
        <v>15</v>
      </c>
      <c r="AL1512">
        <v>12</v>
      </c>
      <c r="AM1512">
        <v>7</v>
      </c>
      <c r="AN1512">
        <v>0</v>
      </c>
      <c r="AO1512">
        <v>45</v>
      </c>
      <c r="AP1512">
        <v>32</v>
      </c>
      <c r="AQ1512">
        <v>9</v>
      </c>
      <c r="AR1512">
        <v>2</v>
      </c>
      <c r="AS1512">
        <v>8</v>
      </c>
      <c r="AT1512">
        <v>4</v>
      </c>
    </row>
    <row r="1513" spans="1:46">
      <c r="A1513">
        <v>34023</v>
      </c>
      <c r="B1513" t="s">
        <v>9272</v>
      </c>
      <c r="C1513" t="s">
        <v>9273</v>
      </c>
      <c r="E1513" t="s">
        <v>9274</v>
      </c>
      <c r="F1513" t="s">
        <v>1398</v>
      </c>
      <c r="G1513" t="s">
        <v>1296</v>
      </c>
      <c r="H1513" t="s">
        <v>3942</v>
      </c>
      <c r="J1513" t="s">
        <v>518</v>
      </c>
      <c r="K1513" t="s">
        <v>519</v>
      </c>
      <c r="M1513" t="s">
        <v>1297</v>
      </c>
      <c r="N1513" t="s">
        <v>571</v>
      </c>
      <c r="O1513" t="s">
        <v>1298</v>
      </c>
      <c r="P1513" t="s">
        <v>654</v>
      </c>
      <c r="Q1513" t="s">
        <v>1299</v>
      </c>
      <c r="R1513" t="s">
        <v>1300</v>
      </c>
      <c r="S1513" t="s">
        <v>1312</v>
      </c>
      <c r="T1513" t="s">
        <v>1235</v>
      </c>
      <c r="U1513">
        <v>179300</v>
      </c>
      <c r="V1513" t="s">
        <v>1398</v>
      </c>
      <c r="W1513" t="s">
        <v>1314</v>
      </c>
      <c r="X1513" t="s">
        <v>1304</v>
      </c>
      <c r="Y1513" t="s">
        <v>1305</v>
      </c>
      <c r="Z1513" t="s">
        <v>1312</v>
      </c>
      <c r="AA1513" t="s">
        <v>1306</v>
      </c>
      <c r="AB1513" t="s">
        <v>1307</v>
      </c>
      <c r="AE1513">
        <v>-37.781472569999998</v>
      </c>
      <c r="AF1513">
        <v>175.28676768</v>
      </c>
      <c r="AG1513">
        <v>58</v>
      </c>
      <c r="AH1513">
        <v>20</v>
      </c>
      <c r="AI1513">
        <v>3</v>
      </c>
      <c r="AJ1513">
        <v>14</v>
      </c>
      <c r="AK1513">
        <v>19</v>
      </c>
      <c r="AL1513">
        <v>11</v>
      </c>
      <c r="AM1513">
        <v>17</v>
      </c>
      <c r="AN1513">
        <v>1</v>
      </c>
      <c r="AO1513">
        <v>65</v>
      </c>
      <c r="AP1513">
        <v>54</v>
      </c>
      <c r="AQ1513">
        <v>15</v>
      </c>
      <c r="AR1513">
        <v>5</v>
      </c>
      <c r="AS1513">
        <v>6</v>
      </c>
      <c r="AT1513">
        <v>6</v>
      </c>
    </row>
    <row r="1514" spans="1:46">
      <c r="A1514">
        <v>34024</v>
      </c>
      <c r="B1514" t="s">
        <v>9275</v>
      </c>
      <c r="C1514" t="s">
        <v>9276</v>
      </c>
      <c r="D1514" t="s">
        <v>9277</v>
      </c>
      <c r="E1514" t="s">
        <v>9278</v>
      </c>
      <c r="G1514" t="s">
        <v>1538</v>
      </c>
      <c r="H1514" t="s">
        <v>3942</v>
      </c>
      <c r="J1514" t="s">
        <v>3962</v>
      </c>
      <c r="K1514" t="s">
        <v>519</v>
      </c>
      <c r="M1514" t="s">
        <v>1297</v>
      </c>
      <c r="N1514" t="s">
        <v>571</v>
      </c>
      <c r="O1514" t="s">
        <v>1319</v>
      </c>
      <c r="P1514" t="s">
        <v>1262</v>
      </c>
      <c r="Q1514" t="s">
        <v>1299</v>
      </c>
      <c r="R1514" t="s">
        <v>1300</v>
      </c>
      <c r="S1514" t="s">
        <v>1417</v>
      </c>
      <c r="T1514" t="s">
        <v>1235</v>
      </c>
      <c r="U1514">
        <v>184000</v>
      </c>
      <c r="V1514" t="s">
        <v>9279</v>
      </c>
      <c r="W1514" t="s">
        <v>1540</v>
      </c>
      <c r="X1514" t="s">
        <v>9280</v>
      </c>
      <c r="Y1514" t="s">
        <v>9278</v>
      </c>
      <c r="AA1514" t="s">
        <v>9281</v>
      </c>
      <c r="AB1514" t="s">
        <v>9282</v>
      </c>
      <c r="AE1514">
        <v>-38.011005830000002</v>
      </c>
      <c r="AF1514">
        <v>175.31720396</v>
      </c>
      <c r="AG1514">
        <v>44</v>
      </c>
      <c r="AH1514">
        <v>20</v>
      </c>
      <c r="AI1514">
        <v>2</v>
      </c>
      <c r="AJ1514">
        <v>11</v>
      </c>
      <c r="AK1514">
        <v>16</v>
      </c>
      <c r="AL1514">
        <v>16</v>
      </c>
      <c r="AM1514">
        <v>12</v>
      </c>
      <c r="AN1514">
        <v>1</v>
      </c>
      <c r="AO1514">
        <v>58</v>
      </c>
      <c r="AP1514">
        <v>58</v>
      </c>
      <c r="AQ1514">
        <v>9</v>
      </c>
      <c r="AR1514">
        <v>0</v>
      </c>
      <c r="AS1514">
        <v>2</v>
      </c>
      <c r="AT1514">
        <v>0</v>
      </c>
    </row>
    <row r="1515" spans="1:46">
      <c r="A1515">
        <v>34026</v>
      </c>
      <c r="B1515" t="s">
        <v>9283</v>
      </c>
      <c r="C1515" t="s">
        <v>9284</v>
      </c>
      <c r="D1515" t="s">
        <v>9285</v>
      </c>
      <c r="E1515" t="s">
        <v>9286</v>
      </c>
      <c r="G1515" t="s">
        <v>1579</v>
      </c>
      <c r="H1515" t="s">
        <v>3942</v>
      </c>
      <c r="J1515" t="s">
        <v>518</v>
      </c>
      <c r="K1515" t="s">
        <v>519</v>
      </c>
      <c r="M1515" t="s">
        <v>1297</v>
      </c>
      <c r="N1515" t="s">
        <v>571</v>
      </c>
      <c r="O1515" t="s">
        <v>1450</v>
      </c>
      <c r="P1515" t="s">
        <v>523</v>
      </c>
      <c r="Q1515" t="s">
        <v>1299</v>
      </c>
      <c r="R1515" t="s">
        <v>1300</v>
      </c>
      <c r="S1515" t="s">
        <v>1300</v>
      </c>
      <c r="T1515" t="s">
        <v>1235</v>
      </c>
      <c r="U1515">
        <v>175001</v>
      </c>
      <c r="V1515" t="s">
        <v>1580</v>
      </c>
      <c r="W1515" t="s">
        <v>1581</v>
      </c>
      <c r="X1515" t="s">
        <v>9287</v>
      </c>
      <c r="Y1515" t="s">
        <v>9288</v>
      </c>
      <c r="Z1515" t="s">
        <v>1579</v>
      </c>
      <c r="AA1515" t="s">
        <v>9289</v>
      </c>
      <c r="AC1515">
        <v>99104</v>
      </c>
      <c r="AD1515" t="s">
        <v>1582</v>
      </c>
      <c r="AE1515">
        <v>-37.813972030000002</v>
      </c>
      <c r="AF1515">
        <v>175.76475282000001</v>
      </c>
      <c r="AG1515">
        <v>75</v>
      </c>
      <c r="AH1515">
        <v>25</v>
      </c>
      <c r="AI1515">
        <v>1</v>
      </c>
      <c r="AJ1515">
        <v>9</v>
      </c>
      <c r="AK1515">
        <v>16</v>
      </c>
      <c r="AL1515">
        <v>11</v>
      </c>
      <c r="AM1515">
        <v>17</v>
      </c>
      <c r="AN1515">
        <v>3</v>
      </c>
      <c r="AO1515">
        <v>57</v>
      </c>
      <c r="AP1515">
        <v>44</v>
      </c>
      <c r="AQ1515">
        <v>13</v>
      </c>
      <c r="AR1515">
        <v>2</v>
      </c>
      <c r="AS1515">
        <v>8</v>
      </c>
      <c r="AT1515">
        <v>7</v>
      </c>
    </row>
    <row r="1516" spans="1:46">
      <c r="A1516">
        <v>34028</v>
      </c>
      <c r="B1516" t="s">
        <v>9290</v>
      </c>
      <c r="C1516" t="s">
        <v>9291</v>
      </c>
      <c r="D1516" t="s">
        <v>9292</v>
      </c>
      <c r="E1516" t="s">
        <v>9293</v>
      </c>
      <c r="F1516" t="s">
        <v>1295</v>
      </c>
      <c r="G1516" t="s">
        <v>1296</v>
      </c>
      <c r="H1516" t="s">
        <v>3942</v>
      </c>
      <c r="I1516" t="s">
        <v>4113</v>
      </c>
      <c r="J1516" t="s">
        <v>518</v>
      </c>
      <c r="K1516" t="s">
        <v>519</v>
      </c>
      <c r="M1516" t="s">
        <v>1297</v>
      </c>
      <c r="N1516" t="s">
        <v>571</v>
      </c>
      <c r="O1516" t="s">
        <v>1298</v>
      </c>
      <c r="P1516" t="s">
        <v>654</v>
      </c>
      <c r="Q1516" t="s">
        <v>1299</v>
      </c>
      <c r="R1516" t="s">
        <v>1300</v>
      </c>
      <c r="S1516" t="s">
        <v>1301</v>
      </c>
      <c r="T1516" t="s">
        <v>1235</v>
      </c>
      <c r="U1516">
        <v>179801</v>
      </c>
      <c r="V1516" t="s">
        <v>1301</v>
      </c>
      <c r="W1516" t="s">
        <v>1303</v>
      </c>
      <c r="X1516" t="s">
        <v>9294</v>
      </c>
      <c r="Y1516" t="s">
        <v>9293</v>
      </c>
      <c r="AA1516" t="s">
        <v>8650</v>
      </c>
      <c r="AB1516" t="s">
        <v>9291</v>
      </c>
      <c r="AE1516">
        <v>-37.799135319999998</v>
      </c>
      <c r="AF1516">
        <v>175.28455853</v>
      </c>
      <c r="AG1516">
        <v>35</v>
      </c>
      <c r="AH1516">
        <v>5</v>
      </c>
      <c r="AI1516">
        <v>3</v>
      </c>
      <c r="AJ1516">
        <v>5</v>
      </c>
      <c r="AK1516">
        <v>9</v>
      </c>
      <c r="AL1516">
        <v>22</v>
      </c>
      <c r="AM1516">
        <v>18</v>
      </c>
      <c r="AN1516">
        <v>7</v>
      </c>
      <c r="AO1516">
        <v>64</v>
      </c>
      <c r="AP1516">
        <v>43</v>
      </c>
      <c r="AQ1516">
        <v>33</v>
      </c>
      <c r="AR1516">
        <v>6</v>
      </c>
      <c r="AS1516">
        <v>8</v>
      </c>
      <c r="AT1516">
        <v>7</v>
      </c>
    </row>
    <row r="1517" spans="1:46">
      <c r="A1517">
        <v>34029</v>
      </c>
      <c r="B1517" t="s">
        <v>9295</v>
      </c>
      <c r="C1517" t="s">
        <v>9296</v>
      </c>
      <c r="D1517" t="s">
        <v>9297</v>
      </c>
      <c r="E1517" t="s">
        <v>9298</v>
      </c>
      <c r="F1517" t="s">
        <v>1312</v>
      </c>
      <c r="G1517" t="s">
        <v>1296</v>
      </c>
      <c r="H1517" t="s">
        <v>3942</v>
      </c>
      <c r="J1517" t="s">
        <v>518</v>
      </c>
      <c r="K1517" t="s">
        <v>519</v>
      </c>
      <c r="M1517" t="s">
        <v>1297</v>
      </c>
      <c r="N1517" t="s">
        <v>571</v>
      </c>
      <c r="O1517" t="s">
        <v>1298</v>
      </c>
      <c r="P1517" t="s">
        <v>654</v>
      </c>
      <c r="Q1517" t="s">
        <v>1299</v>
      </c>
      <c r="R1517" t="s">
        <v>1300</v>
      </c>
      <c r="S1517" t="s">
        <v>1312</v>
      </c>
      <c r="T1517" t="s">
        <v>1235</v>
      </c>
      <c r="U1517">
        <v>179202</v>
      </c>
      <c r="V1517" t="s">
        <v>9035</v>
      </c>
      <c r="W1517" t="s">
        <v>1314</v>
      </c>
      <c r="X1517" t="s">
        <v>9299</v>
      </c>
      <c r="Y1517" t="s">
        <v>9300</v>
      </c>
      <c r="AA1517" t="s">
        <v>9301</v>
      </c>
      <c r="AB1517" t="s">
        <v>9296</v>
      </c>
      <c r="AE1517">
        <v>-37.773593990000002</v>
      </c>
      <c r="AF1517">
        <v>175.30808992999999</v>
      </c>
      <c r="AG1517">
        <v>60</v>
      </c>
      <c r="AH1517">
        <v>18</v>
      </c>
      <c r="AI1517">
        <v>3</v>
      </c>
      <c r="AJ1517">
        <v>8</v>
      </c>
      <c r="AK1517">
        <v>14</v>
      </c>
      <c r="AL1517">
        <v>10</v>
      </c>
      <c r="AM1517">
        <v>21</v>
      </c>
      <c r="AN1517">
        <v>1</v>
      </c>
      <c r="AO1517">
        <v>57</v>
      </c>
      <c r="AP1517">
        <v>53</v>
      </c>
      <c r="AQ1517">
        <v>12</v>
      </c>
      <c r="AR1517">
        <v>0</v>
      </c>
      <c r="AS1517">
        <v>6</v>
      </c>
      <c r="AT1517">
        <v>5</v>
      </c>
    </row>
    <row r="1518" spans="1:46">
      <c r="A1518">
        <v>34036</v>
      </c>
      <c r="B1518" t="s">
        <v>9302</v>
      </c>
      <c r="C1518" t="s">
        <v>1433</v>
      </c>
      <c r="E1518" t="s">
        <v>9303</v>
      </c>
      <c r="G1518" t="s">
        <v>1634</v>
      </c>
      <c r="H1518" t="s">
        <v>517</v>
      </c>
      <c r="J1518" t="s">
        <v>518</v>
      </c>
      <c r="K1518" t="s">
        <v>519</v>
      </c>
      <c r="M1518" t="s">
        <v>1297</v>
      </c>
      <c r="N1518" t="s">
        <v>539</v>
      </c>
      <c r="O1518" t="s">
        <v>1635</v>
      </c>
      <c r="P1518" t="s">
        <v>523</v>
      </c>
      <c r="Q1518" t="s">
        <v>1636</v>
      </c>
      <c r="R1518" t="s">
        <v>1300</v>
      </c>
      <c r="S1518" t="s">
        <v>1637</v>
      </c>
      <c r="T1518" t="s">
        <v>1485</v>
      </c>
      <c r="U1518">
        <v>222600</v>
      </c>
      <c r="V1518" t="s">
        <v>1638</v>
      </c>
      <c r="W1518" t="s">
        <v>1639</v>
      </c>
      <c r="X1518" t="s">
        <v>1488</v>
      </c>
      <c r="Y1518" t="s">
        <v>1441</v>
      </c>
      <c r="AA1518" t="s">
        <v>1442</v>
      </c>
      <c r="AB1518" t="s">
        <v>1489</v>
      </c>
      <c r="AC1518">
        <v>99201</v>
      </c>
      <c r="AD1518" t="s">
        <v>1640</v>
      </c>
      <c r="AE1518">
        <v>-38.885222659999997</v>
      </c>
      <c r="AF1518">
        <v>175.26233332999999</v>
      </c>
      <c r="AG1518">
        <v>40</v>
      </c>
      <c r="AH1518">
        <v>20</v>
      </c>
      <c r="AI1518">
        <v>0</v>
      </c>
      <c r="AJ1518">
        <v>11</v>
      </c>
      <c r="AK1518">
        <v>7</v>
      </c>
      <c r="AL1518">
        <v>9</v>
      </c>
      <c r="AM1518">
        <v>12</v>
      </c>
      <c r="AN1518">
        <v>0</v>
      </c>
      <c r="AO1518">
        <v>39</v>
      </c>
      <c r="AP1518">
        <v>20</v>
      </c>
      <c r="AQ1518">
        <v>19</v>
      </c>
      <c r="AR1518">
        <v>1</v>
      </c>
      <c r="AS1518">
        <v>3</v>
      </c>
      <c r="AT1518">
        <v>4</v>
      </c>
    </row>
    <row r="1519" spans="1:46">
      <c r="A1519">
        <v>34037</v>
      </c>
      <c r="B1519" t="s">
        <v>9304</v>
      </c>
      <c r="C1519" t="s">
        <v>9305</v>
      </c>
      <c r="D1519" t="s">
        <v>1293</v>
      </c>
      <c r="E1519" t="s">
        <v>9306</v>
      </c>
      <c r="G1519" t="s">
        <v>9307</v>
      </c>
      <c r="H1519" t="s">
        <v>517</v>
      </c>
      <c r="J1519" t="s">
        <v>518</v>
      </c>
      <c r="K1519" t="s">
        <v>519</v>
      </c>
      <c r="M1519" t="s">
        <v>1297</v>
      </c>
      <c r="N1519" t="s">
        <v>571</v>
      </c>
      <c r="O1519" t="s">
        <v>1351</v>
      </c>
      <c r="P1519" t="s">
        <v>540</v>
      </c>
      <c r="Q1519" t="s">
        <v>1299</v>
      </c>
      <c r="R1519" t="s">
        <v>1300</v>
      </c>
      <c r="S1519" t="s">
        <v>1417</v>
      </c>
      <c r="T1519" t="s">
        <v>1235</v>
      </c>
      <c r="U1519">
        <v>172401</v>
      </c>
      <c r="V1519" t="s">
        <v>9308</v>
      </c>
      <c r="W1519" t="s">
        <v>1353</v>
      </c>
      <c r="X1519" t="s">
        <v>1304</v>
      </c>
      <c r="Y1519" t="s">
        <v>1305</v>
      </c>
      <c r="AA1519" t="s">
        <v>1306</v>
      </c>
      <c r="AB1519" t="s">
        <v>1307</v>
      </c>
      <c r="AC1519">
        <v>99035</v>
      </c>
      <c r="AD1519" t="s">
        <v>1308</v>
      </c>
      <c r="AE1519">
        <v>-37.73992887</v>
      </c>
      <c r="AF1519">
        <v>175.15126530000001</v>
      </c>
      <c r="AG1519">
        <v>40</v>
      </c>
      <c r="AH1519">
        <v>0</v>
      </c>
      <c r="AI1519">
        <v>0</v>
      </c>
      <c r="AJ1519">
        <v>0</v>
      </c>
      <c r="AK1519">
        <v>11</v>
      </c>
      <c r="AL1519">
        <v>9</v>
      </c>
      <c r="AM1519">
        <v>13</v>
      </c>
      <c r="AN1519">
        <v>1</v>
      </c>
      <c r="AO1519">
        <v>34</v>
      </c>
      <c r="AP1519">
        <v>33</v>
      </c>
      <c r="AQ1519">
        <v>3</v>
      </c>
      <c r="AR1519">
        <v>1</v>
      </c>
      <c r="AS1519">
        <v>1</v>
      </c>
      <c r="AT1519">
        <v>0</v>
      </c>
    </row>
    <row r="1520" spans="1:46">
      <c r="A1520">
        <v>34038</v>
      </c>
      <c r="B1520" t="s">
        <v>9309</v>
      </c>
      <c r="C1520" t="s">
        <v>9310</v>
      </c>
      <c r="D1520" t="s">
        <v>1293</v>
      </c>
      <c r="E1520" t="s">
        <v>9311</v>
      </c>
      <c r="F1520" t="s">
        <v>1422</v>
      </c>
      <c r="G1520" t="s">
        <v>1296</v>
      </c>
      <c r="H1520" t="s">
        <v>3942</v>
      </c>
      <c r="J1520" t="s">
        <v>518</v>
      </c>
      <c r="K1520" t="s">
        <v>519</v>
      </c>
      <c r="M1520" t="s">
        <v>1297</v>
      </c>
      <c r="N1520" t="s">
        <v>571</v>
      </c>
      <c r="O1520" t="s">
        <v>1298</v>
      </c>
      <c r="P1520" t="s">
        <v>654</v>
      </c>
      <c r="Q1520" t="s">
        <v>1299</v>
      </c>
      <c r="R1520" t="s">
        <v>1300</v>
      </c>
      <c r="S1520" t="s">
        <v>1301</v>
      </c>
      <c r="T1520" t="s">
        <v>1235</v>
      </c>
      <c r="U1520">
        <v>176301</v>
      </c>
      <c r="V1520" t="s">
        <v>8429</v>
      </c>
      <c r="W1520" t="s">
        <v>1303</v>
      </c>
      <c r="X1520" t="s">
        <v>1304</v>
      </c>
      <c r="Y1520" t="s">
        <v>1305</v>
      </c>
      <c r="Z1520" t="s">
        <v>1312</v>
      </c>
      <c r="AA1520" t="s">
        <v>1306</v>
      </c>
      <c r="AB1520" t="s">
        <v>1307</v>
      </c>
      <c r="AE1520">
        <v>-37.752573310000002</v>
      </c>
      <c r="AF1520">
        <v>175.24493049</v>
      </c>
      <c r="AG1520">
        <v>61</v>
      </c>
      <c r="AH1520">
        <v>25</v>
      </c>
      <c r="AI1520">
        <v>4</v>
      </c>
      <c r="AJ1520">
        <v>11</v>
      </c>
      <c r="AK1520">
        <v>18</v>
      </c>
      <c r="AL1520">
        <v>14</v>
      </c>
      <c r="AM1520">
        <v>20</v>
      </c>
      <c r="AN1520">
        <v>0</v>
      </c>
      <c r="AO1520">
        <v>67</v>
      </c>
      <c r="AP1520">
        <v>55</v>
      </c>
      <c r="AQ1520">
        <v>16</v>
      </c>
      <c r="AR1520">
        <v>3</v>
      </c>
      <c r="AS1520">
        <v>13</v>
      </c>
      <c r="AT1520">
        <v>0</v>
      </c>
    </row>
    <row r="1521" spans="1:46">
      <c r="A1521">
        <v>34039</v>
      </c>
      <c r="B1521" t="s">
        <v>9312</v>
      </c>
      <c r="C1521" t="s">
        <v>9313</v>
      </c>
      <c r="D1521" t="s">
        <v>9314</v>
      </c>
      <c r="E1521" t="s">
        <v>9315</v>
      </c>
      <c r="G1521" t="s">
        <v>1460</v>
      </c>
      <c r="H1521" t="s">
        <v>3942</v>
      </c>
      <c r="J1521" t="s">
        <v>518</v>
      </c>
      <c r="K1521" t="s">
        <v>519</v>
      </c>
      <c r="M1521" t="s">
        <v>1297</v>
      </c>
      <c r="N1521" t="s">
        <v>539</v>
      </c>
      <c r="O1521" t="s">
        <v>1461</v>
      </c>
      <c r="P1521" t="s">
        <v>523</v>
      </c>
      <c r="Q1521" t="s">
        <v>1299</v>
      </c>
      <c r="R1521" t="s">
        <v>1300</v>
      </c>
      <c r="S1521" t="s">
        <v>1438</v>
      </c>
      <c r="T1521" t="s">
        <v>1235</v>
      </c>
      <c r="U1521">
        <v>167700</v>
      </c>
      <c r="V1521" t="s">
        <v>1462</v>
      </c>
      <c r="W1521" t="s">
        <v>1463</v>
      </c>
      <c r="X1521" t="s">
        <v>9316</v>
      </c>
      <c r="Y1521" t="s">
        <v>9315</v>
      </c>
      <c r="Z1521" t="s">
        <v>1460</v>
      </c>
      <c r="AA1521" t="s">
        <v>9317</v>
      </c>
      <c r="AB1521" t="s">
        <v>9318</v>
      </c>
      <c r="AC1521">
        <v>99087</v>
      </c>
      <c r="AD1521" t="s">
        <v>1464</v>
      </c>
      <c r="AE1521">
        <v>-37.129332759999997</v>
      </c>
      <c r="AF1521">
        <v>175.53473281000001</v>
      </c>
      <c r="AG1521">
        <v>49</v>
      </c>
      <c r="AH1521">
        <v>12</v>
      </c>
      <c r="AI1521">
        <v>3</v>
      </c>
      <c r="AJ1521">
        <v>4</v>
      </c>
      <c r="AK1521">
        <v>7</v>
      </c>
      <c r="AL1521">
        <v>8</v>
      </c>
      <c r="AM1521">
        <v>10</v>
      </c>
      <c r="AN1521">
        <v>1</v>
      </c>
      <c r="AO1521">
        <v>33</v>
      </c>
      <c r="AP1521">
        <v>17</v>
      </c>
      <c r="AQ1521">
        <v>14</v>
      </c>
      <c r="AR1521">
        <v>6</v>
      </c>
      <c r="AS1521">
        <v>7</v>
      </c>
      <c r="AT1521">
        <v>0</v>
      </c>
    </row>
    <row r="1522" spans="1:46">
      <c r="A1522">
        <v>34043</v>
      </c>
      <c r="B1522" t="s">
        <v>9319</v>
      </c>
      <c r="C1522" t="s">
        <v>9320</v>
      </c>
      <c r="D1522" t="s">
        <v>9113</v>
      </c>
      <c r="E1522" t="s">
        <v>9321</v>
      </c>
      <c r="F1522" t="s">
        <v>1295</v>
      </c>
      <c r="G1522" t="s">
        <v>1296</v>
      </c>
      <c r="H1522" t="s">
        <v>3942</v>
      </c>
      <c r="I1522" t="s">
        <v>3953</v>
      </c>
      <c r="J1522" t="s">
        <v>3962</v>
      </c>
      <c r="K1522" t="s">
        <v>519</v>
      </c>
      <c r="M1522" t="s">
        <v>1297</v>
      </c>
      <c r="N1522" t="s">
        <v>557</v>
      </c>
      <c r="O1522" t="s">
        <v>1298</v>
      </c>
      <c r="P1522" t="s">
        <v>654</v>
      </c>
      <c r="Q1522" t="s">
        <v>1299</v>
      </c>
      <c r="R1522" t="s">
        <v>1300</v>
      </c>
      <c r="S1522" t="s">
        <v>1301</v>
      </c>
      <c r="T1522" t="s">
        <v>1235</v>
      </c>
      <c r="U1522">
        <v>178000</v>
      </c>
      <c r="V1522" t="s">
        <v>9322</v>
      </c>
      <c r="W1522" t="s">
        <v>1303</v>
      </c>
      <c r="X1522" t="s">
        <v>9115</v>
      </c>
      <c r="Y1522" t="s">
        <v>9116</v>
      </c>
      <c r="Z1522" t="s">
        <v>4125</v>
      </c>
      <c r="AA1522" t="s">
        <v>4564</v>
      </c>
      <c r="AB1522" t="s">
        <v>9117</v>
      </c>
      <c r="AE1522">
        <v>-37.78021408</v>
      </c>
      <c r="AF1522">
        <v>175.25902536000001</v>
      </c>
      <c r="AG1522">
        <v>27</v>
      </c>
      <c r="AH1522">
        <v>0</v>
      </c>
      <c r="AI1522">
        <v>0</v>
      </c>
      <c r="AJ1522">
        <v>0</v>
      </c>
      <c r="AK1522">
        <v>3</v>
      </c>
      <c r="AL1522">
        <v>4</v>
      </c>
      <c r="AM1522">
        <v>8</v>
      </c>
      <c r="AN1522">
        <v>1</v>
      </c>
      <c r="AO1522">
        <v>16</v>
      </c>
      <c r="AP1522">
        <v>2</v>
      </c>
      <c r="AQ1522">
        <v>12</v>
      </c>
      <c r="AR1522">
        <v>1</v>
      </c>
      <c r="AS1522">
        <v>3</v>
      </c>
      <c r="AT1522">
        <v>0</v>
      </c>
    </row>
    <row r="1523" spans="1:46">
      <c r="A1523">
        <v>34045</v>
      </c>
      <c r="B1523" t="s">
        <v>9323</v>
      </c>
      <c r="C1523" t="s">
        <v>9324</v>
      </c>
      <c r="D1523" t="s">
        <v>9325</v>
      </c>
      <c r="E1523" t="s">
        <v>9326</v>
      </c>
      <c r="G1523" t="s">
        <v>9327</v>
      </c>
      <c r="H1523" t="s">
        <v>3942</v>
      </c>
      <c r="J1523" t="s">
        <v>518</v>
      </c>
      <c r="K1523" t="s">
        <v>519</v>
      </c>
      <c r="M1523" t="s">
        <v>1297</v>
      </c>
      <c r="N1523" t="s">
        <v>557</v>
      </c>
      <c r="O1523" t="s">
        <v>1461</v>
      </c>
      <c r="P1523" t="s">
        <v>572</v>
      </c>
      <c r="Q1523" t="s">
        <v>1299</v>
      </c>
      <c r="R1523" t="s">
        <v>1300</v>
      </c>
      <c r="S1523" t="s">
        <v>1438</v>
      </c>
      <c r="T1523" t="s">
        <v>1235</v>
      </c>
      <c r="U1523">
        <v>166500</v>
      </c>
      <c r="V1523" t="s">
        <v>9327</v>
      </c>
      <c r="W1523" t="s">
        <v>8982</v>
      </c>
      <c r="X1523" t="s">
        <v>9328</v>
      </c>
      <c r="Y1523" t="s">
        <v>9329</v>
      </c>
      <c r="Z1523" t="s">
        <v>9327</v>
      </c>
      <c r="AA1523" t="s">
        <v>9330</v>
      </c>
      <c r="AC1523">
        <v>99155</v>
      </c>
      <c r="AD1523" t="s">
        <v>3829</v>
      </c>
      <c r="AE1523">
        <v>-36.628569800000001</v>
      </c>
      <c r="AF1523">
        <v>175.47259774</v>
      </c>
      <c r="AG1523">
        <v>20</v>
      </c>
      <c r="AH1523">
        <v>2</v>
      </c>
      <c r="AI1523">
        <v>0</v>
      </c>
      <c r="AJ1523">
        <v>2</v>
      </c>
      <c r="AK1523">
        <v>4</v>
      </c>
      <c r="AL1523">
        <v>1</v>
      </c>
      <c r="AM1523">
        <v>7</v>
      </c>
      <c r="AN1523">
        <v>1</v>
      </c>
      <c r="AO1523">
        <v>15</v>
      </c>
      <c r="AP1523">
        <v>14</v>
      </c>
      <c r="AQ1523">
        <v>6</v>
      </c>
      <c r="AR1523">
        <v>0</v>
      </c>
      <c r="AS1523">
        <v>2</v>
      </c>
      <c r="AT1523">
        <v>0</v>
      </c>
    </row>
    <row r="1524" spans="1:46">
      <c r="A1524">
        <v>34046</v>
      </c>
      <c r="B1524" t="s">
        <v>9331</v>
      </c>
      <c r="C1524" t="s">
        <v>9332</v>
      </c>
      <c r="D1524" t="s">
        <v>9333</v>
      </c>
      <c r="E1524" t="s">
        <v>9334</v>
      </c>
      <c r="G1524" t="s">
        <v>9335</v>
      </c>
      <c r="H1524" t="s">
        <v>3942</v>
      </c>
      <c r="J1524" t="s">
        <v>518</v>
      </c>
      <c r="K1524" t="s">
        <v>519</v>
      </c>
      <c r="M1524" t="s">
        <v>1297</v>
      </c>
      <c r="N1524" t="s">
        <v>4519</v>
      </c>
      <c r="O1524" t="s">
        <v>1319</v>
      </c>
      <c r="P1524" t="s">
        <v>572</v>
      </c>
      <c r="Q1524" t="s">
        <v>1299</v>
      </c>
      <c r="R1524" t="s">
        <v>1300</v>
      </c>
      <c r="S1524" t="s">
        <v>1417</v>
      </c>
      <c r="T1524" t="s">
        <v>1235</v>
      </c>
      <c r="U1524">
        <v>181400</v>
      </c>
      <c r="V1524" t="s">
        <v>9335</v>
      </c>
      <c r="W1524" t="s">
        <v>8964</v>
      </c>
      <c r="X1524" t="s">
        <v>9336</v>
      </c>
      <c r="Y1524" t="s">
        <v>9337</v>
      </c>
      <c r="AA1524" t="s">
        <v>9338</v>
      </c>
      <c r="AE1524">
        <v>-37.918583730000002</v>
      </c>
      <c r="AF1524">
        <v>175.13432438999999</v>
      </c>
      <c r="AG1524">
        <v>20</v>
      </c>
      <c r="AH1524">
        <v>0</v>
      </c>
      <c r="AI1524">
        <v>0</v>
      </c>
      <c r="AJ1524">
        <v>0</v>
      </c>
      <c r="AK1524">
        <v>5</v>
      </c>
      <c r="AL1524">
        <v>7</v>
      </c>
      <c r="AM1524">
        <v>6</v>
      </c>
      <c r="AN1524">
        <v>1</v>
      </c>
      <c r="AO1524">
        <v>19</v>
      </c>
      <c r="AP1524">
        <v>19</v>
      </c>
      <c r="AQ1524">
        <v>2</v>
      </c>
      <c r="AR1524">
        <v>3</v>
      </c>
      <c r="AS1524">
        <v>0</v>
      </c>
      <c r="AT1524">
        <v>0</v>
      </c>
    </row>
    <row r="1525" spans="1:46">
      <c r="A1525">
        <v>34049</v>
      </c>
      <c r="B1525" t="s">
        <v>9339</v>
      </c>
      <c r="C1525" t="s">
        <v>9340</v>
      </c>
      <c r="E1525" t="s">
        <v>9341</v>
      </c>
      <c r="G1525" t="s">
        <v>9193</v>
      </c>
      <c r="H1525" t="s">
        <v>3942</v>
      </c>
      <c r="J1525" t="s">
        <v>3962</v>
      </c>
      <c r="K1525" t="s">
        <v>519</v>
      </c>
      <c r="M1525" t="s">
        <v>1297</v>
      </c>
      <c r="N1525" t="s">
        <v>571</v>
      </c>
      <c r="O1525" t="s">
        <v>1461</v>
      </c>
      <c r="P1525" t="s">
        <v>523</v>
      </c>
      <c r="Q1525" t="s">
        <v>1299</v>
      </c>
      <c r="R1525" t="s">
        <v>1300</v>
      </c>
      <c r="S1525" t="s">
        <v>1438</v>
      </c>
      <c r="T1525" t="s">
        <v>1235</v>
      </c>
      <c r="U1525">
        <v>168502</v>
      </c>
      <c r="V1525" t="s">
        <v>9194</v>
      </c>
      <c r="W1525" t="s">
        <v>8606</v>
      </c>
      <c r="X1525" t="s">
        <v>9085</v>
      </c>
      <c r="Y1525" t="s">
        <v>9086</v>
      </c>
      <c r="Z1525" t="s">
        <v>1313</v>
      </c>
      <c r="AA1525" t="s">
        <v>8511</v>
      </c>
      <c r="AB1525" t="s">
        <v>9087</v>
      </c>
      <c r="AC1525">
        <v>99155</v>
      </c>
      <c r="AD1525" t="s">
        <v>3829</v>
      </c>
      <c r="AE1525">
        <v>-37.205771179999999</v>
      </c>
      <c r="AF1525">
        <v>175.86880847</v>
      </c>
      <c r="AG1525">
        <v>40</v>
      </c>
      <c r="AH1525">
        <v>14</v>
      </c>
      <c r="AI1525">
        <v>0</v>
      </c>
      <c r="AJ1525">
        <v>10</v>
      </c>
      <c r="AK1525">
        <v>11</v>
      </c>
      <c r="AL1525">
        <v>12</v>
      </c>
      <c r="AM1525">
        <v>10</v>
      </c>
      <c r="AN1525">
        <v>1</v>
      </c>
      <c r="AO1525">
        <v>44</v>
      </c>
      <c r="AP1525">
        <v>35</v>
      </c>
      <c r="AQ1525">
        <v>17</v>
      </c>
      <c r="AR1525">
        <v>0</v>
      </c>
      <c r="AS1525">
        <v>0</v>
      </c>
      <c r="AT1525">
        <v>1</v>
      </c>
    </row>
    <row r="1526" spans="1:46">
      <c r="A1526">
        <v>34050</v>
      </c>
      <c r="B1526" t="s">
        <v>9342</v>
      </c>
      <c r="C1526" t="s">
        <v>9343</v>
      </c>
      <c r="D1526" t="s">
        <v>9344</v>
      </c>
      <c r="E1526" t="s">
        <v>9345</v>
      </c>
      <c r="G1526" t="s">
        <v>1436</v>
      </c>
      <c r="H1526" t="s">
        <v>3942</v>
      </c>
      <c r="J1526" t="s">
        <v>3962</v>
      </c>
      <c r="K1526" t="s">
        <v>519</v>
      </c>
      <c r="M1526" t="s">
        <v>1297</v>
      </c>
      <c r="N1526" t="s">
        <v>571</v>
      </c>
      <c r="O1526" t="s">
        <v>1437</v>
      </c>
      <c r="P1526" t="s">
        <v>523</v>
      </c>
      <c r="Q1526" t="s">
        <v>1299</v>
      </c>
      <c r="R1526" t="s">
        <v>1300</v>
      </c>
      <c r="S1526" t="s">
        <v>1438</v>
      </c>
      <c r="T1526" t="s">
        <v>1235</v>
      </c>
      <c r="U1526">
        <v>169200</v>
      </c>
      <c r="V1526" t="s">
        <v>1436</v>
      </c>
      <c r="W1526" t="s">
        <v>1439</v>
      </c>
      <c r="X1526" t="s">
        <v>9346</v>
      </c>
      <c r="Y1526" t="s">
        <v>9345</v>
      </c>
      <c r="AA1526" t="s">
        <v>9347</v>
      </c>
      <c r="AB1526" t="s">
        <v>9348</v>
      </c>
      <c r="AC1526">
        <v>99070</v>
      </c>
      <c r="AD1526" t="s">
        <v>1444</v>
      </c>
      <c r="AE1526">
        <v>-37.371688030000001</v>
      </c>
      <c r="AF1526">
        <v>175.66158476000001</v>
      </c>
      <c r="AG1526">
        <v>33</v>
      </c>
      <c r="AH1526">
        <v>8</v>
      </c>
      <c r="AI1526">
        <v>0</v>
      </c>
      <c r="AJ1526">
        <v>4</v>
      </c>
      <c r="AK1526">
        <v>7</v>
      </c>
      <c r="AL1526">
        <v>3</v>
      </c>
      <c r="AM1526">
        <v>6</v>
      </c>
      <c r="AN1526">
        <v>1</v>
      </c>
      <c r="AO1526">
        <v>21</v>
      </c>
      <c r="AP1526">
        <v>17</v>
      </c>
      <c r="AQ1526">
        <v>8</v>
      </c>
      <c r="AR1526">
        <v>1</v>
      </c>
      <c r="AS1526">
        <v>1</v>
      </c>
      <c r="AT1526">
        <v>0</v>
      </c>
    </row>
    <row r="1527" spans="1:46">
      <c r="A1527">
        <v>34056</v>
      </c>
      <c r="B1527" t="s">
        <v>9349</v>
      </c>
      <c r="C1527" t="s">
        <v>9350</v>
      </c>
      <c r="D1527" t="s">
        <v>9351</v>
      </c>
      <c r="E1527" t="s">
        <v>9352</v>
      </c>
      <c r="G1527" t="s">
        <v>1538</v>
      </c>
      <c r="H1527" t="s">
        <v>3942</v>
      </c>
      <c r="J1527" t="s">
        <v>518</v>
      </c>
      <c r="K1527" t="s">
        <v>519</v>
      </c>
      <c r="M1527" t="s">
        <v>1297</v>
      </c>
      <c r="N1527" t="s">
        <v>571</v>
      </c>
      <c r="O1527" t="s">
        <v>1319</v>
      </c>
      <c r="P1527" t="s">
        <v>1262</v>
      </c>
      <c r="Q1527" t="s">
        <v>1299</v>
      </c>
      <c r="R1527" t="s">
        <v>1300</v>
      </c>
      <c r="S1527" t="s">
        <v>1417</v>
      </c>
      <c r="T1527" t="s">
        <v>1235</v>
      </c>
      <c r="U1527">
        <v>184100</v>
      </c>
      <c r="V1527" t="s">
        <v>9353</v>
      </c>
      <c r="W1527" t="s">
        <v>1540</v>
      </c>
      <c r="X1527" t="s">
        <v>8377</v>
      </c>
      <c r="Y1527" t="s">
        <v>3944</v>
      </c>
      <c r="Z1527" t="s">
        <v>3945</v>
      </c>
      <c r="AA1527" t="s">
        <v>3946</v>
      </c>
      <c r="AB1527" t="s">
        <v>8378</v>
      </c>
      <c r="AE1527">
        <v>-38.01057883</v>
      </c>
      <c r="AF1527">
        <v>175.32711972999999</v>
      </c>
      <c r="AG1527">
        <v>84</v>
      </c>
      <c r="AH1527">
        <v>20</v>
      </c>
      <c r="AI1527">
        <v>4</v>
      </c>
      <c r="AJ1527">
        <v>16</v>
      </c>
      <c r="AK1527">
        <v>22</v>
      </c>
      <c r="AL1527">
        <v>26</v>
      </c>
      <c r="AM1527">
        <v>23</v>
      </c>
      <c r="AN1527">
        <v>0</v>
      </c>
      <c r="AO1527">
        <v>91</v>
      </c>
      <c r="AP1527">
        <v>53</v>
      </c>
      <c r="AQ1527">
        <v>34</v>
      </c>
      <c r="AR1527">
        <v>4</v>
      </c>
      <c r="AS1527">
        <v>19</v>
      </c>
      <c r="AT1527">
        <v>2</v>
      </c>
    </row>
    <row r="1528" spans="1:46">
      <c r="A1528">
        <v>34061</v>
      </c>
      <c r="B1528" t="s">
        <v>9354</v>
      </c>
      <c r="C1528" t="s">
        <v>9355</v>
      </c>
      <c r="D1528" t="s">
        <v>9356</v>
      </c>
      <c r="E1528" t="s">
        <v>9357</v>
      </c>
      <c r="G1528" t="s">
        <v>1483</v>
      </c>
      <c r="H1528" t="s">
        <v>517</v>
      </c>
      <c r="J1528" t="s">
        <v>518</v>
      </c>
      <c r="K1528" t="s">
        <v>519</v>
      </c>
      <c r="M1528" t="s">
        <v>1297</v>
      </c>
      <c r="N1528" t="s">
        <v>557</v>
      </c>
      <c r="O1528" t="s">
        <v>1484</v>
      </c>
      <c r="P1528" t="s">
        <v>1262</v>
      </c>
      <c r="Q1528" t="s">
        <v>1299</v>
      </c>
      <c r="R1528" t="s">
        <v>1300</v>
      </c>
      <c r="S1528" t="s">
        <v>1320</v>
      </c>
      <c r="T1528" t="s">
        <v>1485</v>
      </c>
      <c r="U1528">
        <v>186800</v>
      </c>
      <c r="V1528" t="s">
        <v>1486</v>
      </c>
      <c r="W1528" t="s">
        <v>1487</v>
      </c>
      <c r="X1528" t="s">
        <v>1488</v>
      </c>
      <c r="Y1528" t="s">
        <v>1441</v>
      </c>
      <c r="AA1528" t="s">
        <v>1442</v>
      </c>
      <c r="AB1528" t="s">
        <v>1489</v>
      </c>
      <c r="AC1528">
        <v>99195</v>
      </c>
      <c r="AD1528" t="s">
        <v>1490</v>
      </c>
      <c r="AE1528">
        <v>-38.240699159999998</v>
      </c>
      <c r="AF1528">
        <v>175.86767158999999</v>
      </c>
      <c r="AG1528">
        <v>50</v>
      </c>
      <c r="AH1528">
        <v>12</v>
      </c>
      <c r="AI1528">
        <v>1</v>
      </c>
      <c r="AJ1528">
        <v>10</v>
      </c>
      <c r="AK1528">
        <v>15</v>
      </c>
      <c r="AL1528">
        <v>17</v>
      </c>
      <c r="AM1528">
        <v>10</v>
      </c>
      <c r="AN1528">
        <v>2</v>
      </c>
      <c r="AO1528">
        <v>55</v>
      </c>
      <c r="AP1528">
        <v>43</v>
      </c>
      <c r="AQ1528">
        <v>25</v>
      </c>
      <c r="AR1528">
        <v>9</v>
      </c>
      <c r="AS1528">
        <v>2</v>
      </c>
      <c r="AT1528">
        <v>2</v>
      </c>
    </row>
    <row r="1529" spans="1:46">
      <c r="A1529">
        <v>34063</v>
      </c>
      <c r="B1529" t="s">
        <v>9358</v>
      </c>
      <c r="C1529" t="s">
        <v>9359</v>
      </c>
      <c r="D1529" t="s">
        <v>9360</v>
      </c>
      <c r="E1529" t="s">
        <v>9361</v>
      </c>
      <c r="G1529" t="s">
        <v>9193</v>
      </c>
      <c r="H1529" t="s">
        <v>3942</v>
      </c>
      <c r="J1529" t="s">
        <v>518</v>
      </c>
      <c r="K1529" t="s">
        <v>519</v>
      </c>
      <c r="M1529" t="s">
        <v>1297</v>
      </c>
      <c r="N1529" t="s">
        <v>571</v>
      </c>
      <c r="O1529" t="s">
        <v>1461</v>
      </c>
      <c r="P1529" t="s">
        <v>523</v>
      </c>
      <c r="Q1529" t="s">
        <v>1299</v>
      </c>
      <c r="R1529" t="s">
        <v>1300</v>
      </c>
      <c r="S1529" t="s">
        <v>1438</v>
      </c>
      <c r="T1529" t="s">
        <v>1235</v>
      </c>
      <c r="U1529">
        <v>168502</v>
      </c>
      <c r="V1529" t="s">
        <v>9194</v>
      </c>
      <c r="W1529" t="s">
        <v>8606</v>
      </c>
      <c r="X1529" t="s">
        <v>8377</v>
      </c>
      <c r="Y1529" t="s">
        <v>3944</v>
      </c>
      <c r="Z1529" t="s">
        <v>3945</v>
      </c>
      <c r="AA1529" t="s">
        <v>3946</v>
      </c>
      <c r="AB1529" t="s">
        <v>8378</v>
      </c>
      <c r="AE1529">
        <v>-37.204304219999997</v>
      </c>
      <c r="AF1529">
        <v>175.87201035000001</v>
      </c>
      <c r="AG1529">
        <v>35</v>
      </c>
      <c r="AH1529">
        <v>8</v>
      </c>
      <c r="AI1529">
        <v>1</v>
      </c>
      <c r="AJ1529">
        <v>4</v>
      </c>
      <c r="AK1529">
        <v>9</v>
      </c>
      <c r="AL1529">
        <v>10</v>
      </c>
      <c r="AM1529">
        <v>6</v>
      </c>
      <c r="AN1529">
        <v>0</v>
      </c>
      <c r="AO1529">
        <v>30</v>
      </c>
      <c r="AP1529">
        <v>24</v>
      </c>
      <c r="AQ1529">
        <v>8</v>
      </c>
      <c r="AR1529">
        <v>0</v>
      </c>
      <c r="AS1529">
        <v>4</v>
      </c>
      <c r="AT1529">
        <v>5</v>
      </c>
    </row>
    <row r="1530" spans="1:46">
      <c r="A1530">
        <v>34064</v>
      </c>
      <c r="B1530" t="s">
        <v>9362</v>
      </c>
      <c r="C1530" t="s">
        <v>9267</v>
      </c>
      <c r="D1530" t="s">
        <v>1293</v>
      </c>
      <c r="E1530" t="s">
        <v>9271</v>
      </c>
      <c r="F1530" t="s">
        <v>1312</v>
      </c>
      <c r="G1530" t="s">
        <v>1296</v>
      </c>
      <c r="H1530" t="s">
        <v>4716</v>
      </c>
      <c r="J1530" t="s">
        <v>518</v>
      </c>
      <c r="K1530" t="s">
        <v>519</v>
      </c>
      <c r="M1530" t="s">
        <v>1297</v>
      </c>
      <c r="N1530" t="s">
        <v>571</v>
      </c>
      <c r="O1530" t="s">
        <v>1298</v>
      </c>
      <c r="P1530" t="s">
        <v>654</v>
      </c>
      <c r="Q1530" t="s">
        <v>1299</v>
      </c>
      <c r="R1530" t="s">
        <v>1300</v>
      </c>
      <c r="S1530" t="s">
        <v>1312</v>
      </c>
      <c r="T1530" t="s">
        <v>1235</v>
      </c>
      <c r="U1530">
        <v>179700</v>
      </c>
      <c r="V1530" t="s">
        <v>8736</v>
      </c>
      <c r="W1530" t="s">
        <v>1314</v>
      </c>
      <c r="X1530" t="s">
        <v>1304</v>
      </c>
      <c r="Y1530" t="s">
        <v>1305</v>
      </c>
      <c r="Z1530" t="s">
        <v>1312</v>
      </c>
      <c r="AA1530" t="s">
        <v>1306</v>
      </c>
      <c r="AB1530" t="s">
        <v>1307</v>
      </c>
      <c r="AE1530">
        <v>-37.794900849999998</v>
      </c>
      <c r="AF1530">
        <v>175.29355290999999</v>
      </c>
      <c r="AG1530">
        <v>60</v>
      </c>
      <c r="AH1530">
        <v>60</v>
      </c>
      <c r="AI1530">
        <v>1</v>
      </c>
      <c r="AJ1530">
        <v>17</v>
      </c>
      <c r="AK1530">
        <v>16</v>
      </c>
      <c r="AL1530">
        <v>11</v>
      </c>
      <c r="AM1530">
        <v>11</v>
      </c>
      <c r="AN1530">
        <v>0</v>
      </c>
      <c r="AO1530">
        <v>56</v>
      </c>
      <c r="AP1530">
        <v>42</v>
      </c>
      <c r="AQ1530">
        <v>13</v>
      </c>
      <c r="AR1530">
        <v>2</v>
      </c>
      <c r="AS1530">
        <v>6</v>
      </c>
      <c r="AT1530">
        <v>7</v>
      </c>
    </row>
    <row r="1531" spans="1:46">
      <c r="A1531">
        <v>34065</v>
      </c>
      <c r="B1531" t="s">
        <v>9363</v>
      </c>
      <c r="C1531" t="s">
        <v>9364</v>
      </c>
      <c r="D1531" t="s">
        <v>9365</v>
      </c>
      <c r="E1531" t="s">
        <v>9366</v>
      </c>
      <c r="F1531" t="s">
        <v>1295</v>
      </c>
      <c r="G1531" t="s">
        <v>1296</v>
      </c>
      <c r="H1531" t="s">
        <v>3942</v>
      </c>
      <c r="I1531" t="s">
        <v>4113</v>
      </c>
      <c r="J1531" t="s">
        <v>518</v>
      </c>
      <c r="K1531" t="s">
        <v>519</v>
      </c>
      <c r="M1531" t="s">
        <v>1297</v>
      </c>
      <c r="N1531" t="s">
        <v>571</v>
      </c>
      <c r="O1531" t="s">
        <v>1298</v>
      </c>
      <c r="P1531" t="s">
        <v>654</v>
      </c>
      <c r="Q1531" t="s">
        <v>1299</v>
      </c>
      <c r="R1531" t="s">
        <v>1300</v>
      </c>
      <c r="S1531" t="s">
        <v>1312</v>
      </c>
      <c r="T1531" t="s">
        <v>1235</v>
      </c>
      <c r="U1531">
        <v>177700</v>
      </c>
      <c r="V1531" t="s">
        <v>9269</v>
      </c>
      <c r="W1531" t="s">
        <v>1314</v>
      </c>
      <c r="X1531" t="s">
        <v>9367</v>
      </c>
      <c r="Y1531" t="s">
        <v>9368</v>
      </c>
      <c r="Z1531" t="s">
        <v>9369</v>
      </c>
      <c r="AA1531" t="s">
        <v>9370</v>
      </c>
      <c r="AB1531" t="s">
        <v>9371</v>
      </c>
      <c r="AC1531">
        <v>99132</v>
      </c>
      <c r="AD1531" t="s">
        <v>8513</v>
      </c>
      <c r="AE1531">
        <v>-37.76895734</v>
      </c>
      <c r="AF1531">
        <v>175.27506672000001</v>
      </c>
      <c r="AG1531">
        <v>24</v>
      </c>
      <c r="AH1531">
        <v>12</v>
      </c>
      <c r="AI1531">
        <v>0</v>
      </c>
      <c r="AJ1531">
        <v>1</v>
      </c>
      <c r="AK1531">
        <v>1</v>
      </c>
      <c r="AL1531">
        <v>9</v>
      </c>
      <c r="AM1531">
        <v>7</v>
      </c>
      <c r="AN1531">
        <v>4</v>
      </c>
      <c r="AO1531">
        <v>22</v>
      </c>
      <c r="AP1531">
        <v>15</v>
      </c>
      <c r="AQ1531">
        <v>2</v>
      </c>
      <c r="AR1531">
        <v>1</v>
      </c>
      <c r="AS1531">
        <v>5</v>
      </c>
      <c r="AT1531">
        <v>1</v>
      </c>
    </row>
    <row r="1532" spans="1:46">
      <c r="A1532">
        <v>34066</v>
      </c>
      <c r="B1532" t="s">
        <v>9372</v>
      </c>
      <c r="C1532" t="s">
        <v>9373</v>
      </c>
      <c r="D1532" t="s">
        <v>9374</v>
      </c>
      <c r="E1532" t="s">
        <v>9375</v>
      </c>
      <c r="F1532" t="s">
        <v>1366</v>
      </c>
      <c r="G1532" t="s">
        <v>1296</v>
      </c>
      <c r="H1532" t="s">
        <v>3942</v>
      </c>
      <c r="J1532" t="s">
        <v>518</v>
      </c>
      <c r="K1532" t="s">
        <v>519</v>
      </c>
      <c r="M1532" t="s">
        <v>1297</v>
      </c>
      <c r="N1532" t="s">
        <v>557</v>
      </c>
      <c r="O1532" t="s">
        <v>1298</v>
      </c>
      <c r="P1532" t="s">
        <v>654</v>
      </c>
      <c r="Q1532" t="s">
        <v>1299</v>
      </c>
      <c r="R1532" t="s">
        <v>1300</v>
      </c>
      <c r="S1532" t="s">
        <v>1312</v>
      </c>
      <c r="T1532" t="s">
        <v>1235</v>
      </c>
      <c r="U1532">
        <v>180800</v>
      </c>
      <c r="V1532" t="s">
        <v>9376</v>
      </c>
      <c r="W1532" t="s">
        <v>1314</v>
      </c>
      <c r="X1532" t="s">
        <v>9377</v>
      </c>
      <c r="Y1532" t="s">
        <v>9378</v>
      </c>
      <c r="Z1532" t="s">
        <v>1366</v>
      </c>
      <c r="AA1532" t="s">
        <v>9252</v>
      </c>
      <c r="AB1532" t="s">
        <v>9379</v>
      </c>
      <c r="AE1532">
        <v>-37.791507600000003</v>
      </c>
      <c r="AF1532">
        <v>175.32355242</v>
      </c>
      <c r="AG1532">
        <v>35</v>
      </c>
      <c r="AH1532">
        <v>8</v>
      </c>
      <c r="AI1532">
        <v>2</v>
      </c>
      <c r="AJ1532">
        <v>3</v>
      </c>
      <c r="AK1532">
        <v>10</v>
      </c>
      <c r="AL1532">
        <v>12</v>
      </c>
      <c r="AM1532">
        <v>10</v>
      </c>
      <c r="AN1532">
        <v>0</v>
      </c>
      <c r="AO1532">
        <v>37</v>
      </c>
      <c r="AP1532">
        <v>17</v>
      </c>
      <c r="AQ1532">
        <v>11</v>
      </c>
      <c r="AR1532">
        <v>0</v>
      </c>
      <c r="AS1532">
        <v>12</v>
      </c>
      <c r="AT1532">
        <v>3</v>
      </c>
    </row>
    <row r="1533" spans="1:46">
      <c r="A1533">
        <v>34067</v>
      </c>
      <c r="B1533" t="s">
        <v>9380</v>
      </c>
      <c r="C1533" t="s">
        <v>9381</v>
      </c>
      <c r="D1533" t="s">
        <v>9382</v>
      </c>
      <c r="E1533" t="s">
        <v>9383</v>
      </c>
      <c r="F1533" t="s">
        <v>1295</v>
      </c>
      <c r="G1533" t="s">
        <v>1296</v>
      </c>
      <c r="H1533" t="s">
        <v>3942</v>
      </c>
      <c r="J1533" t="s">
        <v>518</v>
      </c>
      <c r="K1533" t="s">
        <v>519</v>
      </c>
      <c r="M1533" t="s">
        <v>1297</v>
      </c>
      <c r="N1533" t="s">
        <v>571</v>
      </c>
      <c r="O1533" t="s">
        <v>1298</v>
      </c>
      <c r="P1533" t="s">
        <v>654</v>
      </c>
      <c r="Q1533" t="s">
        <v>1299</v>
      </c>
      <c r="R1533" t="s">
        <v>1300</v>
      </c>
      <c r="S1533" t="s">
        <v>1301</v>
      </c>
      <c r="T1533" t="s">
        <v>1235</v>
      </c>
      <c r="U1533">
        <v>179401</v>
      </c>
      <c r="V1533" t="s">
        <v>1295</v>
      </c>
      <c r="W1533" t="s">
        <v>1303</v>
      </c>
      <c r="X1533" t="s">
        <v>9384</v>
      </c>
      <c r="Y1533" t="s">
        <v>7353</v>
      </c>
      <c r="AA1533" t="s">
        <v>7354</v>
      </c>
      <c r="AB1533" t="s">
        <v>9385</v>
      </c>
      <c r="AE1533">
        <v>-37.789846019999999</v>
      </c>
      <c r="AF1533">
        <v>175.27902829999999</v>
      </c>
      <c r="AG1533">
        <v>59</v>
      </c>
      <c r="AH1533">
        <v>20</v>
      </c>
      <c r="AI1533">
        <v>3</v>
      </c>
      <c r="AJ1533">
        <v>14</v>
      </c>
      <c r="AK1533">
        <v>13</v>
      </c>
      <c r="AL1533">
        <v>11</v>
      </c>
      <c r="AM1533">
        <v>13</v>
      </c>
      <c r="AN1533">
        <v>0</v>
      </c>
      <c r="AO1533">
        <v>54</v>
      </c>
      <c r="AP1533">
        <v>24</v>
      </c>
      <c r="AQ1533">
        <v>17</v>
      </c>
      <c r="AR1533">
        <v>4</v>
      </c>
      <c r="AS1533">
        <v>16</v>
      </c>
      <c r="AT1533">
        <v>6</v>
      </c>
    </row>
    <row r="1534" spans="1:46">
      <c r="A1534">
        <v>34068</v>
      </c>
      <c r="B1534" t="s">
        <v>9386</v>
      </c>
      <c r="C1534" t="s">
        <v>9387</v>
      </c>
      <c r="D1534" t="s">
        <v>9388</v>
      </c>
      <c r="E1534" t="s">
        <v>9389</v>
      </c>
      <c r="G1534" t="s">
        <v>1483</v>
      </c>
      <c r="H1534" t="s">
        <v>3942</v>
      </c>
      <c r="J1534" t="s">
        <v>518</v>
      </c>
      <c r="K1534" t="s">
        <v>519</v>
      </c>
      <c r="M1534" t="s">
        <v>1297</v>
      </c>
      <c r="N1534" t="s">
        <v>539</v>
      </c>
      <c r="O1534" t="s">
        <v>1484</v>
      </c>
      <c r="P1534" t="s">
        <v>1262</v>
      </c>
      <c r="Q1534" t="s">
        <v>1299</v>
      </c>
      <c r="R1534" t="s">
        <v>1300</v>
      </c>
      <c r="S1534" t="s">
        <v>1320</v>
      </c>
      <c r="T1534" t="s">
        <v>1485</v>
      </c>
      <c r="U1534">
        <v>186400</v>
      </c>
      <c r="V1534" t="s">
        <v>1508</v>
      </c>
      <c r="W1534" t="s">
        <v>1487</v>
      </c>
      <c r="X1534" t="s">
        <v>9390</v>
      </c>
      <c r="Y1534" t="s">
        <v>9391</v>
      </c>
      <c r="AA1534" t="s">
        <v>9392</v>
      </c>
      <c r="AB1534" t="s">
        <v>9387</v>
      </c>
      <c r="AC1534">
        <v>99195</v>
      </c>
      <c r="AD1534" t="s">
        <v>1490</v>
      </c>
      <c r="AE1534">
        <v>-38.228222479999999</v>
      </c>
      <c r="AF1534">
        <v>175.86294108999999</v>
      </c>
      <c r="AG1534">
        <v>47</v>
      </c>
      <c r="AH1534">
        <v>12</v>
      </c>
      <c r="AI1534">
        <v>1</v>
      </c>
      <c r="AJ1534">
        <v>4</v>
      </c>
      <c r="AK1534">
        <v>7</v>
      </c>
      <c r="AL1534">
        <v>7</v>
      </c>
      <c r="AM1534">
        <v>12</v>
      </c>
      <c r="AN1534">
        <v>0</v>
      </c>
      <c r="AO1534">
        <v>31</v>
      </c>
      <c r="AP1534">
        <v>16</v>
      </c>
      <c r="AQ1534">
        <v>15</v>
      </c>
      <c r="AR1534">
        <v>7</v>
      </c>
      <c r="AS1534">
        <v>4</v>
      </c>
      <c r="AT1534">
        <v>4</v>
      </c>
    </row>
    <row r="1535" spans="1:46">
      <c r="A1535">
        <v>34070</v>
      </c>
      <c r="B1535" t="s">
        <v>9393</v>
      </c>
      <c r="C1535" t="s">
        <v>9394</v>
      </c>
      <c r="D1535" t="s">
        <v>9395</v>
      </c>
      <c r="E1535" t="s">
        <v>9396</v>
      </c>
      <c r="F1535" t="s">
        <v>1411</v>
      </c>
      <c r="G1535" t="s">
        <v>1296</v>
      </c>
      <c r="H1535" t="s">
        <v>3942</v>
      </c>
      <c r="J1535" t="s">
        <v>3962</v>
      </c>
      <c r="K1535" t="s">
        <v>519</v>
      </c>
      <c r="M1535" t="s">
        <v>1297</v>
      </c>
      <c r="N1535" t="s">
        <v>571</v>
      </c>
      <c r="O1535" t="s">
        <v>1298</v>
      </c>
      <c r="P1535" t="s">
        <v>654</v>
      </c>
      <c r="Q1535" t="s">
        <v>1299</v>
      </c>
      <c r="R1535" t="s">
        <v>1300</v>
      </c>
      <c r="S1535" t="s">
        <v>1301</v>
      </c>
      <c r="T1535" t="s">
        <v>1235</v>
      </c>
      <c r="U1535">
        <v>176000</v>
      </c>
      <c r="V1535" t="s">
        <v>1412</v>
      </c>
      <c r="W1535" t="s">
        <v>1303</v>
      </c>
      <c r="X1535" t="s">
        <v>9397</v>
      </c>
      <c r="Y1535" t="s">
        <v>4404</v>
      </c>
      <c r="Z1535" t="s">
        <v>4405</v>
      </c>
      <c r="AA1535" t="s">
        <v>4529</v>
      </c>
      <c r="AB1535" t="s">
        <v>9398</v>
      </c>
      <c r="AC1535">
        <v>99132</v>
      </c>
      <c r="AD1535" t="s">
        <v>8513</v>
      </c>
      <c r="AE1535">
        <v>-37.745800770000002</v>
      </c>
      <c r="AF1535">
        <v>175.24043155999999</v>
      </c>
      <c r="AG1535">
        <v>99</v>
      </c>
      <c r="AH1535">
        <v>25</v>
      </c>
      <c r="AI1535">
        <v>0</v>
      </c>
      <c r="AJ1535">
        <v>9</v>
      </c>
      <c r="AK1535">
        <v>9</v>
      </c>
      <c r="AL1535">
        <v>14</v>
      </c>
      <c r="AM1535">
        <v>9</v>
      </c>
      <c r="AN1535">
        <v>0</v>
      </c>
      <c r="AO1535">
        <v>41</v>
      </c>
      <c r="AP1535">
        <v>19</v>
      </c>
      <c r="AQ1535">
        <v>14</v>
      </c>
      <c r="AR1535">
        <v>7</v>
      </c>
      <c r="AS1535">
        <v>9</v>
      </c>
      <c r="AT1535">
        <v>2</v>
      </c>
    </row>
    <row r="1536" spans="1:46">
      <c r="A1536">
        <v>34074</v>
      </c>
      <c r="B1536" t="s">
        <v>9399</v>
      </c>
      <c r="C1536" t="s">
        <v>9400</v>
      </c>
      <c r="D1536" t="s">
        <v>9401</v>
      </c>
      <c r="E1536" t="s">
        <v>9402</v>
      </c>
      <c r="G1536" t="s">
        <v>1460</v>
      </c>
      <c r="H1536" t="s">
        <v>3942</v>
      </c>
      <c r="I1536" t="s">
        <v>5772</v>
      </c>
      <c r="J1536" t="s">
        <v>3962</v>
      </c>
      <c r="K1536" t="s">
        <v>519</v>
      </c>
      <c r="M1536" t="s">
        <v>1297</v>
      </c>
      <c r="N1536" t="s">
        <v>557</v>
      </c>
      <c r="O1536" t="s">
        <v>1461</v>
      </c>
      <c r="P1536" t="s">
        <v>523</v>
      </c>
      <c r="Q1536" t="s">
        <v>1299</v>
      </c>
      <c r="R1536" t="s">
        <v>1300</v>
      </c>
      <c r="S1536" t="s">
        <v>1438</v>
      </c>
      <c r="T1536" t="s">
        <v>1235</v>
      </c>
      <c r="U1536">
        <v>167700</v>
      </c>
      <c r="V1536" t="s">
        <v>1462</v>
      </c>
      <c r="W1536" t="s">
        <v>1463</v>
      </c>
      <c r="X1536" t="s">
        <v>9403</v>
      </c>
      <c r="Y1536" t="s">
        <v>8490</v>
      </c>
      <c r="Z1536" t="s">
        <v>9404</v>
      </c>
      <c r="AA1536" t="s">
        <v>9405</v>
      </c>
      <c r="AB1536" t="s">
        <v>9406</v>
      </c>
      <c r="AC1536">
        <v>99087</v>
      </c>
      <c r="AD1536" t="s">
        <v>1464</v>
      </c>
      <c r="AE1536">
        <v>-37.137385029999997</v>
      </c>
      <c r="AF1536">
        <v>175.54277698000001</v>
      </c>
      <c r="AG1536">
        <v>50</v>
      </c>
      <c r="AH1536">
        <v>12</v>
      </c>
      <c r="AI1536">
        <v>5</v>
      </c>
      <c r="AJ1536">
        <v>11</v>
      </c>
      <c r="AK1536">
        <v>8</v>
      </c>
      <c r="AL1536">
        <v>3</v>
      </c>
      <c r="AM1536">
        <v>7</v>
      </c>
      <c r="AN1536">
        <v>0</v>
      </c>
      <c r="AO1536">
        <v>34</v>
      </c>
      <c r="AP1536">
        <v>25</v>
      </c>
      <c r="AQ1536">
        <v>19</v>
      </c>
      <c r="AR1536">
        <v>1</v>
      </c>
      <c r="AS1536">
        <v>6</v>
      </c>
      <c r="AT1536">
        <v>0</v>
      </c>
    </row>
    <row r="1537" spans="1:46">
      <c r="A1537">
        <v>34075</v>
      </c>
      <c r="B1537" t="s">
        <v>9407</v>
      </c>
      <c r="C1537" t="s">
        <v>9408</v>
      </c>
      <c r="D1537" t="s">
        <v>9409</v>
      </c>
      <c r="E1537" t="s">
        <v>9410</v>
      </c>
      <c r="F1537" t="s">
        <v>1295</v>
      </c>
      <c r="G1537" t="s">
        <v>1296</v>
      </c>
      <c r="H1537" t="s">
        <v>4032</v>
      </c>
      <c r="I1537" t="s">
        <v>4033</v>
      </c>
      <c r="J1537" t="s">
        <v>518</v>
      </c>
      <c r="K1537" t="s">
        <v>519</v>
      </c>
      <c r="M1537" t="s">
        <v>1297</v>
      </c>
      <c r="N1537" t="s">
        <v>727</v>
      </c>
      <c r="O1537" t="s">
        <v>1298</v>
      </c>
      <c r="P1537" t="s">
        <v>654</v>
      </c>
      <c r="Q1537" t="s">
        <v>1299</v>
      </c>
      <c r="R1537" t="s">
        <v>1300</v>
      </c>
      <c r="S1537" t="s">
        <v>1301</v>
      </c>
      <c r="T1537" t="s">
        <v>1235</v>
      </c>
      <c r="U1537">
        <v>179502</v>
      </c>
      <c r="V1537" t="s">
        <v>1363</v>
      </c>
      <c r="W1537" t="s">
        <v>1303</v>
      </c>
      <c r="X1537" t="s">
        <v>9411</v>
      </c>
      <c r="Y1537" t="s">
        <v>9412</v>
      </c>
      <c r="AA1537" t="s">
        <v>9301</v>
      </c>
      <c r="AE1537">
        <v>-37.805434310000003</v>
      </c>
      <c r="AF1537">
        <v>175.28203391</v>
      </c>
      <c r="AG1537">
        <v>31</v>
      </c>
      <c r="AH1537">
        <v>20</v>
      </c>
    </row>
    <row r="1538" spans="1:46">
      <c r="A1538">
        <v>34080</v>
      </c>
      <c r="B1538" t="s">
        <v>9413</v>
      </c>
      <c r="C1538" t="s">
        <v>9414</v>
      </c>
      <c r="D1538" t="s">
        <v>9415</v>
      </c>
      <c r="E1538" t="s">
        <v>9416</v>
      </c>
      <c r="G1538" t="s">
        <v>9417</v>
      </c>
      <c r="H1538" t="s">
        <v>3942</v>
      </c>
      <c r="J1538" t="s">
        <v>518</v>
      </c>
      <c r="K1538" t="s">
        <v>519</v>
      </c>
      <c r="M1538" t="s">
        <v>1297</v>
      </c>
      <c r="N1538" t="s">
        <v>571</v>
      </c>
      <c r="O1538" t="s">
        <v>1351</v>
      </c>
      <c r="P1538" t="s">
        <v>572</v>
      </c>
      <c r="Q1538" t="s">
        <v>1299</v>
      </c>
      <c r="R1538" t="s">
        <v>1300</v>
      </c>
      <c r="S1538" t="s">
        <v>1300</v>
      </c>
      <c r="T1538" t="s">
        <v>1235</v>
      </c>
      <c r="U1538">
        <v>173100</v>
      </c>
      <c r="V1538" t="s">
        <v>9418</v>
      </c>
      <c r="W1538" t="s">
        <v>8358</v>
      </c>
      <c r="X1538" t="s">
        <v>9419</v>
      </c>
      <c r="Y1538" t="s">
        <v>9420</v>
      </c>
      <c r="AA1538" t="s">
        <v>9421</v>
      </c>
      <c r="AB1538" t="s">
        <v>9422</v>
      </c>
      <c r="AE1538">
        <v>-37.772615809999998</v>
      </c>
      <c r="AF1538">
        <v>175.45528741000001</v>
      </c>
      <c r="AG1538">
        <v>27</v>
      </c>
      <c r="AH1538">
        <v>7</v>
      </c>
      <c r="AI1538">
        <v>3</v>
      </c>
      <c r="AJ1538">
        <v>5</v>
      </c>
      <c r="AK1538">
        <v>7</v>
      </c>
      <c r="AL1538">
        <v>7</v>
      </c>
      <c r="AM1538">
        <v>8</v>
      </c>
      <c r="AN1538">
        <v>0</v>
      </c>
      <c r="AO1538">
        <v>30</v>
      </c>
      <c r="AP1538">
        <v>25</v>
      </c>
      <c r="AQ1538">
        <v>6</v>
      </c>
      <c r="AR1538">
        <v>0</v>
      </c>
      <c r="AS1538">
        <v>3</v>
      </c>
      <c r="AT1538">
        <v>0</v>
      </c>
    </row>
    <row r="1539" spans="1:46">
      <c r="A1539">
        <v>34084</v>
      </c>
      <c r="B1539" t="s">
        <v>9423</v>
      </c>
      <c r="C1539" t="s">
        <v>9424</v>
      </c>
      <c r="D1539" t="s">
        <v>9425</v>
      </c>
      <c r="E1539" t="s">
        <v>9426</v>
      </c>
      <c r="G1539" t="s">
        <v>9427</v>
      </c>
      <c r="H1539" t="s">
        <v>3942</v>
      </c>
      <c r="J1539" t="s">
        <v>3962</v>
      </c>
      <c r="K1539" t="s">
        <v>519</v>
      </c>
      <c r="M1539" t="s">
        <v>1297</v>
      </c>
      <c r="N1539" t="s">
        <v>571</v>
      </c>
      <c r="O1539" t="s">
        <v>1351</v>
      </c>
      <c r="P1539" t="s">
        <v>572</v>
      </c>
      <c r="Q1539" t="s">
        <v>1299</v>
      </c>
      <c r="R1539" t="s">
        <v>1300</v>
      </c>
      <c r="S1539" t="s">
        <v>1300</v>
      </c>
      <c r="T1539" t="s">
        <v>1235</v>
      </c>
      <c r="U1539">
        <v>173300</v>
      </c>
      <c r="V1539" t="s">
        <v>9428</v>
      </c>
      <c r="W1539" t="s">
        <v>8358</v>
      </c>
      <c r="X1539" t="s">
        <v>9429</v>
      </c>
      <c r="Y1539" t="s">
        <v>9430</v>
      </c>
      <c r="AA1539" t="s">
        <v>8928</v>
      </c>
      <c r="AB1539" t="s">
        <v>9431</v>
      </c>
      <c r="AE1539">
        <v>-37.804345869999999</v>
      </c>
      <c r="AF1539">
        <v>175.40490764</v>
      </c>
      <c r="AG1539">
        <v>70</v>
      </c>
      <c r="AH1539">
        <v>20</v>
      </c>
      <c r="AI1539">
        <v>3</v>
      </c>
      <c r="AJ1539">
        <v>18</v>
      </c>
      <c r="AK1539">
        <v>12</v>
      </c>
      <c r="AL1539">
        <v>10</v>
      </c>
      <c r="AM1539">
        <v>19</v>
      </c>
      <c r="AN1539">
        <v>0</v>
      </c>
      <c r="AO1539">
        <v>62</v>
      </c>
      <c r="AP1539">
        <v>57</v>
      </c>
      <c r="AQ1539">
        <v>14</v>
      </c>
      <c r="AR1539">
        <v>1</v>
      </c>
      <c r="AS1539">
        <v>5</v>
      </c>
      <c r="AT1539">
        <v>0</v>
      </c>
    </row>
    <row r="1540" spans="1:46">
      <c r="A1540">
        <v>34085</v>
      </c>
      <c r="B1540" t="s">
        <v>9432</v>
      </c>
      <c r="C1540" t="s">
        <v>9433</v>
      </c>
      <c r="D1540" t="s">
        <v>9434</v>
      </c>
      <c r="E1540" t="s">
        <v>9435</v>
      </c>
      <c r="G1540" t="s">
        <v>9436</v>
      </c>
      <c r="H1540" t="s">
        <v>3942</v>
      </c>
      <c r="J1540" t="s">
        <v>518</v>
      </c>
      <c r="K1540" t="s">
        <v>519</v>
      </c>
      <c r="M1540" t="s">
        <v>1297</v>
      </c>
      <c r="N1540" t="s">
        <v>571</v>
      </c>
      <c r="O1540" t="s">
        <v>1461</v>
      </c>
      <c r="P1540" t="s">
        <v>540</v>
      </c>
      <c r="Q1540" t="s">
        <v>1299</v>
      </c>
      <c r="R1540" t="s">
        <v>1300</v>
      </c>
      <c r="S1540" t="s">
        <v>1438</v>
      </c>
      <c r="T1540" t="s">
        <v>1235</v>
      </c>
      <c r="U1540">
        <v>167200</v>
      </c>
      <c r="V1540" t="s">
        <v>9437</v>
      </c>
      <c r="W1540" t="s">
        <v>1463</v>
      </c>
      <c r="X1540" t="s">
        <v>9438</v>
      </c>
      <c r="Y1540" t="s">
        <v>9439</v>
      </c>
      <c r="AA1540" t="s">
        <v>9440</v>
      </c>
      <c r="AB1540" t="s">
        <v>9441</v>
      </c>
      <c r="AE1540">
        <v>-37.046548610000002</v>
      </c>
      <c r="AF1540">
        <v>175.52099057000001</v>
      </c>
      <c r="AG1540">
        <v>20</v>
      </c>
      <c r="AH1540">
        <v>0</v>
      </c>
      <c r="AI1540">
        <v>0</v>
      </c>
      <c r="AJ1540">
        <v>4</v>
      </c>
      <c r="AK1540">
        <v>5</v>
      </c>
      <c r="AL1540">
        <v>6</v>
      </c>
      <c r="AM1540">
        <v>9</v>
      </c>
      <c r="AN1540">
        <v>0</v>
      </c>
      <c r="AO1540">
        <v>24</v>
      </c>
      <c r="AP1540">
        <v>22</v>
      </c>
      <c r="AQ1540">
        <v>4</v>
      </c>
      <c r="AR1540">
        <v>4</v>
      </c>
      <c r="AS1540">
        <v>1</v>
      </c>
      <c r="AT1540">
        <v>3</v>
      </c>
    </row>
    <row r="1541" spans="1:46">
      <c r="A1541">
        <v>34088</v>
      </c>
      <c r="B1541" t="s">
        <v>9442</v>
      </c>
      <c r="C1541" t="s">
        <v>9443</v>
      </c>
      <c r="E1541" t="s">
        <v>9444</v>
      </c>
      <c r="G1541" t="s">
        <v>3683</v>
      </c>
      <c r="H1541" t="s">
        <v>3942</v>
      </c>
      <c r="J1541" t="s">
        <v>3962</v>
      </c>
      <c r="K1541" t="s">
        <v>519</v>
      </c>
      <c r="M1541" t="s">
        <v>1297</v>
      </c>
      <c r="N1541" t="s">
        <v>557</v>
      </c>
      <c r="O1541" t="s">
        <v>1437</v>
      </c>
      <c r="P1541" t="s">
        <v>523</v>
      </c>
      <c r="Q1541" t="s">
        <v>1299</v>
      </c>
      <c r="R1541" t="s">
        <v>1300</v>
      </c>
      <c r="S1541" t="s">
        <v>1438</v>
      </c>
      <c r="T1541" t="s">
        <v>1235</v>
      </c>
      <c r="U1541">
        <v>169401</v>
      </c>
      <c r="V1541" t="s">
        <v>9445</v>
      </c>
      <c r="W1541" t="s">
        <v>3685</v>
      </c>
      <c r="X1541" t="s">
        <v>9446</v>
      </c>
      <c r="Y1541" t="s">
        <v>9447</v>
      </c>
      <c r="AA1541" t="s">
        <v>9448</v>
      </c>
      <c r="AB1541" t="s">
        <v>9449</v>
      </c>
      <c r="AC1541">
        <v>99089</v>
      </c>
      <c r="AD1541" t="s">
        <v>3686</v>
      </c>
      <c r="AE1541">
        <v>-37.388390630000004</v>
      </c>
      <c r="AF1541">
        <v>175.83255492000001</v>
      </c>
      <c r="AG1541">
        <v>30</v>
      </c>
      <c r="AH1541">
        <v>8</v>
      </c>
      <c r="AI1541">
        <v>0</v>
      </c>
      <c r="AJ1541">
        <v>8</v>
      </c>
      <c r="AK1541">
        <v>9</v>
      </c>
      <c r="AL1541">
        <v>9</v>
      </c>
      <c r="AM1541">
        <v>11</v>
      </c>
      <c r="AN1541">
        <v>2</v>
      </c>
      <c r="AO1541">
        <v>39</v>
      </c>
      <c r="AP1541">
        <v>35</v>
      </c>
      <c r="AQ1541">
        <v>18</v>
      </c>
      <c r="AR1541">
        <v>1</v>
      </c>
      <c r="AS1541">
        <v>1</v>
      </c>
      <c r="AT1541">
        <v>0</v>
      </c>
    </row>
    <row r="1542" spans="1:46">
      <c r="A1542">
        <v>34089</v>
      </c>
      <c r="B1542" t="s">
        <v>9450</v>
      </c>
      <c r="C1542" t="s">
        <v>9451</v>
      </c>
      <c r="D1542" t="s">
        <v>9452</v>
      </c>
      <c r="E1542" t="s">
        <v>9453</v>
      </c>
      <c r="G1542" t="s">
        <v>1460</v>
      </c>
      <c r="H1542" t="s">
        <v>3942</v>
      </c>
      <c r="J1542" t="s">
        <v>3962</v>
      </c>
      <c r="K1542" t="s">
        <v>519</v>
      </c>
      <c r="M1542" t="s">
        <v>1297</v>
      </c>
      <c r="N1542" t="s">
        <v>571</v>
      </c>
      <c r="O1542" t="s">
        <v>1461</v>
      </c>
      <c r="P1542" t="s">
        <v>523</v>
      </c>
      <c r="Q1542" t="s">
        <v>1299</v>
      </c>
      <c r="R1542" t="s">
        <v>1300</v>
      </c>
      <c r="S1542" t="s">
        <v>1438</v>
      </c>
      <c r="T1542" t="s">
        <v>1235</v>
      </c>
      <c r="U1542">
        <v>168001</v>
      </c>
      <c r="V1542" t="s">
        <v>9454</v>
      </c>
      <c r="W1542" t="s">
        <v>1463</v>
      </c>
      <c r="X1542" t="s">
        <v>9455</v>
      </c>
      <c r="Y1542" t="s">
        <v>9456</v>
      </c>
      <c r="AA1542" t="s">
        <v>9457</v>
      </c>
      <c r="AB1542" t="s">
        <v>9458</v>
      </c>
      <c r="AC1542">
        <v>99087</v>
      </c>
      <c r="AD1542" t="s">
        <v>1464</v>
      </c>
      <c r="AE1542">
        <v>-37.170345419999997</v>
      </c>
      <c r="AF1542">
        <v>175.55848258</v>
      </c>
      <c r="AG1542">
        <v>44</v>
      </c>
      <c r="AH1542">
        <v>10</v>
      </c>
      <c r="AI1542">
        <v>0</v>
      </c>
      <c r="AJ1542">
        <v>5</v>
      </c>
      <c r="AK1542">
        <v>10</v>
      </c>
      <c r="AL1542">
        <v>12</v>
      </c>
      <c r="AM1542">
        <v>11</v>
      </c>
      <c r="AN1542">
        <v>1</v>
      </c>
      <c r="AO1542">
        <v>39</v>
      </c>
      <c r="AP1542">
        <v>33</v>
      </c>
      <c r="AQ1542">
        <v>15</v>
      </c>
      <c r="AR1542">
        <v>4</v>
      </c>
      <c r="AS1542">
        <v>2</v>
      </c>
      <c r="AT1542">
        <v>1</v>
      </c>
    </row>
    <row r="1543" spans="1:46">
      <c r="A1543">
        <v>34093</v>
      </c>
      <c r="B1543" t="s">
        <v>9459</v>
      </c>
      <c r="C1543" t="s">
        <v>9460</v>
      </c>
      <c r="D1543" t="s">
        <v>9461</v>
      </c>
      <c r="E1543" t="s">
        <v>9462</v>
      </c>
      <c r="G1543" t="s">
        <v>1555</v>
      </c>
      <c r="H1543" t="s">
        <v>3942</v>
      </c>
      <c r="J1543" t="s">
        <v>518</v>
      </c>
      <c r="K1543" t="s">
        <v>519</v>
      </c>
      <c r="M1543" t="s">
        <v>1297</v>
      </c>
      <c r="N1543" t="s">
        <v>557</v>
      </c>
      <c r="O1543" t="s">
        <v>1351</v>
      </c>
      <c r="P1543" t="s">
        <v>523</v>
      </c>
      <c r="Q1543" t="s">
        <v>1299</v>
      </c>
      <c r="R1543" t="s">
        <v>1300</v>
      </c>
      <c r="S1543" t="s">
        <v>1300</v>
      </c>
      <c r="T1543" t="s">
        <v>1235</v>
      </c>
      <c r="U1543">
        <v>171501</v>
      </c>
      <c r="V1543" t="s">
        <v>9463</v>
      </c>
      <c r="W1543" t="s">
        <v>1557</v>
      </c>
      <c r="X1543" t="s">
        <v>9464</v>
      </c>
      <c r="Y1543" t="s">
        <v>9462</v>
      </c>
      <c r="Z1543" t="s">
        <v>1555</v>
      </c>
      <c r="AA1543" t="s">
        <v>9465</v>
      </c>
      <c r="AB1543" t="s">
        <v>9466</v>
      </c>
      <c r="AE1543">
        <v>-37.541994410000001</v>
      </c>
      <c r="AF1543">
        <v>175.1654791</v>
      </c>
      <c r="AG1543">
        <v>40</v>
      </c>
      <c r="AH1543">
        <v>0</v>
      </c>
      <c r="AI1543">
        <v>0</v>
      </c>
      <c r="AJ1543">
        <v>0</v>
      </c>
      <c r="AK1543">
        <v>13</v>
      </c>
      <c r="AL1543">
        <v>14</v>
      </c>
      <c r="AM1543">
        <v>23</v>
      </c>
      <c r="AN1543">
        <v>2</v>
      </c>
      <c r="AO1543">
        <v>52</v>
      </c>
      <c r="AP1543">
        <v>40</v>
      </c>
      <c r="AQ1543">
        <v>16</v>
      </c>
      <c r="AR1543">
        <v>3</v>
      </c>
      <c r="AS1543">
        <v>5</v>
      </c>
      <c r="AT1543">
        <v>1</v>
      </c>
    </row>
    <row r="1544" spans="1:46">
      <c r="A1544">
        <v>34095</v>
      </c>
      <c r="B1544" t="s">
        <v>9467</v>
      </c>
      <c r="C1544" t="s">
        <v>9468</v>
      </c>
      <c r="E1544" t="s">
        <v>9469</v>
      </c>
      <c r="F1544" t="s">
        <v>1345</v>
      </c>
      <c r="G1544" t="s">
        <v>1296</v>
      </c>
      <c r="H1544" t="s">
        <v>3942</v>
      </c>
      <c r="J1544" t="s">
        <v>518</v>
      </c>
      <c r="K1544" t="s">
        <v>519</v>
      </c>
      <c r="M1544" t="s">
        <v>1297</v>
      </c>
      <c r="N1544" t="s">
        <v>557</v>
      </c>
      <c r="O1544" t="s">
        <v>1298</v>
      </c>
      <c r="P1544" t="s">
        <v>654</v>
      </c>
      <c r="Q1544" t="s">
        <v>1299</v>
      </c>
      <c r="R1544" t="s">
        <v>1300</v>
      </c>
      <c r="S1544" t="s">
        <v>1301</v>
      </c>
      <c r="T1544" t="s">
        <v>1235</v>
      </c>
      <c r="U1544">
        <v>178701</v>
      </c>
      <c r="V1544" t="s">
        <v>1346</v>
      </c>
      <c r="W1544" t="s">
        <v>1303</v>
      </c>
      <c r="X1544" t="s">
        <v>8377</v>
      </c>
      <c r="Y1544" t="s">
        <v>3944</v>
      </c>
      <c r="Z1544" t="s">
        <v>3945</v>
      </c>
      <c r="AA1544" t="s">
        <v>3946</v>
      </c>
      <c r="AB1544" t="s">
        <v>8378</v>
      </c>
      <c r="AC1544">
        <v>99035</v>
      </c>
      <c r="AD1544" t="s">
        <v>1308</v>
      </c>
      <c r="AE1544">
        <v>-37.792790170000004</v>
      </c>
      <c r="AF1544">
        <v>175.25566486</v>
      </c>
      <c r="AG1544">
        <v>40</v>
      </c>
      <c r="AH1544">
        <v>12</v>
      </c>
      <c r="AI1544">
        <v>2</v>
      </c>
      <c r="AJ1544">
        <v>10</v>
      </c>
      <c r="AK1544">
        <v>8</v>
      </c>
      <c r="AL1544">
        <v>11</v>
      </c>
      <c r="AM1544">
        <v>9</v>
      </c>
      <c r="AN1544">
        <v>0</v>
      </c>
      <c r="AO1544">
        <v>40</v>
      </c>
      <c r="AP1544">
        <v>16</v>
      </c>
      <c r="AQ1544">
        <v>15</v>
      </c>
      <c r="AR1544">
        <v>7</v>
      </c>
      <c r="AS1544">
        <v>15</v>
      </c>
      <c r="AT1544">
        <v>4</v>
      </c>
    </row>
    <row r="1545" spans="1:46">
      <c r="A1545">
        <v>34097</v>
      </c>
      <c r="B1545" t="s">
        <v>9470</v>
      </c>
      <c r="C1545" t="s">
        <v>9471</v>
      </c>
      <c r="D1545" t="s">
        <v>9472</v>
      </c>
      <c r="E1545" t="s">
        <v>9473</v>
      </c>
      <c r="G1545" t="s">
        <v>3683</v>
      </c>
      <c r="H1545" t="s">
        <v>3942</v>
      </c>
      <c r="J1545" t="s">
        <v>3962</v>
      </c>
      <c r="K1545" t="s">
        <v>519</v>
      </c>
      <c r="M1545" t="s">
        <v>1297</v>
      </c>
      <c r="N1545" t="s">
        <v>539</v>
      </c>
      <c r="O1545" t="s">
        <v>1437</v>
      </c>
      <c r="P1545" t="s">
        <v>523</v>
      </c>
      <c r="Q1545" t="s">
        <v>1299</v>
      </c>
      <c r="R1545" t="s">
        <v>1300</v>
      </c>
      <c r="S1545" t="s">
        <v>1438</v>
      </c>
      <c r="T1545" t="s">
        <v>1235</v>
      </c>
      <c r="U1545">
        <v>169600</v>
      </c>
      <c r="V1545" t="s">
        <v>8913</v>
      </c>
      <c r="W1545" t="s">
        <v>3685</v>
      </c>
      <c r="X1545" t="s">
        <v>9474</v>
      </c>
      <c r="Y1545" t="s">
        <v>9473</v>
      </c>
      <c r="AA1545" t="s">
        <v>9475</v>
      </c>
      <c r="AB1545" t="s">
        <v>9471</v>
      </c>
      <c r="AC1545">
        <v>99089</v>
      </c>
      <c r="AD1545" t="s">
        <v>3686</v>
      </c>
      <c r="AE1545">
        <v>-37.395636099999997</v>
      </c>
      <c r="AF1545">
        <v>175.83212839999999</v>
      </c>
      <c r="AG1545">
        <v>37</v>
      </c>
      <c r="AH1545">
        <v>7</v>
      </c>
      <c r="AI1545">
        <v>3</v>
      </c>
      <c r="AJ1545">
        <v>8</v>
      </c>
      <c r="AK1545">
        <v>14</v>
      </c>
      <c r="AL1545">
        <v>8</v>
      </c>
      <c r="AM1545">
        <v>12</v>
      </c>
      <c r="AN1545">
        <v>0</v>
      </c>
      <c r="AO1545">
        <v>45</v>
      </c>
      <c r="AP1545">
        <v>36</v>
      </c>
      <c r="AQ1545">
        <v>6</v>
      </c>
      <c r="AR1545">
        <v>1</v>
      </c>
      <c r="AS1545">
        <v>7</v>
      </c>
      <c r="AT1545">
        <v>1</v>
      </c>
    </row>
    <row r="1546" spans="1:46">
      <c r="A1546">
        <v>34100</v>
      </c>
      <c r="B1546" t="s">
        <v>9476</v>
      </c>
      <c r="C1546" t="s">
        <v>9477</v>
      </c>
      <c r="E1546" t="s">
        <v>9478</v>
      </c>
      <c r="F1546" t="s">
        <v>9479</v>
      </c>
      <c r="G1546" t="s">
        <v>3826</v>
      </c>
      <c r="H1546" t="s">
        <v>3942</v>
      </c>
      <c r="I1546" t="s">
        <v>4231</v>
      </c>
      <c r="J1546" t="s">
        <v>518</v>
      </c>
      <c r="K1546" t="s">
        <v>519</v>
      </c>
      <c r="M1546" t="s">
        <v>1297</v>
      </c>
      <c r="N1546" t="s">
        <v>571</v>
      </c>
      <c r="O1546" t="s">
        <v>1461</v>
      </c>
      <c r="P1546" t="s">
        <v>540</v>
      </c>
      <c r="Q1546" t="s">
        <v>1299</v>
      </c>
      <c r="R1546" t="s">
        <v>1300</v>
      </c>
      <c r="S1546" t="s">
        <v>1438</v>
      </c>
      <c r="T1546" t="s">
        <v>1235</v>
      </c>
      <c r="U1546">
        <v>166900</v>
      </c>
      <c r="V1546" t="s">
        <v>9480</v>
      </c>
      <c r="W1546" t="s">
        <v>3828</v>
      </c>
      <c r="X1546" t="s">
        <v>9481</v>
      </c>
      <c r="Y1546" t="s">
        <v>9482</v>
      </c>
      <c r="AA1546" t="s">
        <v>9483</v>
      </c>
      <c r="AB1546" t="s">
        <v>9484</v>
      </c>
      <c r="AC1546">
        <v>99155</v>
      </c>
      <c r="AD1546" t="s">
        <v>3829</v>
      </c>
      <c r="AE1546">
        <v>-36.72239579</v>
      </c>
      <c r="AF1546">
        <v>175.73057559</v>
      </c>
      <c r="AG1546">
        <v>20</v>
      </c>
      <c r="AH1546">
        <v>0</v>
      </c>
      <c r="AI1546">
        <v>0</v>
      </c>
      <c r="AJ1546">
        <v>0</v>
      </c>
      <c r="AK1546">
        <v>3</v>
      </c>
      <c r="AL1546">
        <v>11</v>
      </c>
      <c r="AM1546">
        <v>5</v>
      </c>
      <c r="AN1546">
        <v>0</v>
      </c>
      <c r="AO1546">
        <v>19</v>
      </c>
      <c r="AP1546">
        <v>17</v>
      </c>
      <c r="AQ1546">
        <v>6</v>
      </c>
      <c r="AR1546">
        <v>1</v>
      </c>
      <c r="AS1546">
        <v>0</v>
      </c>
      <c r="AT1546">
        <v>0</v>
      </c>
    </row>
    <row r="1547" spans="1:46">
      <c r="A1547">
        <v>34102</v>
      </c>
      <c r="B1547" t="s">
        <v>9485</v>
      </c>
      <c r="C1547" t="s">
        <v>9486</v>
      </c>
      <c r="E1547" t="s">
        <v>9487</v>
      </c>
      <c r="G1547" t="s">
        <v>1483</v>
      </c>
      <c r="H1547" t="s">
        <v>3942</v>
      </c>
      <c r="I1547" t="s">
        <v>4575</v>
      </c>
      <c r="J1547" t="s">
        <v>518</v>
      </c>
      <c r="K1547" t="s">
        <v>519</v>
      </c>
      <c r="M1547" t="s">
        <v>1297</v>
      </c>
      <c r="N1547" t="s">
        <v>521</v>
      </c>
      <c r="O1547" t="s">
        <v>1484</v>
      </c>
      <c r="P1547" t="s">
        <v>1262</v>
      </c>
      <c r="Q1547" t="s">
        <v>1299</v>
      </c>
      <c r="R1547" t="s">
        <v>1300</v>
      </c>
      <c r="S1547" t="s">
        <v>1320</v>
      </c>
      <c r="T1547" t="s">
        <v>1485</v>
      </c>
      <c r="U1547">
        <v>186700</v>
      </c>
      <c r="V1547" t="s">
        <v>8683</v>
      </c>
      <c r="W1547" t="s">
        <v>1487</v>
      </c>
      <c r="X1547" t="s">
        <v>9488</v>
      </c>
      <c r="Y1547" t="s">
        <v>9489</v>
      </c>
      <c r="Z1547" t="s">
        <v>1483</v>
      </c>
      <c r="AA1547" t="s">
        <v>8586</v>
      </c>
      <c r="AB1547" t="s">
        <v>9486</v>
      </c>
      <c r="AC1547">
        <v>99195</v>
      </c>
      <c r="AD1547" t="s">
        <v>1490</v>
      </c>
      <c r="AE1547">
        <v>-38.221132670000003</v>
      </c>
      <c r="AF1547">
        <v>175.87293652</v>
      </c>
      <c r="AG1547">
        <v>50</v>
      </c>
      <c r="AH1547">
        <v>10</v>
      </c>
      <c r="AI1547">
        <v>0</v>
      </c>
      <c r="AJ1547">
        <v>4</v>
      </c>
      <c r="AK1547">
        <v>8</v>
      </c>
      <c r="AL1547">
        <v>13</v>
      </c>
      <c r="AM1547">
        <v>8</v>
      </c>
      <c r="AN1547">
        <v>0</v>
      </c>
      <c r="AO1547">
        <v>33</v>
      </c>
      <c r="AP1547">
        <v>2</v>
      </c>
      <c r="AQ1547">
        <v>11</v>
      </c>
      <c r="AR1547">
        <v>19</v>
      </c>
      <c r="AS1547">
        <v>2</v>
      </c>
      <c r="AT1547">
        <v>0</v>
      </c>
    </row>
    <row r="1548" spans="1:46">
      <c r="A1548">
        <v>34106</v>
      </c>
      <c r="B1548" t="s">
        <v>9490</v>
      </c>
      <c r="C1548" t="s">
        <v>9491</v>
      </c>
      <c r="E1548" t="s">
        <v>9492</v>
      </c>
      <c r="F1548" t="s">
        <v>1295</v>
      </c>
      <c r="G1548" t="s">
        <v>1296</v>
      </c>
      <c r="H1548" t="s">
        <v>3942</v>
      </c>
      <c r="J1548" t="s">
        <v>3962</v>
      </c>
      <c r="K1548" t="s">
        <v>519</v>
      </c>
      <c r="M1548" t="s">
        <v>1297</v>
      </c>
      <c r="N1548" t="s">
        <v>571</v>
      </c>
      <c r="O1548" t="s">
        <v>1298</v>
      </c>
      <c r="P1548" t="s">
        <v>654</v>
      </c>
      <c r="Q1548" t="s">
        <v>1299</v>
      </c>
      <c r="R1548" t="s">
        <v>1300</v>
      </c>
      <c r="S1548" t="s">
        <v>1312</v>
      </c>
      <c r="T1548" t="s">
        <v>1235</v>
      </c>
      <c r="U1548">
        <v>177700</v>
      </c>
      <c r="V1548" t="s">
        <v>9269</v>
      </c>
      <c r="W1548" t="s">
        <v>1314</v>
      </c>
      <c r="X1548" t="s">
        <v>9493</v>
      </c>
      <c r="Y1548" t="s">
        <v>9494</v>
      </c>
      <c r="Z1548" t="s">
        <v>9495</v>
      </c>
      <c r="AA1548" t="s">
        <v>8511</v>
      </c>
      <c r="AB1548" t="s">
        <v>9496</v>
      </c>
      <c r="AE1548">
        <v>-37.759899769999997</v>
      </c>
      <c r="AF1548">
        <v>175.26757187999999</v>
      </c>
      <c r="AG1548">
        <v>50</v>
      </c>
      <c r="AH1548">
        <v>14</v>
      </c>
      <c r="AI1548">
        <v>3</v>
      </c>
      <c r="AJ1548">
        <v>9</v>
      </c>
      <c r="AK1548">
        <v>10</v>
      </c>
      <c r="AL1548">
        <v>12</v>
      </c>
      <c r="AM1548">
        <v>13</v>
      </c>
      <c r="AN1548">
        <v>1</v>
      </c>
      <c r="AO1548">
        <v>48</v>
      </c>
      <c r="AP1548">
        <v>35</v>
      </c>
      <c r="AQ1548">
        <v>31</v>
      </c>
      <c r="AR1548">
        <v>9</v>
      </c>
      <c r="AS1548">
        <v>2</v>
      </c>
      <c r="AT1548">
        <v>0</v>
      </c>
    </row>
    <row r="1549" spans="1:46">
      <c r="A1549">
        <v>34108</v>
      </c>
      <c r="B1549" t="s">
        <v>9497</v>
      </c>
      <c r="C1549" t="s">
        <v>9498</v>
      </c>
      <c r="D1549" t="s">
        <v>9499</v>
      </c>
      <c r="E1549" t="s">
        <v>9500</v>
      </c>
      <c r="F1549" t="s">
        <v>1295</v>
      </c>
      <c r="G1549" t="s">
        <v>1296</v>
      </c>
      <c r="H1549" t="s">
        <v>3942</v>
      </c>
      <c r="J1549" t="s">
        <v>3962</v>
      </c>
      <c r="K1549" t="s">
        <v>519</v>
      </c>
      <c r="M1549" t="s">
        <v>1297</v>
      </c>
      <c r="N1549" t="s">
        <v>571</v>
      </c>
      <c r="O1549" t="s">
        <v>1298</v>
      </c>
      <c r="P1549" t="s">
        <v>654</v>
      </c>
      <c r="Q1549" t="s">
        <v>1299</v>
      </c>
      <c r="R1549" t="s">
        <v>1300</v>
      </c>
      <c r="S1549" t="s">
        <v>1312</v>
      </c>
      <c r="T1549" t="s">
        <v>1235</v>
      </c>
      <c r="U1549">
        <v>180700</v>
      </c>
      <c r="V1549" t="s">
        <v>1367</v>
      </c>
      <c r="W1549" t="s">
        <v>1314</v>
      </c>
      <c r="X1549" t="s">
        <v>9501</v>
      </c>
      <c r="Y1549" t="s">
        <v>9502</v>
      </c>
      <c r="Z1549" t="s">
        <v>1217</v>
      </c>
      <c r="AA1549" t="s">
        <v>9503</v>
      </c>
      <c r="AB1549" t="s">
        <v>9498</v>
      </c>
      <c r="AC1549">
        <v>99057</v>
      </c>
      <c r="AD1549" t="s">
        <v>9504</v>
      </c>
      <c r="AE1549">
        <v>-37.798597600000001</v>
      </c>
      <c r="AF1549">
        <v>175.32193749000001</v>
      </c>
      <c r="AG1549">
        <v>42</v>
      </c>
      <c r="AH1549">
        <v>14</v>
      </c>
      <c r="AI1549">
        <v>2</v>
      </c>
      <c r="AJ1549">
        <v>4</v>
      </c>
      <c r="AK1549">
        <v>13</v>
      </c>
      <c r="AL1549">
        <v>5</v>
      </c>
      <c r="AM1549">
        <v>14</v>
      </c>
      <c r="AN1549">
        <v>1</v>
      </c>
      <c r="AO1549">
        <v>39</v>
      </c>
      <c r="AP1549">
        <v>2</v>
      </c>
      <c r="AQ1549">
        <v>4</v>
      </c>
      <c r="AR1549">
        <v>3</v>
      </c>
      <c r="AS1549">
        <v>33</v>
      </c>
      <c r="AT1549">
        <v>1</v>
      </c>
    </row>
    <row r="1550" spans="1:46">
      <c r="A1550">
        <v>34110</v>
      </c>
      <c r="B1550" t="s">
        <v>9505</v>
      </c>
      <c r="C1550" t="s">
        <v>9506</v>
      </c>
      <c r="D1550" t="s">
        <v>9507</v>
      </c>
      <c r="E1550" t="s">
        <v>9508</v>
      </c>
      <c r="F1550" t="s">
        <v>1295</v>
      </c>
      <c r="G1550" t="s">
        <v>1296</v>
      </c>
      <c r="H1550" t="s">
        <v>3942</v>
      </c>
      <c r="J1550" t="s">
        <v>518</v>
      </c>
      <c r="K1550" t="s">
        <v>519</v>
      </c>
      <c r="M1550" t="s">
        <v>1297</v>
      </c>
      <c r="N1550" t="s">
        <v>571</v>
      </c>
      <c r="O1550" t="s">
        <v>1298</v>
      </c>
      <c r="P1550" t="s">
        <v>654</v>
      </c>
      <c r="Q1550" t="s">
        <v>1299</v>
      </c>
      <c r="R1550" t="s">
        <v>1300</v>
      </c>
      <c r="S1550" t="s">
        <v>1301</v>
      </c>
      <c r="T1550" t="s">
        <v>1235</v>
      </c>
      <c r="U1550">
        <v>179501</v>
      </c>
      <c r="V1550" t="s">
        <v>8548</v>
      </c>
      <c r="W1550" t="s">
        <v>1303</v>
      </c>
      <c r="X1550" t="s">
        <v>9509</v>
      </c>
      <c r="Y1550" t="s">
        <v>4604</v>
      </c>
      <c r="AA1550" t="s">
        <v>4037</v>
      </c>
      <c r="AB1550" t="s">
        <v>9506</v>
      </c>
      <c r="AE1550">
        <v>-37.795748979999999</v>
      </c>
      <c r="AF1550">
        <v>175.28062145999999</v>
      </c>
      <c r="AG1550">
        <v>58</v>
      </c>
      <c r="AH1550">
        <v>20</v>
      </c>
      <c r="AI1550">
        <v>0</v>
      </c>
      <c r="AJ1550">
        <v>2</v>
      </c>
      <c r="AK1550">
        <v>10</v>
      </c>
      <c r="AL1550">
        <v>11</v>
      </c>
      <c r="AM1550">
        <v>15</v>
      </c>
      <c r="AN1550">
        <v>1</v>
      </c>
      <c r="AO1550">
        <v>39</v>
      </c>
      <c r="AP1550">
        <v>5</v>
      </c>
      <c r="AQ1550">
        <v>4</v>
      </c>
      <c r="AR1550">
        <v>1</v>
      </c>
      <c r="AS1550">
        <v>32</v>
      </c>
      <c r="AT1550">
        <v>2</v>
      </c>
    </row>
    <row r="1551" spans="1:46">
      <c r="A1551">
        <v>34111</v>
      </c>
      <c r="B1551" t="s">
        <v>9510</v>
      </c>
      <c r="C1551" t="s">
        <v>9511</v>
      </c>
      <c r="D1551" t="s">
        <v>9512</v>
      </c>
      <c r="E1551" t="s">
        <v>9513</v>
      </c>
      <c r="G1551" t="s">
        <v>1611</v>
      </c>
      <c r="H1551" t="s">
        <v>3942</v>
      </c>
      <c r="J1551" t="s">
        <v>518</v>
      </c>
      <c r="K1551" t="s">
        <v>519</v>
      </c>
      <c r="M1551" t="s">
        <v>1297</v>
      </c>
      <c r="N1551" t="s">
        <v>727</v>
      </c>
      <c r="O1551" t="s">
        <v>1612</v>
      </c>
      <c r="P1551" t="s">
        <v>523</v>
      </c>
      <c r="Q1551" t="s">
        <v>1471</v>
      </c>
      <c r="R1551" t="s">
        <v>1472</v>
      </c>
      <c r="S1551" t="s">
        <v>1473</v>
      </c>
      <c r="T1551" t="s">
        <v>1474</v>
      </c>
      <c r="U1551">
        <v>204400</v>
      </c>
      <c r="V1551" t="s">
        <v>1613</v>
      </c>
      <c r="W1551" t="s">
        <v>1614</v>
      </c>
      <c r="X1551" t="s">
        <v>9514</v>
      </c>
      <c r="Y1551" t="s">
        <v>9515</v>
      </c>
      <c r="AA1551" t="s">
        <v>9516</v>
      </c>
      <c r="AB1551" t="s">
        <v>9517</v>
      </c>
      <c r="AC1551">
        <v>99037</v>
      </c>
      <c r="AD1551" t="s">
        <v>1615</v>
      </c>
      <c r="AE1551">
        <v>-38.01392199</v>
      </c>
      <c r="AF1551">
        <v>177.29233468999999</v>
      </c>
      <c r="AG1551">
        <v>35</v>
      </c>
      <c r="AH1551">
        <v>10</v>
      </c>
      <c r="AI1551">
        <v>1</v>
      </c>
      <c r="AJ1551">
        <v>2</v>
      </c>
      <c r="AK1551">
        <v>3</v>
      </c>
      <c r="AL1551">
        <v>6</v>
      </c>
      <c r="AM1551">
        <v>16</v>
      </c>
      <c r="AN1551">
        <v>0</v>
      </c>
      <c r="AO1551">
        <v>28</v>
      </c>
      <c r="AP1551">
        <v>9</v>
      </c>
      <c r="AQ1551">
        <v>19</v>
      </c>
      <c r="AR1551">
        <v>0</v>
      </c>
      <c r="AS1551">
        <v>7</v>
      </c>
      <c r="AT1551">
        <v>0</v>
      </c>
    </row>
    <row r="1552" spans="1:46">
      <c r="A1552">
        <v>34114</v>
      </c>
      <c r="B1552" t="s">
        <v>9518</v>
      </c>
      <c r="C1552" t="s">
        <v>9519</v>
      </c>
      <c r="D1552" t="s">
        <v>9520</v>
      </c>
      <c r="E1552" t="s">
        <v>9521</v>
      </c>
      <c r="G1552" t="s">
        <v>1449</v>
      </c>
      <c r="H1552" t="s">
        <v>3942</v>
      </c>
      <c r="J1552" t="s">
        <v>518</v>
      </c>
      <c r="K1552" t="s">
        <v>519</v>
      </c>
      <c r="M1552" t="s">
        <v>1297</v>
      </c>
      <c r="N1552" t="s">
        <v>571</v>
      </c>
      <c r="O1552" t="s">
        <v>1450</v>
      </c>
      <c r="P1552" t="s">
        <v>523</v>
      </c>
      <c r="Q1552" t="s">
        <v>1299</v>
      </c>
      <c r="R1552" t="s">
        <v>1300</v>
      </c>
      <c r="S1552" t="s">
        <v>1300</v>
      </c>
      <c r="T1552" t="s">
        <v>1235</v>
      </c>
      <c r="U1552">
        <v>174100</v>
      </c>
      <c r="V1552" t="s">
        <v>1451</v>
      </c>
      <c r="W1552" t="s">
        <v>1452</v>
      </c>
      <c r="X1552" t="s">
        <v>8377</v>
      </c>
      <c r="Y1552" t="s">
        <v>3944</v>
      </c>
      <c r="Z1552" t="s">
        <v>3945</v>
      </c>
      <c r="AA1552" t="s">
        <v>3946</v>
      </c>
      <c r="AB1552" t="s">
        <v>8378</v>
      </c>
      <c r="AC1552">
        <v>99202</v>
      </c>
      <c r="AD1552" t="s">
        <v>1456</v>
      </c>
      <c r="AE1552">
        <v>-37.542104080000001</v>
      </c>
      <c r="AF1552">
        <v>175.71019534000001</v>
      </c>
      <c r="AG1552">
        <v>49</v>
      </c>
      <c r="AH1552">
        <v>15</v>
      </c>
      <c r="AI1552">
        <v>5</v>
      </c>
      <c r="AJ1552">
        <v>5</v>
      </c>
      <c r="AK1552">
        <v>10</v>
      </c>
      <c r="AL1552">
        <v>17</v>
      </c>
      <c r="AM1552">
        <v>17</v>
      </c>
      <c r="AN1552">
        <v>0</v>
      </c>
      <c r="AO1552">
        <v>54</v>
      </c>
      <c r="AP1552">
        <v>33</v>
      </c>
      <c r="AQ1552">
        <v>27</v>
      </c>
      <c r="AR1552">
        <v>5</v>
      </c>
      <c r="AS1552">
        <v>4</v>
      </c>
      <c r="AT1552">
        <v>1</v>
      </c>
    </row>
    <row r="1553" spans="1:46">
      <c r="A1553">
        <v>34118</v>
      </c>
      <c r="B1553" t="s">
        <v>9522</v>
      </c>
      <c r="C1553" t="s">
        <v>9523</v>
      </c>
      <c r="E1553" t="s">
        <v>9524</v>
      </c>
      <c r="G1553" t="s">
        <v>1555</v>
      </c>
      <c r="H1553" t="s">
        <v>3942</v>
      </c>
      <c r="J1553" t="s">
        <v>518</v>
      </c>
      <c r="K1553" t="s">
        <v>519</v>
      </c>
      <c r="M1553" t="s">
        <v>1297</v>
      </c>
      <c r="N1553" t="s">
        <v>727</v>
      </c>
      <c r="O1553" t="s">
        <v>1351</v>
      </c>
      <c r="P1553" t="s">
        <v>523</v>
      </c>
      <c r="Q1553" t="s">
        <v>1299</v>
      </c>
      <c r="R1553" t="s">
        <v>1300</v>
      </c>
      <c r="S1553" t="s">
        <v>1300</v>
      </c>
      <c r="T1553" t="s">
        <v>1235</v>
      </c>
      <c r="U1553">
        <v>171400</v>
      </c>
      <c r="V1553" t="s">
        <v>9525</v>
      </c>
      <c r="W1553" t="s">
        <v>1557</v>
      </c>
      <c r="X1553" t="s">
        <v>9526</v>
      </c>
      <c r="Y1553" t="s">
        <v>8367</v>
      </c>
      <c r="Z1553" t="s">
        <v>1555</v>
      </c>
      <c r="AA1553" t="s">
        <v>9527</v>
      </c>
      <c r="AB1553" t="s">
        <v>9528</v>
      </c>
      <c r="AE1553">
        <v>-37.557577969999997</v>
      </c>
      <c r="AF1553">
        <v>175.15420123000001</v>
      </c>
      <c r="AG1553">
        <v>20</v>
      </c>
      <c r="AH1553">
        <v>10</v>
      </c>
      <c r="AI1553">
        <v>0</v>
      </c>
      <c r="AJ1553">
        <v>1</v>
      </c>
      <c r="AK1553">
        <v>4</v>
      </c>
      <c r="AL1553">
        <v>5</v>
      </c>
      <c r="AM1553">
        <v>3</v>
      </c>
      <c r="AN1553">
        <v>0</v>
      </c>
      <c r="AO1553">
        <v>13</v>
      </c>
      <c r="AP1553">
        <v>1</v>
      </c>
      <c r="AQ1553">
        <v>13</v>
      </c>
      <c r="AR1553">
        <v>0</v>
      </c>
      <c r="AS1553">
        <v>0</v>
      </c>
      <c r="AT1553">
        <v>0</v>
      </c>
    </row>
    <row r="1554" spans="1:46">
      <c r="A1554">
        <v>34119</v>
      </c>
      <c r="B1554" t="s">
        <v>9529</v>
      </c>
      <c r="C1554" t="s">
        <v>9530</v>
      </c>
      <c r="D1554" t="s">
        <v>9531</v>
      </c>
      <c r="E1554" t="s">
        <v>9532</v>
      </c>
      <c r="G1554" t="s">
        <v>9533</v>
      </c>
      <c r="H1554" t="s">
        <v>3942</v>
      </c>
      <c r="J1554" t="s">
        <v>518</v>
      </c>
      <c r="K1554" t="s">
        <v>519</v>
      </c>
      <c r="M1554" t="s">
        <v>1297</v>
      </c>
      <c r="N1554" t="s">
        <v>571</v>
      </c>
      <c r="O1554" t="s">
        <v>1461</v>
      </c>
      <c r="P1554" t="s">
        <v>523</v>
      </c>
      <c r="Q1554" t="s">
        <v>1299</v>
      </c>
      <c r="R1554" t="s">
        <v>1300</v>
      </c>
      <c r="S1554" t="s">
        <v>1438</v>
      </c>
      <c r="T1554" t="s">
        <v>1235</v>
      </c>
      <c r="U1554">
        <v>168200</v>
      </c>
      <c r="V1554" t="s">
        <v>9534</v>
      </c>
      <c r="W1554" t="s">
        <v>8606</v>
      </c>
      <c r="X1554" t="s">
        <v>9535</v>
      </c>
      <c r="Y1554" t="s">
        <v>9536</v>
      </c>
      <c r="Z1554" t="s">
        <v>9533</v>
      </c>
      <c r="AA1554" t="s">
        <v>9537</v>
      </c>
      <c r="AB1554" t="s">
        <v>9530</v>
      </c>
      <c r="AC1554">
        <v>99155</v>
      </c>
      <c r="AD1554" t="s">
        <v>3829</v>
      </c>
      <c r="AE1554">
        <v>-37.021089289999999</v>
      </c>
      <c r="AF1554">
        <v>175.85897084000001</v>
      </c>
      <c r="AG1554">
        <v>25</v>
      </c>
      <c r="AH1554">
        <v>8</v>
      </c>
      <c r="AI1554">
        <v>0</v>
      </c>
      <c r="AJ1554">
        <v>4</v>
      </c>
      <c r="AK1554">
        <v>5</v>
      </c>
      <c r="AL1554">
        <v>5</v>
      </c>
      <c r="AM1554">
        <v>8</v>
      </c>
      <c r="AN1554">
        <v>1</v>
      </c>
      <c r="AO1554">
        <v>23</v>
      </c>
      <c r="AP1554">
        <v>23</v>
      </c>
      <c r="AQ1554">
        <v>3</v>
      </c>
      <c r="AR1554">
        <v>0</v>
      </c>
      <c r="AS1554">
        <v>3</v>
      </c>
      <c r="AT1554">
        <v>0</v>
      </c>
    </row>
    <row r="1555" spans="1:46">
      <c r="A1555">
        <v>34120</v>
      </c>
      <c r="B1555" t="s">
        <v>9538</v>
      </c>
      <c r="C1555" t="s">
        <v>9539</v>
      </c>
      <c r="D1555" t="s">
        <v>9540</v>
      </c>
      <c r="E1555" t="s">
        <v>9541</v>
      </c>
      <c r="G1555" t="s">
        <v>1483</v>
      </c>
      <c r="H1555" t="s">
        <v>3942</v>
      </c>
      <c r="I1555" t="s">
        <v>6828</v>
      </c>
      <c r="J1555" t="s">
        <v>518</v>
      </c>
      <c r="K1555" t="s">
        <v>519</v>
      </c>
      <c r="M1555" t="s">
        <v>1297</v>
      </c>
      <c r="N1555" t="s">
        <v>539</v>
      </c>
      <c r="O1555" t="s">
        <v>1484</v>
      </c>
      <c r="P1555" t="s">
        <v>1262</v>
      </c>
      <c r="Q1555" t="s">
        <v>1299</v>
      </c>
      <c r="R1555" t="s">
        <v>1300</v>
      </c>
      <c r="S1555" t="s">
        <v>1320</v>
      </c>
      <c r="T1555" t="s">
        <v>1485</v>
      </c>
      <c r="U1555">
        <v>186700</v>
      </c>
      <c r="V1555" t="s">
        <v>8683</v>
      </c>
      <c r="W1555" t="s">
        <v>1487</v>
      </c>
      <c r="X1555" t="s">
        <v>9542</v>
      </c>
      <c r="Y1555" t="s">
        <v>9541</v>
      </c>
      <c r="AA1555" t="s">
        <v>1442</v>
      </c>
      <c r="AB1555" t="s">
        <v>9539</v>
      </c>
      <c r="AE1555">
        <v>-38.219089910000001</v>
      </c>
      <c r="AF1555">
        <v>175.86837627</v>
      </c>
      <c r="AG1555">
        <v>35</v>
      </c>
      <c r="AH1555">
        <v>10</v>
      </c>
      <c r="AI1555">
        <v>1</v>
      </c>
      <c r="AJ1555">
        <v>10</v>
      </c>
      <c r="AK1555">
        <v>10</v>
      </c>
      <c r="AL1555">
        <v>8</v>
      </c>
      <c r="AM1555">
        <v>12</v>
      </c>
      <c r="AN1555">
        <v>0</v>
      </c>
      <c r="AO1555">
        <v>41</v>
      </c>
      <c r="AP1555">
        <v>38</v>
      </c>
      <c r="AQ1555">
        <v>13</v>
      </c>
      <c r="AR1555">
        <v>3</v>
      </c>
      <c r="AS1555">
        <v>1</v>
      </c>
      <c r="AT1555">
        <v>1</v>
      </c>
    </row>
    <row r="1556" spans="1:46">
      <c r="A1556">
        <v>34121</v>
      </c>
      <c r="B1556" t="s">
        <v>9543</v>
      </c>
      <c r="C1556" t="s">
        <v>9544</v>
      </c>
      <c r="E1556" t="s">
        <v>9545</v>
      </c>
      <c r="F1556" t="s">
        <v>1295</v>
      </c>
      <c r="G1556" t="s">
        <v>1296</v>
      </c>
      <c r="H1556" t="s">
        <v>3942</v>
      </c>
      <c r="J1556" t="s">
        <v>3962</v>
      </c>
      <c r="K1556" t="s">
        <v>519</v>
      </c>
      <c r="M1556" t="s">
        <v>1297</v>
      </c>
      <c r="N1556" t="s">
        <v>571</v>
      </c>
      <c r="O1556" t="s">
        <v>1298</v>
      </c>
      <c r="P1556" t="s">
        <v>654</v>
      </c>
      <c r="Q1556" t="s">
        <v>1299</v>
      </c>
      <c r="R1556" t="s">
        <v>1300</v>
      </c>
      <c r="S1556" t="s">
        <v>1312</v>
      </c>
      <c r="T1556" t="s">
        <v>1235</v>
      </c>
      <c r="U1556">
        <v>176600</v>
      </c>
      <c r="V1556" t="s">
        <v>1326</v>
      </c>
      <c r="W1556" t="s">
        <v>1314</v>
      </c>
      <c r="X1556" t="s">
        <v>8508</v>
      </c>
      <c r="Y1556" t="s">
        <v>8509</v>
      </c>
      <c r="Z1556" t="s">
        <v>8510</v>
      </c>
      <c r="AA1556" t="s">
        <v>8511</v>
      </c>
      <c r="AB1556" t="s">
        <v>8512</v>
      </c>
      <c r="AC1556">
        <v>99132</v>
      </c>
      <c r="AD1556" t="s">
        <v>8513</v>
      </c>
      <c r="AE1556">
        <v>-37.750074929999997</v>
      </c>
      <c r="AF1556">
        <v>175.26948496</v>
      </c>
      <c r="AG1556">
        <v>25</v>
      </c>
      <c r="AH1556">
        <v>0</v>
      </c>
      <c r="AI1556">
        <v>0</v>
      </c>
      <c r="AJ1556">
        <v>0</v>
      </c>
      <c r="AK1556">
        <v>0</v>
      </c>
      <c r="AL1556">
        <v>9</v>
      </c>
      <c r="AM1556">
        <v>42</v>
      </c>
      <c r="AN1556">
        <v>0</v>
      </c>
      <c r="AO1556">
        <v>51</v>
      </c>
      <c r="AP1556">
        <v>41</v>
      </c>
      <c r="AQ1556">
        <v>7</v>
      </c>
      <c r="AR1556">
        <v>4</v>
      </c>
      <c r="AS1556">
        <v>9</v>
      </c>
      <c r="AT1556">
        <v>1</v>
      </c>
    </row>
    <row r="1557" spans="1:46">
      <c r="A1557">
        <v>34122</v>
      </c>
      <c r="B1557" t="s">
        <v>9546</v>
      </c>
      <c r="C1557" t="s">
        <v>9547</v>
      </c>
      <c r="D1557" t="s">
        <v>9548</v>
      </c>
      <c r="E1557" t="s">
        <v>9549</v>
      </c>
      <c r="G1557" t="s">
        <v>9550</v>
      </c>
      <c r="H1557" t="s">
        <v>3942</v>
      </c>
      <c r="J1557" t="s">
        <v>3962</v>
      </c>
      <c r="K1557" t="s">
        <v>519</v>
      </c>
      <c r="M1557" t="s">
        <v>1297</v>
      </c>
      <c r="N1557" t="s">
        <v>571</v>
      </c>
      <c r="O1557" t="s">
        <v>1351</v>
      </c>
      <c r="P1557" t="s">
        <v>572</v>
      </c>
      <c r="Q1557" t="s">
        <v>1299</v>
      </c>
      <c r="R1557" t="s">
        <v>1300</v>
      </c>
      <c r="S1557" t="s">
        <v>1417</v>
      </c>
      <c r="T1557" t="s">
        <v>1235</v>
      </c>
      <c r="U1557">
        <v>172900</v>
      </c>
      <c r="V1557" t="s">
        <v>9550</v>
      </c>
      <c r="W1557" t="s">
        <v>1353</v>
      </c>
      <c r="X1557" t="s">
        <v>9551</v>
      </c>
      <c r="Y1557" t="s">
        <v>9552</v>
      </c>
      <c r="Z1557" t="s">
        <v>1296</v>
      </c>
      <c r="AA1557" t="s">
        <v>9553</v>
      </c>
      <c r="AB1557" t="s">
        <v>9554</v>
      </c>
      <c r="AC1557">
        <v>99035</v>
      </c>
      <c r="AD1557" t="s">
        <v>1308</v>
      </c>
      <c r="AE1557">
        <v>-37.777136290000001</v>
      </c>
      <c r="AF1557">
        <v>175.21389416</v>
      </c>
      <c r="AG1557">
        <v>30</v>
      </c>
      <c r="AH1557">
        <v>10</v>
      </c>
      <c r="AI1557">
        <v>1</v>
      </c>
      <c r="AJ1557">
        <v>7</v>
      </c>
      <c r="AK1557">
        <v>8</v>
      </c>
      <c r="AL1557">
        <v>11</v>
      </c>
      <c r="AM1557">
        <v>9</v>
      </c>
      <c r="AN1557">
        <v>0</v>
      </c>
      <c r="AO1557">
        <v>36</v>
      </c>
      <c r="AP1557">
        <v>33</v>
      </c>
      <c r="AQ1557">
        <v>7</v>
      </c>
      <c r="AR1557">
        <v>0</v>
      </c>
      <c r="AS1557">
        <v>3</v>
      </c>
      <c r="AT1557">
        <v>1</v>
      </c>
    </row>
    <row r="1558" spans="1:46">
      <c r="A1558">
        <v>34123</v>
      </c>
      <c r="B1558" t="s">
        <v>9555</v>
      </c>
      <c r="C1558" t="s">
        <v>9556</v>
      </c>
      <c r="D1558" t="s">
        <v>9557</v>
      </c>
      <c r="E1558" t="s">
        <v>9558</v>
      </c>
      <c r="G1558" t="s">
        <v>1318</v>
      </c>
      <c r="H1558" t="s">
        <v>3942</v>
      </c>
      <c r="J1558" t="s">
        <v>3962</v>
      </c>
      <c r="K1558" t="s">
        <v>519</v>
      </c>
      <c r="M1558" t="s">
        <v>1297</v>
      </c>
      <c r="N1558" t="s">
        <v>4519</v>
      </c>
      <c r="O1558" t="s">
        <v>1319</v>
      </c>
      <c r="P1558" t="s">
        <v>1262</v>
      </c>
      <c r="Q1558" t="s">
        <v>1299</v>
      </c>
      <c r="R1558" t="s">
        <v>1300</v>
      </c>
      <c r="S1558" t="s">
        <v>1320</v>
      </c>
      <c r="T1558" t="s">
        <v>1235</v>
      </c>
      <c r="U1558">
        <v>183000</v>
      </c>
      <c r="V1558" t="s">
        <v>9559</v>
      </c>
      <c r="W1558" t="s">
        <v>1322</v>
      </c>
      <c r="X1558" t="s">
        <v>9560</v>
      </c>
      <c r="Y1558" t="s">
        <v>9561</v>
      </c>
      <c r="AA1558" t="s">
        <v>9562</v>
      </c>
      <c r="AB1558" t="s">
        <v>9556</v>
      </c>
      <c r="AC1558">
        <v>99034</v>
      </c>
      <c r="AD1558" t="s">
        <v>8503</v>
      </c>
      <c r="AE1558">
        <v>-37.884160870000002</v>
      </c>
      <c r="AF1558">
        <v>175.48805300000001</v>
      </c>
      <c r="AG1558">
        <v>100</v>
      </c>
      <c r="AH1558">
        <v>24</v>
      </c>
      <c r="AI1558">
        <v>3</v>
      </c>
      <c r="AJ1558">
        <v>15</v>
      </c>
      <c r="AK1558">
        <v>30</v>
      </c>
      <c r="AL1558">
        <v>20</v>
      </c>
      <c r="AM1558">
        <v>28</v>
      </c>
      <c r="AN1558">
        <v>1</v>
      </c>
      <c r="AO1558">
        <v>97</v>
      </c>
      <c r="AP1558">
        <v>91</v>
      </c>
      <c r="AQ1558">
        <v>13</v>
      </c>
      <c r="AR1558">
        <v>1</v>
      </c>
      <c r="AS1558">
        <v>8</v>
      </c>
      <c r="AT1558">
        <v>0</v>
      </c>
    </row>
    <row r="1559" spans="1:46">
      <c r="A1559">
        <v>34126</v>
      </c>
      <c r="B1559" t="s">
        <v>9563</v>
      </c>
      <c r="C1559" t="s">
        <v>9564</v>
      </c>
      <c r="E1559" t="s">
        <v>9565</v>
      </c>
      <c r="F1559" t="s">
        <v>1295</v>
      </c>
      <c r="G1559" t="s">
        <v>1296</v>
      </c>
      <c r="H1559" t="s">
        <v>3942</v>
      </c>
      <c r="I1559" t="s">
        <v>4065</v>
      </c>
      <c r="J1559" t="s">
        <v>3962</v>
      </c>
      <c r="K1559" t="s">
        <v>519</v>
      </c>
      <c r="M1559" t="s">
        <v>1297</v>
      </c>
      <c r="N1559" t="s">
        <v>571</v>
      </c>
      <c r="O1559" t="s">
        <v>1298</v>
      </c>
      <c r="P1559" t="s">
        <v>654</v>
      </c>
      <c r="Q1559" t="s">
        <v>1299</v>
      </c>
      <c r="R1559" t="s">
        <v>1300</v>
      </c>
      <c r="S1559" t="s">
        <v>1312</v>
      </c>
      <c r="T1559" t="s">
        <v>1235</v>
      </c>
      <c r="U1559">
        <v>179901</v>
      </c>
      <c r="V1559" t="s">
        <v>9566</v>
      </c>
      <c r="W1559" t="s">
        <v>1314</v>
      </c>
      <c r="X1559" t="s">
        <v>9567</v>
      </c>
      <c r="Y1559" t="s">
        <v>9565</v>
      </c>
      <c r="Z1559" t="s">
        <v>1312</v>
      </c>
      <c r="AA1559" t="s">
        <v>9568</v>
      </c>
      <c r="AB1559" t="s">
        <v>9569</v>
      </c>
      <c r="AE1559">
        <v>-37.7856381</v>
      </c>
      <c r="AF1559">
        <v>175.30871793</v>
      </c>
      <c r="AG1559">
        <v>30</v>
      </c>
      <c r="AH1559">
        <v>0</v>
      </c>
      <c r="AI1559">
        <v>0</v>
      </c>
      <c r="AJ1559">
        <v>0</v>
      </c>
      <c r="AK1559">
        <v>8</v>
      </c>
      <c r="AL1559">
        <v>18</v>
      </c>
      <c r="AM1559">
        <v>12</v>
      </c>
      <c r="AN1559">
        <v>1</v>
      </c>
      <c r="AO1559">
        <v>39</v>
      </c>
      <c r="AP1559">
        <v>4</v>
      </c>
      <c r="AQ1559">
        <v>3</v>
      </c>
      <c r="AR1559">
        <v>0</v>
      </c>
      <c r="AS1559">
        <v>31</v>
      </c>
      <c r="AT1559">
        <v>5</v>
      </c>
    </row>
    <row r="1560" spans="1:46">
      <c r="A1560">
        <v>34128</v>
      </c>
      <c r="B1560" t="s">
        <v>9570</v>
      </c>
      <c r="C1560" t="s">
        <v>9571</v>
      </c>
      <c r="D1560" t="s">
        <v>9572</v>
      </c>
      <c r="E1560" t="s">
        <v>9573</v>
      </c>
      <c r="F1560" t="s">
        <v>1295</v>
      </c>
      <c r="G1560" t="s">
        <v>1296</v>
      </c>
      <c r="H1560" t="s">
        <v>3942</v>
      </c>
      <c r="J1560" t="s">
        <v>3962</v>
      </c>
      <c r="K1560" t="s">
        <v>519</v>
      </c>
      <c r="M1560" t="s">
        <v>1297</v>
      </c>
      <c r="N1560" t="s">
        <v>557</v>
      </c>
      <c r="O1560" t="s">
        <v>1298</v>
      </c>
      <c r="P1560" t="s">
        <v>654</v>
      </c>
      <c r="Q1560" t="s">
        <v>1299</v>
      </c>
      <c r="R1560" t="s">
        <v>1300</v>
      </c>
      <c r="S1560" t="s">
        <v>1301</v>
      </c>
      <c r="T1560" t="s">
        <v>1235</v>
      </c>
      <c r="U1560">
        <v>178901</v>
      </c>
      <c r="V1560" t="s">
        <v>8352</v>
      </c>
      <c r="W1560" t="s">
        <v>1303</v>
      </c>
      <c r="X1560" t="s">
        <v>9574</v>
      </c>
      <c r="Y1560" t="s">
        <v>9575</v>
      </c>
      <c r="Z1560" t="s">
        <v>1358</v>
      </c>
      <c r="AA1560" t="s">
        <v>9576</v>
      </c>
      <c r="AB1560" t="s">
        <v>9577</v>
      </c>
      <c r="AE1560">
        <v>-37.803549269999998</v>
      </c>
      <c r="AF1560">
        <v>175.25769149999999</v>
      </c>
      <c r="AG1560">
        <v>50</v>
      </c>
      <c r="AH1560">
        <v>10</v>
      </c>
      <c r="AI1560">
        <v>1</v>
      </c>
      <c r="AJ1560">
        <v>7</v>
      </c>
      <c r="AK1560">
        <v>10</v>
      </c>
      <c r="AL1560">
        <v>14</v>
      </c>
      <c r="AM1560">
        <v>14</v>
      </c>
      <c r="AN1560">
        <v>1</v>
      </c>
      <c r="AO1560">
        <v>47</v>
      </c>
      <c r="AP1560">
        <v>9</v>
      </c>
      <c r="AQ1560">
        <v>33</v>
      </c>
      <c r="AR1560">
        <v>8</v>
      </c>
      <c r="AS1560">
        <v>6</v>
      </c>
      <c r="AT1560">
        <v>0</v>
      </c>
    </row>
    <row r="1561" spans="1:46">
      <c r="A1561">
        <v>34131</v>
      </c>
      <c r="B1561" t="s">
        <v>9578</v>
      </c>
      <c r="C1561" t="s">
        <v>9579</v>
      </c>
      <c r="D1561" t="s">
        <v>9580</v>
      </c>
      <c r="E1561" t="s">
        <v>9581</v>
      </c>
      <c r="F1561" t="s">
        <v>1295</v>
      </c>
      <c r="G1561" t="s">
        <v>1296</v>
      </c>
      <c r="H1561" t="s">
        <v>3942</v>
      </c>
      <c r="J1561" t="s">
        <v>3962</v>
      </c>
      <c r="K1561" t="s">
        <v>519</v>
      </c>
      <c r="M1561" t="s">
        <v>1297</v>
      </c>
      <c r="N1561" t="s">
        <v>4519</v>
      </c>
      <c r="O1561" t="s">
        <v>1298</v>
      </c>
      <c r="P1561" t="s">
        <v>654</v>
      </c>
      <c r="Q1561" t="s">
        <v>1299</v>
      </c>
      <c r="R1561" t="s">
        <v>1300</v>
      </c>
      <c r="S1561" t="s">
        <v>1312</v>
      </c>
      <c r="T1561" t="s">
        <v>1235</v>
      </c>
      <c r="U1561">
        <v>179300</v>
      </c>
      <c r="V1561" t="s">
        <v>1398</v>
      </c>
      <c r="W1561" t="s">
        <v>1314</v>
      </c>
      <c r="X1561" t="s">
        <v>9582</v>
      </c>
      <c r="Y1561" t="s">
        <v>9581</v>
      </c>
      <c r="Z1561" t="s">
        <v>1296</v>
      </c>
      <c r="AA1561" t="s">
        <v>9583</v>
      </c>
      <c r="AB1561" t="s">
        <v>9579</v>
      </c>
      <c r="AE1561">
        <v>-37.782229780000002</v>
      </c>
      <c r="AF1561">
        <v>175.29413592</v>
      </c>
      <c r="AG1561">
        <v>45</v>
      </c>
      <c r="AH1561">
        <v>15</v>
      </c>
      <c r="AI1561">
        <v>0</v>
      </c>
      <c r="AJ1561">
        <v>13</v>
      </c>
      <c r="AK1561">
        <v>8</v>
      </c>
      <c r="AL1561">
        <v>12</v>
      </c>
      <c r="AM1561">
        <v>17</v>
      </c>
      <c r="AN1561">
        <v>1</v>
      </c>
      <c r="AO1561">
        <v>51</v>
      </c>
      <c r="AP1561">
        <v>49</v>
      </c>
      <c r="AQ1561">
        <v>7</v>
      </c>
      <c r="AR1561">
        <v>3</v>
      </c>
      <c r="AS1561">
        <v>1</v>
      </c>
      <c r="AT1561">
        <v>1</v>
      </c>
    </row>
    <row r="1562" spans="1:46">
      <c r="A1562">
        <v>35001</v>
      </c>
      <c r="B1562" t="s">
        <v>9584</v>
      </c>
      <c r="C1562" t="s">
        <v>9585</v>
      </c>
      <c r="E1562" t="s">
        <v>9586</v>
      </c>
      <c r="G1562" t="s">
        <v>1483</v>
      </c>
      <c r="H1562" t="s">
        <v>343</v>
      </c>
      <c r="J1562" t="s">
        <v>518</v>
      </c>
      <c r="K1562" t="s">
        <v>519</v>
      </c>
      <c r="L1562" t="s">
        <v>4205</v>
      </c>
      <c r="M1562" t="s">
        <v>1297</v>
      </c>
      <c r="N1562" t="s">
        <v>521</v>
      </c>
      <c r="O1562" t="s">
        <v>1484</v>
      </c>
      <c r="P1562" t="s">
        <v>1262</v>
      </c>
      <c r="Q1562" t="s">
        <v>1299</v>
      </c>
      <c r="R1562" t="s">
        <v>1472</v>
      </c>
      <c r="S1562" t="s">
        <v>1320</v>
      </c>
      <c r="T1562" t="s">
        <v>1485</v>
      </c>
      <c r="U1562">
        <v>186800</v>
      </c>
      <c r="V1562" t="s">
        <v>1486</v>
      </c>
      <c r="W1562" t="s">
        <v>1487</v>
      </c>
      <c r="X1562" t="s">
        <v>8447</v>
      </c>
      <c r="Y1562" t="s">
        <v>4208</v>
      </c>
      <c r="Z1562" t="s">
        <v>4209</v>
      </c>
      <c r="AA1562" t="s">
        <v>4210</v>
      </c>
      <c r="AB1562" t="s">
        <v>8448</v>
      </c>
      <c r="AE1562">
        <v>-38.239424200000002</v>
      </c>
      <c r="AF1562">
        <v>175.85953961999999</v>
      </c>
      <c r="AG1562">
        <v>25</v>
      </c>
      <c r="AH1562">
        <v>5</v>
      </c>
      <c r="AI1562">
        <v>0</v>
      </c>
      <c r="AJ1562">
        <v>4</v>
      </c>
      <c r="AK1562">
        <v>6</v>
      </c>
      <c r="AL1562">
        <v>7</v>
      </c>
      <c r="AM1562">
        <v>8</v>
      </c>
      <c r="AN1562">
        <v>0</v>
      </c>
      <c r="AO1562">
        <v>25</v>
      </c>
      <c r="AP1562">
        <v>0</v>
      </c>
      <c r="AQ1562">
        <v>21</v>
      </c>
      <c r="AR1562">
        <v>4</v>
      </c>
      <c r="AS1562">
        <v>0</v>
      </c>
      <c r="AT1562">
        <v>0</v>
      </c>
    </row>
    <row r="1563" spans="1:46">
      <c r="A1563">
        <v>35002</v>
      </c>
      <c r="B1563" t="s">
        <v>9587</v>
      </c>
      <c r="C1563" t="s">
        <v>9588</v>
      </c>
      <c r="E1563" t="s">
        <v>9589</v>
      </c>
      <c r="F1563" t="s">
        <v>1358</v>
      </c>
      <c r="G1563" t="s">
        <v>1296</v>
      </c>
      <c r="H1563" t="s">
        <v>343</v>
      </c>
      <c r="J1563" t="s">
        <v>518</v>
      </c>
      <c r="K1563" t="s">
        <v>519</v>
      </c>
      <c r="L1563" t="s">
        <v>4205</v>
      </c>
      <c r="M1563" t="s">
        <v>1297</v>
      </c>
      <c r="N1563" t="s">
        <v>539</v>
      </c>
      <c r="O1563" t="s">
        <v>1298</v>
      </c>
      <c r="P1563" t="s">
        <v>654</v>
      </c>
      <c r="Q1563" t="s">
        <v>1299</v>
      </c>
      <c r="R1563" t="s">
        <v>1300</v>
      </c>
      <c r="S1563" t="s">
        <v>1301</v>
      </c>
      <c r="T1563" t="s">
        <v>1235</v>
      </c>
      <c r="U1563">
        <v>177200</v>
      </c>
      <c r="V1563" t="s">
        <v>1359</v>
      </c>
      <c r="W1563" t="s">
        <v>1303</v>
      </c>
      <c r="X1563" t="s">
        <v>7630</v>
      </c>
      <c r="Y1563" t="s">
        <v>4208</v>
      </c>
      <c r="Z1563" t="s">
        <v>4209</v>
      </c>
      <c r="AA1563" t="s">
        <v>4210</v>
      </c>
      <c r="AB1563" t="s">
        <v>7631</v>
      </c>
      <c r="AE1563">
        <v>-37.778475059999998</v>
      </c>
      <c r="AF1563">
        <v>175.24061598</v>
      </c>
      <c r="AG1563">
        <v>30</v>
      </c>
      <c r="AH1563">
        <v>6</v>
      </c>
      <c r="AI1563">
        <v>0</v>
      </c>
      <c r="AJ1563">
        <v>5</v>
      </c>
      <c r="AK1563">
        <v>5</v>
      </c>
      <c r="AL1563">
        <v>5</v>
      </c>
      <c r="AM1563">
        <v>6</v>
      </c>
      <c r="AN1563">
        <v>0</v>
      </c>
      <c r="AO1563">
        <v>21</v>
      </c>
      <c r="AP1563">
        <v>0</v>
      </c>
      <c r="AQ1563">
        <v>21</v>
      </c>
      <c r="AR1563">
        <v>0</v>
      </c>
      <c r="AS1563">
        <v>0</v>
      </c>
      <c r="AT1563">
        <v>0</v>
      </c>
    </row>
    <row r="1564" spans="1:46">
      <c r="A1564">
        <v>35003</v>
      </c>
      <c r="B1564" t="s">
        <v>9590</v>
      </c>
      <c r="C1564" t="s">
        <v>9591</v>
      </c>
      <c r="E1564" t="s">
        <v>9592</v>
      </c>
      <c r="G1564" t="s">
        <v>1555</v>
      </c>
      <c r="H1564" t="s">
        <v>343</v>
      </c>
      <c r="J1564" t="s">
        <v>518</v>
      </c>
      <c r="K1564" t="s">
        <v>519</v>
      </c>
      <c r="L1564" t="s">
        <v>4205</v>
      </c>
      <c r="M1564" t="s">
        <v>1297</v>
      </c>
      <c r="N1564" t="s">
        <v>521</v>
      </c>
      <c r="O1564" t="s">
        <v>1351</v>
      </c>
      <c r="P1564" t="s">
        <v>523</v>
      </c>
      <c r="Q1564" t="s">
        <v>1299</v>
      </c>
      <c r="R1564" t="s">
        <v>1300</v>
      </c>
      <c r="S1564" t="s">
        <v>1300</v>
      </c>
      <c r="T1564" t="s">
        <v>1235</v>
      </c>
      <c r="U1564">
        <v>171400</v>
      </c>
      <c r="V1564" t="s">
        <v>9525</v>
      </c>
      <c r="W1564" t="s">
        <v>1557</v>
      </c>
      <c r="X1564" t="s">
        <v>7630</v>
      </c>
      <c r="Y1564" t="s">
        <v>4208</v>
      </c>
      <c r="Z1564" t="s">
        <v>4209</v>
      </c>
      <c r="AA1564" t="s">
        <v>4210</v>
      </c>
      <c r="AB1564" t="s">
        <v>7631</v>
      </c>
      <c r="AE1564">
        <v>-37.533751979999998</v>
      </c>
      <c r="AF1564">
        <v>175.15050117000001</v>
      </c>
      <c r="AG1564">
        <v>30</v>
      </c>
      <c r="AH1564">
        <v>8</v>
      </c>
      <c r="AI1564">
        <v>1</v>
      </c>
      <c r="AJ1564">
        <v>6</v>
      </c>
      <c r="AK1564">
        <v>8</v>
      </c>
      <c r="AL1564">
        <v>7</v>
      </c>
      <c r="AM1564">
        <v>3</v>
      </c>
      <c r="AN1564">
        <v>0</v>
      </c>
      <c r="AO1564">
        <v>25</v>
      </c>
      <c r="AP1564">
        <v>0</v>
      </c>
      <c r="AQ1564">
        <v>24</v>
      </c>
      <c r="AR1564">
        <v>1</v>
      </c>
      <c r="AS1564">
        <v>0</v>
      </c>
      <c r="AT1564">
        <v>0</v>
      </c>
    </row>
    <row r="1565" spans="1:46">
      <c r="A1565">
        <v>35005</v>
      </c>
      <c r="B1565" t="s">
        <v>9593</v>
      </c>
      <c r="C1565" t="s">
        <v>9594</v>
      </c>
      <c r="E1565" t="s">
        <v>9595</v>
      </c>
      <c r="G1565" t="s">
        <v>1634</v>
      </c>
      <c r="H1565" t="s">
        <v>343</v>
      </c>
      <c r="J1565" t="s">
        <v>518</v>
      </c>
      <c r="K1565" t="s">
        <v>519</v>
      </c>
      <c r="L1565" t="s">
        <v>4205</v>
      </c>
      <c r="M1565" t="s">
        <v>1297</v>
      </c>
      <c r="N1565" t="s">
        <v>539</v>
      </c>
      <c r="O1565" t="s">
        <v>1635</v>
      </c>
      <c r="P1565" t="s">
        <v>572</v>
      </c>
      <c r="Q1565" t="s">
        <v>1636</v>
      </c>
      <c r="R1565" t="s">
        <v>1472</v>
      </c>
      <c r="S1565" t="s">
        <v>1637</v>
      </c>
      <c r="T1565" t="s">
        <v>1485</v>
      </c>
      <c r="U1565">
        <v>222400</v>
      </c>
      <c r="V1565" t="s">
        <v>9069</v>
      </c>
      <c r="W1565" t="s">
        <v>1639</v>
      </c>
      <c r="X1565" t="s">
        <v>8447</v>
      </c>
      <c r="Y1565" t="s">
        <v>4208</v>
      </c>
      <c r="Z1565" t="s">
        <v>4209</v>
      </c>
      <c r="AA1565" t="s">
        <v>4210</v>
      </c>
      <c r="AB1565" t="s">
        <v>8448</v>
      </c>
      <c r="AE1565">
        <v>-38.897317489999999</v>
      </c>
      <c r="AF1565">
        <v>175.25758930000001</v>
      </c>
      <c r="AG1565">
        <v>29</v>
      </c>
      <c r="AH1565">
        <v>10</v>
      </c>
      <c r="AI1565">
        <v>1</v>
      </c>
      <c r="AJ1565">
        <v>6</v>
      </c>
      <c r="AK1565">
        <v>5</v>
      </c>
      <c r="AL1565">
        <v>3</v>
      </c>
      <c r="AM1565">
        <v>5</v>
      </c>
      <c r="AN1565">
        <v>0</v>
      </c>
      <c r="AO1565">
        <v>20</v>
      </c>
      <c r="AP1565">
        <v>0</v>
      </c>
      <c r="AQ1565">
        <v>19</v>
      </c>
      <c r="AR1565">
        <v>0</v>
      </c>
      <c r="AS1565">
        <v>0</v>
      </c>
      <c r="AT1565">
        <v>1</v>
      </c>
    </row>
    <row r="1566" spans="1:46">
      <c r="A1566">
        <v>35006</v>
      </c>
      <c r="B1566" t="s">
        <v>9596</v>
      </c>
      <c r="C1566" t="s">
        <v>9597</v>
      </c>
      <c r="E1566" t="s">
        <v>9598</v>
      </c>
      <c r="G1566" t="s">
        <v>1318</v>
      </c>
      <c r="H1566" t="s">
        <v>343</v>
      </c>
      <c r="J1566" t="s">
        <v>518</v>
      </c>
      <c r="K1566" t="s">
        <v>519</v>
      </c>
      <c r="L1566" t="s">
        <v>4205</v>
      </c>
      <c r="M1566" t="s">
        <v>1297</v>
      </c>
      <c r="N1566" t="s">
        <v>571</v>
      </c>
      <c r="O1566" t="s">
        <v>1319</v>
      </c>
      <c r="P1566" t="s">
        <v>1262</v>
      </c>
      <c r="Q1566" t="s">
        <v>1299</v>
      </c>
      <c r="R1566" t="s">
        <v>1300</v>
      </c>
      <c r="S1566" t="s">
        <v>1320</v>
      </c>
      <c r="T1566" t="s">
        <v>1235</v>
      </c>
      <c r="U1566">
        <v>183500</v>
      </c>
      <c r="V1566" t="s">
        <v>1389</v>
      </c>
      <c r="W1566" t="s">
        <v>1322</v>
      </c>
      <c r="X1566" t="s">
        <v>7630</v>
      </c>
      <c r="Y1566" t="s">
        <v>4208</v>
      </c>
      <c r="Z1566" t="s">
        <v>4209</v>
      </c>
      <c r="AA1566" t="s">
        <v>4210</v>
      </c>
      <c r="AB1566" t="s">
        <v>7631</v>
      </c>
      <c r="AE1566">
        <v>-37.900804999999998</v>
      </c>
      <c r="AF1566">
        <v>175.46578299999999</v>
      </c>
      <c r="AG1566">
        <v>24</v>
      </c>
      <c r="AH1566">
        <v>8</v>
      </c>
      <c r="AI1566">
        <v>0</v>
      </c>
      <c r="AJ1566">
        <v>2</v>
      </c>
      <c r="AK1566">
        <v>0</v>
      </c>
      <c r="AL1566">
        <v>2</v>
      </c>
      <c r="AM1566">
        <v>1</v>
      </c>
      <c r="AN1566">
        <v>0</v>
      </c>
      <c r="AO1566">
        <v>5</v>
      </c>
      <c r="AP1566">
        <v>0</v>
      </c>
      <c r="AQ1566">
        <v>5</v>
      </c>
      <c r="AR1566">
        <v>0</v>
      </c>
      <c r="AS1566">
        <v>0</v>
      </c>
      <c r="AT1566">
        <v>0</v>
      </c>
    </row>
    <row r="1567" spans="1:46">
      <c r="A1567">
        <v>35007</v>
      </c>
      <c r="B1567" t="s">
        <v>9599</v>
      </c>
      <c r="C1567" t="s">
        <v>9600</v>
      </c>
      <c r="E1567" t="s">
        <v>9601</v>
      </c>
      <c r="G1567" t="s">
        <v>9602</v>
      </c>
      <c r="H1567" t="s">
        <v>343</v>
      </c>
      <c r="J1567" t="s">
        <v>518</v>
      </c>
      <c r="K1567" t="s">
        <v>519</v>
      </c>
      <c r="L1567" t="s">
        <v>4205</v>
      </c>
      <c r="M1567" t="s">
        <v>1297</v>
      </c>
      <c r="N1567" t="s">
        <v>557</v>
      </c>
      <c r="O1567" t="s">
        <v>1437</v>
      </c>
      <c r="P1567" t="s">
        <v>540</v>
      </c>
      <c r="Q1567" t="s">
        <v>1299</v>
      </c>
      <c r="R1567" t="s">
        <v>1300</v>
      </c>
      <c r="S1567" t="s">
        <v>1438</v>
      </c>
      <c r="T1567" t="s">
        <v>1235</v>
      </c>
      <c r="U1567">
        <v>169000</v>
      </c>
      <c r="V1567" t="s">
        <v>9603</v>
      </c>
      <c r="W1567" t="s">
        <v>3856</v>
      </c>
      <c r="X1567" t="s">
        <v>7630</v>
      </c>
      <c r="Y1567" t="s">
        <v>4208</v>
      </c>
      <c r="Z1567" t="s">
        <v>4209</v>
      </c>
      <c r="AA1567" t="s">
        <v>4210</v>
      </c>
      <c r="AB1567" t="s">
        <v>7631</v>
      </c>
      <c r="AE1567">
        <v>-37.295148599999997</v>
      </c>
      <c r="AF1567">
        <v>175.54031989999999</v>
      </c>
      <c r="AG1567">
        <v>19</v>
      </c>
      <c r="AH1567">
        <v>6</v>
      </c>
      <c r="AI1567">
        <v>0</v>
      </c>
      <c r="AJ1567">
        <v>4</v>
      </c>
      <c r="AK1567">
        <v>3</v>
      </c>
      <c r="AL1567">
        <v>2</v>
      </c>
      <c r="AM1567">
        <v>1</v>
      </c>
      <c r="AN1567">
        <v>0</v>
      </c>
      <c r="AO1567">
        <v>10</v>
      </c>
      <c r="AP1567">
        <v>0</v>
      </c>
      <c r="AQ1567">
        <v>8</v>
      </c>
      <c r="AR1567">
        <v>0</v>
      </c>
      <c r="AS1567">
        <v>0</v>
      </c>
      <c r="AT1567">
        <v>2</v>
      </c>
    </row>
    <row r="1568" spans="1:46">
      <c r="A1568">
        <v>35008</v>
      </c>
      <c r="B1568" t="s">
        <v>9604</v>
      </c>
      <c r="C1568" t="s">
        <v>9605</v>
      </c>
      <c r="E1568" t="s">
        <v>9606</v>
      </c>
      <c r="G1568" t="s">
        <v>9607</v>
      </c>
      <c r="H1568" t="s">
        <v>343</v>
      </c>
      <c r="J1568" t="s">
        <v>518</v>
      </c>
      <c r="K1568" t="s">
        <v>519</v>
      </c>
      <c r="L1568" t="s">
        <v>4205</v>
      </c>
      <c r="M1568" t="s">
        <v>1297</v>
      </c>
      <c r="N1568" t="s">
        <v>727</v>
      </c>
      <c r="O1568" t="s">
        <v>1450</v>
      </c>
      <c r="P1568" t="s">
        <v>572</v>
      </c>
      <c r="Q1568" t="s">
        <v>1299</v>
      </c>
      <c r="R1568" t="s">
        <v>1300</v>
      </c>
      <c r="S1568" t="s">
        <v>1300</v>
      </c>
      <c r="T1568" t="s">
        <v>1235</v>
      </c>
      <c r="U1568">
        <v>174500</v>
      </c>
      <c r="V1568" t="s">
        <v>9608</v>
      </c>
      <c r="W1568" t="s">
        <v>1581</v>
      </c>
      <c r="X1568" t="s">
        <v>7630</v>
      </c>
      <c r="Y1568" t="s">
        <v>4208</v>
      </c>
      <c r="Z1568" t="s">
        <v>4209</v>
      </c>
      <c r="AA1568" t="s">
        <v>4210</v>
      </c>
      <c r="AB1568" t="s">
        <v>7631</v>
      </c>
      <c r="AE1568">
        <v>-37.757058819999997</v>
      </c>
      <c r="AF1568">
        <v>175.75179510000001</v>
      </c>
      <c r="AG1568">
        <v>35</v>
      </c>
      <c r="AH1568">
        <v>10</v>
      </c>
      <c r="AI1568">
        <v>0</v>
      </c>
      <c r="AJ1568">
        <v>7</v>
      </c>
      <c r="AK1568">
        <v>5</v>
      </c>
      <c r="AL1568">
        <v>11</v>
      </c>
      <c r="AM1568">
        <v>6</v>
      </c>
      <c r="AN1568">
        <v>0</v>
      </c>
      <c r="AO1568">
        <v>29</v>
      </c>
      <c r="AP1568">
        <v>0</v>
      </c>
      <c r="AQ1568">
        <v>28</v>
      </c>
      <c r="AR1568">
        <v>1</v>
      </c>
      <c r="AS1568">
        <v>0</v>
      </c>
      <c r="AT1568">
        <v>0</v>
      </c>
    </row>
    <row r="1569" spans="1:46">
      <c r="A1569">
        <v>35010</v>
      </c>
      <c r="B1569" t="s">
        <v>9609</v>
      </c>
      <c r="C1569" t="s">
        <v>9610</v>
      </c>
      <c r="D1569" t="s">
        <v>9611</v>
      </c>
      <c r="E1569" t="s">
        <v>9612</v>
      </c>
      <c r="G1569" t="s">
        <v>1460</v>
      </c>
      <c r="H1569" t="s">
        <v>343</v>
      </c>
      <c r="J1569" t="s">
        <v>518</v>
      </c>
      <c r="K1569" t="s">
        <v>519</v>
      </c>
      <c r="L1569" t="s">
        <v>4205</v>
      </c>
      <c r="M1569" t="s">
        <v>1297</v>
      </c>
      <c r="N1569" t="s">
        <v>571</v>
      </c>
      <c r="O1569" t="s">
        <v>1461</v>
      </c>
      <c r="P1569" t="s">
        <v>572</v>
      </c>
      <c r="Q1569" t="s">
        <v>1299</v>
      </c>
      <c r="R1569" t="s">
        <v>1300</v>
      </c>
      <c r="S1569" t="s">
        <v>1438</v>
      </c>
      <c r="T1569" t="s">
        <v>1235</v>
      </c>
      <c r="U1569">
        <v>167501</v>
      </c>
      <c r="V1569" t="s">
        <v>9613</v>
      </c>
      <c r="W1569" t="s">
        <v>1463</v>
      </c>
      <c r="X1569" t="s">
        <v>7630</v>
      </c>
      <c r="Y1569" t="s">
        <v>4208</v>
      </c>
      <c r="Z1569" t="s">
        <v>4209</v>
      </c>
      <c r="AA1569" t="s">
        <v>4210</v>
      </c>
      <c r="AB1569" t="s">
        <v>7631</v>
      </c>
      <c r="AE1569">
        <v>-37.187797199999999</v>
      </c>
      <c r="AF1569">
        <v>175.57420880000001</v>
      </c>
      <c r="AG1569">
        <v>20</v>
      </c>
      <c r="AH1569">
        <v>2</v>
      </c>
      <c r="AI1569">
        <v>0</v>
      </c>
      <c r="AJ1569">
        <v>0</v>
      </c>
      <c r="AK1569">
        <v>2</v>
      </c>
      <c r="AL1569">
        <v>1</v>
      </c>
      <c r="AM1569">
        <v>1</v>
      </c>
      <c r="AN1569">
        <v>0</v>
      </c>
      <c r="AO1569">
        <v>4</v>
      </c>
      <c r="AP1569">
        <v>0</v>
      </c>
      <c r="AQ1569">
        <v>3</v>
      </c>
      <c r="AR1569">
        <v>0</v>
      </c>
      <c r="AS1569">
        <v>0</v>
      </c>
      <c r="AT1569">
        <v>1</v>
      </c>
    </row>
    <row r="1570" spans="1:46">
      <c r="A1570">
        <v>35012</v>
      </c>
      <c r="B1570" t="s">
        <v>9614</v>
      </c>
      <c r="C1570" t="s">
        <v>9615</v>
      </c>
      <c r="D1570" t="s">
        <v>9616</v>
      </c>
      <c r="E1570" t="s">
        <v>9617</v>
      </c>
      <c r="G1570" t="s">
        <v>1619</v>
      </c>
      <c r="H1570" t="s">
        <v>343</v>
      </c>
      <c r="J1570" t="s">
        <v>518</v>
      </c>
      <c r="K1570" t="s">
        <v>519</v>
      </c>
      <c r="L1570" t="s">
        <v>4205</v>
      </c>
      <c r="M1570" t="s">
        <v>1297</v>
      </c>
      <c r="N1570" t="s">
        <v>539</v>
      </c>
      <c r="O1570" t="s">
        <v>1620</v>
      </c>
      <c r="P1570" t="s">
        <v>572</v>
      </c>
      <c r="Q1570" t="s">
        <v>1299</v>
      </c>
      <c r="R1570" t="s">
        <v>1300</v>
      </c>
      <c r="S1570" t="s">
        <v>1417</v>
      </c>
      <c r="T1570" t="s">
        <v>1485</v>
      </c>
      <c r="U1570">
        <v>185600</v>
      </c>
      <c r="V1570" t="s">
        <v>9146</v>
      </c>
      <c r="W1570" t="s">
        <v>9147</v>
      </c>
      <c r="X1570" t="s">
        <v>7630</v>
      </c>
      <c r="Y1570" t="s">
        <v>4208</v>
      </c>
      <c r="Z1570" t="s">
        <v>4209</v>
      </c>
      <c r="AA1570" t="s">
        <v>4210</v>
      </c>
      <c r="AB1570" t="s">
        <v>7631</v>
      </c>
      <c r="AE1570">
        <v>-38.193734829999997</v>
      </c>
      <c r="AF1570">
        <v>175.20964749999999</v>
      </c>
      <c r="AG1570">
        <v>29</v>
      </c>
      <c r="AH1570">
        <v>8</v>
      </c>
      <c r="AI1570">
        <v>0</v>
      </c>
      <c r="AJ1570">
        <v>2</v>
      </c>
      <c r="AK1570">
        <v>6</v>
      </c>
      <c r="AL1570">
        <v>8</v>
      </c>
      <c r="AM1570">
        <v>11</v>
      </c>
      <c r="AN1570">
        <v>0</v>
      </c>
      <c r="AO1570">
        <v>27</v>
      </c>
      <c r="AP1570">
        <v>0</v>
      </c>
      <c r="AQ1570">
        <v>27</v>
      </c>
      <c r="AR1570">
        <v>0</v>
      </c>
      <c r="AS1570">
        <v>0</v>
      </c>
      <c r="AT1570">
        <v>0</v>
      </c>
    </row>
    <row r="1571" spans="1:46">
      <c r="A1571">
        <v>35016</v>
      </c>
      <c r="B1571" t="s">
        <v>9618</v>
      </c>
      <c r="C1571" t="s">
        <v>9619</v>
      </c>
      <c r="E1571" t="s">
        <v>9620</v>
      </c>
      <c r="G1571" t="s">
        <v>8636</v>
      </c>
      <c r="H1571" t="s">
        <v>343</v>
      </c>
      <c r="J1571" t="s">
        <v>518</v>
      </c>
      <c r="K1571" t="s">
        <v>519</v>
      </c>
      <c r="L1571" t="s">
        <v>4205</v>
      </c>
      <c r="M1571" t="s">
        <v>1297</v>
      </c>
      <c r="N1571" t="s">
        <v>521</v>
      </c>
      <c r="O1571" t="s">
        <v>8637</v>
      </c>
      <c r="P1571" t="s">
        <v>572</v>
      </c>
      <c r="Q1571" t="s">
        <v>1299</v>
      </c>
      <c r="R1571" t="s">
        <v>1300</v>
      </c>
      <c r="S1571" t="s">
        <v>1417</v>
      </c>
      <c r="T1571" t="s">
        <v>1485</v>
      </c>
      <c r="U1571">
        <v>187100</v>
      </c>
      <c r="V1571" t="s">
        <v>9621</v>
      </c>
      <c r="W1571" t="s">
        <v>9135</v>
      </c>
      <c r="X1571" t="s">
        <v>7630</v>
      </c>
      <c r="Y1571" t="s">
        <v>4208</v>
      </c>
      <c r="Z1571" t="s">
        <v>4209</v>
      </c>
      <c r="AA1571" t="s">
        <v>4210</v>
      </c>
      <c r="AB1571" t="s">
        <v>7631</v>
      </c>
      <c r="AC1571">
        <v>99106</v>
      </c>
      <c r="AD1571" t="s">
        <v>8644</v>
      </c>
      <c r="AE1571">
        <v>-38.315056130000002</v>
      </c>
      <c r="AF1571">
        <v>175.11675652</v>
      </c>
      <c r="AG1571">
        <v>40</v>
      </c>
      <c r="AH1571">
        <v>4</v>
      </c>
      <c r="AI1571">
        <v>0</v>
      </c>
      <c r="AJ1571">
        <v>1</v>
      </c>
      <c r="AK1571">
        <v>4</v>
      </c>
      <c r="AL1571">
        <v>17</v>
      </c>
      <c r="AM1571">
        <v>3</v>
      </c>
      <c r="AN1571">
        <v>0</v>
      </c>
      <c r="AO1571">
        <v>25</v>
      </c>
      <c r="AP1571">
        <v>0</v>
      </c>
      <c r="AQ1571">
        <v>23</v>
      </c>
      <c r="AR1571">
        <v>0</v>
      </c>
      <c r="AS1571">
        <v>0</v>
      </c>
      <c r="AT1571">
        <v>2</v>
      </c>
    </row>
    <row r="1572" spans="1:46">
      <c r="A1572">
        <v>35018</v>
      </c>
      <c r="B1572" t="s">
        <v>9622</v>
      </c>
      <c r="C1572" t="s">
        <v>9623</v>
      </c>
      <c r="E1572" t="s">
        <v>9624</v>
      </c>
      <c r="G1572" t="s">
        <v>8539</v>
      </c>
      <c r="H1572" t="s">
        <v>343</v>
      </c>
      <c r="J1572" t="s">
        <v>518</v>
      </c>
      <c r="K1572" t="s">
        <v>519</v>
      </c>
      <c r="L1572" t="s">
        <v>4205</v>
      </c>
      <c r="M1572" t="s">
        <v>1297</v>
      </c>
      <c r="N1572" t="s">
        <v>521</v>
      </c>
      <c r="O1572" t="s">
        <v>1351</v>
      </c>
      <c r="P1572" t="s">
        <v>572</v>
      </c>
      <c r="Q1572" t="s">
        <v>1299</v>
      </c>
      <c r="R1572" t="s">
        <v>1300</v>
      </c>
      <c r="S1572" t="s">
        <v>1300</v>
      </c>
      <c r="T1572" t="s">
        <v>1235</v>
      </c>
      <c r="U1572">
        <v>172300</v>
      </c>
      <c r="V1572" t="s">
        <v>8540</v>
      </c>
      <c r="W1572" t="s">
        <v>8358</v>
      </c>
      <c r="X1572" t="s">
        <v>7630</v>
      </c>
      <c r="Y1572" t="s">
        <v>4208</v>
      </c>
      <c r="Z1572" t="s">
        <v>4209</v>
      </c>
      <c r="AA1572" t="s">
        <v>4210</v>
      </c>
      <c r="AB1572" t="s">
        <v>7631</v>
      </c>
      <c r="AE1572">
        <v>-37.685344069999999</v>
      </c>
      <c r="AF1572">
        <v>175.31563181999999</v>
      </c>
      <c r="AG1572">
        <v>35</v>
      </c>
      <c r="AH1572">
        <v>8</v>
      </c>
      <c r="AI1572">
        <v>2</v>
      </c>
      <c r="AJ1572">
        <v>4</v>
      </c>
      <c r="AK1572">
        <v>4</v>
      </c>
      <c r="AL1572">
        <v>5</v>
      </c>
      <c r="AM1572">
        <v>8</v>
      </c>
      <c r="AN1572">
        <v>0</v>
      </c>
      <c r="AO1572">
        <v>23</v>
      </c>
      <c r="AP1572">
        <v>0</v>
      </c>
      <c r="AQ1572">
        <v>23</v>
      </c>
      <c r="AR1572">
        <v>0</v>
      </c>
      <c r="AS1572">
        <v>0</v>
      </c>
      <c r="AT1572">
        <v>0</v>
      </c>
    </row>
    <row r="1573" spans="1:46">
      <c r="A1573">
        <v>35019</v>
      </c>
      <c r="B1573" t="s">
        <v>9625</v>
      </c>
      <c r="C1573" t="s">
        <v>9626</v>
      </c>
      <c r="E1573" t="s">
        <v>9627</v>
      </c>
      <c r="G1573" t="s">
        <v>1538</v>
      </c>
      <c r="H1573" t="s">
        <v>343</v>
      </c>
      <c r="J1573" t="s">
        <v>518</v>
      </c>
      <c r="K1573" t="s">
        <v>519</v>
      </c>
      <c r="L1573" t="s">
        <v>4205</v>
      </c>
      <c r="M1573" t="s">
        <v>1297</v>
      </c>
      <c r="N1573" t="s">
        <v>539</v>
      </c>
      <c r="O1573" t="s">
        <v>1319</v>
      </c>
      <c r="P1573" t="s">
        <v>1262</v>
      </c>
      <c r="Q1573" t="s">
        <v>1299</v>
      </c>
      <c r="R1573" t="s">
        <v>1300</v>
      </c>
      <c r="S1573" t="s">
        <v>1417</v>
      </c>
      <c r="T1573" t="s">
        <v>1235</v>
      </c>
      <c r="U1573">
        <v>183300</v>
      </c>
      <c r="V1573" t="s">
        <v>8830</v>
      </c>
      <c r="W1573" t="s">
        <v>1540</v>
      </c>
      <c r="X1573" t="s">
        <v>7630</v>
      </c>
      <c r="Y1573" t="s">
        <v>4208</v>
      </c>
      <c r="Z1573" t="s">
        <v>4209</v>
      </c>
      <c r="AA1573" t="s">
        <v>4210</v>
      </c>
      <c r="AB1573" t="s">
        <v>7631</v>
      </c>
      <c r="AE1573">
        <v>-38.003222110000003</v>
      </c>
      <c r="AF1573">
        <v>175.31578210000001</v>
      </c>
      <c r="AG1573">
        <v>30</v>
      </c>
      <c r="AH1573">
        <v>8</v>
      </c>
      <c r="AI1573">
        <v>1</v>
      </c>
      <c r="AJ1573">
        <v>1</v>
      </c>
      <c r="AK1573">
        <v>5</v>
      </c>
      <c r="AL1573">
        <v>4</v>
      </c>
      <c r="AM1573">
        <v>4</v>
      </c>
      <c r="AN1573">
        <v>0</v>
      </c>
      <c r="AO1573">
        <v>15</v>
      </c>
      <c r="AP1573">
        <v>0</v>
      </c>
      <c r="AQ1573">
        <v>14</v>
      </c>
      <c r="AR1573">
        <v>0</v>
      </c>
      <c r="AS1573">
        <v>0</v>
      </c>
      <c r="AT1573">
        <v>1</v>
      </c>
    </row>
    <row r="1574" spans="1:46">
      <c r="A1574">
        <v>35020</v>
      </c>
      <c r="B1574" t="s">
        <v>9628</v>
      </c>
      <c r="C1574" t="s">
        <v>9629</v>
      </c>
      <c r="E1574" t="s">
        <v>9630</v>
      </c>
      <c r="G1574" t="s">
        <v>1555</v>
      </c>
      <c r="H1574" t="s">
        <v>343</v>
      </c>
      <c r="J1574" t="s">
        <v>518</v>
      </c>
      <c r="K1574" t="s">
        <v>519</v>
      </c>
      <c r="L1574" t="s">
        <v>4205</v>
      </c>
      <c r="M1574" t="s">
        <v>1297</v>
      </c>
      <c r="N1574" t="s">
        <v>727</v>
      </c>
      <c r="O1574" t="s">
        <v>1351</v>
      </c>
      <c r="P1574" t="s">
        <v>572</v>
      </c>
      <c r="Q1574" t="s">
        <v>1299</v>
      </c>
      <c r="R1574" t="s">
        <v>1300</v>
      </c>
      <c r="S1574" t="s">
        <v>1300</v>
      </c>
      <c r="T1574" t="s">
        <v>1235</v>
      </c>
      <c r="U1574">
        <v>171201</v>
      </c>
      <c r="V1574" t="s">
        <v>9631</v>
      </c>
      <c r="W1574" t="s">
        <v>1557</v>
      </c>
      <c r="X1574" t="s">
        <v>7630</v>
      </c>
      <c r="Y1574" t="s">
        <v>4208</v>
      </c>
      <c r="Z1574" t="s">
        <v>4209</v>
      </c>
      <c r="AA1574" t="s">
        <v>4210</v>
      </c>
      <c r="AB1574" t="s">
        <v>7631</v>
      </c>
      <c r="AE1574">
        <v>-37.529626720000003</v>
      </c>
      <c r="AF1574">
        <v>175.15170626</v>
      </c>
      <c r="AG1574">
        <v>26</v>
      </c>
      <c r="AH1574">
        <v>10</v>
      </c>
      <c r="AI1574">
        <v>2</v>
      </c>
      <c r="AJ1574">
        <v>2</v>
      </c>
      <c r="AK1574">
        <v>5</v>
      </c>
      <c r="AL1574">
        <v>8</v>
      </c>
      <c r="AM1574">
        <v>9</v>
      </c>
      <c r="AN1574">
        <v>0</v>
      </c>
      <c r="AO1574">
        <v>26</v>
      </c>
      <c r="AP1574">
        <v>0</v>
      </c>
      <c r="AQ1574">
        <v>25</v>
      </c>
      <c r="AR1574">
        <v>1</v>
      </c>
      <c r="AS1574">
        <v>0</v>
      </c>
      <c r="AT1574">
        <v>0</v>
      </c>
    </row>
    <row r="1575" spans="1:46">
      <c r="A1575">
        <v>35021</v>
      </c>
      <c r="B1575" t="s">
        <v>9632</v>
      </c>
      <c r="C1575" t="s">
        <v>9633</v>
      </c>
      <c r="E1575" t="s">
        <v>9634</v>
      </c>
      <c r="G1575" t="s">
        <v>3683</v>
      </c>
      <c r="H1575" t="s">
        <v>343</v>
      </c>
      <c r="J1575" t="s">
        <v>518</v>
      </c>
      <c r="K1575" t="s">
        <v>519</v>
      </c>
      <c r="L1575" t="s">
        <v>4205</v>
      </c>
      <c r="M1575" t="s">
        <v>1297</v>
      </c>
      <c r="N1575" t="s">
        <v>727</v>
      </c>
      <c r="O1575" t="s">
        <v>1437</v>
      </c>
      <c r="P1575" t="s">
        <v>523</v>
      </c>
      <c r="Q1575" t="s">
        <v>1299</v>
      </c>
      <c r="R1575" t="s">
        <v>1300</v>
      </c>
      <c r="S1575" t="s">
        <v>1438</v>
      </c>
      <c r="T1575" t="s">
        <v>1235</v>
      </c>
      <c r="U1575">
        <v>169600</v>
      </c>
      <c r="V1575" t="s">
        <v>8913</v>
      </c>
      <c r="W1575" t="s">
        <v>3685</v>
      </c>
      <c r="X1575" t="s">
        <v>7630</v>
      </c>
      <c r="Y1575" t="s">
        <v>4208</v>
      </c>
      <c r="Z1575" t="s">
        <v>4209</v>
      </c>
      <c r="AA1575" t="s">
        <v>4210</v>
      </c>
      <c r="AB1575" t="s">
        <v>7631</v>
      </c>
      <c r="AE1575">
        <v>-37.400343700000001</v>
      </c>
      <c r="AF1575">
        <v>175.83959239999999</v>
      </c>
      <c r="AG1575">
        <v>24</v>
      </c>
      <c r="AH1575">
        <v>12</v>
      </c>
      <c r="AI1575">
        <v>2</v>
      </c>
      <c r="AJ1575">
        <v>5</v>
      </c>
      <c r="AK1575">
        <v>8</v>
      </c>
      <c r="AL1575">
        <v>3</v>
      </c>
      <c r="AM1575">
        <v>3</v>
      </c>
      <c r="AN1575">
        <v>0</v>
      </c>
      <c r="AO1575">
        <v>21</v>
      </c>
      <c r="AP1575">
        <v>0</v>
      </c>
      <c r="AQ1575">
        <v>21</v>
      </c>
      <c r="AR1575">
        <v>0</v>
      </c>
      <c r="AS1575">
        <v>0</v>
      </c>
      <c r="AT1575">
        <v>0</v>
      </c>
    </row>
    <row r="1576" spans="1:46">
      <c r="A1576">
        <v>35022</v>
      </c>
      <c r="B1576" t="s">
        <v>9635</v>
      </c>
      <c r="C1576" t="s">
        <v>9636</v>
      </c>
      <c r="E1576" t="s">
        <v>9637</v>
      </c>
      <c r="G1576" t="s">
        <v>1555</v>
      </c>
      <c r="H1576" t="s">
        <v>343</v>
      </c>
      <c r="J1576" t="s">
        <v>518</v>
      </c>
      <c r="K1576" t="s">
        <v>519</v>
      </c>
      <c r="L1576" t="s">
        <v>4205</v>
      </c>
      <c r="M1576" t="s">
        <v>1297</v>
      </c>
      <c r="N1576" t="s">
        <v>521</v>
      </c>
      <c r="O1576" t="s">
        <v>1351</v>
      </c>
      <c r="P1576" t="s">
        <v>523</v>
      </c>
      <c r="Q1576" t="s">
        <v>1299</v>
      </c>
      <c r="R1576" t="s">
        <v>1300</v>
      </c>
      <c r="S1576" t="s">
        <v>1300</v>
      </c>
      <c r="T1576" t="s">
        <v>1235</v>
      </c>
      <c r="U1576">
        <v>171400</v>
      </c>
      <c r="V1576" t="s">
        <v>9525</v>
      </c>
      <c r="W1576" t="s">
        <v>1557</v>
      </c>
      <c r="X1576" t="s">
        <v>7630</v>
      </c>
      <c r="Y1576" t="s">
        <v>4208</v>
      </c>
      <c r="Z1576" t="s">
        <v>4209</v>
      </c>
      <c r="AA1576" t="s">
        <v>4210</v>
      </c>
      <c r="AB1576" t="s">
        <v>7631</v>
      </c>
      <c r="AE1576">
        <v>-37.550374040000001</v>
      </c>
      <c r="AF1576">
        <v>175.15431942999999</v>
      </c>
      <c r="AG1576">
        <v>30</v>
      </c>
      <c r="AH1576">
        <v>8</v>
      </c>
      <c r="AI1576">
        <v>0</v>
      </c>
      <c r="AJ1576">
        <v>8</v>
      </c>
      <c r="AK1576">
        <v>6</v>
      </c>
      <c r="AL1576">
        <v>9</v>
      </c>
      <c r="AM1576">
        <v>4</v>
      </c>
      <c r="AN1576">
        <v>0</v>
      </c>
      <c r="AO1576">
        <v>27</v>
      </c>
      <c r="AP1576">
        <v>0</v>
      </c>
      <c r="AQ1576">
        <v>27</v>
      </c>
      <c r="AR1576">
        <v>0</v>
      </c>
      <c r="AS1576">
        <v>0</v>
      </c>
      <c r="AT1576">
        <v>0</v>
      </c>
    </row>
    <row r="1577" spans="1:46">
      <c r="A1577">
        <v>35025</v>
      </c>
      <c r="B1577" t="s">
        <v>9638</v>
      </c>
      <c r="C1577" t="s">
        <v>9639</v>
      </c>
      <c r="E1577" t="s">
        <v>9640</v>
      </c>
      <c r="G1577" t="s">
        <v>9641</v>
      </c>
      <c r="H1577" t="s">
        <v>343</v>
      </c>
      <c r="J1577" t="s">
        <v>518</v>
      </c>
      <c r="K1577" t="s">
        <v>519</v>
      </c>
      <c r="L1577" t="s">
        <v>4205</v>
      </c>
      <c r="M1577" t="s">
        <v>1297</v>
      </c>
      <c r="N1577" t="s">
        <v>539</v>
      </c>
      <c r="O1577" t="s">
        <v>8637</v>
      </c>
      <c r="P1577" t="s">
        <v>540</v>
      </c>
      <c r="Q1577" t="s">
        <v>1299</v>
      </c>
      <c r="R1577" t="s">
        <v>1300</v>
      </c>
      <c r="S1577" t="s">
        <v>1417</v>
      </c>
      <c r="T1577" t="s">
        <v>1485</v>
      </c>
      <c r="U1577">
        <v>187000</v>
      </c>
      <c r="V1577" t="s">
        <v>9642</v>
      </c>
      <c r="W1577" t="s">
        <v>9135</v>
      </c>
      <c r="X1577" t="s">
        <v>7630</v>
      </c>
      <c r="Y1577" t="s">
        <v>4208</v>
      </c>
      <c r="Z1577" t="s">
        <v>4209</v>
      </c>
      <c r="AA1577" t="s">
        <v>4210</v>
      </c>
      <c r="AB1577" t="s">
        <v>7631</v>
      </c>
      <c r="AE1577">
        <v>-38.152506260000003</v>
      </c>
      <c r="AF1577">
        <v>174.73769633000001</v>
      </c>
      <c r="AG1577">
        <v>20</v>
      </c>
      <c r="AH1577">
        <v>5</v>
      </c>
      <c r="AI1577">
        <v>1</v>
      </c>
      <c r="AJ1577">
        <v>4</v>
      </c>
      <c r="AK1577">
        <v>5</v>
      </c>
      <c r="AL1577">
        <v>5</v>
      </c>
      <c r="AM1577">
        <v>2</v>
      </c>
      <c r="AN1577">
        <v>0</v>
      </c>
      <c r="AO1577">
        <v>17</v>
      </c>
      <c r="AP1577">
        <v>0</v>
      </c>
      <c r="AQ1577">
        <v>15</v>
      </c>
      <c r="AR1577">
        <v>0</v>
      </c>
      <c r="AS1577">
        <v>0</v>
      </c>
      <c r="AT1577">
        <v>2</v>
      </c>
    </row>
    <row r="1578" spans="1:46">
      <c r="A1578">
        <v>35027</v>
      </c>
      <c r="B1578" t="s">
        <v>9643</v>
      </c>
      <c r="C1578" t="s">
        <v>9644</v>
      </c>
      <c r="E1578" t="s">
        <v>9645</v>
      </c>
      <c r="G1578" t="s">
        <v>1634</v>
      </c>
      <c r="H1578" t="s">
        <v>343</v>
      </c>
      <c r="J1578" t="s">
        <v>518</v>
      </c>
      <c r="K1578" t="s">
        <v>519</v>
      </c>
      <c r="L1578" t="s">
        <v>4205</v>
      </c>
      <c r="M1578" t="s">
        <v>1297</v>
      </c>
      <c r="N1578" t="s">
        <v>521</v>
      </c>
      <c r="O1578" t="s">
        <v>1635</v>
      </c>
      <c r="P1578" t="s">
        <v>572</v>
      </c>
      <c r="Q1578" t="s">
        <v>1636</v>
      </c>
      <c r="R1578" t="s">
        <v>1760</v>
      </c>
      <c r="S1578" t="s">
        <v>1637</v>
      </c>
      <c r="T1578" t="s">
        <v>1485</v>
      </c>
      <c r="U1578">
        <v>222400</v>
      </c>
      <c r="V1578" t="s">
        <v>9069</v>
      </c>
      <c r="W1578" t="s">
        <v>1639</v>
      </c>
      <c r="X1578" t="s">
        <v>9646</v>
      </c>
      <c r="Y1578" t="s">
        <v>4208</v>
      </c>
      <c r="Z1578" t="s">
        <v>4209</v>
      </c>
      <c r="AA1578" t="s">
        <v>4210</v>
      </c>
      <c r="AB1578" t="s">
        <v>6608</v>
      </c>
      <c r="AE1578">
        <v>-38.828860650000003</v>
      </c>
      <c r="AF1578">
        <v>175.32054681</v>
      </c>
      <c r="AG1578">
        <v>20</v>
      </c>
      <c r="AH1578">
        <v>5</v>
      </c>
      <c r="AI1578">
        <v>0</v>
      </c>
      <c r="AJ1578">
        <v>6</v>
      </c>
      <c r="AK1578">
        <v>4</v>
      </c>
      <c r="AL1578">
        <v>3</v>
      </c>
      <c r="AM1578">
        <v>7</v>
      </c>
      <c r="AN1578">
        <v>0</v>
      </c>
      <c r="AO1578">
        <v>20</v>
      </c>
      <c r="AP1578">
        <v>0</v>
      </c>
      <c r="AQ1578">
        <v>19</v>
      </c>
      <c r="AR1578">
        <v>1</v>
      </c>
      <c r="AS1578">
        <v>0</v>
      </c>
      <c r="AT1578">
        <v>0</v>
      </c>
    </row>
    <row r="1579" spans="1:46">
      <c r="A1579">
        <v>35028</v>
      </c>
      <c r="B1579" t="s">
        <v>9647</v>
      </c>
      <c r="C1579" t="s">
        <v>9648</v>
      </c>
      <c r="E1579" t="s">
        <v>9649</v>
      </c>
      <c r="G1579" t="s">
        <v>1634</v>
      </c>
      <c r="H1579" t="s">
        <v>343</v>
      </c>
      <c r="J1579" t="s">
        <v>518</v>
      </c>
      <c r="K1579" t="s">
        <v>519</v>
      </c>
      <c r="L1579" t="s">
        <v>4205</v>
      </c>
      <c r="M1579" t="s">
        <v>1297</v>
      </c>
      <c r="N1579" t="s">
        <v>727</v>
      </c>
      <c r="O1579" t="s">
        <v>1635</v>
      </c>
      <c r="P1579" t="s">
        <v>523</v>
      </c>
      <c r="Q1579" t="s">
        <v>1636</v>
      </c>
      <c r="R1579" t="s">
        <v>1760</v>
      </c>
      <c r="S1579" t="s">
        <v>1637</v>
      </c>
      <c r="T1579" t="s">
        <v>1485</v>
      </c>
      <c r="U1579">
        <v>222600</v>
      </c>
      <c r="V1579" t="s">
        <v>1638</v>
      </c>
      <c r="W1579" t="s">
        <v>1639</v>
      </c>
      <c r="X1579" t="s">
        <v>9070</v>
      </c>
      <c r="Y1579" t="s">
        <v>4208</v>
      </c>
      <c r="Z1579" t="s">
        <v>4209</v>
      </c>
      <c r="AA1579" t="s">
        <v>4210</v>
      </c>
      <c r="AB1579" t="s">
        <v>9071</v>
      </c>
      <c r="AE1579">
        <v>-38.886306689999998</v>
      </c>
      <c r="AF1579">
        <v>175.26238531999999</v>
      </c>
      <c r="AG1579">
        <v>27</v>
      </c>
      <c r="AH1579">
        <v>15</v>
      </c>
      <c r="AI1579">
        <v>1</v>
      </c>
      <c r="AJ1579">
        <v>4</v>
      </c>
      <c r="AK1579">
        <v>5</v>
      </c>
      <c r="AL1579">
        <v>4</v>
      </c>
      <c r="AM1579">
        <v>4</v>
      </c>
      <c r="AN1579">
        <v>0</v>
      </c>
      <c r="AO1579">
        <v>18</v>
      </c>
      <c r="AP1579">
        <v>0</v>
      </c>
      <c r="AQ1579">
        <v>16</v>
      </c>
      <c r="AR1579">
        <v>2</v>
      </c>
      <c r="AS1579">
        <v>0</v>
      </c>
      <c r="AT1579">
        <v>0</v>
      </c>
    </row>
    <row r="1580" spans="1:46">
      <c r="A1580">
        <v>35031</v>
      </c>
      <c r="B1580" t="s">
        <v>9650</v>
      </c>
      <c r="C1580" t="s">
        <v>9651</v>
      </c>
      <c r="E1580" t="s">
        <v>9652</v>
      </c>
      <c r="G1580" t="s">
        <v>1483</v>
      </c>
      <c r="H1580" t="s">
        <v>343</v>
      </c>
      <c r="J1580" t="s">
        <v>518</v>
      </c>
      <c r="K1580" t="s">
        <v>519</v>
      </c>
      <c r="L1580" t="s">
        <v>4205</v>
      </c>
      <c r="M1580" t="s">
        <v>1297</v>
      </c>
      <c r="N1580" t="s">
        <v>521</v>
      </c>
      <c r="O1580" t="s">
        <v>1484</v>
      </c>
      <c r="P1580" t="s">
        <v>1262</v>
      </c>
      <c r="Q1580" t="s">
        <v>1299</v>
      </c>
      <c r="R1580" t="s">
        <v>1300</v>
      </c>
      <c r="S1580" t="s">
        <v>1320</v>
      </c>
      <c r="T1580" t="s">
        <v>1485</v>
      </c>
      <c r="U1580">
        <v>186700</v>
      </c>
      <c r="V1580" t="s">
        <v>8683</v>
      </c>
      <c r="W1580" t="s">
        <v>1487</v>
      </c>
      <c r="X1580" t="s">
        <v>7630</v>
      </c>
      <c r="Y1580" t="s">
        <v>4208</v>
      </c>
      <c r="Z1580" t="s">
        <v>4209</v>
      </c>
      <c r="AA1580" t="s">
        <v>4210</v>
      </c>
      <c r="AB1580" t="s">
        <v>7631</v>
      </c>
      <c r="AE1580">
        <v>-38.222952239999998</v>
      </c>
      <c r="AF1580">
        <v>175.87739245</v>
      </c>
      <c r="AG1580">
        <v>36</v>
      </c>
      <c r="AH1580">
        <v>12</v>
      </c>
      <c r="AI1580">
        <v>1</v>
      </c>
      <c r="AJ1580">
        <v>14</v>
      </c>
      <c r="AK1580">
        <v>11</v>
      </c>
      <c r="AL1580">
        <v>5</v>
      </c>
      <c r="AM1580">
        <v>5</v>
      </c>
      <c r="AN1580">
        <v>0</v>
      </c>
      <c r="AO1580">
        <v>36</v>
      </c>
      <c r="AP1580">
        <v>0</v>
      </c>
      <c r="AQ1580">
        <v>33</v>
      </c>
      <c r="AR1580">
        <v>1</v>
      </c>
      <c r="AS1580">
        <v>0</v>
      </c>
      <c r="AT1580">
        <v>2</v>
      </c>
    </row>
    <row r="1581" spans="1:46">
      <c r="A1581">
        <v>35034</v>
      </c>
      <c r="B1581" t="s">
        <v>9653</v>
      </c>
      <c r="C1581" t="s">
        <v>9654</v>
      </c>
      <c r="E1581" t="s">
        <v>9655</v>
      </c>
      <c r="G1581" t="s">
        <v>1483</v>
      </c>
      <c r="H1581" t="s">
        <v>343</v>
      </c>
      <c r="J1581" t="s">
        <v>518</v>
      </c>
      <c r="K1581" t="s">
        <v>519</v>
      </c>
      <c r="L1581" t="s">
        <v>4205</v>
      </c>
      <c r="M1581" t="s">
        <v>1297</v>
      </c>
      <c r="N1581" t="s">
        <v>727</v>
      </c>
      <c r="O1581" t="s">
        <v>1484</v>
      </c>
      <c r="P1581" t="s">
        <v>1262</v>
      </c>
      <c r="Q1581" t="s">
        <v>1299</v>
      </c>
      <c r="R1581" t="s">
        <v>1300</v>
      </c>
      <c r="S1581" t="s">
        <v>1320</v>
      </c>
      <c r="T1581" t="s">
        <v>1485</v>
      </c>
      <c r="U1581">
        <v>186500</v>
      </c>
      <c r="V1581" t="s">
        <v>1504</v>
      </c>
      <c r="W1581" t="s">
        <v>1487</v>
      </c>
      <c r="X1581" t="s">
        <v>7630</v>
      </c>
      <c r="Y1581" t="s">
        <v>4208</v>
      </c>
      <c r="Z1581" t="s">
        <v>4209</v>
      </c>
      <c r="AA1581" t="s">
        <v>4210</v>
      </c>
      <c r="AB1581" t="s">
        <v>7631</v>
      </c>
      <c r="AE1581">
        <v>-38.217635119999997</v>
      </c>
      <c r="AF1581">
        <v>175.86366823</v>
      </c>
      <c r="AG1581">
        <v>16</v>
      </c>
      <c r="AH1581">
        <v>4</v>
      </c>
      <c r="AI1581">
        <v>2</v>
      </c>
      <c r="AJ1581">
        <v>0</v>
      </c>
      <c r="AK1581">
        <v>3</v>
      </c>
      <c r="AL1581">
        <v>4</v>
      </c>
      <c r="AM1581">
        <v>1</v>
      </c>
      <c r="AN1581">
        <v>0</v>
      </c>
      <c r="AO1581">
        <v>10</v>
      </c>
      <c r="AP1581">
        <v>0</v>
      </c>
      <c r="AQ1581">
        <v>8</v>
      </c>
      <c r="AR1581">
        <v>1</v>
      </c>
      <c r="AS1581">
        <v>0</v>
      </c>
      <c r="AT1581">
        <v>1</v>
      </c>
    </row>
    <row r="1582" spans="1:46">
      <c r="A1582">
        <v>35037</v>
      </c>
      <c r="B1582" t="s">
        <v>9656</v>
      </c>
      <c r="C1582" t="s">
        <v>9657</v>
      </c>
      <c r="E1582" t="s">
        <v>9658</v>
      </c>
      <c r="G1582" t="s">
        <v>1555</v>
      </c>
      <c r="H1582" t="s">
        <v>343</v>
      </c>
      <c r="J1582" t="s">
        <v>518</v>
      </c>
      <c r="K1582" t="s">
        <v>519</v>
      </c>
      <c r="L1582" t="s">
        <v>4205</v>
      </c>
      <c r="M1582" t="s">
        <v>1297</v>
      </c>
      <c r="N1582" t="s">
        <v>727</v>
      </c>
      <c r="O1582" t="s">
        <v>1351</v>
      </c>
      <c r="P1582" t="s">
        <v>572</v>
      </c>
      <c r="Q1582" t="s">
        <v>1299</v>
      </c>
      <c r="R1582" t="s">
        <v>1300</v>
      </c>
      <c r="S1582" t="s">
        <v>1300</v>
      </c>
      <c r="T1582" t="s">
        <v>1235</v>
      </c>
      <c r="U1582">
        <v>171201</v>
      </c>
      <c r="V1582" t="s">
        <v>9631</v>
      </c>
      <c r="W1582" t="s">
        <v>1557</v>
      </c>
      <c r="X1582" t="s">
        <v>7630</v>
      </c>
      <c r="Y1582" t="s">
        <v>4208</v>
      </c>
      <c r="Z1582" t="s">
        <v>4209</v>
      </c>
      <c r="AA1582" t="s">
        <v>4210</v>
      </c>
      <c r="AB1582" t="s">
        <v>7631</v>
      </c>
      <c r="AE1582">
        <v>-37.546166700000001</v>
      </c>
      <c r="AF1582">
        <v>175.1373773</v>
      </c>
      <c r="AG1582">
        <v>33</v>
      </c>
      <c r="AH1582">
        <v>15</v>
      </c>
      <c r="AI1582">
        <v>0</v>
      </c>
      <c r="AJ1582">
        <v>8</v>
      </c>
      <c r="AK1582">
        <v>6</v>
      </c>
      <c r="AL1582">
        <v>7</v>
      </c>
      <c r="AM1582">
        <v>7</v>
      </c>
      <c r="AN1582">
        <v>0</v>
      </c>
      <c r="AO1582">
        <v>28</v>
      </c>
      <c r="AP1582">
        <v>0</v>
      </c>
      <c r="AQ1582">
        <v>25</v>
      </c>
      <c r="AR1582">
        <v>2</v>
      </c>
      <c r="AS1582">
        <v>0</v>
      </c>
      <c r="AT1582">
        <v>1</v>
      </c>
    </row>
    <row r="1583" spans="1:46">
      <c r="A1583">
        <v>35039</v>
      </c>
      <c r="B1583" t="s">
        <v>9659</v>
      </c>
      <c r="C1583" t="s">
        <v>9660</v>
      </c>
      <c r="E1583" t="s">
        <v>9661</v>
      </c>
      <c r="G1583" t="s">
        <v>1483</v>
      </c>
      <c r="H1583" t="s">
        <v>343</v>
      </c>
      <c r="J1583" t="s">
        <v>518</v>
      </c>
      <c r="K1583" t="s">
        <v>519</v>
      </c>
      <c r="L1583" t="s">
        <v>4205</v>
      </c>
      <c r="M1583" t="s">
        <v>1297</v>
      </c>
      <c r="N1583" t="s">
        <v>521</v>
      </c>
      <c r="O1583" t="s">
        <v>1484</v>
      </c>
      <c r="P1583" t="s">
        <v>1262</v>
      </c>
      <c r="Q1583" t="s">
        <v>1299</v>
      </c>
      <c r="R1583" t="s">
        <v>1300</v>
      </c>
      <c r="S1583" t="s">
        <v>1320</v>
      </c>
      <c r="T1583" t="s">
        <v>1485</v>
      </c>
      <c r="U1583">
        <v>186600</v>
      </c>
      <c r="V1583" t="s">
        <v>8340</v>
      </c>
      <c r="W1583" t="s">
        <v>1487</v>
      </c>
      <c r="X1583" t="s">
        <v>7630</v>
      </c>
      <c r="Y1583" t="s">
        <v>4208</v>
      </c>
      <c r="Z1583" t="s">
        <v>4209</v>
      </c>
      <c r="AA1583" t="s">
        <v>4210</v>
      </c>
      <c r="AB1583" t="s">
        <v>7631</v>
      </c>
      <c r="AE1583">
        <v>-38.230550200000003</v>
      </c>
      <c r="AF1583">
        <v>175.86750309999999</v>
      </c>
      <c r="AG1583">
        <v>30</v>
      </c>
      <c r="AH1583">
        <v>10</v>
      </c>
      <c r="AI1583">
        <v>1</v>
      </c>
      <c r="AJ1583">
        <v>0</v>
      </c>
      <c r="AK1583">
        <v>5</v>
      </c>
      <c r="AL1583">
        <v>6</v>
      </c>
      <c r="AM1583">
        <v>3</v>
      </c>
      <c r="AN1583">
        <v>0</v>
      </c>
      <c r="AO1583">
        <v>15</v>
      </c>
      <c r="AP1583">
        <v>0</v>
      </c>
      <c r="AQ1583">
        <v>15</v>
      </c>
      <c r="AR1583">
        <v>0</v>
      </c>
      <c r="AS1583">
        <v>0</v>
      </c>
      <c r="AT1583">
        <v>0</v>
      </c>
    </row>
    <row r="1584" spans="1:46">
      <c r="A1584">
        <v>35040</v>
      </c>
      <c r="B1584" t="s">
        <v>9662</v>
      </c>
      <c r="C1584" t="s">
        <v>9663</v>
      </c>
      <c r="E1584" t="s">
        <v>9664</v>
      </c>
      <c r="G1584" t="s">
        <v>1483</v>
      </c>
      <c r="H1584" t="s">
        <v>343</v>
      </c>
      <c r="J1584" t="s">
        <v>518</v>
      </c>
      <c r="K1584" t="s">
        <v>519</v>
      </c>
      <c r="L1584" t="s">
        <v>4205</v>
      </c>
      <c r="M1584" t="s">
        <v>1297</v>
      </c>
      <c r="N1584" t="s">
        <v>727</v>
      </c>
      <c r="O1584" t="s">
        <v>1484</v>
      </c>
      <c r="P1584" t="s">
        <v>1262</v>
      </c>
      <c r="Q1584" t="s">
        <v>1299</v>
      </c>
      <c r="R1584" t="s">
        <v>1472</v>
      </c>
      <c r="S1584" t="s">
        <v>1320</v>
      </c>
      <c r="T1584" t="s">
        <v>1485</v>
      </c>
      <c r="U1584">
        <v>186700</v>
      </c>
      <c r="V1584" t="s">
        <v>8683</v>
      </c>
      <c r="W1584" t="s">
        <v>1487</v>
      </c>
      <c r="X1584" t="s">
        <v>8447</v>
      </c>
      <c r="Y1584" t="s">
        <v>4208</v>
      </c>
      <c r="Z1584" t="s">
        <v>4209</v>
      </c>
      <c r="AA1584" t="s">
        <v>4210</v>
      </c>
      <c r="AB1584" t="s">
        <v>8448</v>
      </c>
      <c r="AE1584">
        <v>-38.221079770000003</v>
      </c>
      <c r="AF1584">
        <v>175.86928309999999</v>
      </c>
      <c r="AG1584">
        <v>25</v>
      </c>
      <c r="AH1584">
        <v>5</v>
      </c>
      <c r="AI1584">
        <v>0</v>
      </c>
      <c r="AJ1584">
        <v>1</v>
      </c>
      <c r="AK1584">
        <v>3</v>
      </c>
      <c r="AL1584">
        <v>6</v>
      </c>
      <c r="AM1584">
        <v>2</v>
      </c>
      <c r="AN1584">
        <v>0</v>
      </c>
      <c r="AO1584">
        <v>12</v>
      </c>
      <c r="AP1584">
        <v>0</v>
      </c>
      <c r="AQ1584">
        <v>12</v>
      </c>
      <c r="AR1584">
        <v>0</v>
      </c>
      <c r="AS1584">
        <v>0</v>
      </c>
      <c r="AT1584">
        <v>0</v>
      </c>
    </row>
    <row r="1585" spans="1:46">
      <c r="A1585">
        <v>35041</v>
      </c>
      <c r="B1585" t="s">
        <v>9665</v>
      </c>
      <c r="C1585" t="s">
        <v>9666</v>
      </c>
      <c r="E1585" t="s">
        <v>9667</v>
      </c>
      <c r="G1585" t="s">
        <v>8636</v>
      </c>
      <c r="H1585" t="s">
        <v>343</v>
      </c>
      <c r="J1585" t="s">
        <v>518</v>
      </c>
      <c r="K1585" t="s">
        <v>519</v>
      </c>
      <c r="L1585" t="s">
        <v>4205</v>
      </c>
      <c r="M1585" t="s">
        <v>1297</v>
      </c>
      <c r="N1585" t="s">
        <v>727</v>
      </c>
      <c r="O1585" t="s">
        <v>8637</v>
      </c>
      <c r="P1585" t="s">
        <v>523</v>
      </c>
      <c r="Q1585" t="s">
        <v>1299</v>
      </c>
      <c r="R1585" t="s">
        <v>1300</v>
      </c>
      <c r="S1585" t="s">
        <v>1417</v>
      </c>
      <c r="T1585" t="s">
        <v>1485</v>
      </c>
      <c r="U1585">
        <v>187400</v>
      </c>
      <c r="V1585" t="s">
        <v>8638</v>
      </c>
      <c r="W1585" t="s">
        <v>8639</v>
      </c>
      <c r="X1585" t="s">
        <v>7630</v>
      </c>
      <c r="Y1585" t="s">
        <v>4208</v>
      </c>
      <c r="Z1585" t="s">
        <v>4209</v>
      </c>
      <c r="AA1585" t="s">
        <v>4210</v>
      </c>
      <c r="AB1585" t="s">
        <v>7631</v>
      </c>
      <c r="AC1585">
        <v>99106</v>
      </c>
      <c r="AD1585" t="s">
        <v>8644</v>
      </c>
      <c r="AE1585">
        <v>-38.336064559999997</v>
      </c>
      <c r="AF1585">
        <v>175.17197138</v>
      </c>
      <c r="AG1585">
        <v>40</v>
      </c>
      <c r="AH1585">
        <v>10</v>
      </c>
      <c r="AI1585">
        <v>0</v>
      </c>
      <c r="AJ1585">
        <v>6</v>
      </c>
      <c r="AK1585">
        <v>7</v>
      </c>
      <c r="AL1585">
        <v>16</v>
      </c>
      <c r="AM1585">
        <v>10</v>
      </c>
      <c r="AN1585">
        <v>0</v>
      </c>
      <c r="AO1585">
        <v>39</v>
      </c>
      <c r="AP1585">
        <v>0</v>
      </c>
      <c r="AQ1585">
        <v>39</v>
      </c>
      <c r="AR1585">
        <v>0</v>
      </c>
      <c r="AS1585">
        <v>0</v>
      </c>
      <c r="AT1585">
        <v>0</v>
      </c>
    </row>
    <row r="1586" spans="1:46">
      <c r="A1586">
        <v>35044</v>
      </c>
      <c r="B1586" t="s">
        <v>9668</v>
      </c>
      <c r="C1586" t="s">
        <v>9669</v>
      </c>
      <c r="E1586" t="s">
        <v>9670</v>
      </c>
      <c r="G1586" t="s">
        <v>1497</v>
      </c>
      <c r="H1586" t="s">
        <v>343</v>
      </c>
      <c r="J1586" t="s">
        <v>518</v>
      </c>
      <c r="K1586" t="s">
        <v>519</v>
      </c>
      <c r="L1586" t="s">
        <v>4205</v>
      </c>
      <c r="M1586" t="s">
        <v>1297</v>
      </c>
      <c r="N1586" t="s">
        <v>727</v>
      </c>
      <c r="O1586" t="s">
        <v>1484</v>
      </c>
      <c r="P1586" t="s">
        <v>523</v>
      </c>
      <c r="Q1586" t="s">
        <v>1299</v>
      </c>
      <c r="R1586" t="s">
        <v>1472</v>
      </c>
      <c r="S1586" t="s">
        <v>1320</v>
      </c>
      <c r="T1586" t="s">
        <v>1485</v>
      </c>
      <c r="U1586">
        <v>186000</v>
      </c>
      <c r="V1586" t="s">
        <v>1498</v>
      </c>
      <c r="W1586" t="s">
        <v>1499</v>
      </c>
      <c r="X1586" t="s">
        <v>8447</v>
      </c>
      <c r="Y1586" t="s">
        <v>4208</v>
      </c>
      <c r="Z1586" t="s">
        <v>4209</v>
      </c>
      <c r="AA1586" t="s">
        <v>4210</v>
      </c>
      <c r="AB1586" t="s">
        <v>8448</v>
      </c>
      <c r="AE1586">
        <v>-38.05409676</v>
      </c>
      <c r="AF1586">
        <v>175.80442252</v>
      </c>
      <c r="AG1586">
        <v>15</v>
      </c>
      <c r="AH1586">
        <v>6</v>
      </c>
      <c r="AI1586">
        <v>1</v>
      </c>
      <c r="AJ1586">
        <v>1</v>
      </c>
      <c r="AK1586">
        <v>1</v>
      </c>
      <c r="AL1586">
        <v>1</v>
      </c>
      <c r="AM1586">
        <v>2</v>
      </c>
      <c r="AN1586">
        <v>0</v>
      </c>
      <c r="AO1586">
        <v>6</v>
      </c>
      <c r="AP1586">
        <v>0</v>
      </c>
      <c r="AQ1586">
        <v>5</v>
      </c>
      <c r="AR1586">
        <v>1</v>
      </c>
      <c r="AS1586">
        <v>0</v>
      </c>
      <c r="AT1586">
        <v>0</v>
      </c>
    </row>
    <row r="1587" spans="1:46">
      <c r="A1587">
        <v>35047</v>
      </c>
      <c r="B1587" t="s">
        <v>9671</v>
      </c>
      <c r="C1587" t="s">
        <v>9672</v>
      </c>
      <c r="E1587" t="s">
        <v>9673</v>
      </c>
      <c r="G1587" t="s">
        <v>1555</v>
      </c>
      <c r="H1587" t="s">
        <v>343</v>
      </c>
      <c r="J1587" t="s">
        <v>518</v>
      </c>
      <c r="K1587" t="s">
        <v>519</v>
      </c>
      <c r="L1587" t="s">
        <v>4205</v>
      </c>
      <c r="M1587" t="s">
        <v>1297</v>
      </c>
      <c r="N1587" t="s">
        <v>539</v>
      </c>
      <c r="O1587" t="s">
        <v>1351</v>
      </c>
      <c r="P1587" t="s">
        <v>523</v>
      </c>
      <c r="Q1587" t="s">
        <v>1299</v>
      </c>
      <c r="R1587" t="s">
        <v>1300</v>
      </c>
      <c r="S1587" t="s">
        <v>1300</v>
      </c>
      <c r="T1587" t="s">
        <v>1235</v>
      </c>
      <c r="U1587">
        <v>171400</v>
      </c>
      <c r="V1587" t="s">
        <v>9525</v>
      </c>
      <c r="W1587" t="s">
        <v>1557</v>
      </c>
      <c r="X1587" t="s">
        <v>7630</v>
      </c>
      <c r="Y1587" t="s">
        <v>4208</v>
      </c>
      <c r="Z1587" t="s">
        <v>4209</v>
      </c>
      <c r="AA1587" t="s">
        <v>4210</v>
      </c>
      <c r="AB1587" t="s">
        <v>7631</v>
      </c>
      <c r="AE1587">
        <v>-37.557529580000001</v>
      </c>
      <c r="AF1587">
        <v>175.15415222999999</v>
      </c>
      <c r="AG1587">
        <v>17</v>
      </c>
      <c r="AH1587">
        <v>4</v>
      </c>
      <c r="AI1587">
        <v>0</v>
      </c>
      <c r="AJ1587">
        <v>3</v>
      </c>
      <c r="AK1587">
        <v>5</v>
      </c>
      <c r="AL1587">
        <v>1</v>
      </c>
      <c r="AM1587">
        <v>1</v>
      </c>
      <c r="AN1587">
        <v>0</v>
      </c>
      <c r="AO1587">
        <v>10</v>
      </c>
      <c r="AP1587">
        <v>0</v>
      </c>
      <c r="AQ1587">
        <v>10</v>
      </c>
      <c r="AR1587">
        <v>0</v>
      </c>
      <c r="AS1587">
        <v>0</v>
      </c>
      <c r="AT1587">
        <v>0</v>
      </c>
    </row>
    <row r="1588" spans="1:46">
      <c r="A1588">
        <v>35050</v>
      </c>
      <c r="B1588" t="s">
        <v>9674</v>
      </c>
      <c r="C1588" t="s">
        <v>9675</v>
      </c>
      <c r="E1588" t="s">
        <v>9676</v>
      </c>
      <c r="G1588" t="s">
        <v>9677</v>
      </c>
      <c r="H1588" t="s">
        <v>343</v>
      </c>
      <c r="J1588" t="s">
        <v>518</v>
      </c>
      <c r="K1588" t="s">
        <v>519</v>
      </c>
      <c r="L1588" t="s">
        <v>4205</v>
      </c>
      <c r="M1588" t="s">
        <v>1297</v>
      </c>
      <c r="N1588" t="s">
        <v>571</v>
      </c>
      <c r="O1588" t="s">
        <v>1298</v>
      </c>
      <c r="P1588" t="s">
        <v>654</v>
      </c>
      <c r="Q1588" t="s">
        <v>1299</v>
      </c>
      <c r="R1588" t="s">
        <v>1300</v>
      </c>
      <c r="S1588" t="s">
        <v>1301</v>
      </c>
      <c r="T1588" t="s">
        <v>1235</v>
      </c>
      <c r="U1588">
        <v>178600</v>
      </c>
      <c r="V1588" t="s">
        <v>9677</v>
      </c>
      <c r="W1588" t="s">
        <v>1303</v>
      </c>
      <c r="X1588" t="s">
        <v>7630</v>
      </c>
      <c r="Y1588" t="s">
        <v>4208</v>
      </c>
      <c r="Z1588" t="s">
        <v>4209</v>
      </c>
      <c r="AA1588" t="s">
        <v>4210</v>
      </c>
      <c r="AB1588" t="s">
        <v>7631</v>
      </c>
      <c r="AE1588">
        <v>-37.819005629999999</v>
      </c>
      <c r="AF1588">
        <v>175.21873898000001</v>
      </c>
      <c r="AG1588">
        <v>27</v>
      </c>
      <c r="AH1588">
        <v>12</v>
      </c>
      <c r="AI1588">
        <v>2</v>
      </c>
      <c r="AJ1588">
        <v>6</v>
      </c>
      <c r="AK1588">
        <v>7</v>
      </c>
      <c r="AL1588">
        <v>6</v>
      </c>
      <c r="AM1588">
        <v>3</v>
      </c>
      <c r="AN1588">
        <v>0</v>
      </c>
      <c r="AO1588">
        <v>24</v>
      </c>
      <c r="AP1588">
        <v>0</v>
      </c>
      <c r="AQ1588">
        <v>24</v>
      </c>
      <c r="AR1588">
        <v>0</v>
      </c>
      <c r="AS1588">
        <v>0</v>
      </c>
      <c r="AT1588">
        <v>0</v>
      </c>
    </row>
    <row r="1589" spans="1:46">
      <c r="A1589">
        <v>35051</v>
      </c>
      <c r="B1589" t="s">
        <v>9678</v>
      </c>
      <c r="C1589" t="s">
        <v>9679</v>
      </c>
      <c r="E1589" t="s">
        <v>9680</v>
      </c>
      <c r="G1589" t="s">
        <v>1350</v>
      </c>
      <c r="H1589" t="s">
        <v>343</v>
      </c>
      <c r="J1589" t="s">
        <v>518</v>
      </c>
      <c r="K1589" t="s">
        <v>519</v>
      </c>
      <c r="L1589" t="s">
        <v>4205</v>
      </c>
      <c r="M1589" t="s">
        <v>1297</v>
      </c>
      <c r="N1589" t="s">
        <v>521</v>
      </c>
      <c r="O1589" t="s">
        <v>1351</v>
      </c>
      <c r="P1589" t="s">
        <v>523</v>
      </c>
      <c r="Q1589" t="s">
        <v>1299</v>
      </c>
      <c r="R1589" t="s">
        <v>1300</v>
      </c>
      <c r="S1589" t="s">
        <v>1300</v>
      </c>
      <c r="T1589" t="s">
        <v>1235</v>
      </c>
      <c r="U1589">
        <v>172001</v>
      </c>
      <c r="V1589" t="s">
        <v>1402</v>
      </c>
      <c r="W1589" t="s">
        <v>1353</v>
      </c>
      <c r="X1589" t="s">
        <v>7630</v>
      </c>
      <c r="Y1589" t="s">
        <v>4208</v>
      </c>
      <c r="Z1589" t="s">
        <v>4209</v>
      </c>
      <c r="AA1589" t="s">
        <v>4210</v>
      </c>
      <c r="AB1589" t="s">
        <v>7631</v>
      </c>
      <c r="AE1589">
        <v>-37.662428609999999</v>
      </c>
      <c r="AF1589">
        <v>175.15300296000001</v>
      </c>
      <c r="AG1589">
        <v>35</v>
      </c>
      <c r="AH1589">
        <v>8</v>
      </c>
      <c r="AI1589">
        <v>0</v>
      </c>
      <c r="AJ1589">
        <v>7</v>
      </c>
      <c r="AK1589">
        <v>9</v>
      </c>
      <c r="AL1589">
        <v>10</v>
      </c>
      <c r="AM1589">
        <v>10</v>
      </c>
      <c r="AN1589">
        <v>0</v>
      </c>
      <c r="AO1589">
        <v>36</v>
      </c>
      <c r="AP1589">
        <v>0</v>
      </c>
      <c r="AQ1589">
        <v>36</v>
      </c>
      <c r="AR1589">
        <v>0</v>
      </c>
      <c r="AS1589">
        <v>0</v>
      </c>
      <c r="AT1589">
        <v>0</v>
      </c>
    </row>
    <row r="1590" spans="1:46">
      <c r="A1590">
        <v>35052</v>
      </c>
      <c r="B1590" t="s">
        <v>9681</v>
      </c>
      <c r="C1590" t="s">
        <v>9682</v>
      </c>
      <c r="E1590" t="s">
        <v>9683</v>
      </c>
      <c r="G1590" t="s">
        <v>1416</v>
      </c>
      <c r="H1590" t="s">
        <v>343</v>
      </c>
      <c r="J1590" t="s">
        <v>518</v>
      </c>
      <c r="K1590" t="s">
        <v>519</v>
      </c>
      <c r="L1590" t="s">
        <v>4205</v>
      </c>
      <c r="M1590" t="s">
        <v>1297</v>
      </c>
      <c r="N1590" t="s">
        <v>557</v>
      </c>
      <c r="O1590" t="s">
        <v>1351</v>
      </c>
      <c r="P1590" t="s">
        <v>523</v>
      </c>
      <c r="Q1590" t="s">
        <v>1299</v>
      </c>
      <c r="R1590" t="s">
        <v>1300</v>
      </c>
      <c r="S1590" t="s">
        <v>1417</v>
      </c>
      <c r="T1590" t="s">
        <v>1235</v>
      </c>
      <c r="U1590">
        <v>171601</v>
      </c>
      <c r="V1590" t="s">
        <v>1416</v>
      </c>
      <c r="W1590" t="s">
        <v>1418</v>
      </c>
      <c r="X1590" t="s">
        <v>7630</v>
      </c>
      <c r="Y1590" t="s">
        <v>4208</v>
      </c>
      <c r="Z1590" t="s">
        <v>4209</v>
      </c>
      <c r="AA1590" t="s">
        <v>4210</v>
      </c>
      <c r="AB1590" t="s">
        <v>7631</v>
      </c>
      <c r="AE1590">
        <v>-37.804769839999999</v>
      </c>
      <c r="AF1590">
        <v>174.84667680999999</v>
      </c>
      <c r="AG1590">
        <v>21</v>
      </c>
      <c r="AH1590">
        <v>6</v>
      </c>
      <c r="AI1590">
        <v>2</v>
      </c>
      <c r="AJ1590">
        <v>3</v>
      </c>
      <c r="AK1590">
        <v>6</v>
      </c>
      <c r="AL1590">
        <v>2</v>
      </c>
      <c r="AM1590">
        <v>1</v>
      </c>
      <c r="AN1590">
        <v>0</v>
      </c>
      <c r="AO1590">
        <v>14</v>
      </c>
      <c r="AP1590">
        <v>0</v>
      </c>
      <c r="AQ1590">
        <v>14</v>
      </c>
      <c r="AR1590">
        <v>0</v>
      </c>
      <c r="AS1590">
        <v>0</v>
      </c>
      <c r="AT1590">
        <v>0</v>
      </c>
    </row>
    <row r="1591" spans="1:46">
      <c r="A1591">
        <v>35053</v>
      </c>
      <c r="B1591" t="s">
        <v>9684</v>
      </c>
      <c r="C1591" t="s">
        <v>9685</v>
      </c>
      <c r="E1591" t="s">
        <v>9686</v>
      </c>
      <c r="F1591" t="s">
        <v>1340</v>
      </c>
      <c r="G1591" t="s">
        <v>1296</v>
      </c>
      <c r="H1591" t="s">
        <v>343</v>
      </c>
      <c r="J1591" t="s">
        <v>518</v>
      </c>
      <c r="K1591" t="s">
        <v>519</v>
      </c>
      <c r="L1591" t="s">
        <v>4205</v>
      </c>
      <c r="M1591" t="s">
        <v>1297</v>
      </c>
      <c r="N1591" t="s">
        <v>521</v>
      </c>
      <c r="O1591" t="s">
        <v>1298</v>
      </c>
      <c r="P1591" t="s">
        <v>654</v>
      </c>
      <c r="Q1591" t="s">
        <v>1299</v>
      </c>
      <c r="R1591" t="s">
        <v>1300</v>
      </c>
      <c r="S1591" t="s">
        <v>1312</v>
      </c>
      <c r="T1591" t="s">
        <v>1235</v>
      </c>
      <c r="U1591">
        <v>179100</v>
      </c>
      <c r="V1591" t="s">
        <v>9687</v>
      </c>
      <c r="W1591" t="s">
        <v>1314</v>
      </c>
      <c r="X1591" t="s">
        <v>7630</v>
      </c>
      <c r="Y1591" t="s">
        <v>4208</v>
      </c>
      <c r="Z1591" t="s">
        <v>4209</v>
      </c>
      <c r="AA1591" t="s">
        <v>4210</v>
      </c>
      <c r="AB1591" t="s">
        <v>7631</v>
      </c>
      <c r="AE1591">
        <v>-37.770715709999998</v>
      </c>
      <c r="AF1591">
        <v>175.29539808000001</v>
      </c>
      <c r="AG1591">
        <v>24</v>
      </c>
      <c r="AH1591">
        <v>6</v>
      </c>
      <c r="AI1591">
        <v>0</v>
      </c>
      <c r="AJ1591">
        <v>5</v>
      </c>
      <c r="AK1591">
        <v>4</v>
      </c>
      <c r="AL1591">
        <v>5</v>
      </c>
      <c r="AM1591">
        <v>9</v>
      </c>
      <c r="AN1591">
        <v>0</v>
      </c>
      <c r="AO1591">
        <v>23</v>
      </c>
      <c r="AP1591">
        <v>0</v>
      </c>
      <c r="AQ1591">
        <v>23</v>
      </c>
      <c r="AR1591">
        <v>0</v>
      </c>
      <c r="AS1591">
        <v>0</v>
      </c>
      <c r="AT1591">
        <v>0</v>
      </c>
    </row>
    <row r="1592" spans="1:46">
      <c r="A1592">
        <v>35057</v>
      </c>
      <c r="B1592" t="s">
        <v>9688</v>
      </c>
      <c r="C1592" t="s">
        <v>9689</v>
      </c>
      <c r="E1592" t="s">
        <v>9690</v>
      </c>
      <c r="F1592" t="s">
        <v>1312</v>
      </c>
      <c r="G1592" t="s">
        <v>1296</v>
      </c>
      <c r="H1592" t="s">
        <v>343</v>
      </c>
      <c r="J1592" t="s">
        <v>518</v>
      </c>
      <c r="K1592" t="s">
        <v>519</v>
      </c>
      <c r="L1592" t="s">
        <v>4205</v>
      </c>
      <c r="M1592" t="s">
        <v>1297</v>
      </c>
      <c r="N1592" t="s">
        <v>571</v>
      </c>
      <c r="O1592" t="s">
        <v>1298</v>
      </c>
      <c r="P1592" t="s">
        <v>654</v>
      </c>
      <c r="Q1592" t="s">
        <v>1299</v>
      </c>
      <c r="R1592" t="s">
        <v>1300</v>
      </c>
      <c r="S1592" t="s">
        <v>1312</v>
      </c>
      <c r="T1592" t="s">
        <v>1235</v>
      </c>
      <c r="U1592">
        <v>180000</v>
      </c>
      <c r="V1592" t="s">
        <v>1406</v>
      </c>
      <c r="W1592" t="s">
        <v>1314</v>
      </c>
      <c r="X1592" t="s">
        <v>7630</v>
      </c>
      <c r="Y1592" t="s">
        <v>4208</v>
      </c>
      <c r="Z1592" t="s">
        <v>4209</v>
      </c>
      <c r="AA1592" t="s">
        <v>4210</v>
      </c>
      <c r="AB1592" t="s">
        <v>7631</v>
      </c>
      <c r="AE1592">
        <v>-37.793721679999997</v>
      </c>
      <c r="AF1592">
        <v>175.30693744000001</v>
      </c>
      <c r="AG1592">
        <v>35</v>
      </c>
      <c r="AH1592">
        <v>12</v>
      </c>
      <c r="AI1592">
        <v>0</v>
      </c>
      <c r="AJ1592">
        <v>6</v>
      </c>
      <c r="AK1592">
        <v>8</v>
      </c>
      <c r="AL1592">
        <v>10</v>
      </c>
      <c r="AM1592">
        <v>3</v>
      </c>
      <c r="AN1592">
        <v>0</v>
      </c>
      <c r="AO1592">
        <v>27</v>
      </c>
      <c r="AP1592">
        <v>0</v>
      </c>
      <c r="AQ1592">
        <v>25</v>
      </c>
      <c r="AR1592">
        <v>1</v>
      </c>
      <c r="AS1592">
        <v>0</v>
      </c>
      <c r="AT1592">
        <v>1</v>
      </c>
    </row>
    <row r="1593" spans="1:46">
      <c r="A1593">
        <v>35063</v>
      </c>
      <c r="B1593" t="s">
        <v>9691</v>
      </c>
      <c r="C1593" t="s">
        <v>9692</v>
      </c>
      <c r="E1593" t="s">
        <v>9693</v>
      </c>
      <c r="G1593" t="s">
        <v>1634</v>
      </c>
      <c r="H1593" t="s">
        <v>343</v>
      </c>
      <c r="J1593" t="s">
        <v>518</v>
      </c>
      <c r="K1593" t="s">
        <v>519</v>
      </c>
      <c r="L1593" t="s">
        <v>4205</v>
      </c>
      <c r="M1593" t="s">
        <v>1297</v>
      </c>
      <c r="N1593" t="s">
        <v>539</v>
      </c>
      <c r="O1593" t="s">
        <v>1635</v>
      </c>
      <c r="P1593" t="s">
        <v>572</v>
      </c>
      <c r="Q1593" t="s">
        <v>1636</v>
      </c>
      <c r="R1593" t="s">
        <v>1472</v>
      </c>
      <c r="S1593" t="s">
        <v>1637</v>
      </c>
      <c r="T1593" t="s">
        <v>1485</v>
      </c>
      <c r="U1593">
        <v>222400</v>
      </c>
      <c r="V1593" t="s">
        <v>9069</v>
      </c>
      <c r="W1593" t="s">
        <v>1639</v>
      </c>
      <c r="X1593" t="s">
        <v>8447</v>
      </c>
      <c r="Y1593" t="s">
        <v>4208</v>
      </c>
      <c r="Z1593" t="s">
        <v>4209</v>
      </c>
      <c r="AA1593" t="s">
        <v>4210</v>
      </c>
      <c r="AB1593" t="s">
        <v>8448</v>
      </c>
      <c r="AE1593">
        <v>-38.849383410000002</v>
      </c>
      <c r="AF1593">
        <v>175.42633520999999</v>
      </c>
      <c r="AG1593">
        <v>20</v>
      </c>
      <c r="AH1593">
        <v>8</v>
      </c>
      <c r="AI1593">
        <v>0</v>
      </c>
      <c r="AJ1593">
        <v>1</v>
      </c>
      <c r="AK1593">
        <v>9</v>
      </c>
      <c r="AL1593">
        <v>4</v>
      </c>
      <c r="AM1593">
        <v>4</v>
      </c>
      <c r="AN1593">
        <v>0</v>
      </c>
      <c r="AO1593">
        <v>18</v>
      </c>
      <c r="AP1593">
        <v>0</v>
      </c>
      <c r="AQ1593">
        <v>18</v>
      </c>
      <c r="AR1593">
        <v>0</v>
      </c>
      <c r="AS1593">
        <v>0</v>
      </c>
      <c r="AT1593">
        <v>0</v>
      </c>
    </row>
    <row r="1594" spans="1:46">
      <c r="A1594">
        <v>35070</v>
      </c>
      <c r="B1594" t="s">
        <v>9694</v>
      </c>
      <c r="C1594" t="s">
        <v>9695</v>
      </c>
      <c r="E1594" t="s">
        <v>9696</v>
      </c>
      <c r="G1594" t="s">
        <v>9697</v>
      </c>
      <c r="H1594" t="s">
        <v>343</v>
      </c>
      <c r="J1594" t="s">
        <v>518</v>
      </c>
      <c r="K1594" t="s">
        <v>519</v>
      </c>
      <c r="L1594" t="s">
        <v>4205</v>
      </c>
      <c r="M1594" t="s">
        <v>1297</v>
      </c>
      <c r="N1594" t="s">
        <v>539</v>
      </c>
      <c r="O1594" t="s">
        <v>8637</v>
      </c>
      <c r="P1594" t="s">
        <v>540</v>
      </c>
      <c r="Q1594" t="s">
        <v>1299</v>
      </c>
      <c r="R1594" t="s">
        <v>1300</v>
      </c>
      <c r="S1594" t="s">
        <v>1417</v>
      </c>
      <c r="T1594" t="s">
        <v>1485</v>
      </c>
      <c r="U1594">
        <v>187200</v>
      </c>
      <c r="V1594" t="s">
        <v>9134</v>
      </c>
      <c r="W1594" t="s">
        <v>9135</v>
      </c>
      <c r="X1594" t="s">
        <v>7630</v>
      </c>
      <c r="Y1594" t="s">
        <v>4208</v>
      </c>
      <c r="Z1594" t="s">
        <v>4209</v>
      </c>
      <c r="AA1594" t="s">
        <v>4210</v>
      </c>
      <c r="AB1594" t="s">
        <v>7631</v>
      </c>
      <c r="AC1594">
        <v>99106</v>
      </c>
      <c r="AD1594" t="s">
        <v>8644</v>
      </c>
      <c r="AE1594">
        <v>-38.464635540000003</v>
      </c>
      <c r="AF1594">
        <v>175.02102403000001</v>
      </c>
      <c r="AG1594">
        <v>25</v>
      </c>
      <c r="AH1594">
        <v>8</v>
      </c>
      <c r="AI1594">
        <v>0</v>
      </c>
      <c r="AJ1594">
        <v>1</v>
      </c>
      <c r="AK1594">
        <v>8</v>
      </c>
      <c r="AL1594">
        <v>3</v>
      </c>
      <c r="AM1594">
        <v>7</v>
      </c>
      <c r="AN1594">
        <v>0</v>
      </c>
      <c r="AO1594">
        <v>19</v>
      </c>
      <c r="AP1594">
        <v>0</v>
      </c>
      <c r="AQ1594">
        <v>19</v>
      </c>
      <c r="AR1594">
        <v>0</v>
      </c>
      <c r="AS1594">
        <v>0</v>
      </c>
      <c r="AT1594">
        <v>0</v>
      </c>
    </row>
    <row r="1595" spans="1:46">
      <c r="A1595">
        <v>35072</v>
      </c>
      <c r="B1595" t="s">
        <v>9698</v>
      </c>
      <c r="C1595" t="s">
        <v>9699</v>
      </c>
      <c r="E1595" t="s">
        <v>9700</v>
      </c>
      <c r="F1595" t="s">
        <v>1313</v>
      </c>
      <c r="G1595" t="s">
        <v>1296</v>
      </c>
      <c r="H1595" t="s">
        <v>343</v>
      </c>
      <c r="J1595" t="s">
        <v>518</v>
      </c>
      <c r="K1595" t="s">
        <v>519</v>
      </c>
      <c r="L1595" t="s">
        <v>4205</v>
      </c>
      <c r="M1595" t="s">
        <v>1297</v>
      </c>
      <c r="N1595" t="s">
        <v>727</v>
      </c>
      <c r="O1595" t="s">
        <v>1298</v>
      </c>
      <c r="P1595" t="s">
        <v>654</v>
      </c>
      <c r="Q1595" t="s">
        <v>1299</v>
      </c>
      <c r="R1595" t="s">
        <v>1300</v>
      </c>
      <c r="S1595" t="s">
        <v>1312</v>
      </c>
      <c r="T1595" t="s">
        <v>1235</v>
      </c>
      <c r="U1595">
        <v>177300</v>
      </c>
      <c r="V1595" t="s">
        <v>1313</v>
      </c>
      <c r="W1595" t="s">
        <v>1314</v>
      </c>
      <c r="X1595" t="s">
        <v>7630</v>
      </c>
      <c r="Y1595" t="s">
        <v>4208</v>
      </c>
      <c r="Z1595" t="s">
        <v>4209</v>
      </c>
      <c r="AA1595" t="s">
        <v>4210</v>
      </c>
      <c r="AB1595" t="s">
        <v>7631</v>
      </c>
      <c r="AE1595">
        <v>-37.754375969999998</v>
      </c>
      <c r="AF1595">
        <v>175.27580741</v>
      </c>
      <c r="AG1595">
        <v>30</v>
      </c>
      <c r="AH1595">
        <v>8</v>
      </c>
      <c r="AI1595">
        <v>1</v>
      </c>
      <c r="AJ1595">
        <v>2</v>
      </c>
      <c r="AK1595">
        <v>2</v>
      </c>
      <c r="AL1595">
        <v>4</v>
      </c>
      <c r="AM1595">
        <v>2</v>
      </c>
      <c r="AN1595">
        <v>0</v>
      </c>
      <c r="AO1595">
        <v>11</v>
      </c>
      <c r="AP1595">
        <v>0</v>
      </c>
      <c r="AQ1595">
        <v>11</v>
      </c>
      <c r="AR1595">
        <v>0</v>
      </c>
      <c r="AS1595">
        <v>0</v>
      </c>
      <c r="AT1595">
        <v>0</v>
      </c>
    </row>
    <row r="1596" spans="1:46">
      <c r="A1596">
        <v>35073</v>
      </c>
      <c r="B1596" t="s">
        <v>9701</v>
      </c>
      <c r="C1596" t="s">
        <v>9702</v>
      </c>
      <c r="E1596" t="s">
        <v>9703</v>
      </c>
      <c r="G1596" t="s">
        <v>1497</v>
      </c>
      <c r="H1596" t="s">
        <v>343</v>
      </c>
      <c r="J1596" t="s">
        <v>518</v>
      </c>
      <c r="K1596" t="s">
        <v>519</v>
      </c>
      <c r="L1596" t="s">
        <v>4205</v>
      </c>
      <c r="M1596" t="s">
        <v>1297</v>
      </c>
      <c r="N1596" t="s">
        <v>539</v>
      </c>
      <c r="O1596" t="s">
        <v>1484</v>
      </c>
      <c r="P1596" t="s">
        <v>523</v>
      </c>
      <c r="Q1596" t="s">
        <v>1299</v>
      </c>
      <c r="R1596" t="s">
        <v>1300</v>
      </c>
      <c r="S1596" t="s">
        <v>1320</v>
      </c>
      <c r="T1596" t="s">
        <v>1485</v>
      </c>
      <c r="U1596">
        <v>186000</v>
      </c>
      <c r="V1596" t="s">
        <v>1498</v>
      </c>
      <c r="W1596" t="s">
        <v>1499</v>
      </c>
      <c r="X1596" t="s">
        <v>7630</v>
      </c>
      <c r="Y1596" t="s">
        <v>4208</v>
      </c>
      <c r="Z1596" t="s">
        <v>4209</v>
      </c>
      <c r="AA1596" t="s">
        <v>4210</v>
      </c>
      <c r="AB1596" t="s">
        <v>7631</v>
      </c>
      <c r="AE1596">
        <v>-38.05704394</v>
      </c>
      <c r="AF1596">
        <v>175.77406317000001</v>
      </c>
      <c r="AG1596">
        <v>16</v>
      </c>
      <c r="AH1596">
        <v>4</v>
      </c>
      <c r="AI1596">
        <v>1</v>
      </c>
      <c r="AJ1596">
        <v>1</v>
      </c>
      <c r="AK1596">
        <v>1</v>
      </c>
      <c r="AL1596">
        <v>1</v>
      </c>
      <c r="AM1596">
        <v>2</v>
      </c>
      <c r="AN1596">
        <v>0</v>
      </c>
      <c r="AO1596">
        <v>6</v>
      </c>
      <c r="AP1596">
        <v>0</v>
      </c>
      <c r="AQ1596">
        <v>6</v>
      </c>
      <c r="AR1596">
        <v>0</v>
      </c>
      <c r="AS1596">
        <v>0</v>
      </c>
      <c r="AT1596">
        <v>0</v>
      </c>
    </row>
    <row r="1597" spans="1:46">
      <c r="A1597">
        <v>35074</v>
      </c>
      <c r="B1597" t="s">
        <v>9704</v>
      </c>
      <c r="C1597" t="s">
        <v>9705</v>
      </c>
      <c r="E1597" t="s">
        <v>9706</v>
      </c>
      <c r="G1597" t="s">
        <v>1586</v>
      </c>
      <c r="H1597" t="s">
        <v>343</v>
      </c>
      <c r="J1597" t="s">
        <v>518</v>
      </c>
      <c r="K1597" t="s">
        <v>519</v>
      </c>
      <c r="L1597" t="s">
        <v>4205</v>
      </c>
      <c r="M1597" t="s">
        <v>1297</v>
      </c>
      <c r="N1597" t="s">
        <v>521</v>
      </c>
      <c r="O1597" t="s">
        <v>1450</v>
      </c>
      <c r="P1597" t="s">
        <v>572</v>
      </c>
      <c r="Q1597" t="s">
        <v>1299</v>
      </c>
      <c r="R1597" t="s">
        <v>1300</v>
      </c>
      <c r="S1597" t="s">
        <v>1300</v>
      </c>
      <c r="T1597" t="s">
        <v>1235</v>
      </c>
      <c r="U1597">
        <v>173801</v>
      </c>
      <c r="V1597" t="s">
        <v>9707</v>
      </c>
      <c r="W1597" t="s">
        <v>1588</v>
      </c>
      <c r="X1597" t="s">
        <v>7630</v>
      </c>
      <c r="Y1597" t="s">
        <v>4208</v>
      </c>
      <c r="Z1597" t="s">
        <v>4209</v>
      </c>
      <c r="AA1597" t="s">
        <v>4210</v>
      </c>
      <c r="AB1597" t="s">
        <v>7631</v>
      </c>
      <c r="AE1597">
        <v>-37.698995099999998</v>
      </c>
      <c r="AF1597">
        <v>175.5569538</v>
      </c>
      <c r="AG1597">
        <v>21</v>
      </c>
      <c r="AH1597">
        <v>6</v>
      </c>
      <c r="AI1597">
        <v>1</v>
      </c>
      <c r="AJ1597">
        <v>3</v>
      </c>
      <c r="AK1597">
        <v>4</v>
      </c>
      <c r="AL1597">
        <v>4</v>
      </c>
      <c r="AM1597">
        <v>6</v>
      </c>
      <c r="AN1597">
        <v>0</v>
      </c>
      <c r="AO1597">
        <v>18</v>
      </c>
      <c r="AP1597">
        <v>0</v>
      </c>
      <c r="AQ1597">
        <v>18</v>
      </c>
      <c r="AR1597">
        <v>0</v>
      </c>
      <c r="AS1597">
        <v>0</v>
      </c>
      <c r="AT1597">
        <v>0</v>
      </c>
    </row>
    <row r="1598" spans="1:46">
      <c r="A1598">
        <v>35078</v>
      </c>
      <c r="B1598" t="s">
        <v>9708</v>
      </c>
      <c r="C1598" t="s">
        <v>9709</v>
      </c>
      <c r="E1598" t="s">
        <v>9710</v>
      </c>
      <c r="G1598" t="s">
        <v>1350</v>
      </c>
      <c r="H1598" t="s">
        <v>343</v>
      </c>
      <c r="J1598" t="s">
        <v>518</v>
      </c>
      <c r="K1598" t="s">
        <v>519</v>
      </c>
      <c r="L1598" t="s">
        <v>4205</v>
      </c>
      <c r="M1598" t="s">
        <v>1297</v>
      </c>
      <c r="N1598" t="s">
        <v>727</v>
      </c>
      <c r="O1598" t="s">
        <v>1351</v>
      </c>
      <c r="P1598" t="s">
        <v>572</v>
      </c>
      <c r="Q1598" t="s">
        <v>1299</v>
      </c>
      <c r="R1598" t="s">
        <v>1300</v>
      </c>
      <c r="S1598" t="s">
        <v>1417</v>
      </c>
      <c r="T1598" t="s">
        <v>1235</v>
      </c>
      <c r="U1598">
        <v>172401</v>
      </c>
      <c r="V1598" t="s">
        <v>9308</v>
      </c>
      <c r="W1598" t="s">
        <v>1353</v>
      </c>
      <c r="X1598" t="s">
        <v>7630</v>
      </c>
      <c r="Y1598" t="s">
        <v>4208</v>
      </c>
      <c r="Z1598" t="s">
        <v>4209</v>
      </c>
      <c r="AA1598" t="s">
        <v>4210</v>
      </c>
      <c r="AB1598" t="s">
        <v>7631</v>
      </c>
      <c r="AE1598">
        <v>-37.705609930000001</v>
      </c>
      <c r="AF1598">
        <v>175.14897098</v>
      </c>
      <c r="AG1598">
        <v>30</v>
      </c>
      <c r="AH1598">
        <v>15</v>
      </c>
      <c r="AI1598">
        <v>0</v>
      </c>
      <c r="AJ1598">
        <v>1</v>
      </c>
      <c r="AK1598">
        <v>0</v>
      </c>
      <c r="AL1598">
        <v>3</v>
      </c>
      <c r="AM1598">
        <v>2</v>
      </c>
      <c r="AN1598">
        <v>0</v>
      </c>
      <c r="AO1598">
        <v>6</v>
      </c>
      <c r="AP1598">
        <v>0</v>
      </c>
      <c r="AQ1598">
        <v>6</v>
      </c>
      <c r="AR1598">
        <v>0</v>
      </c>
      <c r="AS1598">
        <v>0</v>
      </c>
      <c r="AT1598">
        <v>0</v>
      </c>
    </row>
    <row r="1599" spans="1:46">
      <c r="A1599">
        <v>35082</v>
      </c>
      <c r="B1599" t="s">
        <v>9711</v>
      </c>
      <c r="C1599" t="s">
        <v>9712</v>
      </c>
      <c r="E1599" t="s">
        <v>9713</v>
      </c>
      <c r="G1599" t="s">
        <v>9714</v>
      </c>
      <c r="H1599" t="s">
        <v>343</v>
      </c>
      <c r="J1599" t="s">
        <v>518</v>
      </c>
      <c r="K1599" t="s">
        <v>519</v>
      </c>
      <c r="L1599" t="s">
        <v>4205</v>
      </c>
      <c r="M1599" t="s">
        <v>1297</v>
      </c>
      <c r="N1599" t="s">
        <v>521</v>
      </c>
      <c r="O1599" t="s">
        <v>1546</v>
      </c>
      <c r="P1599" t="s">
        <v>540</v>
      </c>
      <c r="Q1599" t="s">
        <v>1299</v>
      </c>
      <c r="R1599" t="s">
        <v>1300</v>
      </c>
      <c r="S1599" t="s">
        <v>1320</v>
      </c>
      <c r="T1599" t="s">
        <v>1485</v>
      </c>
      <c r="U1599">
        <v>187702</v>
      </c>
      <c r="V1599" t="s">
        <v>9714</v>
      </c>
      <c r="W1599" t="s">
        <v>9715</v>
      </c>
      <c r="X1599" t="s">
        <v>7630</v>
      </c>
      <c r="Y1599" t="s">
        <v>4208</v>
      </c>
      <c r="Z1599" t="s">
        <v>4209</v>
      </c>
      <c r="AA1599" t="s">
        <v>4210</v>
      </c>
      <c r="AB1599" t="s">
        <v>7631</v>
      </c>
      <c r="AE1599">
        <v>-38.368073699999997</v>
      </c>
      <c r="AF1599">
        <v>175.770229</v>
      </c>
      <c r="AG1599">
        <v>38</v>
      </c>
      <c r="AH1599">
        <v>12</v>
      </c>
      <c r="AI1599">
        <v>2</v>
      </c>
      <c r="AJ1599">
        <v>3</v>
      </c>
      <c r="AK1599">
        <v>5</v>
      </c>
      <c r="AL1599">
        <v>1</v>
      </c>
      <c r="AM1599">
        <v>7</v>
      </c>
      <c r="AN1599">
        <v>0</v>
      </c>
      <c r="AO1599">
        <v>18</v>
      </c>
      <c r="AP1599">
        <v>0</v>
      </c>
      <c r="AQ1599">
        <v>14</v>
      </c>
      <c r="AR1599">
        <v>2</v>
      </c>
      <c r="AS1599">
        <v>0</v>
      </c>
      <c r="AT1599">
        <v>2</v>
      </c>
    </row>
    <row r="1600" spans="1:46">
      <c r="A1600">
        <v>35088</v>
      </c>
      <c r="B1600" t="s">
        <v>9716</v>
      </c>
      <c r="C1600" t="s">
        <v>9717</v>
      </c>
      <c r="E1600" t="s">
        <v>9718</v>
      </c>
      <c r="G1600" t="s">
        <v>1579</v>
      </c>
      <c r="H1600" t="s">
        <v>343</v>
      </c>
      <c r="J1600" t="s">
        <v>518</v>
      </c>
      <c r="K1600" t="s">
        <v>519</v>
      </c>
      <c r="L1600" t="s">
        <v>4205</v>
      </c>
      <c r="M1600" t="s">
        <v>1297</v>
      </c>
      <c r="N1600" t="s">
        <v>727</v>
      </c>
      <c r="O1600" t="s">
        <v>1450</v>
      </c>
      <c r="P1600" t="s">
        <v>523</v>
      </c>
      <c r="Q1600" t="s">
        <v>1299</v>
      </c>
      <c r="R1600" t="s">
        <v>1300</v>
      </c>
      <c r="S1600" t="s">
        <v>1300</v>
      </c>
      <c r="T1600" t="s">
        <v>1235</v>
      </c>
      <c r="U1600">
        <v>175002</v>
      </c>
      <c r="V1600" t="s">
        <v>9719</v>
      </c>
      <c r="W1600" t="s">
        <v>1581</v>
      </c>
      <c r="X1600" t="s">
        <v>7630</v>
      </c>
      <c r="Y1600" t="s">
        <v>4208</v>
      </c>
      <c r="Z1600" t="s">
        <v>4209</v>
      </c>
      <c r="AA1600" t="s">
        <v>4210</v>
      </c>
      <c r="AB1600" t="s">
        <v>7631</v>
      </c>
      <c r="AE1600">
        <v>-37.818658300000003</v>
      </c>
      <c r="AF1600">
        <v>175.7717892</v>
      </c>
      <c r="AG1600">
        <v>30</v>
      </c>
      <c r="AH1600">
        <v>12</v>
      </c>
      <c r="AI1600">
        <v>0</v>
      </c>
      <c r="AJ1600">
        <v>4</v>
      </c>
      <c r="AK1600">
        <v>12</v>
      </c>
      <c r="AL1600">
        <v>7</v>
      </c>
      <c r="AM1600">
        <v>6</v>
      </c>
      <c r="AN1600">
        <v>0</v>
      </c>
      <c r="AO1600">
        <v>29</v>
      </c>
      <c r="AP1600">
        <v>0</v>
      </c>
      <c r="AQ1600">
        <v>28</v>
      </c>
      <c r="AR1600">
        <v>1</v>
      </c>
      <c r="AS1600">
        <v>0</v>
      </c>
      <c r="AT1600">
        <v>0</v>
      </c>
    </row>
    <row r="1601" spans="1:46">
      <c r="A1601">
        <v>35089</v>
      </c>
      <c r="B1601" t="s">
        <v>9720</v>
      </c>
      <c r="C1601" t="s">
        <v>9721</v>
      </c>
      <c r="E1601" t="s">
        <v>9722</v>
      </c>
      <c r="G1601" t="s">
        <v>1318</v>
      </c>
      <c r="H1601" t="s">
        <v>343</v>
      </c>
      <c r="J1601" t="s">
        <v>518</v>
      </c>
      <c r="K1601" t="s">
        <v>519</v>
      </c>
      <c r="L1601" t="s">
        <v>4205</v>
      </c>
      <c r="M1601" t="s">
        <v>1297</v>
      </c>
      <c r="N1601" t="s">
        <v>571</v>
      </c>
      <c r="O1601" t="s">
        <v>1319</v>
      </c>
      <c r="P1601" t="s">
        <v>1262</v>
      </c>
      <c r="Q1601" t="s">
        <v>1299</v>
      </c>
      <c r="R1601" t="s">
        <v>1300</v>
      </c>
      <c r="S1601" t="s">
        <v>1320</v>
      </c>
      <c r="T1601" t="s">
        <v>1235</v>
      </c>
      <c r="U1601">
        <v>183200</v>
      </c>
      <c r="V1601" t="s">
        <v>8500</v>
      </c>
      <c r="W1601" t="s">
        <v>1322</v>
      </c>
      <c r="X1601" t="s">
        <v>7630</v>
      </c>
      <c r="Y1601" t="s">
        <v>4208</v>
      </c>
      <c r="Z1601" t="s">
        <v>4209</v>
      </c>
      <c r="AA1601" t="s">
        <v>4210</v>
      </c>
      <c r="AB1601" t="s">
        <v>7631</v>
      </c>
      <c r="AE1601">
        <v>-37.885726699999999</v>
      </c>
      <c r="AF1601">
        <v>175.48321379999999</v>
      </c>
      <c r="AG1601">
        <v>30</v>
      </c>
      <c r="AH1601">
        <v>8</v>
      </c>
      <c r="AI1601">
        <v>0</v>
      </c>
      <c r="AJ1601">
        <v>2</v>
      </c>
      <c r="AK1601">
        <v>6</v>
      </c>
      <c r="AL1601">
        <v>6</v>
      </c>
      <c r="AM1601">
        <v>2</v>
      </c>
      <c r="AN1601">
        <v>0</v>
      </c>
      <c r="AO1601">
        <v>16</v>
      </c>
      <c r="AP1601">
        <v>0</v>
      </c>
      <c r="AQ1601">
        <v>14</v>
      </c>
      <c r="AR1601">
        <v>0</v>
      </c>
      <c r="AS1601">
        <v>0</v>
      </c>
      <c r="AT1601">
        <v>2</v>
      </c>
    </row>
    <row r="1602" spans="1:46">
      <c r="A1602">
        <v>40001</v>
      </c>
      <c r="B1602" t="s">
        <v>9723</v>
      </c>
      <c r="C1602" t="s">
        <v>9724</v>
      </c>
      <c r="E1602" t="s">
        <v>9725</v>
      </c>
      <c r="G1602" t="s">
        <v>1649</v>
      </c>
      <c r="H1602" t="s">
        <v>3942</v>
      </c>
      <c r="J1602" t="s">
        <v>518</v>
      </c>
      <c r="K1602" t="s">
        <v>519</v>
      </c>
      <c r="M1602" t="s">
        <v>1297</v>
      </c>
      <c r="N1602" t="s">
        <v>521</v>
      </c>
      <c r="O1602" t="s">
        <v>1650</v>
      </c>
      <c r="P1602" t="s">
        <v>523</v>
      </c>
      <c r="Q1602" t="s">
        <v>1471</v>
      </c>
      <c r="R1602" t="s">
        <v>1472</v>
      </c>
      <c r="S1602" t="s">
        <v>1473</v>
      </c>
      <c r="T1602" t="s">
        <v>1474</v>
      </c>
      <c r="U1602">
        <v>203800</v>
      </c>
      <c r="V1602" t="s">
        <v>9726</v>
      </c>
      <c r="W1602" t="s">
        <v>1652</v>
      </c>
      <c r="X1602" t="s">
        <v>9727</v>
      </c>
      <c r="Y1602" t="s">
        <v>9728</v>
      </c>
      <c r="AA1602" t="s">
        <v>9729</v>
      </c>
      <c r="AB1602" t="s">
        <v>9724</v>
      </c>
      <c r="AC1602">
        <v>99038</v>
      </c>
      <c r="AD1602" t="s">
        <v>1515</v>
      </c>
      <c r="AE1602">
        <v>-38.087039699999998</v>
      </c>
      <c r="AF1602">
        <v>176.70899979999999</v>
      </c>
      <c r="AG1602">
        <v>55</v>
      </c>
      <c r="AH1602">
        <v>18</v>
      </c>
      <c r="AI1602">
        <v>4</v>
      </c>
      <c r="AJ1602">
        <v>6</v>
      </c>
      <c r="AK1602">
        <v>10</v>
      </c>
      <c r="AL1602">
        <v>14</v>
      </c>
      <c r="AM1602">
        <v>19</v>
      </c>
      <c r="AN1602">
        <v>0</v>
      </c>
      <c r="AO1602">
        <v>53</v>
      </c>
      <c r="AP1602">
        <v>15</v>
      </c>
      <c r="AQ1602">
        <v>41</v>
      </c>
      <c r="AR1602">
        <v>2</v>
      </c>
      <c r="AS1602">
        <v>5</v>
      </c>
      <c r="AT1602">
        <v>0</v>
      </c>
    </row>
    <row r="1603" spans="1:46">
      <c r="A1603">
        <v>40004</v>
      </c>
      <c r="B1603" t="s">
        <v>9730</v>
      </c>
      <c r="C1603" t="s">
        <v>9731</v>
      </c>
      <c r="D1603" t="s">
        <v>9732</v>
      </c>
      <c r="E1603" t="s">
        <v>9733</v>
      </c>
      <c r="G1603" t="s">
        <v>1742</v>
      </c>
      <c r="H1603" t="s">
        <v>298</v>
      </c>
      <c r="J1603" t="s">
        <v>518</v>
      </c>
      <c r="K1603" t="s">
        <v>519</v>
      </c>
      <c r="M1603" t="s">
        <v>1297</v>
      </c>
      <c r="N1603" t="s">
        <v>571</v>
      </c>
      <c r="O1603" t="s">
        <v>1743</v>
      </c>
      <c r="P1603" t="s">
        <v>523</v>
      </c>
      <c r="Q1603" t="s">
        <v>1471</v>
      </c>
      <c r="R1603" t="s">
        <v>1472</v>
      </c>
      <c r="S1603" t="s">
        <v>1521</v>
      </c>
      <c r="T1603" t="s">
        <v>1474</v>
      </c>
      <c r="U1603">
        <v>192101</v>
      </c>
      <c r="V1603" t="s">
        <v>1744</v>
      </c>
      <c r="W1603" t="s">
        <v>1745</v>
      </c>
      <c r="X1603" t="s">
        <v>9734</v>
      </c>
      <c r="Y1603" t="s">
        <v>5187</v>
      </c>
      <c r="AA1603" t="s">
        <v>5188</v>
      </c>
      <c r="AB1603" t="s">
        <v>8326</v>
      </c>
      <c r="AE1603">
        <v>-37.782798700000001</v>
      </c>
      <c r="AF1603">
        <v>176.33070129999999</v>
      </c>
      <c r="AG1603">
        <v>30</v>
      </c>
      <c r="AH1603">
        <v>15</v>
      </c>
      <c r="AI1603">
        <v>24</v>
      </c>
      <c r="AJ1603">
        <v>9</v>
      </c>
      <c r="AK1603">
        <v>2</v>
      </c>
      <c r="AL1603">
        <v>13</v>
      </c>
      <c r="AM1603">
        <v>6</v>
      </c>
      <c r="AN1603">
        <v>1</v>
      </c>
      <c r="AO1603">
        <v>55</v>
      </c>
      <c r="AP1603">
        <v>48</v>
      </c>
      <c r="AQ1603">
        <v>6</v>
      </c>
      <c r="AR1603">
        <v>2</v>
      </c>
      <c r="AS1603">
        <v>6</v>
      </c>
      <c r="AT1603">
        <v>3</v>
      </c>
    </row>
    <row r="1604" spans="1:46">
      <c r="A1604">
        <v>40006</v>
      </c>
      <c r="B1604" t="s">
        <v>9735</v>
      </c>
      <c r="C1604" t="s">
        <v>9736</v>
      </c>
      <c r="D1604" t="s">
        <v>9732</v>
      </c>
      <c r="E1604" t="s">
        <v>9737</v>
      </c>
      <c r="F1604" t="s">
        <v>1598</v>
      </c>
      <c r="G1604" t="s">
        <v>1598</v>
      </c>
      <c r="H1604" t="s">
        <v>298</v>
      </c>
      <c r="J1604" t="s">
        <v>518</v>
      </c>
      <c r="K1604" t="s">
        <v>519</v>
      </c>
      <c r="M1604" t="s">
        <v>1297</v>
      </c>
      <c r="N1604" t="s">
        <v>571</v>
      </c>
      <c r="O1604" t="s">
        <v>1743</v>
      </c>
      <c r="P1604" t="s">
        <v>572</v>
      </c>
      <c r="Q1604" t="s">
        <v>1471</v>
      </c>
      <c r="R1604" t="s">
        <v>1472</v>
      </c>
      <c r="S1604" t="s">
        <v>1699</v>
      </c>
      <c r="T1604" t="s">
        <v>1474</v>
      </c>
      <c r="U1604">
        <v>191201</v>
      </c>
      <c r="V1604" t="s">
        <v>9738</v>
      </c>
      <c r="W1604" t="s">
        <v>8759</v>
      </c>
      <c r="X1604" t="s">
        <v>9734</v>
      </c>
      <c r="Y1604" t="s">
        <v>5187</v>
      </c>
      <c r="AA1604" t="s">
        <v>5188</v>
      </c>
      <c r="AB1604" t="s">
        <v>8326</v>
      </c>
      <c r="AE1604">
        <v>-37.675658380000002</v>
      </c>
      <c r="AF1604">
        <v>176.07668050999999</v>
      </c>
      <c r="AG1604">
        <v>25</v>
      </c>
      <c r="AH1604">
        <v>15</v>
      </c>
      <c r="AI1604">
        <v>2</v>
      </c>
      <c r="AJ1604">
        <v>2</v>
      </c>
      <c r="AK1604">
        <v>1</v>
      </c>
      <c r="AL1604">
        <v>0</v>
      </c>
      <c r="AM1604">
        <v>0</v>
      </c>
      <c r="AN1604">
        <v>0</v>
      </c>
      <c r="AO1604">
        <v>5</v>
      </c>
      <c r="AP1604">
        <v>5</v>
      </c>
      <c r="AQ1604">
        <v>1</v>
      </c>
      <c r="AR1604">
        <v>0</v>
      </c>
      <c r="AS1604">
        <v>0</v>
      </c>
      <c r="AT1604">
        <v>0</v>
      </c>
    </row>
    <row r="1605" spans="1:46">
      <c r="A1605">
        <v>40008</v>
      </c>
      <c r="B1605" t="s">
        <v>9739</v>
      </c>
      <c r="C1605" t="s">
        <v>9740</v>
      </c>
      <c r="D1605" t="s">
        <v>9732</v>
      </c>
      <c r="E1605" t="s">
        <v>9741</v>
      </c>
      <c r="G1605" t="s">
        <v>8890</v>
      </c>
      <c r="H1605" t="s">
        <v>298</v>
      </c>
      <c r="J1605" t="s">
        <v>518</v>
      </c>
      <c r="K1605" t="s">
        <v>519</v>
      </c>
      <c r="M1605" t="s">
        <v>1297</v>
      </c>
      <c r="N1605" t="s">
        <v>571</v>
      </c>
      <c r="O1605" t="s">
        <v>1743</v>
      </c>
      <c r="P1605" t="s">
        <v>523</v>
      </c>
      <c r="Q1605" t="s">
        <v>1471</v>
      </c>
      <c r="R1605" t="s">
        <v>1472</v>
      </c>
      <c r="S1605" t="s">
        <v>1438</v>
      </c>
      <c r="T1605" t="s">
        <v>1474</v>
      </c>
      <c r="U1605">
        <v>191101</v>
      </c>
      <c r="V1605" t="s">
        <v>9742</v>
      </c>
      <c r="W1605" t="s">
        <v>8759</v>
      </c>
      <c r="X1605" t="s">
        <v>9734</v>
      </c>
      <c r="Y1605" t="s">
        <v>5187</v>
      </c>
      <c r="AA1605" t="s">
        <v>5188</v>
      </c>
      <c r="AB1605" t="s">
        <v>8326</v>
      </c>
      <c r="AE1605">
        <v>-37.652386239999998</v>
      </c>
      <c r="AF1605">
        <v>176.02603680000001</v>
      </c>
      <c r="AG1605">
        <v>30</v>
      </c>
      <c r="AH1605">
        <v>15</v>
      </c>
      <c r="AI1605">
        <v>26</v>
      </c>
      <c r="AJ1605">
        <v>5</v>
      </c>
      <c r="AK1605">
        <v>17</v>
      </c>
      <c r="AL1605">
        <v>6</v>
      </c>
      <c r="AM1605">
        <v>7</v>
      </c>
      <c r="AN1605">
        <v>1</v>
      </c>
      <c r="AO1605">
        <v>62</v>
      </c>
      <c r="AP1605">
        <v>60</v>
      </c>
      <c r="AQ1605">
        <v>12</v>
      </c>
      <c r="AR1605">
        <v>0</v>
      </c>
      <c r="AS1605">
        <v>4</v>
      </c>
      <c r="AT1605">
        <v>2</v>
      </c>
    </row>
    <row r="1606" spans="1:46">
      <c r="A1606">
        <v>40009</v>
      </c>
      <c r="B1606" t="s">
        <v>9743</v>
      </c>
      <c r="C1606" t="s">
        <v>9744</v>
      </c>
      <c r="D1606" t="s">
        <v>9732</v>
      </c>
      <c r="E1606" t="s">
        <v>9745</v>
      </c>
      <c r="F1606" t="s">
        <v>3873</v>
      </c>
      <c r="G1606" t="s">
        <v>1598</v>
      </c>
      <c r="H1606" t="s">
        <v>298</v>
      </c>
      <c r="J1606" t="s">
        <v>518</v>
      </c>
      <c r="K1606" t="s">
        <v>519</v>
      </c>
      <c r="M1606" t="s">
        <v>1297</v>
      </c>
      <c r="N1606" t="s">
        <v>571</v>
      </c>
      <c r="O1606" t="s">
        <v>1698</v>
      </c>
      <c r="P1606" t="s">
        <v>654</v>
      </c>
      <c r="Q1606" t="s">
        <v>1471</v>
      </c>
      <c r="R1606" t="s">
        <v>1472</v>
      </c>
      <c r="S1606" t="s">
        <v>1699</v>
      </c>
      <c r="T1606" t="s">
        <v>1474</v>
      </c>
      <c r="U1606">
        <v>196700</v>
      </c>
      <c r="V1606" t="s">
        <v>9746</v>
      </c>
      <c r="W1606" t="s">
        <v>1731</v>
      </c>
      <c r="X1606" t="s">
        <v>9734</v>
      </c>
      <c r="Y1606" t="s">
        <v>5187</v>
      </c>
      <c r="AA1606" t="s">
        <v>5188</v>
      </c>
      <c r="AB1606" t="s">
        <v>8326</v>
      </c>
      <c r="AE1606">
        <v>-37.727173000000001</v>
      </c>
      <c r="AF1606">
        <v>176.19675849999999</v>
      </c>
      <c r="AG1606">
        <v>25</v>
      </c>
      <c r="AH1606">
        <v>15</v>
      </c>
      <c r="AI1606">
        <v>41</v>
      </c>
      <c r="AJ1606">
        <v>6</v>
      </c>
      <c r="AK1606">
        <v>16</v>
      </c>
      <c r="AL1606">
        <v>9</v>
      </c>
      <c r="AM1606">
        <v>7</v>
      </c>
      <c r="AN1606">
        <v>0</v>
      </c>
      <c r="AO1606">
        <v>79</v>
      </c>
      <c r="AP1606">
        <v>79</v>
      </c>
      <c r="AQ1606">
        <v>15</v>
      </c>
      <c r="AR1606">
        <v>4</v>
      </c>
      <c r="AS1606">
        <v>5</v>
      </c>
      <c r="AT1606">
        <v>0</v>
      </c>
    </row>
    <row r="1607" spans="1:46">
      <c r="A1607">
        <v>40010</v>
      </c>
      <c r="B1607" t="s">
        <v>9747</v>
      </c>
      <c r="C1607" t="s">
        <v>9748</v>
      </c>
      <c r="D1607" t="s">
        <v>9732</v>
      </c>
      <c r="E1607" t="s">
        <v>9749</v>
      </c>
      <c r="G1607" t="s">
        <v>9750</v>
      </c>
      <c r="H1607" t="s">
        <v>298</v>
      </c>
      <c r="J1607" t="s">
        <v>518</v>
      </c>
      <c r="K1607" t="s">
        <v>519</v>
      </c>
      <c r="M1607" t="s">
        <v>1297</v>
      </c>
      <c r="N1607" t="s">
        <v>571</v>
      </c>
      <c r="O1607" t="s">
        <v>1698</v>
      </c>
      <c r="P1607" t="s">
        <v>654</v>
      </c>
      <c r="Q1607" t="s">
        <v>1471</v>
      </c>
      <c r="R1607" t="s">
        <v>1472</v>
      </c>
      <c r="S1607" t="s">
        <v>1598</v>
      </c>
      <c r="T1607" t="s">
        <v>1474</v>
      </c>
      <c r="U1607">
        <v>194500</v>
      </c>
      <c r="V1607" t="s">
        <v>9750</v>
      </c>
      <c r="W1607" t="s">
        <v>1709</v>
      </c>
      <c r="X1607" t="s">
        <v>9734</v>
      </c>
      <c r="Y1607" t="s">
        <v>5187</v>
      </c>
      <c r="AA1607" t="s">
        <v>5188</v>
      </c>
      <c r="AB1607" t="s">
        <v>8326</v>
      </c>
      <c r="AE1607">
        <v>-37.741097000000003</v>
      </c>
      <c r="AF1607">
        <v>176.09454980000001</v>
      </c>
      <c r="AG1607">
        <v>30</v>
      </c>
      <c r="AH1607">
        <v>15</v>
      </c>
      <c r="AI1607">
        <v>14</v>
      </c>
      <c r="AJ1607">
        <v>2</v>
      </c>
      <c r="AK1607">
        <v>8</v>
      </c>
      <c r="AL1607">
        <v>7</v>
      </c>
      <c r="AM1607">
        <v>3</v>
      </c>
      <c r="AN1607">
        <v>0</v>
      </c>
      <c r="AO1607">
        <v>34</v>
      </c>
      <c r="AP1607">
        <v>33</v>
      </c>
      <c r="AQ1607">
        <v>5</v>
      </c>
      <c r="AR1607">
        <v>3</v>
      </c>
      <c r="AS1607">
        <v>1</v>
      </c>
      <c r="AT1607">
        <v>0</v>
      </c>
    </row>
    <row r="1608" spans="1:46">
      <c r="A1608">
        <v>40011</v>
      </c>
      <c r="B1608" t="s">
        <v>9751</v>
      </c>
      <c r="C1608" t="s">
        <v>9752</v>
      </c>
      <c r="D1608" t="s">
        <v>9732</v>
      </c>
      <c r="E1608" t="s">
        <v>9753</v>
      </c>
      <c r="F1608" t="s">
        <v>1598</v>
      </c>
      <c r="G1608" t="s">
        <v>1598</v>
      </c>
      <c r="H1608" t="s">
        <v>298</v>
      </c>
      <c r="J1608" t="s">
        <v>518</v>
      </c>
      <c r="K1608" t="s">
        <v>519</v>
      </c>
      <c r="M1608" t="s">
        <v>1297</v>
      </c>
      <c r="N1608" t="s">
        <v>571</v>
      </c>
      <c r="O1608" t="s">
        <v>1743</v>
      </c>
      <c r="P1608" t="s">
        <v>572</v>
      </c>
      <c r="Q1608" t="s">
        <v>1471</v>
      </c>
      <c r="R1608" t="s">
        <v>1472</v>
      </c>
      <c r="S1608" t="s">
        <v>1699</v>
      </c>
      <c r="T1608" t="s">
        <v>1474</v>
      </c>
      <c r="U1608">
        <v>191700</v>
      </c>
      <c r="V1608" t="s">
        <v>9754</v>
      </c>
      <c r="W1608" t="s">
        <v>8759</v>
      </c>
      <c r="X1608" t="s">
        <v>9734</v>
      </c>
      <c r="Y1608" t="s">
        <v>5187</v>
      </c>
      <c r="AA1608" t="s">
        <v>5188</v>
      </c>
      <c r="AB1608" t="s">
        <v>8326</v>
      </c>
      <c r="AE1608">
        <v>-37.818156530000003</v>
      </c>
      <c r="AF1608">
        <v>176.12482507999999</v>
      </c>
      <c r="AG1608">
        <v>25</v>
      </c>
      <c r="AH1608">
        <v>10</v>
      </c>
      <c r="AI1608">
        <v>1</v>
      </c>
      <c r="AJ1608">
        <v>7</v>
      </c>
      <c r="AK1608">
        <v>5</v>
      </c>
      <c r="AL1608">
        <v>3</v>
      </c>
      <c r="AM1608">
        <v>7</v>
      </c>
      <c r="AN1608">
        <v>0</v>
      </c>
      <c r="AO1608">
        <v>23</v>
      </c>
      <c r="AP1608">
        <v>23</v>
      </c>
      <c r="AQ1608">
        <v>3</v>
      </c>
      <c r="AR1608">
        <v>2</v>
      </c>
      <c r="AS1608">
        <v>0</v>
      </c>
      <c r="AT1608">
        <v>0</v>
      </c>
    </row>
    <row r="1609" spans="1:46">
      <c r="A1609">
        <v>40012</v>
      </c>
      <c r="B1609" t="s">
        <v>9755</v>
      </c>
      <c r="C1609" t="s">
        <v>9756</v>
      </c>
      <c r="D1609" t="s">
        <v>9732</v>
      </c>
      <c r="E1609" t="s">
        <v>9757</v>
      </c>
      <c r="G1609" t="s">
        <v>1751</v>
      </c>
      <c r="H1609" t="s">
        <v>298</v>
      </c>
      <c r="J1609" t="s">
        <v>518</v>
      </c>
      <c r="K1609" t="s">
        <v>519</v>
      </c>
      <c r="M1609" t="s">
        <v>1297</v>
      </c>
      <c r="N1609" t="s">
        <v>571</v>
      </c>
      <c r="O1609" t="s">
        <v>1743</v>
      </c>
      <c r="P1609" t="s">
        <v>572</v>
      </c>
      <c r="Q1609" t="s">
        <v>1471</v>
      </c>
      <c r="R1609" t="s">
        <v>1472</v>
      </c>
      <c r="S1609" t="s">
        <v>1473</v>
      </c>
      <c r="T1609" t="s">
        <v>1474</v>
      </c>
      <c r="U1609">
        <v>192500</v>
      </c>
      <c r="V1609" t="s">
        <v>1751</v>
      </c>
      <c r="W1609" t="s">
        <v>1745</v>
      </c>
      <c r="X1609" t="s">
        <v>9734</v>
      </c>
      <c r="Y1609" t="s">
        <v>5187</v>
      </c>
      <c r="AA1609" t="s">
        <v>5188</v>
      </c>
      <c r="AB1609" t="s">
        <v>8326</v>
      </c>
      <c r="AE1609">
        <v>-37.8375299</v>
      </c>
      <c r="AF1609">
        <v>176.4759684</v>
      </c>
      <c r="AG1609">
        <v>25</v>
      </c>
      <c r="AH1609">
        <v>13</v>
      </c>
      <c r="AI1609">
        <v>4</v>
      </c>
      <c r="AJ1609">
        <v>4</v>
      </c>
      <c r="AK1609">
        <v>8</v>
      </c>
      <c r="AL1609">
        <v>8</v>
      </c>
      <c r="AM1609">
        <v>4</v>
      </c>
      <c r="AN1609">
        <v>0</v>
      </c>
      <c r="AO1609">
        <v>28</v>
      </c>
      <c r="AP1609">
        <v>24</v>
      </c>
      <c r="AQ1609">
        <v>9</v>
      </c>
      <c r="AR1609">
        <v>0</v>
      </c>
      <c r="AS1609">
        <v>1</v>
      </c>
      <c r="AT1609">
        <v>1</v>
      </c>
    </row>
    <row r="1610" spans="1:46">
      <c r="A1610">
        <v>40013</v>
      </c>
      <c r="B1610" t="s">
        <v>9758</v>
      </c>
      <c r="C1610" t="s">
        <v>9759</v>
      </c>
      <c r="D1610" t="s">
        <v>9732</v>
      </c>
      <c r="E1610" t="s">
        <v>9760</v>
      </c>
      <c r="F1610" t="s">
        <v>3770</v>
      </c>
      <c r="G1610" t="s">
        <v>1598</v>
      </c>
      <c r="H1610" t="s">
        <v>298</v>
      </c>
      <c r="J1610" t="s">
        <v>518</v>
      </c>
      <c r="K1610" t="s">
        <v>519</v>
      </c>
      <c r="M1610" t="s">
        <v>1297</v>
      </c>
      <c r="N1610" t="s">
        <v>571</v>
      </c>
      <c r="O1610" t="s">
        <v>1698</v>
      </c>
      <c r="P1610" t="s">
        <v>654</v>
      </c>
      <c r="Q1610" t="s">
        <v>1471</v>
      </c>
      <c r="R1610" t="s">
        <v>1472</v>
      </c>
      <c r="S1610" t="s">
        <v>1699</v>
      </c>
      <c r="T1610" t="s">
        <v>1474</v>
      </c>
      <c r="U1610">
        <v>197400</v>
      </c>
      <c r="V1610" t="s">
        <v>8571</v>
      </c>
      <c r="W1610" t="s">
        <v>3772</v>
      </c>
      <c r="X1610" t="s">
        <v>9734</v>
      </c>
      <c r="Y1610" t="s">
        <v>5187</v>
      </c>
      <c r="AA1610" t="s">
        <v>5188</v>
      </c>
      <c r="AB1610" t="s">
        <v>8326</v>
      </c>
      <c r="AE1610">
        <v>-37.7083686</v>
      </c>
      <c r="AF1610">
        <v>176.31364579999999</v>
      </c>
      <c r="AG1610">
        <v>30</v>
      </c>
      <c r="AH1610">
        <v>19</v>
      </c>
      <c r="AI1610">
        <v>56</v>
      </c>
      <c r="AJ1610">
        <v>12</v>
      </c>
      <c r="AK1610">
        <v>21</v>
      </c>
      <c r="AL1610">
        <v>13</v>
      </c>
      <c r="AM1610">
        <v>9</v>
      </c>
      <c r="AN1610">
        <v>1</v>
      </c>
      <c r="AO1610">
        <v>112</v>
      </c>
      <c r="AP1610">
        <v>106</v>
      </c>
      <c r="AQ1610">
        <v>22</v>
      </c>
      <c r="AR1610">
        <v>5</v>
      </c>
      <c r="AS1610">
        <v>3</v>
      </c>
      <c r="AT1610">
        <v>1</v>
      </c>
    </row>
    <row r="1611" spans="1:46">
      <c r="A1611">
        <v>40016</v>
      </c>
      <c r="B1611" t="s">
        <v>9761</v>
      </c>
      <c r="C1611" t="s">
        <v>9762</v>
      </c>
      <c r="D1611" t="s">
        <v>9732</v>
      </c>
      <c r="E1611" t="s">
        <v>9763</v>
      </c>
      <c r="F1611" t="s">
        <v>9764</v>
      </c>
      <c r="G1611" t="s">
        <v>1598</v>
      </c>
      <c r="H1611" t="s">
        <v>298</v>
      </c>
      <c r="J1611" t="s">
        <v>518</v>
      </c>
      <c r="K1611" t="s">
        <v>519</v>
      </c>
      <c r="M1611" t="s">
        <v>1297</v>
      </c>
      <c r="N1611" t="s">
        <v>571</v>
      </c>
      <c r="O1611" t="s">
        <v>1698</v>
      </c>
      <c r="P1611" t="s">
        <v>654</v>
      </c>
      <c r="Q1611" t="s">
        <v>1471</v>
      </c>
      <c r="R1611" t="s">
        <v>1472</v>
      </c>
      <c r="S1611" t="s">
        <v>1598</v>
      </c>
      <c r="T1611" t="s">
        <v>1474</v>
      </c>
      <c r="U1611">
        <v>193100</v>
      </c>
      <c r="V1611" t="s">
        <v>9764</v>
      </c>
      <c r="W1611" t="s">
        <v>1737</v>
      </c>
      <c r="X1611" t="s">
        <v>9734</v>
      </c>
      <c r="Y1611" t="s">
        <v>5187</v>
      </c>
      <c r="AA1611" t="s">
        <v>5188</v>
      </c>
      <c r="AB1611" t="s">
        <v>8326</v>
      </c>
      <c r="AE1611">
        <v>-37.681664820000002</v>
      </c>
      <c r="AF1611">
        <v>176.12959143</v>
      </c>
      <c r="AG1611">
        <v>30</v>
      </c>
      <c r="AH1611">
        <v>18</v>
      </c>
      <c r="AI1611">
        <v>37</v>
      </c>
      <c r="AJ1611">
        <v>16</v>
      </c>
      <c r="AK1611">
        <v>18</v>
      </c>
      <c r="AL1611">
        <v>16</v>
      </c>
      <c r="AM1611">
        <v>7</v>
      </c>
      <c r="AN1611">
        <v>1</v>
      </c>
      <c r="AO1611">
        <v>95</v>
      </c>
      <c r="AP1611">
        <v>88</v>
      </c>
      <c r="AQ1611">
        <v>9</v>
      </c>
      <c r="AR1611">
        <v>1</v>
      </c>
      <c r="AS1611">
        <v>9</v>
      </c>
      <c r="AT1611">
        <v>3</v>
      </c>
    </row>
    <row r="1612" spans="1:46">
      <c r="A1612">
        <v>40017</v>
      </c>
      <c r="B1612" t="s">
        <v>9765</v>
      </c>
      <c r="C1612" t="s">
        <v>9766</v>
      </c>
      <c r="D1612" t="s">
        <v>9732</v>
      </c>
      <c r="E1612" t="s">
        <v>9767</v>
      </c>
      <c r="G1612" t="s">
        <v>3787</v>
      </c>
      <c r="H1612" t="s">
        <v>298</v>
      </c>
      <c r="J1612" t="s">
        <v>518</v>
      </c>
      <c r="K1612" t="s">
        <v>519</v>
      </c>
      <c r="M1612" t="s">
        <v>1297</v>
      </c>
      <c r="N1612" t="s">
        <v>571</v>
      </c>
      <c r="O1612" t="s">
        <v>1743</v>
      </c>
      <c r="P1612" t="s">
        <v>523</v>
      </c>
      <c r="Q1612" t="s">
        <v>1471</v>
      </c>
      <c r="R1612" t="s">
        <v>1472</v>
      </c>
      <c r="S1612" t="s">
        <v>1438</v>
      </c>
      <c r="T1612" t="s">
        <v>1474</v>
      </c>
      <c r="U1612">
        <v>190601</v>
      </c>
      <c r="V1612" t="s">
        <v>9768</v>
      </c>
      <c r="W1612" t="s">
        <v>3789</v>
      </c>
      <c r="X1612" t="s">
        <v>9734</v>
      </c>
      <c r="Y1612" t="s">
        <v>5187</v>
      </c>
      <c r="AA1612" t="s">
        <v>5188</v>
      </c>
      <c r="AB1612" t="s">
        <v>8326</v>
      </c>
      <c r="AE1612">
        <v>-37.546172499999997</v>
      </c>
      <c r="AF1612">
        <v>175.92443829999999</v>
      </c>
      <c r="AG1612">
        <v>25</v>
      </c>
      <c r="AH1612">
        <v>12</v>
      </c>
      <c r="AI1612">
        <v>2</v>
      </c>
      <c r="AJ1612">
        <v>1</v>
      </c>
      <c r="AK1612">
        <v>4</v>
      </c>
      <c r="AL1612">
        <v>4</v>
      </c>
      <c r="AM1612">
        <v>5</v>
      </c>
      <c r="AN1612">
        <v>0</v>
      </c>
      <c r="AO1612">
        <v>16</v>
      </c>
      <c r="AP1612">
        <v>15</v>
      </c>
      <c r="AQ1612">
        <v>3</v>
      </c>
      <c r="AR1612">
        <v>2</v>
      </c>
      <c r="AS1612">
        <v>1</v>
      </c>
      <c r="AT1612">
        <v>0</v>
      </c>
    </row>
    <row r="1613" spans="1:46">
      <c r="A1613">
        <v>40018</v>
      </c>
      <c r="B1613" t="s">
        <v>9769</v>
      </c>
      <c r="C1613" t="s">
        <v>9770</v>
      </c>
      <c r="D1613" t="s">
        <v>9732</v>
      </c>
      <c r="E1613" t="s">
        <v>9771</v>
      </c>
      <c r="F1613" t="s">
        <v>1715</v>
      </c>
      <c r="G1613" t="s">
        <v>1598</v>
      </c>
      <c r="H1613" t="s">
        <v>298</v>
      </c>
      <c r="J1613" t="s">
        <v>518</v>
      </c>
      <c r="K1613" t="s">
        <v>519</v>
      </c>
      <c r="M1613" t="s">
        <v>1297</v>
      </c>
      <c r="N1613" t="s">
        <v>571</v>
      </c>
      <c r="O1613" t="s">
        <v>1698</v>
      </c>
      <c r="P1613" t="s">
        <v>654</v>
      </c>
      <c r="Q1613" t="s">
        <v>1471</v>
      </c>
      <c r="R1613" t="s">
        <v>1472</v>
      </c>
      <c r="S1613" t="s">
        <v>1598</v>
      </c>
      <c r="T1613" t="s">
        <v>1474</v>
      </c>
      <c r="U1613">
        <v>195200</v>
      </c>
      <c r="V1613" t="s">
        <v>8882</v>
      </c>
      <c r="W1613" t="s">
        <v>1717</v>
      </c>
      <c r="X1613" t="s">
        <v>9734</v>
      </c>
      <c r="Y1613" t="s">
        <v>5187</v>
      </c>
      <c r="AA1613" t="s">
        <v>5188</v>
      </c>
      <c r="AB1613" t="s">
        <v>8326</v>
      </c>
      <c r="AE1613">
        <v>-37.733035399999999</v>
      </c>
      <c r="AF1613">
        <v>176.1284119</v>
      </c>
      <c r="AG1613">
        <v>30</v>
      </c>
      <c r="AH1613">
        <v>18</v>
      </c>
      <c r="AI1613">
        <v>22</v>
      </c>
      <c r="AJ1613">
        <v>7</v>
      </c>
      <c r="AK1613">
        <v>7</v>
      </c>
      <c r="AL1613">
        <v>1</v>
      </c>
      <c r="AM1613">
        <v>1</v>
      </c>
      <c r="AN1613">
        <v>0</v>
      </c>
      <c r="AO1613">
        <v>38</v>
      </c>
      <c r="AP1613">
        <v>38</v>
      </c>
      <c r="AQ1613">
        <v>4</v>
      </c>
      <c r="AR1613">
        <v>2</v>
      </c>
      <c r="AS1613">
        <v>0</v>
      </c>
      <c r="AT1613">
        <v>0</v>
      </c>
    </row>
    <row r="1614" spans="1:46">
      <c r="A1614">
        <v>40019</v>
      </c>
      <c r="B1614" t="s">
        <v>9772</v>
      </c>
      <c r="C1614" t="s">
        <v>9773</v>
      </c>
      <c r="D1614" t="s">
        <v>9774</v>
      </c>
      <c r="E1614" t="s">
        <v>9775</v>
      </c>
      <c r="G1614" t="s">
        <v>1513</v>
      </c>
      <c r="H1614" t="s">
        <v>298</v>
      </c>
      <c r="J1614" t="s">
        <v>518</v>
      </c>
      <c r="K1614" t="s">
        <v>519</v>
      </c>
      <c r="M1614" t="s">
        <v>1297</v>
      </c>
      <c r="N1614" t="s">
        <v>571</v>
      </c>
      <c r="O1614" t="s">
        <v>1470</v>
      </c>
      <c r="P1614" t="s">
        <v>523</v>
      </c>
      <c r="Q1614" t="s">
        <v>1471</v>
      </c>
      <c r="R1614" t="s">
        <v>1472</v>
      </c>
      <c r="S1614" t="s">
        <v>1473</v>
      </c>
      <c r="T1614" t="s">
        <v>1474</v>
      </c>
      <c r="U1614">
        <v>202200</v>
      </c>
      <c r="V1614" t="s">
        <v>1513</v>
      </c>
      <c r="W1614" t="s">
        <v>1514</v>
      </c>
      <c r="X1614" t="s">
        <v>9734</v>
      </c>
      <c r="Y1614" t="s">
        <v>5187</v>
      </c>
      <c r="AA1614" t="s">
        <v>5188</v>
      </c>
      <c r="AB1614" t="s">
        <v>8326</v>
      </c>
      <c r="AE1614">
        <v>-37.962671159999999</v>
      </c>
      <c r="AF1614">
        <v>176.83439754</v>
      </c>
      <c r="AG1614">
        <v>30</v>
      </c>
      <c r="AH1614">
        <v>15</v>
      </c>
      <c r="AI1614">
        <v>4</v>
      </c>
      <c r="AJ1614">
        <v>3</v>
      </c>
      <c r="AK1614">
        <v>4</v>
      </c>
      <c r="AL1614">
        <v>1</v>
      </c>
      <c r="AM1614">
        <v>1</v>
      </c>
      <c r="AN1614">
        <v>0</v>
      </c>
      <c r="AO1614">
        <v>13</v>
      </c>
      <c r="AP1614">
        <v>13</v>
      </c>
      <c r="AQ1614">
        <v>1</v>
      </c>
      <c r="AR1614">
        <v>0</v>
      </c>
      <c r="AS1614">
        <v>0</v>
      </c>
      <c r="AT1614">
        <v>1</v>
      </c>
    </row>
    <row r="1615" spans="1:46">
      <c r="A1615">
        <v>40022</v>
      </c>
      <c r="B1615" t="s">
        <v>9776</v>
      </c>
      <c r="C1615" t="s">
        <v>9773</v>
      </c>
      <c r="D1615" t="s">
        <v>9732</v>
      </c>
      <c r="E1615" t="s">
        <v>9777</v>
      </c>
      <c r="G1615" t="s">
        <v>1469</v>
      </c>
      <c r="H1615" t="s">
        <v>298</v>
      </c>
      <c r="J1615" t="s">
        <v>518</v>
      </c>
      <c r="K1615" t="s">
        <v>519</v>
      </c>
      <c r="M1615" t="s">
        <v>1297</v>
      </c>
      <c r="N1615" t="s">
        <v>571</v>
      </c>
      <c r="O1615" t="s">
        <v>1470</v>
      </c>
      <c r="P1615" t="s">
        <v>1262</v>
      </c>
      <c r="Q1615" t="s">
        <v>1471</v>
      </c>
      <c r="R1615" t="s">
        <v>1472</v>
      </c>
      <c r="S1615" t="s">
        <v>1473</v>
      </c>
      <c r="T1615" t="s">
        <v>1474</v>
      </c>
      <c r="U1615">
        <v>202700</v>
      </c>
      <c r="V1615" t="s">
        <v>1475</v>
      </c>
      <c r="W1615" t="s">
        <v>1476</v>
      </c>
      <c r="X1615" t="s">
        <v>9734</v>
      </c>
      <c r="Y1615" t="s">
        <v>5187</v>
      </c>
      <c r="AA1615" t="s">
        <v>5188</v>
      </c>
      <c r="AB1615" t="s">
        <v>8326</v>
      </c>
      <c r="AE1615">
        <v>-37.950418110000001</v>
      </c>
      <c r="AF1615">
        <v>177.00473726999999</v>
      </c>
      <c r="AG1615">
        <v>25</v>
      </c>
      <c r="AH1615">
        <v>15</v>
      </c>
      <c r="AI1615">
        <v>7</v>
      </c>
      <c r="AJ1615">
        <v>3</v>
      </c>
      <c r="AK1615">
        <v>5</v>
      </c>
      <c r="AL1615">
        <v>5</v>
      </c>
      <c r="AM1615">
        <v>1</v>
      </c>
      <c r="AN1615">
        <v>0</v>
      </c>
      <c r="AO1615">
        <v>21</v>
      </c>
      <c r="AP1615">
        <v>21</v>
      </c>
      <c r="AQ1615">
        <v>5</v>
      </c>
      <c r="AR1615">
        <v>0</v>
      </c>
      <c r="AS1615">
        <v>1</v>
      </c>
      <c r="AT1615">
        <v>0</v>
      </c>
    </row>
    <row r="1616" spans="1:46">
      <c r="A1616">
        <v>40023</v>
      </c>
      <c r="B1616" t="s">
        <v>9778</v>
      </c>
      <c r="C1616" t="s">
        <v>9773</v>
      </c>
      <c r="E1616" t="s">
        <v>9779</v>
      </c>
      <c r="G1616" t="s">
        <v>1611</v>
      </c>
      <c r="H1616" t="s">
        <v>298</v>
      </c>
      <c r="J1616" t="s">
        <v>518</v>
      </c>
      <c r="K1616" t="s">
        <v>519</v>
      </c>
      <c r="M1616" t="s">
        <v>1297</v>
      </c>
      <c r="N1616" t="s">
        <v>557</v>
      </c>
      <c r="O1616" t="s">
        <v>1612</v>
      </c>
      <c r="P1616" t="s">
        <v>523</v>
      </c>
      <c r="Q1616" t="s">
        <v>1471</v>
      </c>
      <c r="R1616" t="s">
        <v>1472</v>
      </c>
      <c r="S1616" t="s">
        <v>1473</v>
      </c>
      <c r="T1616" t="s">
        <v>1474</v>
      </c>
      <c r="U1616">
        <v>204400</v>
      </c>
      <c r="V1616" t="s">
        <v>1613</v>
      </c>
      <c r="W1616" t="s">
        <v>1614</v>
      </c>
      <c r="X1616" t="s">
        <v>9734</v>
      </c>
      <c r="Y1616" t="s">
        <v>5187</v>
      </c>
      <c r="AA1616" t="s">
        <v>5188</v>
      </c>
      <c r="AB1616" t="s">
        <v>8326</v>
      </c>
      <c r="AE1616">
        <v>-38.011379099999999</v>
      </c>
      <c r="AF1616">
        <v>177.28996264</v>
      </c>
      <c r="AG1616">
        <v>30</v>
      </c>
      <c r="AH1616">
        <v>15</v>
      </c>
      <c r="AI1616">
        <v>5</v>
      </c>
      <c r="AJ1616">
        <v>5</v>
      </c>
      <c r="AK1616">
        <v>3</v>
      </c>
      <c r="AL1616">
        <v>3</v>
      </c>
      <c r="AM1616">
        <v>4</v>
      </c>
      <c r="AN1616">
        <v>0</v>
      </c>
      <c r="AO1616">
        <v>20</v>
      </c>
      <c r="AP1616">
        <v>19</v>
      </c>
      <c r="AQ1616">
        <v>12</v>
      </c>
      <c r="AR1616">
        <v>2</v>
      </c>
      <c r="AS1616">
        <v>0</v>
      </c>
      <c r="AT1616">
        <v>1</v>
      </c>
    </row>
    <row r="1617" spans="1:46">
      <c r="A1617">
        <v>40024</v>
      </c>
      <c r="B1617" t="s">
        <v>9780</v>
      </c>
      <c r="C1617" t="s">
        <v>9773</v>
      </c>
      <c r="E1617" t="s">
        <v>9781</v>
      </c>
      <c r="G1617" t="s">
        <v>9782</v>
      </c>
      <c r="H1617" t="s">
        <v>298</v>
      </c>
      <c r="J1617" t="s">
        <v>518</v>
      </c>
      <c r="K1617" t="s">
        <v>519</v>
      </c>
      <c r="M1617" t="s">
        <v>1297</v>
      </c>
      <c r="N1617" t="s">
        <v>571</v>
      </c>
      <c r="O1617" t="s">
        <v>1470</v>
      </c>
      <c r="P1617" t="s">
        <v>572</v>
      </c>
      <c r="Q1617" t="s">
        <v>1471</v>
      </c>
      <c r="R1617" t="s">
        <v>1472</v>
      </c>
      <c r="S1617" t="s">
        <v>1473</v>
      </c>
      <c r="T1617" t="s">
        <v>1474</v>
      </c>
      <c r="U1617">
        <v>202300</v>
      </c>
      <c r="V1617" t="s">
        <v>9783</v>
      </c>
      <c r="W1617" t="s">
        <v>1514</v>
      </c>
      <c r="X1617" t="s">
        <v>9734</v>
      </c>
      <c r="Y1617" t="s">
        <v>5187</v>
      </c>
      <c r="AA1617" t="s">
        <v>5188</v>
      </c>
      <c r="AB1617" t="s">
        <v>8326</v>
      </c>
      <c r="AE1617">
        <v>-37.995125199999997</v>
      </c>
      <c r="AF1617">
        <v>176.89738933999999</v>
      </c>
      <c r="AG1617">
        <v>30</v>
      </c>
      <c r="AH1617">
        <v>12</v>
      </c>
      <c r="AI1617">
        <v>4</v>
      </c>
      <c r="AJ1617">
        <v>1</v>
      </c>
      <c r="AK1617">
        <v>5</v>
      </c>
      <c r="AL1617">
        <v>6</v>
      </c>
      <c r="AM1617">
        <v>3</v>
      </c>
      <c r="AN1617">
        <v>1</v>
      </c>
      <c r="AO1617">
        <v>20</v>
      </c>
      <c r="AP1617">
        <v>18</v>
      </c>
      <c r="AQ1617">
        <v>4</v>
      </c>
      <c r="AR1617">
        <v>0</v>
      </c>
      <c r="AS1617">
        <v>3</v>
      </c>
      <c r="AT1617">
        <v>0</v>
      </c>
    </row>
    <row r="1618" spans="1:46">
      <c r="A1618">
        <v>40026</v>
      </c>
      <c r="B1618" t="s">
        <v>9784</v>
      </c>
      <c r="C1618" t="s">
        <v>9785</v>
      </c>
      <c r="D1618" t="s">
        <v>9786</v>
      </c>
      <c r="E1618" t="s">
        <v>9787</v>
      </c>
      <c r="G1618" t="s">
        <v>1469</v>
      </c>
      <c r="H1618" t="s">
        <v>298</v>
      </c>
      <c r="J1618" t="s">
        <v>518</v>
      </c>
      <c r="K1618" t="s">
        <v>519</v>
      </c>
      <c r="M1618" t="s">
        <v>1297</v>
      </c>
      <c r="N1618" t="s">
        <v>571</v>
      </c>
      <c r="O1618" t="s">
        <v>1470</v>
      </c>
      <c r="P1618" t="s">
        <v>572</v>
      </c>
      <c r="Q1618" t="s">
        <v>1471</v>
      </c>
      <c r="R1618" t="s">
        <v>1472</v>
      </c>
      <c r="S1618" t="s">
        <v>1473</v>
      </c>
      <c r="T1618" t="s">
        <v>1474</v>
      </c>
      <c r="U1618">
        <v>202100</v>
      </c>
      <c r="V1618" t="s">
        <v>9788</v>
      </c>
      <c r="W1618" t="s">
        <v>1514</v>
      </c>
      <c r="X1618" t="s">
        <v>9734</v>
      </c>
      <c r="Y1618" t="s">
        <v>5187</v>
      </c>
      <c r="AA1618" t="s">
        <v>5188</v>
      </c>
      <c r="AB1618" t="s">
        <v>8326</v>
      </c>
      <c r="AE1618">
        <v>-37.985656839999997</v>
      </c>
      <c r="AF1618">
        <v>176.76149910000001</v>
      </c>
      <c r="AG1618">
        <v>25</v>
      </c>
      <c r="AH1618">
        <v>12</v>
      </c>
      <c r="AI1618">
        <v>3</v>
      </c>
      <c r="AJ1618">
        <v>3</v>
      </c>
      <c r="AK1618">
        <v>3</v>
      </c>
      <c r="AL1618">
        <v>1</v>
      </c>
      <c r="AM1618">
        <v>4</v>
      </c>
      <c r="AN1618">
        <v>0</v>
      </c>
      <c r="AO1618">
        <v>14</v>
      </c>
      <c r="AP1618">
        <v>11</v>
      </c>
      <c r="AQ1618">
        <v>7</v>
      </c>
      <c r="AR1618">
        <v>1</v>
      </c>
      <c r="AS1618">
        <v>0</v>
      </c>
      <c r="AT1618">
        <v>0</v>
      </c>
    </row>
    <row r="1619" spans="1:46">
      <c r="A1619">
        <v>40027</v>
      </c>
      <c r="B1619" t="s">
        <v>9789</v>
      </c>
      <c r="C1619" t="s">
        <v>9773</v>
      </c>
      <c r="E1619" t="s">
        <v>9790</v>
      </c>
      <c r="G1619" t="s">
        <v>9791</v>
      </c>
      <c r="H1619" t="s">
        <v>298</v>
      </c>
      <c r="J1619" t="s">
        <v>518</v>
      </c>
      <c r="K1619" t="s">
        <v>519</v>
      </c>
      <c r="M1619" t="s">
        <v>1297</v>
      </c>
      <c r="N1619" t="s">
        <v>571</v>
      </c>
      <c r="O1619" t="s">
        <v>1470</v>
      </c>
      <c r="P1619" t="s">
        <v>523</v>
      </c>
      <c r="Q1619" t="s">
        <v>1471</v>
      </c>
      <c r="R1619" t="s">
        <v>1472</v>
      </c>
      <c r="S1619" t="s">
        <v>1473</v>
      </c>
      <c r="T1619" t="s">
        <v>1474</v>
      </c>
      <c r="U1619">
        <v>203200</v>
      </c>
      <c r="V1619" t="s">
        <v>9792</v>
      </c>
      <c r="W1619" t="s">
        <v>1476</v>
      </c>
      <c r="X1619" t="s">
        <v>9734</v>
      </c>
      <c r="Y1619" t="s">
        <v>5187</v>
      </c>
      <c r="AA1619" t="s">
        <v>5188</v>
      </c>
      <c r="AB1619" t="s">
        <v>8326</v>
      </c>
      <c r="AC1619">
        <v>99016</v>
      </c>
      <c r="AD1619" t="s">
        <v>1479</v>
      </c>
      <c r="AE1619">
        <v>-37.983524299999999</v>
      </c>
      <c r="AF1619">
        <v>177.1104502</v>
      </c>
      <c r="AG1619">
        <v>30</v>
      </c>
      <c r="AH1619">
        <v>15</v>
      </c>
      <c r="AI1619">
        <v>2</v>
      </c>
      <c r="AJ1619">
        <v>5</v>
      </c>
      <c r="AK1619">
        <v>4</v>
      </c>
      <c r="AL1619">
        <v>3</v>
      </c>
      <c r="AM1619">
        <v>1</v>
      </c>
      <c r="AN1619">
        <v>0</v>
      </c>
      <c r="AO1619">
        <v>15</v>
      </c>
      <c r="AP1619">
        <v>14</v>
      </c>
      <c r="AQ1619">
        <v>1</v>
      </c>
      <c r="AR1619">
        <v>0</v>
      </c>
      <c r="AS1619">
        <v>2</v>
      </c>
      <c r="AT1619">
        <v>0</v>
      </c>
    </row>
    <row r="1620" spans="1:46">
      <c r="A1620">
        <v>40028</v>
      </c>
      <c r="B1620" t="s">
        <v>9793</v>
      </c>
      <c r="C1620" t="s">
        <v>9773</v>
      </c>
      <c r="E1620" t="s">
        <v>9794</v>
      </c>
      <c r="G1620" t="s">
        <v>9795</v>
      </c>
      <c r="H1620" t="s">
        <v>298</v>
      </c>
      <c r="J1620" t="s">
        <v>518</v>
      </c>
      <c r="K1620" t="s">
        <v>519</v>
      </c>
      <c r="M1620" t="s">
        <v>1297</v>
      </c>
      <c r="N1620" t="s">
        <v>571</v>
      </c>
      <c r="O1620" t="s">
        <v>1470</v>
      </c>
      <c r="P1620" t="s">
        <v>572</v>
      </c>
      <c r="Q1620" t="s">
        <v>1471</v>
      </c>
      <c r="R1620" t="s">
        <v>1472</v>
      </c>
      <c r="S1620" t="s">
        <v>1473</v>
      </c>
      <c r="T1620" t="s">
        <v>1474</v>
      </c>
      <c r="U1620">
        <v>203400</v>
      </c>
      <c r="V1620" t="s">
        <v>9795</v>
      </c>
      <c r="W1620" t="s">
        <v>1595</v>
      </c>
      <c r="X1620" t="s">
        <v>9734</v>
      </c>
      <c r="Y1620" t="s">
        <v>5187</v>
      </c>
      <c r="AA1620" t="s">
        <v>5188</v>
      </c>
      <c r="AB1620" t="s">
        <v>8326</v>
      </c>
      <c r="AE1620">
        <v>-38.410848180000002</v>
      </c>
      <c r="AF1620">
        <v>176.73882014</v>
      </c>
      <c r="AG1620">
        <v>25</v>
      </c>
      <c r="AH1620">
        <v>12</v>
      </c>
      <c r="AI1620">
        <v>1</v>
      </c>
      <c r="AJ1620">
        <v>3</v>
      </c>
      <c r="AK1620">
        <v>5</v>
      </c>
      <c r="AL1620">
        <v>2</v>
      </c>
      <c r="AM1620">
        <v>3</v>
      </c>
      <c r="AN1620">
        <v>0</v>
      </c>
      <c r="AO1620">
        <v>14</v>
      </c>
      <c r="AP1620">
        <v>14</v>
      </c>
      <c r="AQ1620">
        <v>1</v>
      </c>
      <c r="AR1620">
        <v>0</v>
      </c>
      <c r="AS1620">
        <v>0</v>
      </c>
      <c r="AT1620">
        <v>0</v>
      </c>
    </row>
    <row r="1621" spans="1:46">
      <c r="A1621">
        <v>40031</v>
      </c>
      <c r="B1621" t="s">
        <v>9796</v>
      </c>
      <c r="C1621" t="s">
        <v>9773</v>
      </c>
      <c r="D1621" t="s">
        <v>9732</v>
      </c>
      <c r="E1621" t="s">
        <v>9797</v>
      </c>
      <c r="G1621" t="s">
        <v>1469</v>
      </c>
      <c r="H1621" t="s">
        <v>298</v>
      </c>
      <c r="J1621" t="s">
        <v>518</v>
      </c>
      <c r="K1621" t="s">
        <v>519</v>
      </c>
      <c r="M1621" t="s">
        <v>1297</v>
      </c>
      <c r="N1621" t="s">
        <v>521</v>
      </c>
      <c r="O1621" t="s">
        <v>1470</v>
      </c>
      <c r="P1621" t="s">
        <v>1262</v>
      </c>
      <c r="Q1621" t="s">
        <v>1471</v>
      </c>
      <c r="R1621" t="s">
        <v>1472</v>
      </c>
      <c r="S1621" t="s">
        <v>1473</v>
      </c>
      <c r="T1621" t="s">
        <v>1474</v>
      </c>
      <c r="U1621">
        <v>202600</v>
      </c>
      <c r="V1621" t="s">
        <v>9798</v>
      </c>
      <c r="W1621" t="s">
        <v>1476</v>
      </c>
      <c r="X1621" t="s">
        <v>9734</v>
      </c>
      <c r="Y1621" t="s">
        <v>5187</v>
      </c>
      <c r="AA1621" t="s">
        <v>5188</v>
      </c>
      <c r="AB1621" t="s">
        <v>8326</v>
      </c>
      <c r="AE1621">
        <v>-37.963355700000001</v>
      </c>
      <c r="AF1621">
        <v>176.96112020000001</v>
      </c>
      <c r="AG1621">
        <v>25</v>
      </c>
      <c r="AH1621">
        <v>15</v>
      </c>
      <c r="AI1621">
        <v>18</v>
      </c>
      <c r="AJ1621">
        <v>0</v>
      </c>
      <c r="AK1621">
        <v>0</v>
      </c>
      <c r="AL1621">
        <v>0</v>
      </c>
      <c r="AM1621">
        <v>1</v>
      </c>
      <c r="AN1621">
        <v>1</v>
      </c>
      <c r="AO1621">
        <v>20</v>
      </c>
      <c r="AP1621">
        <v>19</v>
      </c>
      <c r="AQ1621">
        <v>8</v>
      </c>
      <c r="AR1621">
        <v>0</v>
      </c>
      <c r="AS1621">
        <v>0</v>
      </c>
      <c r="AT1621">
        <v>1</v>
      </c>
    </row>
    <row r="1622" spans="1:46">
      <c r="A1622">
        <v>40032</v>
      </c>
      <c r="B1622" t="s">
        <v>9799</v>
      </c>
      <c r="C1622" t="s">
        <v>9800</v>
      </c>
      <c r="D1622" t="s">
        <v>9801</v>
      </c>
      <c r="E1622" t="s">
        <v>9802</v>
      </c>
      <c r="F1622" t="s">
        <v>8472</v>
      </c>
      <c r="G1622" t="s">
        <v>1598</v>
      </c>
      <c r="H1622" t="s">
        <v>3942</v>
      </c>
      <c r="I1622" t="s">
        <v>3953</v>
      </c>
      <c r="J1622" t="s">
        <v>518</v>
      </c>
      <c r="K1622" t="s">
        <v>519</v>
      </c>
      <c r="M1622" t="s">
        <v>1297</v>
      </c>
      <c r="N1622" t="s">
        <v>571</v>
      </c>
      <c r="O1622" t="s">
        <v>1698</v>
      </c>
      <c r="P1622" t="s">
        <v>654</v>
      </c>
      <c r="Q1622" t="s">
        <v>1471</v>
      </c>
      <c r="R1622" t="s">
        <v>1472</v>
      </c>
      <c r="S1622" t="s">
        <v>1598</v>
      </c>
      <c r="T1622" t="s">
        <v>1474</v>
      </c>
      <c r="U1622">
        <v>193500</v>
      </c>
      <c r="V1622" t="s">
        <v>8473</v>
      </c>
      <c r="W1622" t="s">
        <v>1709</v>
      </c>
      <c r="X1622" t="s">
        <v>8706</v>
      </c>
      <c r="Y1622" t="s">
        <v>8707</v>
      </c>
      <c r="AA1622" t="s">
        <v>8708</v>
      </c>
      <c r="AB1622" t="s">
        <v>8709</v>
      </c>
      <c r="AC1622">
        <v>99157</v>
      </c>
      <c r="AD1622" t="s">
        <v>8710</v>
      </c>
      <c r="AE1622">
        <v>-37.705167009999997</v>
      </c>
      <c r="AF1622">
        <v>176.11274900999999</v>
      </c>
      <c r="AG1622">
        <v>45</v>
      </c>
      <c r="AH1622">
        <v>0</v>
      </c>
      <c r="AI1622">
        <v>0</v>
      </c>
      <c r="AJ1622">
        <v>0</v>
      </c>
      <c r="AK1622">
        <v>1</v>
      </c>
      <c r="AL1622">
        <v>24</v>
      </c>
      <c r="AM1622">
        <v>25</v>
      </c>
      <c r="AN1622">
        <v>2</v>
      </c>
      <c r="AO1622">
        <v>52</v>
      </c>
      <c r="AP1622">
        <v>40</v>
      </c>
      <c r="AQ1622">
        <v>3</v>
      </c>
      <c r="AR1622">
        <v>0</v>
      </c>
      <c r="AS1622">
        <v>12</v>
      </c>
      <c r="AT1622">
        <v>1</v>
      </c>
    </row>
    <row r="1623" spans="1:46">
      <c r="A1623">
        <v>40033</v>
      </c>
      <c r="B1623" t="s">
        <v>9803</v>
      </c>
      <c r="C1623" t="s">
        <v>9804</v>
      </c>
      <c r="E1623" t="s">
        <v>9805</v>
      </c>
      <c r="F1623" t="s">
        <v>8491</v>
      </c>
      <c r="G1623" t="s">
        <v>1521</v>
      </c>
      <c r="H1623" t="s">
        <v>3942</v>
      </c>
      <c r="J1623" t="s">
        <v>3962</v>
      </c>
      <c r="K1623" t="s">
        <v>519</v>
      </c>
      <c r="M1623" t="s">
        <v>1297</v>
      </c>
      <c r="N1623" t="s">
        <v>557</v>
      </c>
      <c r="O1623" t="s">
        <v>1522</v>
      </c>
      <c r="P1623" t="s">
        <v>584</v>
      </c>
      <c r="Q1623" t="s">
        <v>1471</v>
      </c>
      <c r="R1623" t="s">
        <v>1472</v>
      </c>
      <c r="S1623" t="s">
        <v>1521</v>
      </c>
      <c r="T1623" t="s">
        <v>1474</v>
      </c>
      <c r="U1623">
        <v>200300</v>
      </c>
      <c r="V1623" t="s">
        <v>9806</v>
      </c>
      <c r="W1623" t="s">
        <v>1523</v>
      </c>
      <c r="X1623" t="s">
        <v>9807</v>
      </c>
      <c r="Y1623" t="s">
        <v>9805</v>
      </c>
      <c r="Z1623" t="s">
        <v>9806</v>
      </c>
      <c r="AA1623" t="s">
        <v>8908</v>
      </c>
      <c r="AB1623" t="s">
        <v>9804</v>
      </c>
      <c r="AC1623">
        <v>99019</v>
      </c>
      <c r="AD1623" t="s">
        <v>1565</v>
      </c>
      <c r="AE1623">
        <v>-38.143517180000003</v>
      </c>
      <c r="AF1623">
        <v>176.25232133</v>
      </c>
      <c r="AG1623">
        <v>70</v>
      </c>
      <c r="AH1623">
        <v>20</v>
      </c>
      <c r="AI1623">
        <v>3</v>
      </c>
      <c r="AJ1623">
        <v>11</v>
      </c>
      <c r="AK1623">
        <v>18</v>
      </c>
      <c r="AL1623">
        <v>15</v>
      </c>
      <c r="AM1623">
        <v>19</v>
      </c>
      <c r="AN1623">
        <v>0</v>
      </c>
      <c r="AO1623">
        <v>66</v>
      </c>
      <c r="AP1623">
        <v>27</v>
      </c>
      <c r="AQ1623">
        <v>19</v>
      </c>
      <c r="AR1623">
        <v>2</v>
      </c>
      <c r="AS1623">
        <v>32</v>
      </c>
      <c r="AT1623">
        <v>0</v>
      </c>
    </row>
    <row r="1624" spans="1:46">
      <c r="A1624">
        <v>40034</v>
      </c>
      <c r="B1624" t="s">
        <v>9808</v>
      </c>
      <c r="C1624" t="s">
        <v>9809</v>
      </c>
      <c r="D1624" t="s">
        <v>9810</v>
      </c>
      <c r="E1624" t="s">
        <v>9811</v>
      </c>
      <c r="G1624" t="s">
        <v>1521</v>
      </c>
      <c r="H1624" t="s">
        <v>3942</v>
      </c>
      <c r="J1624" t="s">
        <v>518</v>
      </c>
      <c r="K1624" t="s">
        <v>519</v>
      </c>
      <c r="M1624" t="s">
        <v>1297</v>
      </c>
      <c r="N1624" t="s">
        <v>571</v>
      </c>
      <c r="O1624" t="s">
        <v>1522</v>
      </c>
      <c r="P1624" t="s">
        <v>540</v>
      </c>
      <c r="Q1624" t="s">
        <v>1471</v>
      </c>
      <c r="R1624" t="s">
        <v>1472</v>
      </c>
      <c r="S1624" t="s">
        <v>1521</v>
      </c>
      <c r="T1624" t="s">
        <v>1474</v>
      </c>
      <c r="U1624">
        <v>201700</v>
      </c>
      <c r="V1624" t="s">
        <v>9812</v>
      </c>
      <c r="W1624" t="s">
        <v>1523</v>
      </c>
      <c r="X1624" t="s">
        <v>9813</v>
      </c>
      <c r="Y1624" t="s">
        <v>9814</v>
      </c>
      <c r="Z1624" t="s">
        <v>8564</v>
      </c>
      <c r="AA1624" t="s">
        <v>9815</v>
      </c>
      <c r="AC1624">
        <v>99017</v>
      </c>
      <c r="AD1624" t="s">
        <v>1630</v>
      </c>
      <c r="AE1624">
        <v>-38.169839699999997</v>
      </c>
      <c r="AF1624">
        <v>176.34622909999999</v>
      </c>
      <c r="AG1624">
        <v>25</v>
      </c>
      <c r="AH1624">
        <v>0</v>
      </c>
      <c r="AI1624">
        <v>0</v>
      </c>
      <c r="AJ1624">
        <v>0</v>
      </c>
      <c r="AK1624">
        <v>2</v>
      </c>
      <c r="AL1624">
        <v>7</v>
      </c>
      <c r="AM1624">
        <v>15</v>
      </c>
      <c r="AN1624">
        <v>4</v>
      </c>
      <c r="AO1624">
        <v>28</v>
      </c>
      <c r="AP1624">
        <v>27</v>
      </c>
      <c r="AQ1624">
        <v>3</v>
      </c>
      <c r="AR1624">
        <v>0</v>
      </c>
      <c r="AS1624">
        <v>2</v>
      </c>
      <c r="AT1624">
        <v>0</v>
      </c>
    </row>
    <row r="1625" spans="1:46">
      <c r="A1625">
        <v>40035</v>
      </c>
      <c r="B1625" t="s">
        <v>9816</v>
      </c>
      <c r="C1625" t="s">
        <v>9817</v>
      </c>
      <c r="D1625" t="s">
        <v>9818</v>
      </c>
      <c r="E1625" t="s">
        <v>9819</v>
      </c>
      <c r="F1625" t="s">
        <v>9820</v>
      </c>
      <c r="G1625" t="s">
        <v>1598</v>
      </c>
      <c r="H1625" t="s">
        <v>517</v>
      </c>
      <c r="J1625" t="s">
        <v>518</v>
      </c>
      <c r="K1625" t="s">
        <v>519</v>
      </c>
      <c r="M1625" t="s">
        <v>1297</v>
      </c>
      <c r="N1625" t="s">
        <v>571</v>
      </c>
      <c r="O1625" t="s">
        <v>1698</v>
      </c>
      <c r="P1625" t="s">
        <v>654</v>
      </c>
      <c r="Q1625" t="s">
        <v>1471</v>
      </c>
      <c r="R1625" t="s">
        <v>1472</v>
      </c>
      <c r="S1625" t="s">
        <v>1598</v>
      </c>
      <c r="T1625" t="s">
        <v>1474</v>
      </c>
      <c r="U1625">
        <v>192600</v>
      </c>
      <c r="V1625" t="s">
        <v>9821</v>
      </c>
      <c r="W1625" t="s">
        <v>1737</v>
      </c>
      <c r="X1625" t="s">
        <v>1596</v>
      </c>
      <c r="Y1625" t="s">
        <v>1597</v>
      </c>
      <c r="Z1625" t="s">
        <v>1598</v>
      </c>
      <c r="AA1625" t="s">
        <v>1599</v>
      </c>
      <c r="AB1625" t="s">
        <v>1600</v>
      </c>
      <c r="AC1625">
        <v>99036</v>
      </c>
      <c r="AD1625" t="s">
        <v>1710</v>
      </c>
      <c r="AE1625">
        <v>-37.66522818</v>
      </c>
      <c r="AF1625">
        <v>176.12916172000001</v>
      </c>
      <c r="AG1625">
        <v>40</v>
      </c>
      <c r="AH1625">
        <v>0</v>
      </c>
      <c r="AI1625">
        <v>0</v>
      </c>
      <c r="AJ1625">
        <v>0</v>
      </c>
      <c r="AK1625">
        <v>5</v>
      </c>
      <c r="AL1625">
        <v>14</v>
      </c>
      <c r="AM1625">
        <v>28</v>
      </c>
      <c r="AN1625">
        <v>0</v>
      </c>
      <c r="AO1625">
        <v>47</v>
      </c>
      <c r="AP1625">
        <v>40</v>
      </c>
      <c r="AQ1625">
        <v>2</v>
      </c>
      <c r="AR1625">
        <v>0</v>
      </c>
      <c r="AS1625">
        <v>2</v>
      </c>
      <c r="AT1625">
        <v>10</v>
      </c>
    </row>
    <row r="1626" spans="1:46">
      <c r="A1626">
        <v>40036</v>
      </c>
      <c r="B1626" t="s">
        <v>9822</v>
      </c>
      <c r="C1626" t="s">
        <v>9823</v>
      </c>
      <c r="E1626" t="s">
        <v>9824</v>
      </c>
      <c r="G1626" t="s">
        <v>9825</v>
      </c>
      <c r="H1626" t="s">
        <v>298</v>
      </c>
      <c r="J1626" t="s">
        <v>518</v>
      </c>
      <c r="K1626" t="s">
        <v>519</v>
      </c>
      <c r="M1626" t="s">
        <v>1297</v>
      </c>
      <c r="N1626" t="s">
        <v>571</v>
      </c>
      <c r="O1626" t="s">
        <v>1522</v>
      </c>
      <c r="P1626" t="s">
        <v>572</v>
      </c>
      <c r="Q1626" t="s">
        <v>1299</v>
      </c>
      <c r="R1626" t="s">
        <v>1472</v>
      </c>
      <c r="S1626" t="s">
        <v>1521</v>
      </c>
      <c r="T1626" t="s">
        <v>1474</v>
      </c>
      <c r="U1626">
        <v>201800</v>
      </c>
      <c r="V1626" t="s">
        <v>9826</v>
      </c>
      <c r="W1626" t="s">
        <v>9827</v>
      </c>
      <c r="X1626" t="s">
        <v>9734</v>
      </c>
      <c r="Y1626" t="s">
        <v>5187</v>
      </c>
      <c r="AA1626" t="s">
        <v>5188</v>
      </c>
      <c r="AB1626" t="s">
        <v>8326</v>
      </c>
      <c r="AE1626">
        <v>-38.434623680000001</v>
      </c>
      <c r="AF1626">
        <v>176.34397730000001</v>
      </c>
      <c r="AG1626">
        <v>30</v>
      </c>
      <c r="AH1626">
        <v>20</v>
      </c>
      <c r="AI1626">
        <v>0</v>
      </c>
      <c r="AJ1626">
        <v>7</v>
      </c>
      <c r="AK1626">
        <v>4</v>
      </c>
      <c r="AL1626">
        <v>2</v>
      </c>
      <c r="AM1626">
        <v>1</v>
      </c>
      <c r="AN1626">
        <v>0</v>
      </c>
      <c r="AO1626">
        <v>14</v>
      </c>
      <c r="AP1626">
        <v>14</v>
      </c>
      <c r="AQ1626">
        <v>2</v>
      </c>
      <c r="AR1626">
        <v>0</v>
      </c>
      <c r="AS1626">
        <v>1</v>
      </c>
      <c r="AT1626">
        <v>0</v>
      </c>
    </row>
    <row r="1627" spans="1:46">
      <c r="A1627">
        <v>40037</v>
      </c>
      <c r="B1627" t="s">
        <v>9828</v>
      </c>
      <c r="C1627" t="s">
        <v>9829</v>
      </c>
      <c r="E1627" t="s">
        <v>9830</v>
      </c>
      <c r="G1627" t="s">
        <v>1545</v>
      </c>
      <c r="H1627" t="s">
        <v>298</v>
      </c>
      <c r="J1627" t="s">
        <v>518</v>
      </c>
      <c r="K1627" t="s">
        <v>519</v>
      </c>
      <c r="M1627" t="s">
        <v>1297</v>
      </c>
      <c r="N1627" t="s">
        <v>571</v>
      </c>
      <c r="O1627" t="s">
        <v>1546</v>
      </c>
      <c r="P1627" t="s">
        <v>1262</v>
      </c>
      <c r="Q1627" t="s">
        <v>1299</v>
      </c>
      <c r="R1627" t="s">
        <v>1472</v>
      </c>
      <c r="S1627" t="s">
        <v>1320</v>
      </c>
      <c r="T1627" t="s">
        <v>1474</v>
      </c>
      <c r="U1627">
        <v>189101</v>
      </c>
      <c r="V1627" t="s">
        <v>9831</v>
      </c>
      <c r="W1627" t="s">
        <v>1548</v>
      </c>
      <c r="X1627" t="s">
        <v>9734</v>
      </c>
      <c r="Y1627" t="s">
        <v>5187</v>
      </c>
      <c r="AA1627" t="s">
        <v>5188</v>
      </c>
      <c r="AB1627" t="s">
        <v>8326</v>
      </c>
      <c r="AE1627">
        <v>-38.692952980000001</v>
      </c>
      <c r="AF1627">
        <v>176.09924963</v>
      </c>
      <c r="AG1627">
        <v>30</v>
      </c>
      <c r="AH1627">
        <v>25</v>
      </c>
      <c r="AI1627">
        <v>6</v>
      </c>
      <c r="AJ1627">
        <v>6</v>
      </c>
      <c r="AK1627">
        <v>14</v>
      </c>
      <c r="AL1627">
        <v>7</v>
      </c>
      <c r="AM1627">
        <v>6</v>
      </c>
      <c r="AN1627">
        <v>1</v>
      </c>
      <c r="AO1627">
        <v>40</v>
      </c>
      <c r="AP1627">
        <v>34</v>
      </c>
      <c r="AQ1627">
        <v>6</v>
      </c>
      <c r="AR1627">
        <v>0</v>
      </c>
      <c r="AS1627">
        <v>5</v>
      </c>
      <c r="AT1627">
        <v>0</v>
      </c>
    </row>
    <row r="1628" spans="1:46">
      <c r="A1628">
        <v>40040</v>
      </c>
      <c r="B1628" t="s">
        <v>9832</v>
      </c>
      <c r="C1628" t="s">
        <v>9833</v>
      </c>
      <c r="D1628" t="s">
        <v>9834</v>
      </c>
      <c r="E1628" t="s">
        <v>9835</v>
      </c>
      <c r="G1628" t="s">
        <v>1545</v>
      </c>
      <c r="H1628" t="s">
        <v>3942</v>
      </c>
      <c r="J1628" t="s">
        <v>518</v>
      </c>
      <c r="K1628" t="s">
        <v>519</v>
      </c>
      <c r="M1628" t="s">
        <v>1297</v>
      </c>
      <c r="N1628" t="s">
        <v>571</v>
      </c>
      <c r="O1628" t="s">
        <v>1546</v>
      </c>
      <c r="P1628" t="s">
        <v>1262</v>
      </c>
      <c r="Q1628" t="s">
        <v>1299</v>
      </c>
      <c r="R1628" t="s">
        <v>1472</v>
      </c>
      <c r="S1628" t="s">
        <v>1320</v>
      </c>
      <c r="T1628" t="s">
        <v>1474</v>
      </c>
      <c r="U1628">
        <v>188600</v>
      </c>
      <c r="V1628" t="s">
        <v>9836</v>
      </c>
      <c r="W1628" t="s">
        <v>1548</v>
      </c>
      <c r="X1628" t="s">
        <v>9837</v>
      </c>
      <c r="Y1628" t="s">
        <v>9835</v>
      </c>
      <c r="Z1628" t="s">
        <v>1545</v>
      </c>
      <c r="AA1628" t="s">
        <v>9838</v>
      </c>
      <c r="AB1628" t="s">
        <v>9833</v>
      </c>
      <c r="AC1628">
        <v>99020</v>
      </c>
      <c r="AD1628" t="s">
        <v>1550</v>
      </c>
      <c r="AE1628">
        <v>-38.681540599999998</v>
      </c>
      <c r="AF1628">
        <v>176.07208116000001</v>
      </c>
      <c r="AG1628">
        <v>45</v>
      </c>
      <c r="AH1628">
        <v>15</v>
      </c>
      <c r="AI1628">
        <v>1</v>
      </c>
      <c r="AJ1628">
        <v>11</v>
      </c>
      <c r="AK1628">
        <v>14</v>
      </c>
      <c r="AL1628">
        <v>8</v>
      </c>
      <c r="AM1628">
        <v>10</v>
      </c>
      <c r="AN1628">
        <v>0</v>
      </c>
      <c r="AO1628">
        <v>44</v>
      </c>
      <c r="AP1628">
        <v>41</v>
      </c>
      <c r="AQ1628">
        <v>13</v>
      </c>
      <c r="AR1628">
        <v>0</v>
      </c>
      <c r="AS1628">
        <v>2</v>
      </c>
      <c r="AT1628">
        <v>0</v>
      </c>
    </row>
    <row r="1629" spans="1:46">
      <c r="A1629">
        <v>40041</v>
      </c>
      <c r="B1629" t="s">
        <v>9839</v>
      </c>
      <c r="C1629" t="s">
        <v>9840</v>
      </c>
      <c r="D1629" t="s">
        <v>9841</v>
      </c>
      <c r="E1629" t="s">
        <v>9842</v>
      </c>
      <c r="F1629" t="s">
        <v>1707</v>
      </c>
      <c r="G1629" t="s">
        <v>1598</v>
      </c>
      <c r="H1629" t="s">
        <v>517</v>
      </c>
      <c r="J1629" t="s">
        <v>518</v>
      </c>
      <c r="K1629" t="s">
        <v>519</v>
      </c>
      <c r="M1629" t="s">
        <v>1297</v>
      </c>
      <c r="N1629" t="s">
        <v>571</v>
      </c>
      <c r="O1629" t="s">
        <v>1698</v>
      </c>
      <c r="P1629" t="s">
        <v>654</v>
      </c>
      <c r="Q1629" t="s">
        <v>1471</v>
      </c>
      <c r="R1629" t="s">
        <v>1472</v>
      </c>
      <c r="S1629" t="s">
        <v>1598</v>
      </c>
      <c r="T1629" t="s">
        <v>1474</v>
      </c>
      <c r="U1629">
        <v>193600</v>
      </c>
      <c r="V1629" t="s">
        <v>1708</v>
      </c>
      <c r="W1629" t="s">
        <v>1737</v>
      </c>
      <c r="X1629" t="s">
        <v>1596</v>
      </c>
      <c r="Y1629" t="s">
        <v>1597</v>
      </c>
      <c r="Z1629" t="s">
        <v>1598</v>
      </c>
      <c r="AA1629" t="s">
        <v>1599</v>
      </c>
      <c r="AB1629" t="s">
        <v>1600</v>
      </c>
      <c r="AC1629">
        <v>99036</v>
      </c>
      <c r="AD1629" t="s">
        <v>1710</v>
      </c>
      <c r="AE1629">
        <v>-37.683805100000001</v>
      </c>
      <c r="AF1629">
        <v>176.13651429999999</v>
      </c>
      <c r="AG1629">
        <v>60</v>
      </c>
      <c r="AH1629">
        <v>18</v>
      </c>
      <c r="AI1629">
        <v>4</v>
      </c>
      <c r="AJ1629">
        <v>11</v>
      </c>
      <c r="AK1629">
        <v>18</v>
      </c>
      <c r="AL1629">
        <v>24</v>
      </c>
      <c r="AM1629">
        <v>19</v>
      </c>
      <c r="AN1629">
        <v>2</v>
      </c>
      <c r="AO1629">
        <v>78</v>
      </c>
      <c r="AP1629">
        <v>74</v>
      </c>
      <c r="AQ1629">
        <v>13</v>
      </c>
      <c r="AR1629">
        <v>2</v>
      </c>
      <c r="AS1629">
        <v>7</v>
      </c>
      <c r="AT1629">
        <v>3</v>
      </c>
    </row>
    <row r="1630" spans="1:46">
      <c r="A1630">
        <v>40042</v>
      </c>
      <c r="B1630" t="s">
        <v>9843</v>
      </c>
      <c r="C1630" t="s">
        <v>9844</v>
      </c>
      <c r="E1630" t="s">
        <v>9845</v>
      </c>
      <c r="F1630" t="s">
        <v>9846</v>
      </c>
      <c r="G1630" t="s">
        <v>1598</v>
      </c>
      <c r="H1630" t="s">
        <v>3942</v>
      </c>
      <c r="J1630" t="s">
        <v>518</v>
      </c>
      <c r="K1630" t="s">
        <v>519</v>
      </c>
      <c r="M1630" t="s">
        <v>1297</v>
      </c>
      <c r="N1630" t="s">
        <v>571</v>
      </c>
      <c r="O1630" t="s">
        <v>1698</v>
      </c>
      <c r="P1630" t="s">
        <v>654</v>
      </c>
      <c r="Q1630" t="s">
        <v>1471</v>
      </c>
      <c r="R1630" t="s">
        <v>1472</v>
      </c>
      <c r="S1630" t="s">
        <v>1699</v>
      </c>
      <c r="T1630" t="s">
        <v>1474</v>
      </c>
      <c r="U1630">
        <v>195700</v>
      </c>
      <c r="V1630" t="s">
        <v>9846</v>
      </c>
      <c r="W1630" t="s">
        <v>1717</v>
      </c>
      <c r="X1630" t="s">
        <v>9847</v>
      </c>
      <c r="Y1630" t="s">
        <v>7353</v>
      </c>
      <c r="AA1630" t="s">
        <v>7354</v>
      </c>
      <c r="AC1630">
        <v>99085</v>
      </c>
      <c r="AD1630" t="s">
        <v>1718</v>
      </c>
      <c r="AE1630">
        <v>-37.731873239999999</v>
      </c>
      <c r="AF1630">
        <v>176.14698129999999</v>
      </c>
      <c r="AG1630">
        <v>100</v>
      </c>
      <c r="AH1630">
        <v>35</v>
      </c>
      <c r="AI1630">
        <v>1</v>
      </c>
      <c r="AJ1630">
        <v>16</v>
      </c>
      <c r="AK1630">
        <v>12</v>
      </c>
      <c r="AL1630">
        <v>13</v>
      </c>
      <c r="AM1630">
        <v>18</v>
      </c>
      <c r="AN1630">
        <v>2</v>
      </c>
      <c r="AO1630">
        <v>62</v>
      </c>
      <c r="AP1630">
        <v>48</v>
      </c>
      <c r="AQ1630">
        <v>25</v>
      </c>
      <c r="AR1630">
        <v>7</v>
      </c>
      <c r="AS1630">
        <v>8</v>
      </c>
      <c r="AT1630">
        <v>3</v>
      </c>
    </row>
    <row r="1631" spans="1:46">
      <c r="A1631">
        <v>40044</v>
      </c>
      <c r="B1631" t="s">
        <v>9848</v>
      </c>
      <c r="C1631" t="s">
        <v>9849</v>
      </c>
      <c r="E1631" t="s">
        <v>9850</v>
      </c>
      <c r="F1631" t="s">
        <v>3722</v>
      </c>
      <c r="G1631" t="s">
        <v>1598</v>
      </c>
      <c r="H1631" t="s">
        <v>3942</v>
      </c>
      <c r="J1631" t="s">
        <v>3962</v>
      </c>
      <c r="K1631" t="s">
        <v>519</v>
      </c>
      <c r="M1631" t="s">
        <v>1297</v>
      </c>
      <c r="N1631" t="s">
        <v>571</v>
      </c>
      <c r="O1631" t="s">
        <v>1698</v>
      </c>
      <c r="P1631" t="s">
        <v>654</v>
      </c>
      <c r="Q1631" t="s">
        <v>1471</v>
      </c>
      <c r="R1631" t="s">
        <v>1472</v>
      </c>
      <c r="S1631" t="s">
        <v>1598</v>
      </c>
      <c r="T1631" t="s">
        <v>1474</v>
      </c>
      <c r="U1631">
        <v>194801</v>
      </c>
      <c r="V1631" t="s">
        <v>3722</v>
      </c>
      <c r="W1631" t="s">
        <v>3724</v>
      </c>
      <c r="X1631" t="s">
        <v>9851</v>
      </c>
      <c r="Y1631" t="s">
        <v>9852</v>
      </c>
      <c r="Z1631" t="s">
        <v>3722</v>
      </c>
      <c r="AA1631" t="s">
        <v>8884</v>
      </c>
      <c r="AC1631">
        <v>99085</v>
      </c>
      <c r="AD1631" t="s">
        <v>1718</v>
      </c>
      <c r="AE1631">
        <v>-37.702292890000003</v>
      </c>
      <c r="AF1631">
        <v>176.16319406</v>
      </c>
      <c r="AG1631">
        <v>45</v>
      </c>
      <c r="AH1631">
        <v>11</v>
      </c>
      <c r="AI1631">
        <v>1</v>
      </c>
      <c r="AJ1631">
        <v>10</v>
      </c>
      <c r="AK1631">
        <v>11</v>
      </c>
      <c r="AL1631">
        <v>14</v>
      </c>
      <c r="AM1631">
        <v>10</v>
      </c>
      <c r="AN1631">
        <v>1</v>
      </c>
      <c r="AO1631">
        <v>47</v>
      </c>
      <c r="AP1631">
        <v>7</v>
      </c>
      <c r="AQ1631">
        <v>13</v>
      </c>
      <c r="AR1631">
        <v>1</v>
      </c>
      <c r="AS1631">
        <v>25</v>
      </c>
      <c r="AT1631">
        <v>6</v>
      </c>
    </row>
    <row r="1632" spans="1:46">
      <c r="A1632">
        <v>40046</v>
      </c>
      <c r="B1632" t="s">
        <v>9853</v>
      </c>
      <c r="C1632" t="s">
        <v>9854</v>
      </c>
      <c r="D1632" t="s">
        <v>9855</v>
      </c>
      <c r="E1632" t="s">
        <v>9856</v>
      </c>
      <c r="F1632" t="s">
        <v>1707</v>
      </c>
      <c r="G1632" t="s">
        <v>1598</v>
      </c>
      <c r="H1632" t="s">
        <v>3942</v>
      </c>
      <c r="I1632" t="s">
        <v>9857</v>
      </c>
      <c r="J1632" t="s">
        <v>518</v>
      </c>
      <c r="K1632" t="s">
        <v>519</v>
      </c>
      <c r="M1632" t="s">
        <v>1297</v>
      </c>
      <c r="N1632" t="s">
        <v>571</v>
      </c>
      <c r="O1632" t="s">
        <v>1698</v>
      </c>
      <c r="P1632" t="s">
        <v>654</v>
      </c>
      <c r="Q1632" t="s">
        <v>1471</v>
      </c>
      <c r="R1632" t="s">
        <v>1472</v>
      </c>
      <c r="S1632" t="s">
        <v>1598</v>
      </c>
      <c r="T1632" t="s">
        <v>1474</v>
      </c>
      <c r="U1632">
        <v>193301</v>
      </c>
      <c r="V1632" t="s">
        <v>9858</v>
      </c>
      <c r="W1632" t="s">
        <v>1737</v>
      </c>
      <c r="X1632" t="s">
        <v>9859</v>
      </c>
      <c r="Y1632" t="s">
        <v>9860</v>
      </c>
      <c r="Z1632" t="s">
        <v>1598</v>
      </c>
      <c r="AA1632" t="s">
        <v>9861</v>
      </c>
      <c r="AB1632" t="s">
        <v>9854</v>
      </c>
      <c r="AC1632">
        <v>99036</v>
      </c>
      <c r="AD1632" t="s">
        <v>1710</v>
      </c>
      <c r="AE1632">
        <v>-37.681475919999997</v>
      </c>
      <c r="AF1632">
        <v>176.13613974</v>
      </c>
      <c r="AG1632">
        <v>50</v>
      </c>
      <c r="AH1632">
        <v>0</v>
      </c>
      <c r="AI1632">
        <v>0</v>
      </c>
      <c r="AJ1632">
        <v>0</v>
      </c>
      <c r="AK1632">
        <v>7</v>
      </c>
      <c r="AL1632">
        <v>23</v>
      </c>
      <c r="AM1632">
        <v>24</v>
      </c>
      <c r="AN1632">
        <v>2</v>
      </c>
      <c r="AO1632">
        <v>56</v>
      </c>
      <c r="AP1632">
        <v>45</v>
      </c>
      <c r="AQ1632">
        <v>8</v>
      </c>
      <c r="AR1632">
        <v>1</v>
      </c>
      <c r="AS1632">
        <v>9</v>
      </c>
      <c r="AT1632">
        <v>7</v>
      </c>
    </row>
    <row r="1633" spans="1:46">
      <c r="A1633">
        <v>40047</v>
      </c>
      <c r="B1633" t="s">
        <v>9862</v>
      </c>
      <c r="C1633" t="s">
        <v>9863</v>
      </c>
      <c r="D1633" t="s">
        <v>9864</v>
      </c>
      <c r="E1633" t="s">
        <v>9865</v>
      </c>
      <c r="F1633" t="s">
        <v>9764</v>
      </c>
      <c r="G1633" t="s">
        <v>1598</v>
      </c>
      <c r="H1633" t="s">
        <v>3942</v>
      </c>
      <c r="I1633" t="s">
        <v>4065</v>
      </c>
      <c r="J1633" t="s">
        <v>518</v>
      </c>
      <c r="K1633" t="s">
        <v>519</v>
      </c>
      <c r="M1633" t="s">
        <v>1297</v>
      </c>
      <c r="N1633" t="s">
        <v>571</v>
      </c>
      <c r="O1633" t="s">
        <v>1698</v>
      </c>
      <c r="P1633" t="s">
        <v>654</v>
      </c>
      <c r="Q1633" t="s">
        <v>1471</v>
      </c>
      <c r="R1633" t="s">
        <v>1472</v>
      </c>
      <c r="S1633" t="s">
        <v>1598</v>
      </c>
      <c r="T1633" t="s">
        <v>1474</v>
      </c>
      <c r="U1633">
        <v>193100</v>
      </c>
      <c r="V1633" t="s">
        <v>9764</v>
      </c>
      <c r="W1633" t="s">
        <v>1737</v>
      </c>
      <c r="X1633" t="s">
        <v>8377</v>
      </c>
      <c r="Y1633" t="s">
        <v>3944</v>
      </c>
      <c r="Z1633" t="s">
        <v>3945</v>
      </c>
      <c r="AA1633" t="s">
        <v>3946</v>
      </c>
      <c r="AB1633" t="s">
        <v>8378</v>
      </c>
      <c r="AC1633">
        <v>99036</v>
      </c>
      <c r="AD1633" t="s">
        <v>1710</v>
      </c>
      <c r="AE1633">
        <v>-37.677841579999999</v>
      </c>
      <c r="AF1633">
        <v>176.12794317999999</v>
      </c>
      <c r="AG1633">
        <v>30</v>
      </c>
      <c r="AH1633">
        <v>0</v>
      </c>
      <c r="AI1633">
        <v>0</v>
      </c>
      <c r="AJ1633">
        <v>0</v>
      </c>
      <c r="AK1633">
        <v>8</v>
      </c>
      <c r="AL1633">
        <v>15</v>
      </c>
      <c r="AM1633">
        <v>6</v>
      </c>
      <c r="AN1633">
        <v>6</v>
      </c>
      <c r="AO1633">
        <v>35</v>
      </c>
      <c r="AP1633">
        <v>17</v>
      </c>
      <c r="AQ1633">
        <v>3</v>
      </c>
      <c r="AR1633">
        <v>0</v>
      </c>
      <c r="AS1633">
        <v>12</v>
      </c>
      <c r="AT1633">
        <v>11</v>
      </c>
    </row>
    <row r="1634" spans="1:46">
      <c r="A1634">
        <v>40048</v>
      </c>
      <c r="B1634" t="s">
        <v>9866</v>
      </c>
      <c r="C1634" t="s">
        <v>9867</v>
      </c>
      <c r="D1634" t="s">
        <v>9868</v>
      </c>
      <c r="E1634" t="s">
        <v>9869</v>
      </c>
      <c r="F1634" t="s">
        <v>8375</v>
      </c>
      <c r="G1634" t="s">
        <v>1598</v>
      </c>
      <c r="H1634" t="s">
        <v>3942</v>
      </c>
      <c r="I1634" t="s">
        <v>6806</v>
      </c>
      <c r="J1634" t="s">
        <v>518</v>
      </c>
      <c r="K1634" t="s">
        <v>519</v>
      </c>
      <c r="M1634" t="s">
        <v>1297</v>
      </c>
      <c r="N1634" t="s">
        <v>571</v>
      </c>
      <c r="O1634" t="s">
        <v>1698</v>
      </c>
      <c r="P1634" t="s">
        <v>654</v>
      </c>
      <c r="Q1634" t="s">
        <v>1471</v>
      </c>
      <c r="R1634" t="s">
        <v>1472</v>
      </c>
      <c r="S1634" t="s">
        <v>1699</v>
      </c>
      <c r="T1634" t="s">
        <v>1474</v>
      </c>
      <c r="U1634">
        <v>195500</v>
      </c>
      <c r="V1634" t="s">
        <v>9870</v>
      </c>
      <c r="W1634" t="s">
        <v>1724</v>
      </c>
      <c r="X1634" t="s">
        <v>9871</v>
      </c>
      <c r="Y1634" t="s">
        <v>8367</v>
      </c>
      <c r="AA1634" t="s">
        <v>8368</v>
      </c>
      <c r="AB1634" t="s">
        <v>9872</v>
      </c>
      <c r="AC1634">
        <v>99064</v>
      </c>
      <c r="AD1634" t="s">
        <v>1702</v>
      </c>
      <c r="AE1634">
        <v>-37.6744062</v>
      </c>
      <c r="AF1634">
        <v>176.22684158000001</v>
      </c>
      <c r="AG1634">
        <v>50</v>
      </c>
      <c r="AH1634">
        <v>21</v>
      </c>
      <c r="AI1634">
        <v>2</v>
      </c>
      <c r="AJ1634">
        <v>8</v>
      </c>
      <c r="AK1634">
        <v>18</v>
      </c>
      <c r="AL1634">
        <v>14</v>
      </c>
      <c r="AM1634">
        <v>11</v>
      </c>
      <c r="AN1634">
        <v>0</v>
      </c>
      <c r="AO1634">
        <v>53</v>
      </c>
      <c r="AP1634">
        <v>46</v>
      </c>
      <c r="AQ1634">
        <v>13</v>
      </c>
      <c r="AR1634">
        <v>3</v>
      </c>
      <c r="AS1634">
        <v>5</v>
      </c>
      <c r="AT1634">
        <v>6</v>
      </c>
    </row>
    <row r="1635" spans="1:46">
      <c r="A1635">
        <v>40049</v>
      </c>
      <c r="B1635" t="s">
        <v>9873</v>
      </c>
      <c r="C1635" t="s">
        <v>9874</v>
      </c>
      <c r="D1635" t="s">
        <v>9875</v>
      </c>
      <c r="E1635" t="s">
        <v>9876</v>
      </c>
      <c r="F1635" t="s">
        <v>9877</v>
      </c>
      <c r="G1635" t="s">
        <v>1521</v>
      </c>
      <c r="H1635" t="s">
        <v>3942</v>
      </c>
      <c r="J1635" t="s">
        <v>518</v>
      </c>
      <c r="K1635" t="s">
        <v>519</v>
      </c>
      <c r="M1635" t="s">
        <v>1297</v>
      </c>
      <c r="N1635" t="s">
        <v>571</v>
      </c>
      <c r="O1635" t="s">
        <v>1522</v>
      </c>
      <c r="P1635" t="s">
        <v>584</v>
      </c>
      <c r="Q1635" t="s">
        <v>1471</v>
      </c>
      <c r="R1635" t="s">
        <v>1472</v>
      </c>
      <c r="S1635" t="s">
        <v>1521</v>
      </c>
      <c r="T1635" t="s">
        <v>1474</v>
      </c>
      <c r="U1635">
        <v>199900</v>
      </c>
      <c r="V1635" t="s">
        <v>9877</v>
      </c>
      <c r="W1635" t="s">
        <v>1523</v>
      </c>
      <c r="X1635" t="s">
        <v>9878</v>
      </c>
      <c r="Y1635" t="s">
        <v>9876</v>
      </c>
      <c r="Z1635" t="s">
        <v>8564</v>
      </c>
      <c r="AA1635" t="s">
        <v>9405</v>
      </c>
      <c r="AC1635">
        <v>99019</v>
      </c>
      <c r="AD1635" t="s">
        <v>1565</v>
      </c>
      <c r="AE1635">
        <v>-38.142079979999998</v>
      </c>
      <c r="AF1635">
        <v>176.2365571</v>
      </c>
      <c r="AG1635">
        <v>38</v>
      </c>
      <c r="AH1635">
        <v>8</v>
      </c>
      <c r="AI1635">
        <v>0</v>
      </c>
      <c r="AJ1635">
        <v>7</v>
      </c>
      <c r="AK1635">
        <v>9</v>
      </c>
      <c r="AL1635">
        <v>8</v>
      </c>
      <c r="AM1635">
        <v>14</v>
      </c>
      <c r="AN1635">
        <v>0</v>
      </c>
      <c r="AO1635">
        <v>38</v>
      </c>
      <c r="AP1635">
        <v>28</v>
      </c>
      <c r="AQ1635">
        <v>15</v>
      </c>
      <c r="AR1635">
        <v>8</v>
      </c>
      <c r="AS1635">
        <v>1</v>
      </c>
      <c r="AT1635">
        <v>1</v>
      </c>
    </row>
    <row r="1636" spans="1:46">
      <c r="A1636">
        <v>40051</v>
      </c>
      <c r="B1636" t="s">
        <v>9879</v>
      </c>
      <c r="C1636" t="s">
        <v>9880</v>
      </c>
      <c r="D1636" t="s">
        <v>9881</v>
      </c>
      <c r="E1636" t="s">
        <v>9882</v>
      </c>
      <c r="G1636" t="s">
        <v>3787</v>
      </c>
      <c r="H1636" t="s">
        <v>3942</v>
      </c>
      <c r="I1636" t="s">
        <v>3953</v>
      </c>
      <c r="J1636" t="s">
        <v>518</v>
      </c>
      <c r="K1636" t="s">
        <v>519</v>
      </c>
      <c r="M1636" t="s">
        <v>1297</v>
      </c>
      <c r="N1636" t="s">
        <v>571</v>
      </c>
      <c r="O1636" t="s">
        <v>1743</v>
      </c>
      <c r="P1636" t="s">
        <v>523</v>
      </c>
      <c r="Q1636" t="s">
        <v>1471</v>
      </c>
      <c r="R1636" t="s">
        <v>1472</v>
      </c>
      <c r="S1636" t="s">
        <v>1438</v>
      </c>
      <c r="T1636" t="s">
        <v>1474</v>
      </c>
      <c r="U1636">
        <v>190601</v>
      </c>
      <c r="V1636" t="s">
        <v>9768</v>
      </c>
      <c r="W1636" t="s">
        <v>3789</v>
      </c>
      <c r="X1636" t="s">
        <v>8377</v>
      </c>
      <c r="Y1636" t="s">
        <v>3944</v>
      </c>
      <c r="Z1636" t="s">
        <v>3945</v>
      </c>
      <c r="AA1636" t="s">
        <v>3946</v>
      </c>
      <c r="AB1636" t="s">
        <v>8378</v>
      </c>
      <c r="AE1636">
        <v>-37.551626280000001</v>
      </c>
      <c r="AF1636">
        <v>175.92299138000001</v>
      </c>
      <c r="AG1636">
        <v>40</v>
      </c>
      <c r="AH1636">
        <v>10</v>
      </c>
      <c r="AI1636">
        <v>1</v>
      </c>
      <c r="AJ1636">
        <v>7</v>
      </c>
      <c r="AK1636">
        <v>15</v>
      </c>
      <c r="AL1636">
        <v>12</v>
      </c>
      <c r="AM1636">
        <v>16</v>
      </c>
      <c r="AN1636">
        <v>0</v>
      </c>
      <c r="AO1636">
        <v>51</v>
      </c>
      <c r="AP1636">
        <v>36</v>
      </c>
      <c r="AQ1636">
        <v>13</v>
      </c>
      <c r="AR1636">
        <v>5</v>
      </c>
      <c r="AS1636">
        <v>9</v>
      </c>
      <c r="AT1636">
        <v>5</v>
      </c>
    </row>
    <row r="1637" spans="1:46">
      <c r="A1637">
        <v>40052</v>
      </c>
      <c r="B1637" t="s">
        <v>9883</v>
      </c>
      <c r="C1637" t="s">
        <v>9884</v>
      </c>
      <c r="D1637" t="s">
        <v>9885</v>
      </c>
      <c r="E1637" t="s">
        <v>9886</v>
      </c>
      <c r="F1637" t="s">
        <v>1605</v>
      </c>
      <c r="G1637" t="s">
        <v>1521</v>
      </c>
      <c r="H1637" t="s">
        <v>3942</v>
      </c>
      <c r="J1637" t="s">
        <v>3962</v>
      </c>
      <c r="K1637" t="s">
        <v>519</v>
      </c>
      <c r="M1637" t="s">
        <v>1297</v>
      </c>
      <c r="N1637" t="s">
        <v>521</v>
      </c>
      <c r="O1637" t="s">
        <v>1522</v>
      </c>
      <c r="P1637" t="s">
        <v>523</v>
      </c>
      <c r="Q1637" t="s">
        <v>1471</v>
      </c>
      <c r="R1637" t="s">
        <v>1472</v>
      </c>
      <c r="S1637" t="s">
        <v>1521</v>
      </c>
      <c r="T1637" t="s">
        <v>1474</v>
      </c>
      <c r="U1637">
        <v>198100</v>
      </c>
      <c r="V1637" t="s">
        <v>9887</v>
      </c>
      <c r="W1637" t="s">
        <v>1523</v>
      </c>
      <c r="X1637" t="s">
        <v>9888</v>
      </c>
      <c r="Y1637" t="s">
        <v>3981</v>
      </c>
      <c r="AA1637" t="s">
        <v>3982</v>
      </c>
      <c r="AB1637" t="s">
        <v>9884</v>
      </c>
      <c r="AC1637">
        <v>99107</v>
      </c>
      <c r="AD1637" t="s">
        <v>1526</v>
      </c>
      <c r="AE1637">
        <v>-38.079638770000003</v>
      </c>
      <c r="AF1637">
        <v>176.21665239999999</v>
      </c>
      <c r="AG1637">
        <v>60</v>
      </c>
      <c r="AH1637">
        <v>15</v>
      </c>
      <c r="AI1637">
        <v>0</v>
      </c>
      <c r="AJ1637">
        <v>5</v>
      </c>
      <c r="AK1637">
        <v>14</v>
      </c>
      <c r="AL1637">
        <v>18</v>
      </c>
      <c r="AM1637">
        <v>16</v>
      </c>
      <c r="AN1637">
        <v>1</v>
      </c>
      <c r="AO1637">
        <v>54</v>
      </c>
      <c r="AP1637">
        <v>42</v>
      </c>
      <c r="AQ1637">
        <v>32</v>
      </c>
      <c r="AR1637">
        <v>3</v>
      </c>
      <c r="AS1637">
        <v>5</v>
      </c>
      <c r="AT1637">
        <v>2</v>
      </c>
    </row>
    <row r="1638" spans="1:46">
      <c r="A1638">
        <v>40053</v>
      </c>
      <c r="B1638" t="s">
        <v>9889</v>
      </c>
      <c r="C1638" t="s">
        <v>9890</v>
      </c>
      <c r="D1638" t="s">
        <v>9891</v>
      </c>
      <c r="E1638" t="s">
        <v>9892</v>
      </c>
      <c r="F1638" t="s">
        <v>8491</v>
      </c>
      <c r="G1638" t="s">
        <v>1521</v>
      </c>
      <c r="H1638" t="s">
        <v>3942</v>
      </c>
      <c r="I1638" t="s">
        <v>4231</v>
      </c>
      <c r="J1638" t="s">
        <v>518</v>
      </c>
      <c r="K1638" t="s">
        <v>519</v>
      </c>
      <c r="M1638" t="s">
        <v>1297</v>
      </c>
      <c r="N1638" t="s">
        <v>571</v>
      </c>
      <c r="O1638" t="s">
        <v>1522</v>
      </c>
      <c r="P1638" t="s">
        <v>584</v>
      </c>
      <c r="Q1638" t="s">
        <v>1471</v>
      </c>
      <c r="R1638" t="s">
        <v>1472</v>
      </c>
      <c r="S1638" t="s">
        <v>1521</v>
      </c>
      <c r="T1638" t="s">
        <v>1474</v>
      </c>
      <c r="U1638">
        <v>200300</v>
      </c>
      <c r="V1638" t="s">
        <v>9806</v>
      </c>
      <c r="W1638" t="s">
        <v>1523</v>
      </c>
      <c r="X1638" t="s">
        <v>9893</v>
      </c>
      <c r="Y1638" t="s">
        <v>9894</v>
      </c>
      <c r="Z1638" t="s">
        <v>9895</v>
      </c>
      <c r="AA1638" t="s">
        <v>9896</v>
      </c>
      <c r="AC1638">
        <v>99019</v>
      </c>
      <c r="AD1638" t="s">
        <v>1565</v>
      </c>
      <c r="AE1638">
        <v>-38.142984980000001</v>
      </c>
      <c r="AF1638">
        <v>176.23967959999999</v>
      </c>
      <c r="AG1638">
        <v>20</v>
      </c>
      <c r="AH1638">
        <v>0</v>
      </c>
      <c r="AI1638">
        <v>0</v>
      </c>
      <c r="AJ1638">
        <v>0</v>
      </c>
      <c r="AK1638">
        <v>2</v>
      </c>
      <c r="AL1638">
        <v>9</v>
      </c>
      <c r="AM1638">
        <v>13</v>
      </c>
      <c r="AN1638">
        <v>3</v>
      </c>
      <c r="AO1638">
        <v>27</v>
      </c>
      <c r="AP1638">
        <v>24</v>
      </c>
      <c r="AQ1638">
        <v>4</v>
      </c>
      <c r="AR1638">
        <v>2</v>
      </c>
      <c r="AS1638">
        <v>2</v>
      </c>
      <c r="AT1638">
        <v>1</v>
      </c>
    </row>
    <row r="1639" spans="1:46">
      <c r="A1639">
        <v>40054</v>
      </c>
      <c r="B1639" t="s">
        <v>9897</v>
      </c>
      <c r="C1639" t="s">
        <v>9898</v>
      </c>
      <c r="D1639" t="s">
        <v>9899</v>
      </c>
      <c r="E1639" t="s">
        <v>9900</v>
      </c>
      <c r="F1639" t="s">
        <v>8491</v>
      </c>
      <c r="G1639" t="s">
        <v>1521</v>
      </c>
      <c r="H1639" t="s">
        <v>3942</v>
      </c>
      <c r="J1639" t="s">
        <v>3962</v>
      </c>
      <c r="K1639" t="s">
        <v>519</v>
      </c>
      <c r="M1639" t="s">
        <v>1297</v>
      </c>
      <c r="N1639" t="s">
        <v>539</v>
      </c>
      <c r="O1639" t="s">
        <v>1522</v>
      </c>
      <c r="P1639" t="s">
        <v>584</v>
      </c>
      <c r="Q1639" t="s">
        <v>1471</v>
      </c>
      <c r="R1639" t="s">
        <v>1472</v>
      </c>
      <c r="S1639" t="s">
        <v>1521</v>
      </c>
      <c r="T1639" t="s">
        <v>1474</v>
      </c>
      <c r="U1639">
        <v>199800</v>
      </c>
      <c r="V1639" t="s">
        <v>8561</v>
      </c>
      <c r="W1639" t="s">
        <v>1523</v>
      </c>
      <c r="X1639" t="s">
        <v>9901</v>
      </c>
      <c r="Y1639" t="s">
        <v>3981</v>
      </c>
      <c r="AA1639" t="s">
        <v>3982</v>
      </c>
      <c r="AB1639" t="s">
        <v>9902</v>
      </c>
      <c r="AC1639">
        <v>99019</v>
      </c>
      <c r="AD1639" t="s">
        <v>1565</v>
      </c>
      <c r="AE1639">
        <v>-38.138597689999997</v>
      </c>
      <c r="AF1639">
        <v>176.24387462000001</v>
      </c>
      <c r="AG1639">
        <v>80</v>
      </c>
      <c r="AH1639">
        <v>20</v>
      </c>
      <c r="AI1639">
        <v>3</v>
      </c>
      <c r="AJ1639">
        <v>16</v>
      </c>
      <c r="AK1639">
        <v>23</v>
      </c>
      <c r="AL1639">
        <v>14</v>
      </c>
      <c r="AM1639">
        <v>12</v>
      </c>
      <c r="AN1639">
        <v>0</v>
      </c>
      <c r="AO1639">
        <v>68</v>
      </c>
      <c r="AP1639">
        <v>26</v>
      </c>
      <c r="AQ1639">
        <v>40</v>
      </c>
      <c r="AR1639">
        <v>12</v>
      </c>
      <c r="AS1639">
        <v>14</v>
      </c>
      <c r="AT1639">
        <v>2</v>
      </c>
    </row>
    <row r="1640" spans="1:46">
      <c r="A1640">
        <v>40055</v>
      </c>
      <c r="B1640" t="s">
        <v>9903</v>
      </c>
      <c r="C1640" t="s">
        <v>9904</v>
      </c>
      <c r="D1640" t="s">
        <v>9905</v>
      </c>
      <c r="E1640" t="s">
        <v>9906</v>
      </c>
      <c r="G1640" t="s">
        <v>9825</v>
      </c>
      <c r="H1640" t="s">
        <v>517</v>
      </c>
      <c r="J1640" t="s">
        <v>518</v>
      </c>
      <c r="K1640" t="s">
        <v>519</v>
      </c>
      <c r="M1640" t="s">
        <v>1297</v>
      </c>
      <c r="N1640" t="s">
        <v>571</v>
      </c>
      <c r="O1640" t="s">
        <v>1522</v>
      </c>
      <c r="P1640" t="s">
        <v>572</v>
      </c>
      <c r="Q1640" t="s">
        <v>1299</v>
      </c>
      <c r="R1640" t="s">
        <v>1472</v>
      </c>
      <c r="S1640" t="s">
        <v>1521</v>
      </c>
      <c r="T1640" t="s">
        <v>1474</v>
      </c>
      <c r="U1640">
        <v>201800</v>
      </c>
      <c r="V1640" t="s">
        <v>9826</v>
      </c>
      <c r="W1640" t="s">
        <v>9827</v>
      </c>
      <c r="X1640" t="s">
        <v>1524</v>
      </c>
      <c r="Y1640" t="s">
        <v>1441</v>
      </c>
      <c r="AA1640" t="s">
        <v>1442</v>
      </c>
      <c r="AB1640" t="s">
        <v>1525</v>
      </c>
      <c r="AC1640">
        <v>99133</v>
      </c>
      <c r="AD1640" t="s">
        <v>9907</v>
      </c>
      <c r="AE1640">
        <v>-38.435380690000002</v>
      </c>
      <c r="AF1640">
        <v>176.34334104999999</v>
      </c>
      <c r="AG1640">
        <v>40</v>
      </c>
      <c r="AH1640">
        <v>0</v>
      </c>
      <c r="AI1640">
        <v>0</v>
      </c>
      <c r="AJ1640">
        <v>0</v>
      </c>
      <c r="AK1640">
        <v>15</v>
      </c>
      <c r="AL1640">
        <v>10</v>
      </c>
      <c r="AM1640">
        <v>15</v>
      </c>
      <c r="AN1640">
        <v>2</v>
      </c>
      <c r="AO1640">
        <v>42</v>
      </c>
      <c r="AP1640">
        <v>32</v>
      </c>
      <c r="AQ1640">
        <v>7</v>
      </c>
      <c r="AR1640">
        <v>2</v>
      </c>
      <c r="AS1640">
        <v>5</v>
      </c>
      <c r="AT1640">
        <v>4</v>
      </c>
    </row>
    <row r="1641" spans="1:46">
      <c r="A1641">
        <v>40058</v>
      </c>
      <c r="B1641" t="s">
        <v>9908</v>
      </c>
      <c r="C1641" t="s">
        <v>9909</v>
      </c>
      <c r="E1641" t="s">
        <v>9910</v>
      </c>
      <c r="F1641" t="s">
        <v>9911</v>
      </c>
      <c r="G1641" t="s">
        <v>1521</v>
      </c>
      <c r="H1641" t="s">
        <v>3942</v>
      </c>
      <c r="J1641" t="s">
        <v>518</v>
      </c>
      <c r="K1641" t="s">
        <v>519</v>
      </c>
      <c r="M1641" t="s">
        <v>1297</v>
      </c>
      <c r="N1641" t="s">
        <v>571</v>
      </c>
      <c r="O1641" t="s">
        <v>1522</v>
      </c>
      <c r="P1641" t="s">
        <v>584</v>
      </c>
      <c r="Q1641" t="s">
        <v>1471</v>
      </c>
      <c r="R1641" t="s">
        <v>1472</v>
      </c>
      <c r="S1641" t="s">
        <v>1521</v>
      </c>
      <c r="T1641" t="s">
        <v>1474</v>
      </c>
      <c r="U1641">
        <v>201501</v>
      </c>
      <c r="V1641" t="s">
        <v>9911</v>
      </c>
      <c r="W1641" t="s">
        <v>1523</v>
      </c>
      <c r="X1641" t="s">
        <v>8377</v>
      </c>
      <c r="Y1641" t="s">
        <v>3944</v>
      </c>
      <c r="Z1641" t="s">
        <v>3945</v>
      </c>
      <c r="AA1641" t="s">
        <v>3946</v>
      </c>
      <c r="AB1641" t="s">
        <v>8378</v>
      </c>
      <c r="AC1641">
        <v>99017</v>
      </c>
      <c r="AD1641" t="s">
        <v>1630</v>
      </c>
      <c r="AE1641">
        <v>-38.144553530000003</v>
      </c>
      <c r="AF1641">
        <v>176.28544919999999</v>
      </c>
      <c r="AG1641">
        <v>42</v>
      </c>
      <c r="AH1641">
        <v>10</v>
      </c>
      <c r="AI1641">
        <v>3</v>
      </c>
      <c r="AJ1641">
        <v>8</v>
      </c>
      <c r="AK1641">
        <v>13</v>
      </c>
      <c r="AL1641">
        <v>12</v>
      </c>
      <c r="AM1641">
        <v>13</v>
      </c>
      <c r="AN1641">
        <v>1</v>
      </c>
      <c r="AO1641">
        <v>50</v>
      </c>
      <c r="AP1641">
        <v>30</v>
      </c>
      <c r="AQ1641">
        <v>16</v>
      </c>
      <c r="AR1641">
        <v>0</v>
      </c>
      <c r="AS1641">
        <v>16</v>
      </c>
      <c r="AT1641">
        <v>6</v>
      </c>
    </row>
    <row r="1642" spans="1:46">
      <c r="A1642">
        <v>40059</v>
      </c>
      <c r="B1642" t="s">
        <v>9912</v>
      </c>
      <c r="C1642" t="s">
        <v>9913</v>
      </c>
      <c r="D1642" t="s">
        <v>9914</v>
      </c>
      <c r="E1642" t="s">
        <v>9915</v>
      </c>
      <c r="F1642" t="s">
        <v>8491</v>
      </c>
      <c r="G1642" t="s">
        <v>1521</v>
      </c>
      <c r="H1642" t="s">
        <v>3942</v>
      </c>
      <c r="J1642" t="s">
        <v>3962</v>
      </c>
      <c r="K1642" t="s">
        <v>519</v>
      </c>
      <c r="M1642" t="s">
        <v>1297</v>
      </c>
      <c r="N1642" t="s">
        <v>521</v>
      </c>
      <c r="O1642" t="s">
        <v>1522</v>
      </c>
      <c r="P1642" t="s">
        <v>584</v>
      </c>
      <c r="Q1642" t="s">
        <v>1471</v>
      </c>
      <c r="R1642" t="s">
        <v>1472</v>
      </c>
      <c r="S1642" t="s">
        <v>1521</v>
      </c>
      <c r="T1642" t="s">
        <v>1474</v>
      </c>
      <c r="U1642">
        <v>199000</v>
      </c>
      <c r="V1642" t="s">
        <v>1692</v>
      </c>
      <c r="W1642" t="s">
        <v>1523</v>
      </c>
      <c r="X1642" t="s">
        <v>9916</v>
      </c>
      <c r="Y1642" t="s">
        <v>9917</v>
      </c>
      <c r="AA1642" t="s">
        <v>8520</v>
      </c>
      <c r="AE1642">
        <v>-38.124761100000001</v>
      </c>
      <c r="AF1642">
        <v>176.21733169999999</v>
      </c>
      <c r="AG1642">
        <v>30</v>
      </c>
      <c r="AH1642">
        <v>10</v>
      </c>
      <c r="AI1642">
        <v>2</v>
      </c>
      <c r="AJ1642">
        <v>5</v>
      </c>
      <c r="AK1642">
        <v>1</v>
      </c>
      <c r="AL1642">
        <v>4</v>
      </c>
      <c r="AM1642">
        <v>4</v>
      </c>
      <c r="AN1642">
        <v>0</v>
      </c>
      <c r="AO1642">
        <v>16</v>
      </c>
      <c r="AP1642">
        <v>10</v>
      </c>
      <c r="AQ1642">
        <v>12</v>
      </c>
      <c r="AR1642">
        <v>1</v>
      </c>
      <c r="AS1642">
        <v>1</v>
      </c>
      <c r="AT1642">
        <v>1</v>
      </c>
    </row>
    <row r="1643" spans="1:46">
      <c r="A1643">
        <v>40061</v>
      </c>
      <c r="B1643" t="s">
        <v>9918</v>
      </c>
      <c r="C1643" t="s">
        <v>9919</v>
      </c>
      <c r="E1643" t="s">
        <v>9920</v>
      </c>
      <c r="F1643" t="s">
        <v>8483</v>
      </c>
      <c r="G1643" t="s">
        <v>1598</v>
      </c>
      <c r="H1643" t="s">
        <v>3942</v>
      </c>
      <c r="J1643" t="s">
        <v>518</v>
      </c>
      <c r="K1643" t="s">
        <v>519</v>
      </c>
      <c r="M1643" t="s">
        <v>1297</v>
      </c>
      <c r="N1643" t="s">
        <v>557</v>
      </c>
      <c r="O1643" t="s">
        <v>1698</v>
      </c>
      <c r="P1643" t="s">
        <v>654</v>
      </c>
      <c r="Q1643" t="s">
        <v>1471</v>
      </c>
      <c r="R1643" t="s">
        <v>1472</v>
      </c>
      <c r="S1643" t="s">
        <v>1598</v>
      </c>
      <c r="T1643" t="s">
        <v>1474</v>
      </c>
      <c r="U1643">
        <v>194601</v>
      </c>
      <c r="V1643" t="s">
        <v>8483</v>
      </c>
      <c r="W1643" t="s">
        <v>3724</v>
      </c>
      <c r="X1643" t="s">
        <v>9921</v>
      </c>
      <c r="Y1643" t="s">
        <v>9920</v>
      </c>
      <c r="Z1643" t="s">
        <v>1598</v>
      </c>
      <c r="AA1643" t="s">
        <v>9922</v>
      </c>
      <c r="AC1643">
        <v>99085</v>
      </c>
      <c r="AD1643" t="s">
        <v>1718</v>
      </c>
      <c r="AE1643">
        <v>-37.707433909999999</v>
      </c>
      <c r="AF1643">
        <v>176.13822454999999</v>
      </c>
      <c r="AG1643">
        <v>40</v>
      </c>
      <c r="AH1643">
        <v>10</v>
      </c>
      <c r="AI1643">
        <v>1</v>
      </c>
      <c r="AJ1643">
        <v>8</v>
      </c>
      <c r="AK1643">
        <v>6</v>
      </c>
      <c r="AL1643">
        <v>10</v>
      </c>
      <c r="AM1643">
        <v>12</v>
      </c>
      <c r="AN1643">
        <v>0</v>
      </c>
      <c r="AO1643">
        <v>37</v>
      </c>
      <c r="AP1643">
        <v>15</v>
      </c>
      <c r="AQ1643">
        <v>24</v>
      </c>
      <c r="AR1643">
        <v>8</v>
      </c>
      <c r="AS1643">
        <v>6</v>
      </c>
      <c r="AT1643">
        <v>1</v>
      </c>
    </row>
    <row r="1644" spans="1:46">
      <c r="A1644">
        <v>40063</v>
      </c>
      <c r="B1644" t="s">
        <v>9923</v>
      </c>
      <c r="C1644" t="s">
        <v>9924</v>
      </c>
      <c r="E1644" t="s">
        <v>9925</v>
      </c>
      <c r="F1644" t="s">
        <v>8491</v>
      </c>
      <c r="G1644" t="s">
        <v>1521</v>
      </c>
      <c r="H1644" t="s">
        <v>3942</v>
      </c>
      <c r="J1644" t="s">
        <v>518</v>
      </c>
      <c r="K1644" t="s">
        <v>519</v>
      </c>
      <c r="M1644" t="s">
        <v>1297</v>
      </c>
      <c r="N1644" t="s">
        <v>539</v>
      </c>
      <c r="O1644" t="s">
        <v>1522</v>
      </c>
      <c r="P1644" t="s">
        <v>584</v>
      </c>
      <c r="Q1644" t="s">
        <v>1471</v>
      </c>
      <c r="R1644" t="s">
        <v>1472</v>
      </c>
      <c r="S1644" t="s">
        <v>1521</v>
      </c>
      <c r="T1644" t="s">
        <v>1474</v>
      </c>
      <c r="U1644">
        <v>200300</v>
      </c>
      <c r="V1644" t="s">
        <v>9806</v>
      </c>
      <c r="W1644" t="s">
        <v>1523</v>
      </c>
      <c r="X1644" t="s">
        <v>8377</v>
      </c>
      <c r="Y1644" t="s">
        <v>3944</v>
      </c>
      <c r="Z1644" t="s">
        <v>3945</v>
      </c>
      <c r="AA1644" t="s">
        <v>3946</v>
      </c>
      <c r="AB1644" t="s">
        <v>8378</v>
      </c>
      <c r="AC1644">
        <v>99019</v>
      </c>
      <c r="AD1644" t="s">
        <v>1565</v>
      </c>
      <c r="AE1644">
        <v>-38.14379083</v>
      </c>
      <c r="AF1644">
        <v>176.24944403999999</v>
      </c>
      <c r="AG1644">
        <v>75</v>
      </c>
      <c r="AH1644">
        <v>20</v>
      </c>
      <c r="AI1644">
        <v>5</v>
      </c>
      <c r="AJ1644">
        <v>14</v>
      </c>
      <c r="AK1644">
        <v>17</v>
      </c>
      <c r="AL1644">
        <v>18</v>
      </c>
      <c r="AM1644">
        <v>11</v>
      </c>
      <c r="AN1644">
        <v>1</v>
      </c>
      <c r="AO1644">
        <v>66</v>
      </c>
      <c r="AP1644">
        <v>18</v>
      </c>
      <c r="AQ1644">
        <v>35</v>
      </c>
      <c r="AR1644">
        <v>2</v>
      </c>
      <c r="AS1644">
        <v>17</v>
      </c>
      <c r="AT1644">
        <v>7</v>
      </c>
    </row>
    <row r="1645" spans="1:46">
      <c r="A1645">
        <v>40065</v>
      </c>
      <c r="B1645" t="s">
        <v>9926</v>
      </c>
      <c r="C1645" t="s">
        <v>9927</v>
      </c>
      <c r="D1645" t="s">
        <v>9928</v>
      </c>
      <c r="E1645" t="s">
        <v>9929</v>
      </c>
      <c r="F1645" t="s">
        <v>1366</v>
      </c>
      <c r="G1645" t="s">
        <v>1521</v>
      </c>
      <c r="H1645" t="s">
        <v>3942</v>
      </c>
      <c r="J1645" t="s">
        <v>518</v>
      </c>
      <c r="K1645" t="s">
        <v>519</v>
      </c>
      <c r="M1645" t="s">
        <v>1297</v>
      </c>
      <c r="N1645" t="s">
        <v>571</v>
      </c>
      <c r="O1645" t="s">
        <v>1522</v>
      </c>
      <c r="P1645" t="s">
        <v>584</v>
      </c>
      <c r="Q1645" t="s">
        <v>1471</v>
      </c>
      <c r="R1645" t="s">
        <v>1472</v>
      </c>
      <c r="S1645" t="s">
        <v>1521</v>
      </c>
      <c r="T1645" t="s">
        <v>1474</v>
      </c>
      <c r="U1645">
        <v>200200</v>
      </c>
      <c r="V1645" t="s">
        <v>8443</v>
      </c>
      <c r="W1645" t="s">
        <v>1523</v>
      </c>
      <c r="X1645" t="s">
        <v>9930</v>
      </c>
      <c r="Y1645" t="s">
        <v>9929</v>
      </c>
      <c r="Z1645" t="s">
        <v>9877</v>
      </c>
      <c r="AA1645" t="s">
        <v>9405</v>
      </c>
      <c r="AB1645" t="s">
        <v>9927</v>
      </c>
      <c r="AC1645">
        <v>99019</v>
      </c>
      <c r="AD1645" t="s">
        <v>1565</v>
      </c>
      <c r="AE1645">
        <v>-38.146476249999999</v>
      </c>
      <c r="AF1645">
        <v>176.23660497</v>
      </c>
      <c r="AG1645">
        <v>31</v>
      </c>
      <c r="AH1645">
        <v>10</v>
      </c>
      <c r="AI1645">
        <v>1</v>
      </c>
      <c r="AJ1645">
        <v>6</v>
      </c>
      <c r="AK1645">
        <v>11</v>
      </c>
      <c r="AL1645">
        <v>3</v>
      </c>
      <c r="AM1645">
        <v>9</v>
      </c>
      <c r="AN1645">
        <v>0</v>
      </c>
      <c r="AO1645">
        <v>30</v>
      </c>
      <c r="AP1645">
        <v>24</v>
      </c>
      <c r="AQ1645">
        <v>7</v>
      </c>
      <c r="AR1645">
        <v>2</v>
      </c>
      <c r="AS1645">
        <v>4</v>
      </c>
      <c r="AT1645">
        <v>2</v>
      </c>
    </row>
    <row r="1646" spans="1:46">
      <c r="A1646">
        <v>40067</v>
      </c>
      <c r="B1646" t="s">
        <v>9931</v>
      </c>
      <c r="C1646" t="s">
        <v>9932</v>
      </c>
      <c r="D1646" t="s">
        <v>9933</v>
      </c>
      <c r="E1646" t="s">
        <v>9934</v>
      </c>
      <c r="G1646" t="s">
        <v>1545</v>
      </c>
      <c r="H1646" t="s">
        <v>3942</v>
      </c>
      <c r="I1646" t="s">
        <v>4113</v>
      </c>
      <c r="J1646" t="s">
        <v>518</v>
      </c>
      <c r="K1646" t="s">
        <v>519</v>
      </c>
      <c r="M1646" t="s">
        <v>1297</v>
      </c>
      <c r="N1646" t="s">
        <v>571</v>
      </c>
      <c r="O1646" t="s">
        <v>1546</v>
      </c>
      <c r="P1646" t="s">
        <v>1262</v>
      </c>
      <c r="Q1646" t="s">
        <v>1299</v>
      </c>
      <c r="R1646" t="s">
        <v>1472</v>
      </c>
      <c r="S1646" t="s">
        <v>1320</v>
      </c>
      <c r="T1646" t="s">
        <v>1474</v>
      </c>
      <c r="U1646">
        <v>189101</v>
      </c>
      <c r="V1646" t="s">
        <v>9831</v>
      </c>
      <c r="W1646" t="s">
        <v>1548</v>
      </c>
      <c r="X1646" t="s">
        <v>9935</v>
      </c>
      <c r="Y1646" t="s">
        <v>9934</v>
      </c>
      <c r="Z1646" t="s">
        <v>9936</v>
      </c>
      <c r="AA1646" t="s">
        <v>9937</v>
      </c>
      <c r="AB1646" t="s">
        <v>9938</v>
      </c>
      <c r="AC1646">
        <v>99020</v>
      </c>
      <c r="AD1646" t="s">
        <v>1550</v>
      </c>
      <c r="AE1646">
        <v>-38.69579323</v>
      </c>
      <c r="AF1646">
        <v>176.09907476000001</v>
      </c>
      <c r="AG1646">
        <v>35</v>
      </c>
      <c r="AH1646">
        <v>0</v>
      </c>
      <c r="AI1646">
        <v>0</v>
      </c>
      <c r="AJ1646">
        <v>0</v>
      </c>
      <c r="AK1646">
        <v>1</v>
      </c>
      <c r="AL1646">
        <v>12</v>
      </c>
      <c r="AM1646">
        <v>23</v>
      </c>
      <c r="AN1646">
        <v>4</v>
      </c>
      <c r="AO1646">
        <v>40</v>
      </c>
      <c r="AP1646">
        <v>36</v>
      </c>
      <c r="AQ1646">
        <v>8</v>
      </c>
      <c r="AR1646">
        <v>1</v>
      </c>
      <c r="AS1646">
        <v>2</v>
      </c>
      <c r="AT1646">
        <v>1</v>
      </c>
    </row>
    <row r="1647" spans="1:46">
      <c r="A1647">
        <v>40068</v>
      </c>
      <c r="B1647" t="s">
        <v>9939</v>
      </c>
      <c r="C1647" t="s">
        <v>9940</v>
      </c>
      <c r="D1647" t="s">
        <v>9941</v>
      </c>
      <c r="E1647" t="s">
        <v>9942</v>
      </c>
      <c r="G1647" t="s">
        <v>1469</v>
      </c>
      <c r="H1647" t="s">
        <v>3942</v>
      </c>
      <c r="I1647" t="s">
        <v>6806</v>
      </c>
      <c r="J1647" t="s">
        <v>518</v>
      </c>
      <c r="K1647" t="s">
        <v>519</v>
      </c>
      <c r="M1647" t="s">
        <v>1297</v>
      </c>
      <c r="N1647" t="s">
        <v>571</v>
      </c>
      <c r="O1647" t="s">
        <v>1470</v>
      </c>
      <c r="P1647" t="s">
        <v>1262</v>
      </c>
      <c r="Q1647" t="s">
        <v>1471</v>
      </c>
      <c r="R1647" t="s">
        <v>1472</v>
      </c>
      <c r="S1647" t="s">
        <v>1473</v>
      </c>
      <c r="T1647" t="s">
        <v>1474</v>
      </c>
      <c r="U1647">
        <v>202700</v>
      </c>
      <c r="V1647" t="s">
        <v>1475</v>
      </c>
      <c r="W1647" t="s">
        <v>1476</v>
      </c>
      <c r="X1647" t="s">
        <v>9943</v>
      </c>
      <c r="Y1647" t="s">
        <v>8367</v>
      </c>
      <c r="AA1647" t="s">
        <v>8368</v>
      </c>
      <c r="AC1647">
        <v>99016</v>
      </c>
      <c r="AD1647" t="s">
        <v>1479</v>
      </c>
      <c r="AE1647">
        <v>-37.958258620000002</v>
      </c>
      <c r="AF1647">
        <v>176.98963925000001</v>
      </c>
      <c r="AG1647">
        <v>50</v>
      </c>
      <c r="AH1647">
        <v>20</v>
      </c>
      <c r="AI1647">
        <v>0</v>
      </c>
      <c r="AJ1647">
        <v>13</v>
      </c>
      <c r="AK1647">
        <v>16</v>
      </c>
      <c r="AL1647">
        <v>13</v>
      </c>
      <c r="AM1647">
        <v>13</v>
      </c>
      <c r="AN1647">
        <v>0</v>
      </c>
      <c r="AO1647">
        <v>55</v>
      </c>
      <c r="AP1647">
        <v>42</v>
      </c>
      <c r="AQ1647">
        <v>13</v>
      </c>
      <c r="AR1647">
        <v>2</v>
      </c>
      <c r="AS1647">
        <v>12</v>
      </c>
      <c r="AT1647">
        <v>3</v>
      </c>
    </row>
    <row r="1648" spans="1:46">
      <c r="A1648">
        <v>40069</v>
      </c>
      <c r="B1648" t="s">
        <v>9944</v>
      </c>
      <c r="C1648" t="s">
        <v>9945</v>
      </c>
      <c r="E1648" t="s">
        <v>9946</v>
      </c>
      <c r="G1648" t="s">
        <v>1611</v>
      </c>
      <c r="H1648" t="s">
        <v>3942</v>
      </c>
      <c r="J1648" t="s">
        <v>518</v>
      </c>
      <c r="K1648" t="s">
        <v>519</v>
      </c>
      <c r="M1648" t="s">
        <v>1297</v>
      </c>
      <c r="N1648" t="s">
        <v>557</v>
      </c>
      <c r="O1648" t="s">
        <v>1612</v>
      </c>
      <c r="P1648" t="s">
        <v>523</v>
      </c>
      <c r="Q1648" t="s">
        <v>1471</v>
      </c>
      <c r="R1648" t="s">
        <v>1472</v>
      </c>
      <c r="S1648" t="s">
        <v>1473</v>
      </c>
      <c r="T1648" t="s">
        <v>1474</v>
      </c>
      <c r="U1648">
        <v>204400</v>
      </c>
      <c r="V1648" t="s">
        <v>1613</v>
      </c>
      <c r="W1648" t="s">
        <v>1614</v>
      </c>
      <c r="X1648" t="s">
        <v>9947</v>
      </c>
      <c r="Y1648" t="s">
        <v>9946</v>
      </c>
      <c r="Z1648" t="s">
        <v>1611</v>
      </c>
      <c r="AA1648" t="s">
        <v>9948</v>
      </c>
      <c r="AB1648" t="s">
        <v>9949</v>
      </c>
      <c r="AC1648">
        <v>99037</v>
      </c>
      <c r="AD1648" t="s">
        <v>1615</v>
      </c>
      <c r="AE1648">
        <v>-38.0141366</v>
      </c>
      <c r="AF1648">
        <v>177.28896</v>
      </c>
      <c r="AG1648">
        <v>70</v>
      </c>
      <c r="AH1648">
        <v>15</v>
      </c>
      <c r="AI1648">
        <v>0</v>
      </c>
      <c r="AJ1648">
        <v>10</v>
      </c>
      <c r="AK1648">
        <v>16</v>
      </c>
      <c r="AL1648">
        <v>10</v>
      </c>
      <c r="AM1648">
        <v>21</v>
      </c>
      <c r="AN1648">
        <v>0</v>
      </c>
      <c r="AO1648">
        <v>57</v>
      </c>
      <c r="AP1648">
        <v>37</v>
      </c>
      <c r="AQ1648">
        <v>40</v>
      </c>
      <c r="AR1648">
        <v>0</v>
      </c>
      <c r="AS1648">
        <v>5</v>
      </c>
      <c r="AT1648">
        <v>0</v>
      </c>
    </row>
    <row r="1649" spans="1:46">
      <c r="A1649">
        <v>40070</v>
      </c>
      <c r="B1649" t="s">
        <v>9950</v>
      </c>
      <c r="C1649" t="s">
        <v>9951</v>
      </c>
      <c r="E1649" t="s">
        <v>9952</v>
      </c>
      <c r="F1649" t="s">
        <v>9953</v>
      </c>
      <c r="G1649" t="s">
        <v>1469</v>
      </c>
      <c r="H1649" t="s">
        <v>3942</v>
      </c>
      <c r="I1649" t="s">
        <v>4951</v>
      </c>
      <c r="J1649" t="s">
        <v>518</v>
      </c>
      <c r="K1649" t="s">
        <v>519</v>
      </c>
      <c r="M1649" t="s">
        <v>1297</v>
      </c>
      <c r="N1649" t="s">
        <v>557</v>
      </c>
      <c r="O1649" t="s">
        <v>1470</v>
      </c>
      <c r="P1649" t="s">
        <v>572</v>
      </c>
      <c r="Q1649" t="s">
        <v>1471</v>
      </c>
      <c r="R1649" t="s">
        <v>1472</v>
      </c>
      <c r="S1649" t="s">
        <v>1473</v>
      </c>
      <c r="T1649" t="s">
        <v>1474</v>
      </c>
      <c r="U1649">
        <v>203500</v>
      </c>
      <c r="V1649" t="s">
        <v>9954</v>
      </c>
      <c r="W1649" t="s">
        <v>1595</v>
      </c>
      <c r="X1649" t="s">
        <v>9955</v>
      </c>
      <c r="Y1649" t="s">
        <v>9956</v>
      </c>
      <c r="AA1649" t="s">
        <v>9957</v>
      </c>
      <c r="AC1649">
        <v>99016</v>
      </c>
      <c r="AD1649" t="s">
        <v>1479</v>
      </c>
      <c r="AE1649">
        <v>-38.104363599999999</v>
      </c>
      <c r="AF1649">
        <v>176.99602709999999</v>
      </c>
      <c r="AG1649">
        <v>30</v>
      </c>
      <c r="AH1649">
        <v>10</v>
      </c>
      <c r="AI1649">
        <v>0</v>
      </c>
      <c r="AJ1649">
        <v>5</v>
      </c>
      <c r="AK1649">
        <v>9</v>
      </c>
      <c r="AL1649">
        <v>5</v>
      </c>
      <c r="AM1649">
        <v>7</v>
      </c>
      <c r="AN1649">
        <v>0</v>
      </c>
      <c r="AO1649">
        <v>26</v>
      </c>
      <c r="AP1649">
        <v>4</v>
      </c>
      <c r="AQ1649">
        <v>26</v>
      </c>
      <c r="AR1649">
        <v>4</v>
      </c>
      <c r="AS1649">
        <v>1</v>
      </c>
      <c r="AT1649">
        <v>0</v>
      </c>
    </row>
    <row r="1650" spans="1:46">
      <c r="A1650">
        <v>40071</v>
      </c>
      <c r="B1650" t="s">
        <v>9958</v>
      </c>
      <c r="C1650" t="s">
        <v>9959</v>
      </c>
      <c r="E1650" t="s">
        <v>9960</v>
      </c>
      <c r="F1650" t="s">
        <v>3873</v>
      </c>
      <c r="G1650" t="s">
        <v>1598</v>
      </c>
      <c r="H1650" t="s">
        <v>3942</v>
      </c>
      <c r="I1650" t="s">
        <v>4231</v>
      </c>
      <c r="J1650" t="s">
        <v>518</v>
      </c>
      <c r="K1650" t="s">
        <v>519</v>
      </c>
      <c r="M1650" t="s">
        <v>1297</v>
      </c>
      <c r="N1650" t="s">
        <v>571</v>
      </c>
      <c r="O1650" t="s">
        <v>1698</v>
      </c>
      <c r="P1650" t="s">
        <v>654</v>
      </c>
      <c r="Q1650" t="s">
        <v>1471</v>
      </c>
      <c r="R1650" t="s">
        <v>1472</v>
      </c>
      <c r="S1650" t="s">
        <v>1699</v>
      </c>
      <c r="T1650" t="s">
        <v>1474</v>
      </c>
      <c r="U1650">
        <v>196900</v>
      </c>
      <c r="V1650" t="s">
        <v>9961</v>
      </c>
      <c r="W1650" t="s">
        <v>1731</v>
      </c>
      <c r="X1650" t="s">
        <v>9962</v>
      </c>
      <c r="Y1650" t="s">
        <v>9963</v>
      </c>
      <c r="Z1650" t="s">
        <v>9964</v>
      </c>
      <c r="AA1650" t="s">
        <v>1599</v>
      </c>
      <c r="AB1650" t="s">
        <v>9965</v>
      </c>
      <c r="AC1650">
        <v>99085</v>
      </c>
      <c r="AD1650" t="s">
        <v>1718</v>
      </c>
      <c r="AE1650">
        <v>-37.727888129999997</v>
      </c>
      <c r="AF1650">
        <v>176.1994397</v>
      </c>
      <c r="AG1650">
        <v>70</v>
      </c>
      <c r="AH1650">
        <v>0</v>
      </c>
      <c r="AI1650">
        <v>0</v>
      </c>
      <c r="AJ1650">
        <v>0</v>
      </c>
      <c r="AK1650">
        <v>0</v>
      </c>
      <c r="AL1650">
        <v>15</v>
      </c>
      <c r="AM1650">
        <v>19</v>
      </c>
      <c r="AN1650">
        <v>44</v>
      </c>
      <c r="AO1650">
        <v>78</v>
      </c>
      <c r="AP1650">
        <v>73</v>
      </c>
      <c r="AQ1650">
        <v>10</v>
      </c>
      <c r="AR1650">
        <v>1</v>
      </c>
      <c r="AS1650">
        <v>5</v>
      </c>
      <c r="AT1650">
        <v>7</v>
      </c>
    </row>
    <row r="1651" spans="1:46">
      <c r="A1651">
        <v>40075</v>
      </c>
      <c r="B1651" t="s">
        <v>9966</v>
      </c>
      <c r="C1651" t="s">
        <v>9967</v>
      </c>
      <c r="D1651" t="s">
        <v>9968</v>
      </c>
      <c r="E1651" t="s">
        <v>9969</v>
      </c>
      <c r="G1651" t="s">
        <v>1513</v>
      </c>
      <c r="H1651" t="s">
        <v>3942</v>
      </c>
      <c r="J1651" t="s">
        <v>3962</v>
      </c>
      <c r="K1651" t="s">
        <v>519</v>
      </c>
      <c r="M1651" t="s">
        <v>1297</v>
      </c>
      <c r="N1651" t="s">
        <v>571</v>
      </c>
      <c r="O1651" t="s">
        <v>1470</v>
      </c>
      <c r="P1651" t="s">
        <v>572</v>
      </c>
      <c r="Q1651" t="s">
        <v>1471</v>
      </c>
      <c r="R1651" t="s">
        <v>1472</v>
      </c>
      <c r="S1651" t="s">
        <v>1473</v>
      </c>
      <c r="T1651" t="s">
        <v>1474</v>
      </c>
      <c r="U1651">
        <v>202300</v>
      </c>
      <c r="V1651" t="s">
        <v>9783</v>
      </c>
      <c r="W1651" t="s">
        <v>1514</v>
      </c>
      <c r="X1651" t="s">
        <v>9970</v>
      </c>
      <c r="Y1651" t="s">
        <v>9971</v>
      </c>
      <c r="AA1651" t="s">
        <v>9972</v>
      </c>
      <c r="AC1651">
        <v>99038</v>
      </c>
      <c r="AD1651" t="s">
        <v>1515</v>
      </c>
      <c r="AE1651">
        <v>-37.981837710000001</v>
      </c>
      <c r="AF1651">
        <v>176.84798527000001</v>
      </c>
      <c r="AG1651">
        <v>58</v>
      </c>
      <c r="AH1651">
        <v>12</v>
      </c>
      <c r="AI1651">
        <v>1</v>
      </c>
      <c r="AJ1651">
        <v>10</v>
      </c>
      <c r="AK1651">
        <v>16</v>
      </c>
      <c r="AL1651">
        <v>17</v>
      </c>
      <c r="AM1651">
        <v>25</v>
      </c>
      <c r="AN1651">
        <v>1</v>
      </c>
      <c r="AO1651">
        <v>70</v>
      </c>
      <c r="AP1651">
        <v>55</v>
      </c>
      <c r="AQ1651">
        <v>28</v>
      </c>
      <c r="AR1651">
        <v>3</v>
      </c>
      <c r="AS1651">
        <v>8</v>
      </c>
      <c r="AT1651">
        <v>0</v>
      </c>
    </row>
    <row r="1652" spans="1:46">
      <c r="A1652">
        <v>40076</v>
      </c>
      <c r="B1652" t="s">
        <v>9973</v>
      </c>
      <c r="C1652" t="s">
        <v>9974</v>
      </c>
      <c r="E1652" t="s">
        <v>9975</v>
      </c>
      <c r="F1652" t="s">
        <v>8491</v>
      </c>
      <c r="G1652" t="s">
        <v>1521</v>
      </c>
      <c r="H1652" t="s">
        <v>3942</v>
      </c>
      <c r="J1652" t="s">
        <v>3962</v>
      </c>
      <c r="K1652" t="s">
        <v>519</v>
      </c>
      <c r="M1652" t="s">
        <v>1297</v>
      </c>
      <c r="N1652" t="s">
        <v>539</v>
      </c>
      <c r="O1652" t="s">
        <v>1522</v>
      </c>
      <c r="P1652" t="s">
        <v>584</v>
      </c>
      <c r="Q1652" t="s">
        <v>1471</v>
      </c>
      <c r="R1652" t="s">
        <v>1472</v>
      </c>
      <c r="S1652" t="s">
        <v>1521</v>
      </c>
      <c r="T1652" t="s">
        <v>1474</v>
      </c>
      <c r="U1652">
        <v>200300</v>
      </c>
      <c r="V1652" t="s">
        <v>9806</v>
      </c>
      <c r="W1652" t="s">
        <v>1523</v>
      </c>
      <c r="X1652" t="s">
        <v>9976</v>
      </c>
      <c r="Y1652" t="s">
        <v>9977</v>
      </c>
      <c r="Z1652" t="s">
        <v>1605</v>
      </c>
      <c r="AA1652" t="s">
        <v>8908</v>
      </c>
      <c r="AB1652" t="s">
        <v>9974</v>
      </c>
      <c r="AC1652">
        <v>99019</v>
      </c>
      <c r="AD1652" t="s">
        <v>1565</v>
      </c>
      <c r="AE1652">
        <v>-38.141004000000002</v>
      </c>
      <c r="AF1652">
        <v>176.24384911000001</v>
      </c>
      <c r="AG1652">
        <v>39</v>
      </c>
      <c r="AH1652">
        <v>10</v>
      </c>
      <c r="AI1652">
        <v>2</v>
      </c>
      <c r="AJ1652">
        <v>9</v>
      </c>
      <c r="AK1652">
        <v>10</v>
      </c>
      <c r="AL1652">
        <v>10</v>
      </c>
      <c r="AM1652">
        <v>6</v>
      </c>
      <c r="AN1652">
        <v>0</v>
      </c>
      <c r="AO1652">
        <v>37</v>
      </c>
      <c r="AP1652">
        <v>13</v>
      </c>
      <c r="AQ1652">
        <v>36</v>
      </c>
      <c r="AR1652">
        <v>11</v>
      </c>
      <c r="AS1652">
        <v>0</v>
      </c>
      <c r="AT1652">
        <v>0</v>
      </c>
    </row>
    <row r="1653" spans="1:46">
      <c r="A1653">
        <v>40077</v>
      </c>
      <c r="B1653" t="s">
        <v>9978</v>
      </c>
      <c r="C1653" t="s">
        <v>9979</v>
      </c>
      <c r="E1653" t="s">
        <v>9980</v>
      </c>
      <c r="G1653" t="s">
        <v>9981</v>
      </c>
      <c r="H1653" t="s">
        <v>298</v>
      </c>
      <c r="J1653" t="s">
        <v>518</v>
      </c>
      <c r="K1653" t="s">
        <v>519</v>
      </c>
      <c r="M1653" t="s">
        <v>1297</v>
      </c>
      <c r="N1653" t="s">
        <v>4519</v>
      </c>
      <c r="O1653" t="s">
        <v>1522</v>
      </c>
      <c r="P1653" t="s">
        <v>572</v>
      </c>
      <c r="Q1653" t="s">
        <v>1299</v>
      </c>
      <c r="R1653" t="s">
        <v>1472</v>
      </c>
      <c r="S1653" t="s">
        <v>1521</v>
      </c>
      <c r="T1653" t="s">
        <v>1474</v>
      </c>
      <c r="U1653">
        <v>201600</v>
      </c>
      <c r="V1653" t="s">
        <v>9982</v>
      </c>
      <c r="W1653" t="s">
        <v>9827</v>
      </c>
      <c r="X1653" t="s">
        <v>9734</v>
      </c>
      <c r="Y1653" t="s">
        <v>5187</v>
      </c>
      <c r="AA1653" t="s">
        <v>5188</v>
      </c>
      <c r="AB1653" t="s">
        <v>8326</v>
      </c>
      <c r="AE1653">
        <v>-38.331476760000001</v>
      </c>
      <c r="AF1653">
        <v>176.06864729</v>
      </c>
      <c r="AG1653">
        <v>30</v>
      </c>
      <c r="AH1653">
        <v>18</v>
      </c>
      <c r="AI1653">
        <v>0</v>
      </c>
      <c r="AJ1653">
        <v>1</v>
      </c>
      <c r="AK1653">
        <v>1</v>
      </c>
      <c r="AL1653">
        <v>1</v>
      </c>
      <c r="AM1653">
        <v>1</v>
      </c>
      <c r="AN1653">
        <v>0</v>
      </c>
      <c r="AO1653">
        <v>4</v>
      </c>
      <c r="AP1653">
        <v>3</v>
      </c>
      <c r="AQ1653">
        <v>0</v>
      </c>
      <c r="AR1653">
        <v>0</v>
      </c>
      <c r="AS1653">
        <v>1</v>
      </c>
      <c r="AT1653">
        <v>0</v>
      </c>
    </row>
    <row r="1654" spans="1:46">
      <c r="A1654">
        <v>40078</v>
      </c>
      <c r="B1654" t="s">
        <v>9983</v>
      </c>
      <c r="C1654" t="s">
        <v>9984</v>
      </c>
      <c r="E1654" t="s">
        <v>9985</v>
      </c>
      <c r="F1654" t="s">
        <v>1521</v>
      </c>
      <c r="G1654" t="s">
        <v>1521</v>
      </c>
      <c r="H1654" t="s">
        <v>298</v>
      </c>
      <c r="J1654" t="s">
        <v>518</v>
      </c>
      <c r="K1654" t="s">
        <v>519</v>
      </c>
      <c r="M1654" t="s">
        <v>1297</v>
      </c>
      <c r="N1654" t="s">
        <v>571</v>
      </c>
      <c r="O1654" t="s">
        <v>1522</v>
      </c>
      <c r="P1654" t="s">
        <v>540</v>
      </c>
      <c r="Q1654" t="s">
        <v>1471</v>
      </c>
      <c r="R1654" t="s">
        <v>1472</v>
      </c>
      <c r="S1654" t="s">
        <v>1521</v>
      </c>
      <c r="T1654" t="s">
        <v>1474</v>
      </c>
      <c r="U1654">
        <v>198000</v>
      </c>
      <c r="V1654" t="s">
        <v>9986</v>
      </c>
      <c r="W1654" t="s">
        <v>1523</v>
      </c>
      <c r="X1654" t="s">
        <v>9734</v>
      </c>
      <c r="Y1654" t="s">
        <v>5187</v>
      </c>
      <c r="AA1654" t="s">
        <v>5188</v>
      </c>
      <c r="AB1654" t="s">
        <v>8326</v>
      </c>
      <c r="AE1654">
        <v>-38.036681659999999</v>
      </c>
      <c r="AF1654">
        <v>176.22137723</v>
      </c>
      <c r="AG1654">
        <v>30</v>
      </c>
      <c r="AH1654">
        <v>15</v>
      </c>
      <c r="AI1654">
        <v>0</v>
      </c>
      <c r="AJ1654">
        <v>1</v>
      </c>
      <c r="AK1654">
        <v>2</v>
      </c>
      <c r="AL1654">
        <v>2</v>
      </c>
      <c r="AM1654">
        <v>4</v>
      </c>
      <c r="AN1654">
        <v>0</v>
      </c>
      <c r="AO1654">
        <v>9</v>
      </c>
      <c r="AP1654">
        <v>7</v>
      </c>
      <c r="AQ1654">
        <v>0</v>
      </c>
      <c r="AR1654">
        <v>0</v>
      </c>
      <c r="AS1654">
        <v>0</v>
      </c>
      <c r="AT1654">
        <v>2</v>
      </c>
    </row>
    <row r="1655" spans="1:46">
      <c r="A1655">
        <v>40080</v>
      </c>
      <c r="B1655" t="s">
        <v>9987</v>
      </c>
      <c r="C1655" t="s">
        <v>9988</v>
      </c>
      <c r="E1655" t="s">
        <v>9989</v>
      </c>
      <c r="F1655" t="s">
        <v>9990</v>
      </c>
      <c r="G1655" t="s">
        <v>1521</v>
      </c>
      <c r="H1655" t="s">
        <v>298</v>
      </c>
      <c r="J1655" t="s">
        <v>518</v>
      </c>
      <c r="K1655" t="s">
        <v>519</v>
      </c>
      <c r="M1655" t="s">
        <v>1297</v>
      </c>
      <c r="N1655" t="s">
        <v>539</v>
      </c>
      <c r="O1655" t="s">
        <v>1522</v>
      </c>
      <c r="P1655" t="s">
        <v>584</v>
      </c>
      <c r="Q1655" t="s">
        <v>1471</v>
      </c>
      <c r="R1655" t="s">
        <v>1472</v>
      </c>
      <c r="S1655" t="s">
        <v>1521</v>
      </c>
      <c r="T1655" t="s">
        <v>1474</v>
      </c>
      <c r="U1655">
        <v>199400</v>
      </c>
      <c r="V1655" t="s">
        <v>9991</v>
      </c>
      <c r="W1655" t="s">
        <v>1523</v>
      </c>
      <c r="X1655" t="s">
        <v>9734</v>
      </c>
      <c r="Y1655" t="s">
        <v>5187</v>
      </c>
      <c r="AA1655" t="s">
        <v>5188</v>
      </c>
      <c r="AB1655" t="s">
        <v>8326</v>
      </c>
      <c r="AE1655">
        <v>-38.119467780000001</v>
      </c>
      <c r="AF1655">
        <v>176.23706188</v>
      </c>
      <c r="AG1655">
        <v>30</v>
      </c>
      <c r="AH1655">
        <v>16</v>
      </c>
      <c r="AI1655">
        <v>3</v>
      </c>
      <c r="AJ1655">
        <v>3</v>
      </c>
      <c r="AK1655">
        <v>3</v>
      </c>
      <c r="AL1655">
        <v>5</v>
      </c>
      <c r="AM1655">
        <v>2</v>
      </c>
      <c r="AN1655">
        <v>2</v>
      </c>
      <c r="AO1655">
        <v>18</v>
      </c>
      <c r="AP1655">
        <v>18</v>
      </c>
      <c r="AQ1655">
        <v>1</v>
      </c>
      <c r="AR1655">
        <v>0</v>
      </c>
      <c r="AS1655">
        <v>1</v>
      </c>
      <c r="AT1655">
        <v>1</v>
      </c>
    </row>
    <row r="1656" spans="1:46">
      <c r="A1656">
        <v>40081</v>
      </c>
      <c r="B1656" t="s">
        <v>9992</v>
      </c>
      <c r="C1656" t="s">
        <v>9993</v>
      </c>
      <c r="E1656" t="s">
        <v>9994</v>
      </c>
      <c r="F1656" t="s">
        <v>9911</v>
      </c>
      <c r="G1656" t="s">
        <v>1521</v>
      </c>
      <c r="H1656" t="s">
        <v>298</v>
      </c>
      <c r="J1656" t="s">
        <v>518</v>
      </c>
      <c r="K1656" t="s">
        <v>519</v>
      </c>
      <c r="M1656" t="s">
        <v>1297</v>
      </c>
      <c r="N1656" t="s">
        <v>571</v>
      </c>
      <c r="O1656" t="s">
        <v>1522</v>
      </c>
      <c r="P1656" t="s">
        <v>584</v>
      </c>
      <c r="Q1656" t="s">
        <v>1471</v>
      </c>
      <c r="R1656" t="s">
        <v>1472</v>
      </c>
      <c r="S1656" t="s">
        <v>1521</v>
      </c>
      <c r="T1656" t="s">
        <v>1474</v>
      </c>
      <c r="U1656">
        <v>201501</v>
      </c>
      <c r="V1656" t="s">
        <v>9911</v>
      </c>
      <c r="W1656" t="s">
        <v>1523</v>
      </c>
      <c r="X1656" t="s">
        <v>9734</v>
      </c>
      <c r="Y1656" t="s">
        <v>5187</v>
      </c>
      <c r="AA1656" t="s">
        <v>5188</v>
      </c>
      <c r="AB1656" t="s">
        <v>8326</v>
      </c>
      <c r="AE1656">
        <v>-38.1483779</v>
      </c>
      <c r="AF1656">
        <v>176.28405427999999</v>
      </c>
      <c r="AG1656">
        <v>30</v>
      </c>
      <c r="AH1656">
        <v>20</v>
      </c>
      <c r="AI1656">
        <v>5</v>
      </c>
      <c r="AJ1656">
        <v>5</v>
      </c>
      <c r="AK1656">
        <v>7</v>
      </c>
      <c r="AL1656">
        <v>5</v>
      </c>
      <c r="AM1656">
        <v>4</v>
      </c>
      <c r="AN1656">
        <v>1</v>
      </c>
      <c r="AO1656">
        <v>27</v>
      </c>
      <c r="AP1656">
        <v>27</v>
      </c>
      <c r="AQ1656">
        <v>1</v>
      </c>
      <c r="AR1656">
        <v>1</v>
      </c>
      <c r="AS1656">
        <v>2</v>
      </c>
      <c r="AT1656">
        <v>0</v>
      </c>
    </row>
    <row r="1657" spans="1:46">
      <c r="A1657">
        <v>40082</v>
      </c>
      <c r="B1657" t="s">
        <v>9995</v>
      </c>
      <c r="C1657" t="s">
        <v>9996</v>
      </c>
      <c r="E1657" t="s">
        <v>9997</v>
      </c>
      <c r="G1657" t="s">
        <v>9998</v>
      </c>
      <c r="H1657" t="s">
        <v>298</v>
      </c>
      <c r="J1657" t="s">
        <v>518</v>
      </c>
      <c r="K1657" t="s">
        <v>519</v>
      </c>
      <c r="M1657" t="s">
        <v>1297</v>
      </c>
      <c r="N1657" t="s">
        <v>557</v>
      </c>
      <c r="O1657" t="s">
        <v>1522</v>
      </c>
      <c r="P1657" t="s">
        <v>540</v>
      </c>
      <c r="Q1657" t="s">
        <v>1471</v>
      </c>
      <c r="R1657" t="s">
        <v>1472</v>
      </c>
      <c r="S1657" t="s">
        <v>1521</v>
      </c>
      <c r="T1657" t="s">
        <v>1474</v>
      </c>
      <c r="U1657">
        <v>197900</v>
      </c>
      <c r="V1657" t="s">
        <v>9999</v>
      </c>
      <c r="W1657" t="s">
        <v>9827</v>
      </c>
      <c r="X1657" t="s">
        <v>9734</v>
      </c>
      <c r="Y1657" t="s">
        <v>5187</v>
      </c>
      <c r="AA1657" t="s">
        <v>5188</v>
      </c>
      <c r="AB1657" t="s">
        <v>8326</v>
      </c>
      <c r="AE1657">
        <v>-38.095607809999997</v>
      </c>
      <c r="AF1657">
        <v>176.07579562999999</v>
      </c>
      <c r="AG1657">
        <v>30</v>
      </c>
      <c r="AH1657">
        <v>15</v>
      </c>
      <c r="AI1657">
        <v>1</v>
      </c>
      <c r="AJ1657">
        <v>2</v>
      </c>
      <c r="AK1657">
        <v>2</v>
      </c>
      <c r="AL1657">
        <v>1</v>
      </c>
      <c r="AM1657">
        <v>0</v>
      </c>
      <c r="AN1657">
        <v>0</v>
      </c>
      <c r="AO1657">
        <v>6</v>
      </c>
      <c r="AP1657">
        <v>5</v>
      </c>
      <c r="AQ1657">
        <v>3</v>
      </c>
      <c r="AR1657">
        <v>0</v>
      </c>
      <c r="AS1657">
        <v>0</v>
      </c>
      <c r="AT1657">
        <v>0</v>
      </c>
    </row>
    <row r="1658" spans="1:46">
      <c r="A1658">
        <v>40084</v>
      </c>
      <c r="B1658" t="s">
        <v>10000</v>
      </c>
      <c r="C1658" t="s">
        <v>10001</v>
      </c>
      <c r="E1658" t="s">
        <v>10002</v>
      </c>
      <c r="F1658" t="s">
        <v>9982</v>
      </c>
      <c r="G1658" t="s">
        <v>1521</v>
      </c>
      <c r="H1658" t="s">
        <v>298</v>
      </c>
      <c r="J1658" t="s">
        <v>518</v>
      </c>
      <c r="K1658" t="s">
        <v>519</v>
      </c>
      <c r="M1658" t="s">
        <v>1297</v>
      </c>
      <c r="N1658" t="s">
        <v>571</v>
      </c>
      <c r="O1658" t="s">
        <v>1522</v>
      </c>
      <c r="P1658" t="s">
        <v>572</v>
      </c>
      <c r="Q1658" t="s">
        <v>1299</v>
      </c>
      <c r="R1658" t="s">
        <v>1472</v>
      </c>
      <c r="S1658" t="s">
        <v>1521</v>
      </c>
      <c r="T1658" t="s">
        <v>1474</v>
      </c>
      <c r="U1658">
        <v>201600</v>
      </c>
      <c r="V1658" t="s">
        <v>9982</v>
      </c>
      <c r="W1658" t="s">
        <v>9827</v>
      </c>
      <c r="X1658" t="s">
        <v>9734</v>
      </c>
      <c r="Y1658" t="s">
        <v>5187</v>
      </c>
      <c r="AA1658" t="s">
        <v>5188</v>
      </c>
      <c r="AB1658" t="s">
        <v>8326</v>
      </c>
      <c r="AE1658">
        <v>-38.322009549999997</v>
      </c>
      <c r="AF1658">
        <v>176.19242442000001</v>
      </c>
      <c r="AG1658">
        <v>26</v>
      </c>
      <c r="AH1658">
        <v>16</v>
      </c>
      <c r="AI1658">
        <v>3</v>
      </c>
      <c r="AJ1658">
        <v>3</v>
      </c>
      <c r="AK1658">
        <v>7</v>
      </c>
      <c r="AL1658">
        <v>3</v>
      </c>
      <c r="AM1658">
        <v>7</v>
      </c>
      <c r="AN1658">
        <v>0</v>
      </c>
      <c r="AO1658">
        <v>23</v>
      </c>
      <c r="AP1658">
        <v>21</v>
      </c>
      <c r="AQ1658">
        <v>4</v>
      </c>
      <c r="AR1658">
        <v>0</v>
      </c>
      <c r="AS1658">
        <v>1</v>
      </c>
      <c r="AT1658">
        <v>2</v>
      </c>
    </row>
    <row r="1659" spans="1:46">
      <c r="A1659">
        <v>40091</v>
      </c>
      <c r="B1659" t="s">
        <v>10003</v>
      </c>
      <c r="C1659" t="s">
        <v>10004</v>
      </c>
      <c r="D1659" t="s">
        <v>10005</v>
      </c>
      <c r="E1659" t="s">
        <v>10006</v>
      </c>
      <c r="F1659" t="s">
        <v>8491</v>
      </c>
      <c r="G1659" t="s">
        <v>1521</v>
      </c>
      <c r="H1659" t="s">
        <v>3942</v>
      </c>
      <c r="I1659" t="s">
        <v>4065</v>
      </c>
      <c r="J1659" t="s">
        <v>3962</v>
      </c>
      <c r="K1659" t="s">
        <v>519</v>
      </c>
      <c r="M1659" t="s">
        <v>1297</v>
      </c>
      <c r="N1659" t="s">
        <v>571</v>
      </c>
      <c r="O1659" t="s">
        <v>1522</v>
      </c>
      <c r="P1659" t="s">
        <v>584</v>
      </c>
      <c r="Q1659" t="s">
        <v>1471</v>
      </c>
      <c r="R1659" t="s">
        <v>1472</v>
      </c>
      <c r="S1659" t="s">
        <v>1521</v>
      </c>
      <c r="T1659" t="s">
        <v>1474</v>
      </c>
      <c r="U1659">
        <v>201200</v>
      </c>
      <c r="V1659" t="s">
        <v>10007</v>
      </c>
      <c r="W1659" t="s">
        <v>1523</v>
      </c>
      <c r="X1659" t="s">
        <v>10008</v>
      </c>
      <c r="Y1659" t="s">
        <v>10009</v>
      </c>
      <c r="Z1659" t="s">
        <v>10010</v>
      </c>
      <c r="AA1659" t="s">
        <v>8520</v>
      </c>
      <c r="AB1659" t="s">
        <v>10011</v>
      </c>
      <c r="AC1659">
        <v>99019</v>
      </c>
      <c r="AD1659" t="s">
        <v>1565</v>
      </c>
      <c r="AE1659">
        <v>-38.158465300000003</v>
      </c>
      <c r="AF1659">
        <v>176.2591209</v>
      </c>
      <c r="AG1659">
        <v>75</v>
      </c>
      <c r="AH1659">
        <v>15</v>
      </c>
      <c r="AI1659">
        <v>1</v>
      </c>
      <c r="AJ1659">
        <v>4</v>
      </c>
      <c r="AK1659">
        <v>11</v>
      </c>
      <c r="AL1659">
        <v>9</v>
      </c>
      <c r="AM1659">
        <v>11</v>
      </c>
      <c r="AN1659">
        <v>2</v>
      </c>
      <c r="AO1659">
        <v>38</v>
      </c>
      <c r="AP1659">
        <v>26</v>
      </c>
      <c r="AQ1659">
        <v>5</v>
      </c>
      <c r="AR1659">
        <v>2</v>
      </c>
      <c r="AS1659">
        <v>10</v>
      </c>
      <c r="AT1659">
        <v>5</v>
      </c>
    </row>
    <row r="1660" spans="1:46">
      <c r="A1660">
        <v>40092</v>
      </c>
      <c r="B1660" t="s">
        <v>10012</v>
      </c>
      <c r="C1660" t="s">
        <v>10013</v>
      </c>
      <c r="E1660" t="s">
        <v>10014</v>
      </c>
      <c r="F1660" t="s">
        <v>8491</v>
      </c>
      <c r="G1660" t="s">
        <v>1521</v>
      </c>
      <c r="H1660" t="s">
        <v>3942</v>
      </c>
      <c r="J1660" t="s">
        <v>518</v>
      </c>
      <c r="K1660" t="s">
        <v>519</v>
      </c>
      <c r="M1660" t="s">
        <v>1297</v>
      </c>
      <c r="N1660" t="s">
        <v>571</v>
      </c>
      <c r="O1660" t="s">
        <v>1522</v>
      </c>
      <c r="P1660" t="s">
        <v>584</v>
      </c>
      <c r="Q1660" t="s">
        <v>1471</v>
      </c>
      <c r="R1660" t="s">
        <v>1472</v>
      </c>
      <c r="S1660" t="s">
        <v>1521</v>
      </c>
      <c r="T1660" t="s">
        <v>1474</v>
      </c>
      <c r="U1660">
        <v>199800</v>
      </c>
      <c r="V1660" t="s">
        <v>8561</v>
      </c>
      <c r="W1660" t="s">
        <v>1523</v>
      </c>
      <c r="X1660" t="s">
        <v>10015</v>
      </c>
      <c r="Y1660" t="s">
        <v>10016</v>
      </c>
      <c r="Z1660" t="s">
        <v>8564</v>
      </c>
      <c r="AA1660" t="s">
        <v>8565</v>
      </c>
      <c r="AB1660" t="s">
        <v>10013</v>
      </c>
      <c r="AE1660">
        <v>-38.134389089999999</v>
      </c>
      <c r="AF1660">
        <v>176.23884541999999</v>
      </c>
      <c r="AG1660">
        <v>60</v>
      </c>
      <c r="AH1660">
        <v>10</v>
      </c>
      <c r="AI1660">
        <v>0</v>
      </c>
      <c r="AJ1660">
        <v>9</v>
      </c>
      <c r="AK1660">
        <v>15</v>
      </c>
      <c r="AL1660">
        <v>15</v>
      </c>
      <c r="AM1660">
        <v>13</v>
      </c>
      <c r="AN1660">
        <v>3</v>
      </c>
      <c r="AO1660">
        <v>55</v>
      </c>
      <c r="AP1660">
        <v>27</v>
      </c>
      <c r="AQ1660">
        <v>16</v>
      </c>
      <c r="AR1660">
        <v>6</v>
      </c>
      <c r="AS1660">
        <v>25</v>
      </c>
      <c r="AT1660">
        <v>0</v>
      </c>
    </row>
    <row r="1661" spans="1:46">
      <c r="A1661">
        <v>40094</v>
      </c>
      <c r="B1661" t="s">
        <v>10017</v>
      </c>
      <c r="C1661" t="s">
        <v>10018</v>
      </c>
      <c r="D1661" t="s">
        <v>10019</v>
      </c>
      <c r="E1661" t="s">
        <v>10020</v>
      </c>
      <c r="F1661" t="s">
        <v>1563</v>
      </c>
      <c r="G1661" t="s">
        <v>1521</v>
      </c>
      <c r="H1661" t="s">
        <v>3942</v>
      </c>
      <c r="J1661" t="s">
        <v>3962</v>
      </c>
      <c r="K1661" t="s">
        <v>519</v>
      </c>
      <c r="M1661" t="s">
        <v>1297</v>
      </c>
      <c r="N1661" t="s">
        <v>539</v>
      </c>
      <c r="O1661" t="s">
        <v>1522</v>
      </c>
      <c r="P1661" t="s">
        <v>584</v>
      </c>
      <c r="Q1661" t="s">
        <v>1471</v>
      </c>
      <c r="R1661" t="s">
        <v>1472</v>
      </c>
      <c r="S1661" t="s">
        <v>1521</v>
      </c>
      <c r="T1661" t="s">
        <v>1474</v>
      </c>
      <c r="U1661">
        <v>201300</v>
      </c>
      <c r="V1661" t="s">
        <v>8518</v>
      </c>
      <c r="W1661" t="s">
        <v>1523</v>
      </c>
      <c r="X1661" t="s">
        <v>10021</v>
      </c>
      <c r="Y1661" t="s">
        <v>10022</v>
      </c>
      <c r="AA1661" t="s">
        <v>8565</v>
      </c>
      <c r="AB1661" t="s">
        <v>10023</v>
      </c>
      <c r="AC1661">
        <v>99019</v>
      </c>
      <c r="AD1661" t="s">
        <v>1565</v>
      </c>
      <c r="AE1661">
        <v>-38.167880510000003</v>
      </c>
      <c r="AF1661">
        <v>176.24300821</v>
      </c>
      <c r="AG1661">
        <v>60</v>
      </c>
      <c r="AH1661">
        <v>16</v>
      </c>
      <c r="AI1661">
        <v>6</v>
      </c>
      <c r="AJ1661">
        <v>9</v>
      </c>
      <c r="AK1661">
        <v>9</v>
      </c>
      <c r="AL1661">
        <v>5</v>
      </c>
      <c r="AM1661">
        <v>7</v>
      </c>
      <c r="AN1661">
        <v>0</v>
      </c>
      <c r="AO1661">
        <v>36</v>
      </c>
      <c r="AP1661">
        <v>22</v>
      </c>
      <c r="AQ1661">
        <v>15</v>
      </c>
      <c r="AR1661">
        <v>2</v>
      </c>
      <c r="AS1661">
        <v>4</v>
      </c>
      <c r="AT1661">
        <v>3</v>
      </c>
    </row>
    <row r="1662" spans="1:46">
      <c r="A1662">
        <v>40095</v>
      </c>
      <c r="B1662" t="s">
        <v>10024</v>
      </c>
      <c r="C1662" t="s">
        <v>10025</v>
      </c>
      <c r="D1662" t="s">
        <v>10026</v>
      </c>
      <c r="E1662" t="s">
        <v>10027</v>
      </c>
      <c r="F1662" t="s">
        <v>1628</v>
      </c>
      <c r="G1662" t="s">
        <v>1521</v>
      </c>
      <c r="H1662" t="s">
        <v>3942</v>
      </c>
      <c r="J1662" t="s">
        <v>518</v>
      </c>
      <c r="K1662" t="s">
        <v>519</v>
      </c>
      <c r="M1662" t="s">
        <v>1297</v>
      </c>
      <c r="N1662" t="s">
        <v>557</v>
      </c>
      <c r="O1662" t="s">
        <v>1522</v>
      </c>
      <c r="P1662" t="s">
        <v>584</v>
      </c>
      <c r="Q1662" t="s">
        <v>1471</v>
      </c>
      <c r="R1662" t="s">
        <v>1472</v>
      </c>
      <c r="S1662" t="s">
        <v>1521</v>
      </c>
      <c r="T1662" t="s">
        <v>1474</v>
      </c>
      <c r="U1662">
        <v>200900</v>
      </c>
      <c r="V1662" t="s">
        <v>10028</v>
      </c>
      <c r="W1662" t="s">
        <v>1523</v>
      </c>
      <c r="X1662" t="s">
        <v>10029</v>
      </c>
      <c r="Y1662" t="s">
        <v>10030</v>
      </c>
      <c r="Z1662" t="s">
        <v>8564</v>
      </c>
      <c r="AA1662" t="s">
        <v>10031</v>
      </c>
      <c r="AB1662" t="s">
        <v>10032</v>
      </c>
      <c r="AC1662">
        <v>99017</v>
      </c>
      <c r="AD1662" t="s">
        <v>1630</v>
      </c>
      <c r="AE1662">
        <v>-38.131765710000003</v>
      </c>
      <c r="AF1662">
        <v>176.29372479</v>
      </c>
      <c r="AG1662">
        <v>35</v>
      </c>
      <c r="AH1662">
        <v>15</v>
      </c>
      <c r="AI1662">
        <v>1</v>
      </c>
      <c r="AJ1662">
        <v>2</v>
      </c>
      <c r="AK1662">
        <v>6</v>
      </c>
      <c r="AL1662">
        <v>4</v>
      </c>
      <c r="AM1662">
        <v>11</v>
      </c>
      <c r="AN1662">
        <v>1</v>
      </c>
      <c r="AO1662">
        <v>25</v>
      </c>
      <c r="AP1662">
        <v>10</v>
      </c>
      <c r="AQ1662">
        <v>13</v>
      </c>
      <c r="AR1662">
        <v>1</v>
      </c>
      <c r="AS1662">
        <v>3</v>
      </c>
      <c r="AT1662">
        <v>1</v>
      </c>
    </row>
    <row r="1663" spans="1:46">
      <c r="A1663">
        <v>40097</v>
      </c>
      <c r="B1663" t="s">
        <v>10033</v>
      </c>
      <c r="C1663" t="s">
        <v>10034</v>
      </c>
      <c r="D1663" t="s">
        <v>10035</v>
      </c>
      <c r="E1663" t="s">
        <v>10036</v>
      </c>
      <c r="F1663" t="s">
        <v>10037</v>
      </c>
      <c r="G1663" t="s">
        <v>1598</v>
      </c>
      <c r="H1663" t="s">
        <v>517</v>
      </c>
      <c r="J1663" t="s">
        <v>518</v>
      </c>
      <c r="K1663" t="s">
        <v>519</v>
      </c>
      <c r="M1663" t="s">
        <v>1297</v>
      </c>
      <c r="N1663" t="s">
        <v>571</v>
      </c>
      <c r="O1663" t="s">
        <v>1698</v>
      </c>
      <c r="P1663" t="s">
        <v>654</v>
      </c>
      <c r="Q1663" t="s">
        <v>1471</v>
      </c>
      <c r="R1663" t="s">
        <v>1472</v>
      </c>
      <c r="S1663" t="s">
        <v>1598</v>
      </c>
      <c r="T1663" t="s">
        <v>1474</v>
      </c>
      <c r="U1663">
        <v>192800</v>
      </c>
      <c r="V1663" t="s">
        <v>10038</v>
      </c>
      <c r="W1663" t="s">
        <v>1724</v>
      </c>
      <c r="X1663" t="s">
        <v>1596</v>
      </c>
      <c r="Y1663" t="s">
        <v>1597</v>
      </c>
      <c r="Z1663" t="s">
        <v>1598</v>
      </c>
      <c r="AA1663" t="s">
        <v>1599</v>
      </c>
      <c r="AB1663" t="s">
        <v>1600</v>
      </c>
      <c r="AC1663">
        <v>99064</v>
      </c>
      <c r="AD1663" t="s">
        <v>1702</v>
      </c>
      <c r="AE1663">
        <v>-37.645880290000001</v>
      </c>
      <c r="AF1663">
        <v>176.18940979999999</v>
      </c>
      <c r="AG1663">
        <v>30</v>
      </c>
      <c r="AH1663">
        <v>8</v>
      </c>
      <c r="AI1663">
        <v>0</v>
      </c>
      <c r="AJ1663">
        <v>12</v>
      </c>
      <c r="AK1663">
        <v>7</v>
      </c>
      <c r="AL1663">
        <v>10</v>
      </c>
      <c r="AM1663">
        <v>8</v>
      </c>
      <c r="AN1663">
        <v>1</v>
      </c>
      <c r="AO1663">
        <v>38</v>
      </c>
      <c r="AP1663">
        <v>34</v>
      </c>
      <c r="AQ1663">
        <v>8</v>
      </c>
      <c r="AR1663">
        <v>0</v>
      </c>
      <c r="AS1663">
        <v>2</v>
      </c>
      <c r="AT1663">
        <v>1</v>
      </c>
    </row>
    <row r="1664" spans="1:46">
      <c r="A1664">
        <v>40100</v>
      </c>
      <c r="B1664" t="s">
        <v>10039</v>
      </c>
      <c r="C1664" t="s">
        <v>10040</v>
      </c>
      <c r="D1664" t="s">
        <v>10041</v>
      </c>
      <c r="E1664" t="s">
        <v>10042</v>
      </c>
      <c r="F1664" t="s">
        <v>1707</v>
      </c>
      <c r="G1664" t="s">
        <v>1598</v>
      </c>
      <c r="H1664" t="s">
        <v>3942</v>
      </c>
      <c r="J1664" t="s">
        <v>3962</v>
      </c>
      <c r="K1664" t="s">
        <v>519</v>
      </c>
      <c r="M1664" t="s">
        <v>1297</v>
      </c>
      <c r="N1664" t="s">
        <v>571</v>
      </c>
      <c r="O1664" t="s">
        <v>1698</v>
      </c>
      <c r="P1664" t="s">
        <v>654</v>
      </c>
      <c r="Q1664" t="s">
        <v>1471</v>
      </c>
      <c r="R1664" t="s">
        <v>1472</v>
      </c>
      <c r="S1664" t="s">
        <v>1598</v>
      </c>
      <c r="T1664" t="s">
        <v>1474</v>
      </c>
      <c r="U1664">
        <v>193202</v>
      </c>
      <c r="V1664" t="s">
        <v>1736</v>
      </c>
      <c r="W1664" t="s">
        <v>1737</v>
      </c>
      <c r="X1664" t="s">
        <v>9851</v>
      </c>
      <c r="Y1664" t="s">
        <v>9852</v>
      </c>
      <c r="Z1664" t="s">
        <v>3722</v>
      </c>
      <c r="AA1664" t="s">
        <v>8884</v>
      </c>
      <c r="AE1664">
        <v>-37.669741899999998</v>
      </c>
      <c r="AF1664">
        <v>176.16115429999999</v>
      </c>
      <c r="AG1664">
        <v>42</v>
      </c>
      <c r="AH1664">
        <v>17</v>
      </c>
      <c r="AI1664">
        <v>5</v>
      </c>
      <c r="AJ1664">
        <v>5</v>
      </c>
      <c r="AK1664">
        <v>18</v>
      </c>
      <c r="AL1664">
        <v>10</v>
      </c>
      <c r="AM1664">
        <v>7</v>
      </c>
      <c r="AN1664">
        <v>0</v>
      </c>
      <c r="AO1664">
        <v>45</v>
      </c>
      <c r="AP1664">
        <v>42</v>
      </c>
      <c r="AQ1664">
        <v>8</v>
      </c>
      <c r="AR1664">
        <v>0</v>
      </c>
      <c r="AS1664">
        <v>3</v>
      </c>
      <c r="AT1664">
        <v>3</v>
      </c>
    </row>
    <row r="1665" spans="1:46">
      <c r="A1665">
        <v>40102</v>
      </c>
      <c r="B1665" t="s">
        <v>10043</v>
      </c>
      <c r="C1665" t="s">
        <v>10044</v>
      </c>
      <c r="D1665" t="s">
        <v>10045</v>
      </c>
      <c r="E1665" t="s">
        <v>10046</v>
      </c>
      <c r="G1665" t="s">
        <v>1649</v>
      </c>
      <c r="H1665" t="s">
        <v>3942</v>
      </c>
      <c r="J1665" t="s">
        <v>3962</v>
      </c>
      <c r="K1665" t="s">
        <v>519</v>
      </c>
      <c r="M1665" t="s">
        <v>1297</v>
      </c>
      <c r="N1665" t="s">
        <v>521</v>
      </c>
      <c r="O1665" t="s">
        <v>1650</v>
      </c>
      <c r="P1665" t="s">
        <v>523</v>
      </c>
      <c r="Q1665" t="s">
        <v>1471</v>
      </c>
      <c r="R1665" t="s">
        <v>1472</v>
      </c>
      <c r="S1665" t="s">
        <v>1473</v>
      </c>
      <c r="T1665" t="s">
        <v>1474</v>
      </c>
      <c r="U1665">
        <v>203700</v>
      </c>
      <c r="V1665" t="s">
        <v>1651</v>
      </c>
      <c r="W1665" t="s">
        <v>1652</v>
      </c>
      <c r="X1665" t="s">
        <v>10047</v>
      </c>
      <c r="Y1665" t="s">
        <v>10048</v>
      </c>
      <c r="AA1665" t="s">
        <v>9729</v>
      </c>
      <c r="AC1665">
        <v>99038</v>
      </c>
      <c r="AD1665" t="s">
        <v>1515</v>
      </c>
      <c r="AE1665">
        <v>-38.093048289999999</v>
      </c>
      <c r="AF1665">
        <v>176.68168093</v>
      </c>
      <c r="AG1665">
        <v>50</v>
      </c>
      <c r="AH1665">
        <v>15</v>
      </c>
      <c r="AI1665">
        <v>2</v>
      </c>
      <c r="AJ1665">
        <v>10</v>
      </c>
      <c r="AK1665">
        <v>12</v>
      </c>
      <c r="AL1665">
        <v>6</v>
      </c>
      <c r="AM1665">
        <v>15</v>
      </c>
      <c r="AN1665">
        <v>0</v>
      </c>
      <c r="AO1665">
        <v>45</v>
      </c>
      <c r="AP1665">
        <v>19</v>
      </c>
      <c r="AQ1665">
        <v>37</v>
      </c>
      <c r="AR1665">
        <v>4</v>
      </c>
      <c r="AS1665">
        <v>3</v>
      </c>
      <c r="AT1665">
        <v>0</v>
      </c>
    </row>
    <row r="1666" spans="1:46">
      <c r="A1666">
        <v>40104</v>
      </c>
      <c r="B1666" t="s">
        <v>10049</v>
      </c>
      <c r="C1666" t="s">
        <v>10050</v>
      </c>
      <c r="D1666" t="s">
        <v>10051</v>
      </c>
      <c r="E1666" t="s">
        <v>10052</v>
      </c>
      <c r="G1666" t="s">
        <v>1611</v>
      </c>
      <c r="H1666" t="s">
        <v>3942</v>
      </c>
      <c r="J1666" t="s">
        <v>518</v>
      </c>
      <c r="K1666" t="s">
        <v>519</v>
      </c>
      <c r="M1666" t="s">
        <v>1297</v>
      </c>
      <c r="N1666" t="s">
        <v>557</v>
      </c>
      <c r="O1666" t="s">
        <v>1612</v>
      </c>
      <c r="P1666" t="s">
        <v>523</v>
      </c>
      <c r="Q1666" t="s">
        <v>1471</v>
      </c>
      <c r="R1666" t="s">
        <v>1472</v>
      </c>
      <c r="S1666" t="s">
        <v>1473</v>
      </c>
      <c r="T1666" t="s">
        <v>1474</v>
      </c>
      <c r="U1666">
        <v>204400</v>
      </c>
      <c r="V1666" t="s">
        <v>1613</v>
      </c>
      <c r="W1666" t="s">
        <v>1614</v>
      </c>
      <c r="X1666" t="s">
        <v>10053</v>
      </c>
      <c r="Y1666" t="s">
        <v>10054</v>
      </c>
      <c r="AA1666" t="s">
        <v>10055</v>
      </c>
      <c r="AB1666" t="s">
        <v>10050</v>
      </c>
      <c r="AC1666">
        <v>99037</v>
      </c>
      <c r="AD1666" t="s">
        <v>1615</v>
      </c>
      <c r="AE1666">
        <v>-38.010031840000003</v>
      </c>
      <c r="AF1666">
        <v>177.28508733000001</v>
      </c>
      <c r="AG1666">
        <v>37</v>
      </c>
      <c r="AH1666">
        <v>8</v>
      </c>
      <c r="AI1666">
        <v>3</v>
      </c>
      <c r="AJ1666">
        <v>8</v>
      </c>
      <c r="AK1666">
        <v>15</v>
      </c>
      <c r="AL1666">
        <v>13</v>
      </c>
      <c r="AM1666">
        <v>9</v>
      </c>
      <c r="AN1666">
        <v>0</v>
      </c>
      <c r="AO1666">
        <v>48</v>
      </c>
      <c r="AP1666">
        <v>28</v>
      </c>
      <c r="AQ1666">
        <v>27</v>
      </c>
      <c r="AR1666">
        <v>4</v>
      </c>
      <c r="AS1666">
        <v>2</v>
      </c>
      <c r="AT1666">
        <v>1</v>
      </c>
    </row>
    <row r="1667" spans="1:46">
      <c r="A1667">
        <v>40115</v>
      </c>
      <c r="B1667" t="s">
        <v>10056</v>
      </c>
      <c r="C1667" t="s">
        <v>10057</v>
      </c>
      <c r="E1667" t="s">
        <v>10058</v>
      </c>
      <c r="F1667" t="s">
        <v>9404</v>
      </c>
      <c r="G1667" t="s">
        <v>1521</v>
      </c>
      <c r="H1667" t="s">
        <v>343</v>
      </c>
      <c r="J1667" t="s">
        <v>518</v>
      </c>
      <c r="K1667" t="s">
        <v>519</v>
      </c>
      <c r="L1667" t="s">
        <v>4205</v>
      </c>
      <c r="M1667" t="s">
        <v>1297</v>
      </c>
      <c r="N1667" t="s">
        <v>727</v>
      </c>
      <c r="O1667" t="s">
        <v>1522</v>
      </c>
      <c r="P1667" t="s">
        <v>584</v>
      </c>
      <c r="Q1667" t="s">
        <v>1471</v>
      </c>
      <c r="R1667" t="s">
        <v>1472</v>
      </c>
      <c r="S1667" t="s">
        <v>1521</v>
      </c>
      <c r="T1667" t="s">
        <v>1474</v>
      </c>
      <c r="U1667">
        <v>199100</v>
      </c>
      <c r="V1667" t="s">
        <v>10059</v>
      </c>
      <c r="W1667" t="s">
        <v>1523</v>
      </c>
      <c r="X1667" t="s">
        <v>8447</v>
      </c>
      <c r="Y1667" t="s">
        <v>4208</v>
      </c>
      <c r="Z1667" t="s">
        <v>4209</v>
      </c>
      <c r="AA1667" t="s">
        <v>4210</v>
      </c>
      <c r="AB1667" t="s">
        <v>8448</v>
      </c>
      <c r="AE1667">
        <v>-38.132950809999997</v>
      </c>
      <c r="AF1667">
        <v>176.20865031</v>
      </c>
      <c r="AG1667">
        <v>32</v>
      </c>
      <c r="AH1667">
        <v>8</v>
      </c>
      <c r="AI1667">
        <v>1</v>
      </c>
      <c r="AJ1667">
        <v>4</v>
      </c>
      <c r="AK1667">
        <v>8</v>
      </c>
      <c r="AL1667">
        <v>5</v>
      </c>
      <c r="AM1667">
        <v>6</v>
      </c>
      <c r="AN1667">
        <v>0</v>
      </c>
      <c r="AO1667">
        <v>24</v>
      </c>
      <c r="AP1667">
        <v>0</v>
      </c>
      <c r="AQ1667">
        <v>24</v>
      </c>
      <c r="AR1667">
        <v>0</v>
      </c>
      <c r="AS1667">
        <v>0</v>
      </c>
      <c r="AT1667">
        <v>0</v>
      </c>
    </row>
    <row r="1668" spans="1:46">
      <c r="A1668">
        <v>40116</v>
      </c>
      <c r="B1668" t="s">
        <v>10060</v>
      </c>
      <c r="C1668" t="s">
        <v>10061</v>
      </c>
      <c r="E1668" t="s">
        <v>10062</v>
      </c>
      <c r="F1668" t="s">
        <v>9990</v>
      </c>
      <c r="G1668" t="s">
        <v>1521</v>
      </c>
      <c r="H1668" t="s">
        <v>343</v>
      </c>
      <c r="J1668" t="s">
        <v>518</v>
      </c>
      <c r="K1668" t="s">
        <v>519</v>
      </c>
      <c r="L1668" t="s">
        <v>4205</v>
      </c>
      <c r="M1668" t="s">
        <v>1297</v>
      </c>
      <c r="N1668" t="s">
        <v>539</v>
      </c>
      <c r="O1668" t="s">
        <v>1522</v>
      </c>
      <c r="P1668" t="s">
        <v>584</v>
      </c>
      <c r="Q1668" t="s">
        <v>1471</v>
      </c>
      <c r="R1668" t="s">
        <v>1472</v>
      </c>
      <c r="S1668" t="s">
        <v>1521</v>
      </c>
      <c r="T1668" t="s">
        <v>1474</v>
      </c>
      <c r="U1668">
        <v>199400</v>
      </c>
      <c r="V1668" t="s">
        <v>9991</v>
      </c>
      <c r="W1668" t="s">
        <v>1523</v>
      </c>
      <c r="X1668" t="s">
        <v>8447</v>
      </c>
      <c r="Y1668" t="s">
        <v>4208</v>
      </c>
      <c r="Z1668" t="s">
        <v>4209</v>
      </c>
      <c r="AA1668" t="s">
        <v>4210</v>
      </c>
      <c r="AB1668" t="s">
        <v>8448</v>
      </c>
      <c r="AE1668">
        <v>-38.122192130000002</v>
      </c>
      <c r="AF1668">
        <v>176.23739001999999</v>
      </c>
      <c r="AG1668">
        <v>30</v>
      </c>
      <c r="AH1668">
        <v>8</v>
      </c>
      <c r="AI1668">
        <v>1</v>
      </c>
      <c r="AJ1668">
        <v>6</v>
      </c>
      <c r="AK1668">
        <v>8</v>
      </c>
      <c r="AL1668">
        <v>5</v>
      </c>
      <c r="AM1668">
        <v>4</v>
      </c>
      <c r="AN1668">
        <v>0</v>
      </c>
      <c r="AO1668">
        <v>24</v>
      </c>
      <c r="AP1668">
        <v>0</v>
      </c>
      <c r="AQ1668">
        <v>23</v>
      </c>
      <c r="AR1668">
        <v>0</v>
      </c>
      <c r="AS1668">
        <v>0</v>
      </c>
      <c r="AT1668">
        <v>1</v>
      </c>
    </row>
    <row r="1669" spans="1:46">
      <c r="A1669">
        <v>40118</v>
      </c>
      <c r="B1669" t="s">
        <v>10063</v>
      </c>
      <c r="C1669" t="s">
        <v>10064</v>
      </c>
      <c r="E1669" t="s">
        <v>10065</v>
      </c>
      <c r="F1669" t="s">
        <v>9877</v>
      </c>
      <c r="G1669" t="s">
        <v>1521</v>
      </c>
      <c r="H1669" t="s">
        <v>343</v>
      </c>
      <c r="J1669" t="s">
        <v>518</v>
      </c>
      <c r="K1669" t="s">
        <v>519</v>
      </c>
      <c r="L1669" t="s">
        <v>4205</v>
      </c>
      <c r="M1669" t="s">
        <v>1297</v>
      </c>
      <c r="N1669" t="s">
        <v>521</v>
      </c>
      <c r="O1669" t="s">
        <v>1522</v>
      </c>
      <c r="P1669" t="s">
        <v>584</v>
      </c>
      <c r="Q1669" t="s">
        <v>1471</v>
      </c>
      <c r="R1669" t="s">
        <v>1472</v>
      </c>
      <c r="S1669" t="s">
        <v>1521</v>
      </c>
      <c r="T1669" t="s">
        <v>1474</v>
      </c>
      <c r="U1669">
        <v>199800</v>
      </c>
      <c r="V1669" t="s">
        <v>8561</v>
      </c>
      <c r="W1669" t="s">
        <v>1523</v>
      </c>
      <c r="X1669" t="s">
        <v>8447</v>
      </c>
      <c r="Y1669" t="s">
        <v>4208</v>
      </c>
      <c r="Z1669" t="s">
        <v>4209</v>
      </c>
      <c r="AA1669" t="s">
        <v>4210</v>
      </c>
      <c r="AB1669" t="s">
        <v>8448</v>
      </c>
      <c r="AE1669">
        <v>-38.135651699999997</v>
      </c>
      <c r="AF1669">
        <v>176.24167070999999</v>
      </c>
      <c r="AG1669">
        <v>34</v>
      </c>
      <c r="AH1669">
        <v>10</v>
      </c>
      <c r="AI1669">
        <v>0</v>
      </c>
      <c r="AJ1669">
        <v>9</v>
      </c>
      <c r="AK1669">
        <v>4</v>
      </c>
      <c r="AL1669">
        <v>11</v>
      </c>
      <c r="AM1669">
        <v>5</v>
      </c>
      <c r="AN1669">
        <v>0</v>
      </c>
      <c r="AO1669">
        <v>29</v>
      </c>
      <c r="AP1669">
        <v>0</v>
      </c>
      <c r="AQ1669">
        <v>29</v>
      </c>
      <c r="AR1669">
        <v>0</v>
      </c>
      <c r="AS1669">
        <v>0</v>
      </c>
      <c r="AT1669">
        <v>0</v>
      </c>
    </row>
    <row r="1670" spans="1:46">
      <c r="A1670">
        <v>40119</v>
      </c>
      <c r="B1670" t="s">
        <v>10066</v>
      </c>
      <c r="C1670" t="s">
        <v>10067</v>
      </c>
      <c r="E1670" t="s">
        <v>10068</v>
      </c>
      <c r="F1670" t="s">
        <v>8491</v>
      </c>
      <c r="G1670" t="s">
        <v>1521</v>
      </c>
      <c r="H1670" t="s">
        <v>343</v>
      </c>
      <c r="J1670" t="s">
        <v>518</v>
      </c>
      <c r="K1670" t="s">
        <v>519</v>
      </c>
      <c r="L1670" t="s">
        <v>4205</v>
      </c>
      <c r="M1670" t="s">
        <v>1297</v>
      </c>
      <c r="N1670" t="s">
        <v>521</v>
      </c>
      <c r="O1670" t="s">
        <v>1522</v>
      </c>
      <c r="P1670" t="s">
        <v>584</v>
      </c>
      <c r="Q1670" t="s">
        <v>1471</v>
      </c>
      <c r="R1670" t="s">
        <v>1472</v>
      </c>
      <c r="S1670" t="s">
        <v>1521</v>
      </c>
      <c r="T1670" t="s">
        <v>1474</v>
      </c>
      <c r="U1670">
        <v>200100</v>
      </c>
      <c r="V1670" t="s">
        <v>8491</v>
      </c>
      <c r="W1670" t="s">
        <v>1523</v>
      </c>
      <c r="X1670" t="s">
        <v>8447</v>
      </c>
      <c r="Y1670" t="s">
        <v>4208</v>
      </c>
      <c r="Z1670" t="s">
        <v>4209</v>
      </c>
      <c r="AA1670" t="s">
        <v>4210</v>
      </c>
      <c r="AB1670" t="s">
        <v>8448</v>
      </c>
      <c r="AE1670">
        <v>-38.134561210000001</v>
      </c>
      <c r="AF1670">
        <v>176.24931760999999</v>
      </c>
      <c r="AG1670">
        <v>34</v>
      </c>
      <c r="AH1670">
        <v>0</v>
      </c>
      <c r="AI1670">
        <v>0</v>
      </c>
      <c r="AJ1670">
        <v>0</v>
      </c>
      <c r="AK1670">
        <v>0</v>
      </c>
      <c r="AL1670">
        <v>9</v>
      </c>
      <c r="AM1670">
        <v>18</v>
      </c>
      <c r="AN1670">
        <v>0</v>
      </c>
      <c r="AO1670">
        <v>27</v>
      </c>
      <c r="AP1670">
        <v>0</v>
      </c>
      <c r="AQ1670">
        <v>27</v>
      </c>
      <c r="AR1670">
        <v>0</v>
      </c>
      <c r="AS1670">
        <v>0</v>
      </c>
      <c r="AT1670">
        <v>0</v>
      </c>
    </row>
    <row r="1671" spans="1:46">
      <c r="A1671">
        <v>40121</v>
      </c>
      <c r="B1671" t="s">
        <v>10069</v>
      </c>
      <c r="C1671" t="s">
        <v>10070</v>
      </c>
      <c r="E1671" t="s">
        <v>10071</v>
      </c>
      <c r="F1671" t="s">
        <v>1670</v>
      </c>
      <c r="G1671" t="s">
        <v>1521</v>
      </c>
      <c r="H1671" t="s">
        <v>343</v>
      </c>
      <c r="J1671" t="s">
        <v>518</v>
      </c>
      <c r="K1671" t="s">
        <v>519</v>
      </c>
      <c r="L1671" t="s">
        <v>4205</v>
      </c>
      <c r="M1671" t="s">
        <v>1297</v>
      </c>
      <c r="N1671" t="s">
        <v>557</v>
      </c>
      <c r="O1671" t="s">
        <v>1522</v>
      </c>
      <c r="P1671" t="s">
        <v>584</v>
      </c>
      <c r="Q1671" t="s">
        <v>1471</v>
      </c>
      <c r="R1671" t="s">
        <v>1472</v>
      </c>
      <c r="S1671" t="s">
        <v>1521</v>
      </c>
      <c r="T1671" t="s">
        <v>1474</v>
      </c>
      <c r="U1671">
        <v>198500</v>
      </c>
      <c r="V1671" t="s">
        <v>1670</v>
      </c>
      <c r="W1671" t="s">
        <v>1523</v>
      </c>
      <c r="X1671" t="s">
        <v>8447</v>
      </c>
      <c r="Y1671" t="s">
        <v>4208</v>
      </c>
      <c r="Z1671" t="s">
        <v>4209</v>
      </c>
      <c r="AA1671" t="s">
        <v>4210</v>
      </c>
      <c r="AB1671" t="s">
        <v>8448</v>
      </c>
      <c r="AE1671">
        <v>-38.117198700000003</v>
      </c>
      <c r="AF1671">
        <v>176.22431377999999</v>
      </c>
      <c r="AG1671">
        <v>30</v>
      </c>
      <c r="AH1671">
        <v>6</v>
      </c>
      <c r="AI1671">
        <v>0</v>
      </c>
      <c r="AJ1671">
        <v>3</v>
      </c>
      <c r="AK1671">
        <v>11</v>
      </c>
      <c r="AL1671">
        <v>7</v>
      </c>
      <c r="AM1671">
        <v>8</v>
      </c>
      <c r="AN1671">
        <v>0</v>
      </c>
      <c r="AO1671">
        <v>29</v>
      </c>
      <c r="AP1671">
        <v>0</v>
      </c>
      <c r="AQ1671">
        <v>28</v>
      </c>
      <c r="AR1671">
        <v>1</v>
      </c>
      <c r="AS1671">
        <v>0</v>
      </c>
      <c r="AT1671">
        <v>0</v>
      </c>
    </row>
    <row r="1672" spans="1:46">
      <c r="A1672">
        <v>40122</v>
      </c>
      <c r="B1672" t="s">
        <v>10072</v>
      </c>
      <c r="C1672" t="s">
        <v>10073</v>
      </c>
      <c r="E1672" t="s">
        <v>10074</v>
      </c>
      <c r="F1672" t="s">
        <v>10075</v>
      </c>
      <c r="G1672" t="s">
        <v>1521</v>
      </c>
      <c r="H1672" t="s">
        <v>343</v>
      </c>
      <c r="J1672" t="s">
        <v>518</v>
      </c>
      <c r="K1672" t="s">
        <v>519</v>
      </c>
      <c r="L1672" t="s">
        <v>4205</v>
      </c>
      <c r="M1672" t="s">
        <v>1297</v>
      </c>
      <c r="N1672" t="s">
        <v>727</v>
      </c>
      <c r="O1672" t="s">
        <v>1522</v>
      </c>
      <c r="P1672" t="s">
        <v>584</v>
      </c>
      <c r="Q1672" t="s">
        <v>1471</v>
      </c>
      <c r="R1672" t="s">
        <v>1472</v>
      </c>
      <c r="S1672" t="s">
        <v>1521</v>
      </c>
      <c r="T1672" t="s">
        <v>1474</v>
      </c>
      <c r="U1672">
        <v>199700</v>
      </c>
      <c r="V1672" t="s">
        <v>1520</v>
      </c>
      <c r="W1672" t="s">
        <v>1523</v>
      </c>
      <c r="X1672" t="s">
        <v>8447</v>
      </c>
      <c r="Y1672" t="s">
        <v>4208</v>
      </c>
      <c r="Z1672" t="s">
        <v>4209</v>
      </c>
      <c r="AA1672" t="s">
        <v>4210</v>
      </c>
      <c r="AB1672" t="s">
        <v>8448</v>
      </c>
      <c r="AE1672">
        <v>-38.138485969999998</v>
      </c>
      <c r="AF1672">
        <v>176.22493811999999</v>
      </c>
      <c r="AG1672">
        <v>30</v>
      </c>
      <c r="AH1672">
        <v>8</v>
      </c>
      <c r="AI1672">
        <v>0</v>
      </c>
      <c r="AJ1672">
        <v>7</v>
      </c>
      <c r="AK1672">
        <v>4</v>
      </c>
      <c r="AL1672">
        <v>9</v>
      </c>
      <c r="AM1672">
        <v>6</v>
      </c>
      <c r="AN1672">
        <v>0</v>
      </c>
      <c r="AO1672">
        <v>26</v>
      </c>
      <c r="AP1672">
        <v>0</v>
      </c>
      <c r="AQ1672">
        <v>26</v>
      </c>
      <c r="AR1672">
        <v>0</v>
      </c>
      <c r="AS1672">
        <v>0</v>
      </c>
      <c r="AT1672">
        <v>0</v>
      </c>
    </row>
    <row r="1673" spans="1:46">
      <c r="A1673">
        <v>40123</v>
      </c>
      <c r="B1673" t="s">
        <v>10076</v>
      </c>
      <c r="C1673" t="s">
        <v>10077</v>
      </c>
      <c r="E1673" t="s">
        <v>10078</v>
      </c>
      <c r="F1673" t="s">
        <v>8491</v>
      </c>
      <c r="G1673" t="s">
        <v>1521</v>
      </c>
      <c r="H1673" t="s">
        <v>343</v>
      </c>
      <c r="J1673" t="s">
        <v>518</v>
      </c>
      <c r="K1673" t="s">
        <v>519</v>
      </c>
      <c r="L1673" t="s">
        <v>4205</v>
      </c>
      <c r="M1673" t="s">
        <v>1297</v>
      </c>
      <c r="N1673" t="s">
        <v>539</v>
      </c>
      <c r="O1673" t="s">
        <v>1522</v>
      </c>
      <c r="P1673" t="s">
        <v>584</v>
      </c>
      <c r="Q1673" t="s">
        <v>1471</v>
      </c>
      <c r="R1673" t="s">
        <v>1472</v>
      </c>
      <c r="S1673" t="s">
        <v>1521</v>
      </c>
      <c r="T1673" t="s">
        <v>1474</v>
      </c>
      <c r="U1673">
        <v>199800</v>
      </c>
      <c r="V1673" t="s">
        <v>8561</v>
      </c>
      <c r="W1673" t="s">
        <v>1523</v>
      </c>
      <c r="X1673" t="s">
        <v>8447</v>
      </c>
      <c r="Y1673" t="s">
        <v>4208</v>
      </c>
      <c r="Z1673" t="s">
        <v>4209</v>
      </c>
      <c r="AA1673" t="s">
        <v>4210</v>
      </c>
      <c r="AB1673" t="s">
        <v>8448</v>
      </c>
      <c r="AE1673">
        <v>-38.131369339999999</v>
      </c>
      <c r="AF1673">
        <v>176.24096003</v>
      </c>
      <c r="AG1673">
        <v>25</v>
      </c>
      <c r="AH1673">
        <v>5</v>
      </c>
      <c r="AI1673">
        <v>0</v>
      </c>
      <c r="AJ1673">
        <v>4</v>
      </c>
      <c r="AK1673">
        <v>7</v>
      </c>
      <c r="AL1673">
        <v>3</v>
      </c>
      <c r="AM1673">
        <v>6</v>
      </c>
      <c r="AN1673">
        <v>0</v>
      </c>
      <c r="AO1673">
        <v>20</v>
      </c>
      <c r="AP1673">
        <v>0</v>
      </c>
      <c r="AQ1673">
        <v>19</v>
      </c>
      <c r="AR1673">
        <v>1</v>
      </c>
      <c r="AS1673">
        <v>0</v>
      </c>
      <c r="AT1673">
        <v>0</v>
      </c>
    </row>
    <row r="1674" spans="1:46">
      <c r="A1674">
        <v>40124</v>
      </c>
      <c r="B1674" t="s">
        <v>10079</v>
      </c>
      <c r="C1674" t="s">
        <v>10080</v>
      </c>
      <c r="E1674" t="s">
        <v>10081</v>
      </c>
      <c r="F1674" t="s">
        <v>10010</v>
      </c>
      <c r="G1674" t="s">
        <v>1521</v>
      </c>
      <c r="H1674" t="s">
        <v>343</v>
      </c>
      <c r="J1674" t="s">
        <v>518</v>
      </c>
      <c r="K1674" t="s">
        <v>519</v>
      </c>
      <c r="L1674" t="s">
        <v>4205</v>
      </c>
      <c r="M1674" t="s">
        <v>1297</v>
      </c>
      <c r="N1674" t="s">
        <v>521</v>
      </c>
      <c r="O1674" t="s">
        <v>1522</v>
      </c>
      <c r="P1674" t="s">
        <v>584</v>
      </c>
      <c r="Q1674" t="s">
        <v>1471</v>
      </c>
      <c r="R1674" t="s">
        <v>1472</v>
      </c>
      <c r="S1674" t="s">
        <v>1521</v>
      </c>
      <c r="T1674" t="s">
        <v>1474</v>
      </c>
      <c r="U1674">
        <v>201300</v>
      </c>
      <c r="V1674" t="s">
        <v>8518</v>
      </c>
      <c r="W1674" t="s">
        <v>1523</v>
      </c>
      <c r="X1674" t="s">
        <v>8447</v>
      </c>
      <c r="Y1674" t="s">
        <v>4208</v>
      </c>
      <c r="Z1674" t="s">
        <v>4209</v>
      </c>
      <c r="AA1674" t="s">
        <v>4210</v>
      </c>
      <c r="AB1674" t="s">
        <v>8448</v>
      </c>
      <c r="AE1674">
        <v>-38.158311320000003</v>
      </c>
      <c r="AF1674">
        <v>176.26421163000001</v>
      </c>
      <c r="AG1674">
        <v>22</v>
      </c>
      <c r="AH1674">
        <v>8</v>
      </c>
      <c r="AI1674">
        <v>1</v>
      </c>
      <c r="AJ1674">
        <v>2</v>
      </c>
      <c r="AK1674">
        <v>7</v>
      </c>
      <c r="AL1674">
        <v>7</v>
      </c>
      <c r="AM1674">
        <v>1</v>
      </c>
      <c r="AN1674">
        <v>0</v>
      </c>
      <c r="AO1674">
        <v>18</v>
      </c>
      <c r="AP1674">
        <v>0</v>
      </c>
      <c r="AQ1674">
        <v>18</v>
      </c>
      <c r="AR1674">
        <v>0</v>
      </c>
      <c r="AS1674">
        <v>0</v>
      </c>
      <c r="AT1674">
        <v>0</v>
      </c>
    </row>
    <row r="1675" spans="1:46">
      <c r="A1675">
        <v>40125</v>
      </c>
      <c r="B1675" t="s">
        <v>10082</v>
      </c>
      <c r="C1675" t="s">
        <v>10083</v>
      </c>
      <c r="E1675" t="s">
        <v>10084</v>
      </c>
      <c r="G1675" t="s">
        <v>10085</v>
      </c>
      <c r="H1675" t="s">
        <v>343</v>
      </c>
      <c r="J1675" t="s">
        <v>518</v>
      </c>
      <c r="K1675" t="s">
        <v>519</v>
      </c>
      <c r="L1675" t="s">
        <v>4205</v>
      </c>
      <c r="M1675" t="s">
        <v>1297</v>
      </c>
      <c r="N1675" t="s">
        <v>521</v>
      </c>
      <c r="O1675" t="s">
        <v>1522</v>
      </c>
      <c r="P1675" t="s">
        <v>540</v>
      </c>
      <c r="Q1675" t="s">
        <v>1471</v>
      </c>
      <c r="R1675" t="s">
        <v>1472</v>
      </c>
      <c r="S1675" t="s">
        <v>1521</v>
      </c>
      <c r="T1675" t="s">
        <v>1474</v>
      </c>
      <c r="U1675">
        <v>198700</v>
      </c>
      <c r="V1675" t="s">
        <v>10086</v>
      </c>
      <c r="W1675" t="s">
        <v>1523</v>
      </c>
      <c r="X1675" t="s">
        <v>8447</v>
      </c>
      <c r="Y1675" t="s">
        <v>4208</v>
      </c>
      <c r="Z1675" t="s">
        <v>4209</v>
      </c>
      <c r="AA1675" t="s">
        <v>4210</v>
      </c>
      <c r="AB1675" t="s">
        <v>8448</v>
      </c>
      <c r="AE1675">
        <v>-38.016952289999999</v>
      </c>
      <c r="AF1675">
        <v>176.34660969999999</v>
      </c>
      <c r="AG1675">
        <v>25</v>
      </c>
      <c r="AH1675">
        <v>8</v>
      </c>
      <c r="AI1675">
        <v>0</v>
      </c>
      <c r="AJ1675">
        <v>6</v>
      </c>
      <c r="AK1675">
        <v>5</v>
      </c>
      <c r="AL1675">
        <v>4</v>
      </c>
      <c r="AM1675">
        <v>10</v>
      </c>
      <c r="AN1675">
        <v>0</v>
      </c>
      <c r="AO1675">
        <v>25</v>
      </c>
      <c r="AP1675">
        <v>0</v>
      </c>
      <c r="AQ1675">
        <v>25</v>
      </c>
      <c r="AR1675">
        <v>0</v>
      </c>
      <c r="AS1675">
        <v>0</v>
      </c>
      <c r="AT1675">
        <v>0</v>
      </c>
    </row>
    <row r="1676" spans="1:46">
      <c r="A1676">
        <v>40126</v>
      </c>
      <c r="B1676" t="s">
        <v>10087</v>
      </c>
      <c r="C1676" t="s">
        <v>10088</v>
      </c>
      <c r="E1676" t="s">
        <v>10089</v>
      </c>
      <c r="F1676" t="s">
        <v>10090</v>
      </c>
      <c r="G1676" t="s">
        <v>1521</v>
      </c>
      <c r="H1676" t="s">
        <v>343</v>
      </c>
      <c r="J1676" t="s">
        <v>518</v>
      </c>
      <c r="K1676" t="s">
        <v>519</v>
      </c>
      <c r="L1676" t="s">
        <v>4205</v>
      </c>
      <c r="M1676" t="s">
        <v>1297</v>
      </c>
      <c r="N1676" t="s">
        <v>539</v>
      </c>
      <c r="O1676" t="s">
        <v>1522</v>
      </c>
      <c r="P1676" t="s">
        <v>584</v>
      </c>
      <c r="Q1676" t="s">
        <v>1471</v>
      </c>
      <c r="R1676" t="s">
        <v>1472</v>
      </c>
      <c r="S1676" t="s">
        <v>1521</v>
      </c>
      <c r="T1676" t="s">
        <v>1474</v>
      </c>
      <c r="U1676">
        <v>201001</v>
      </c>
      <c r="V1676" t="s">
        <v>10091</v>
      </c>
      <c r="W1676" t="s">
        <v>1523</v>
      </c>
      <c r="X1676" t="s">
        <v>8447</v>
      </c>
      <c r="Y1676" t="s">
        <v>4208</v>
      </c>
      <c r="Z1676" t="s">
        <v>4209</v>
      </c>
      <c r="AA1676" t="s">
        <v>4210</v>
      </c>
      <c r="AB1676" t="s">
        <v>8448</v>
      </c>
      <c r="AE1676">
        <v>-38.108218360000002</v>
      </c>
      <c r="AF1676">
        <v>176.3206552</v>
      </c>
      <c r="AG1676">
        <v>25</v>
      </c>
      <c r="AH1676">
        <v>6</v>
      </c>
      <c r="AI1676">
        <v>0</v>
      </c>
      <c r="AJ1676">
        <v>5</v>
      </c>
      <c r="AK1676">
        <v>3</v>
      </c>
      <c r="AL1676">
        <v>6</v>
      </c>
      <c r="AM1676">
        <v>2</v>
      </c>
      <c r="AN1676">
        <v>0</v>
      </c>
      <c r="AO1676">
        <v>16</v>
      </c>
      <c r="AP1676">
        <v>0</v>
      </c>
      <c r="AQ1676">
        <v>15</v>
      </c>
      <c r="AR1676">
        <v>1</v>
      </c>
      <c r="AS1676">
        <v>0</v>
      </c>
      <c r="AT1676">
        <v>0</v>
      </c>
    </row>
    <row r="1677" spans="1:46">
      <c r="A1677">
        <v>40127</v>
      </c>
      <c r="B1677" t="s">
        <v>10092</v>
      </c>
      <c r="C1677" t="s">
        <v>10093</v>
      </c>
      <c r="E1677" t="s">
        <v>10094</v>
      </c>
      <c r="G1677" t="s">
        <v>10095</v>
      </c>
      <c r="H1677" t="s">
        <v>343</v>
      </c>
      <c r="J1677" t="s">
        <v>518</v>
      </c>
      <c r="K1677" t="s">
        <v>519</v>
      </c>
      <c r="L1677" t="s">
        <v>4205</v>
      </c>
      <c r="M1677" t="s">
        <v>1297</v>
      </c>
      <c r="N1677" t="s">
        <v>539</v>
      </c>
      <c r="O1677" t="s">
        <v>1522</v>
      </c>
      <c r="P1677" t="s">
        <v>540</v>
      </c>
      <c r="Q1677" t="s">
        <v>1471</v>
      </c>
      <c r="R1677" t="s">
        <v>1472</v>
      </c>
      <c r="S1677" t="s">
        <v>1521</v>
      </c>
      <c r="T1677" t="s">
        <v>1474</v>
      </c>
      <c r="U1677">
        <v>198700</v>
      </c>
      <c r="V1677" t="s">
        <v>10086</v>
      </c>
      <c r="W1677" t="s">
        <v>1523</v>
      </c>
      <c r="X1677" t="s">
        <v>8447</v>
      </c>
      <c r="Y1677" t="s">
        <v>4208</v>
      </c>
      <c r="Z1677" t="s">
        <v>4209</v>
      </c>
      <c r="AA1677" t="s">
        <v>4210</v>
      </c>
      <c r="AB1677" t="s">
        <v>8448</v>
      </c>
      <c r="AE1677">
        <v>-38.047863589999999</v>
      </c>
      <c r="AF1677">
        <v>176.48403275999999</v>
      </c>
      <c r="AG1677">
        <v>18</v>
      </c>
      <c r="AH1677">
        <v>9</v>
      </c>
      <c r="AI1677">
        <v>0</v>
      </c>
      <c r="AJ1677">
        <v>4</v>
      </c>
      <c r="AK1677">
        <v>5</v>
      </c>
      <c r="AL1677">
        <v>2</v>
      </c>
      <c r="AM1677">
        <v>4</v>
      </c>
      <c r="AN1677">
        <v>0</v>
      </c>
      <c r="AO1677">
        <v>15</v>
      </c>
      <c r="AP1677">
        <v>0</v>
      </c>
      <c r="AQ1677">
        <v>14</v>
      </c>
      <c r="AR1677">
        <v>0</v>
      </c>
      <c r="AS1677">
        <v>0</v>
      </c>
      <c r="AT1677">
        <v>1</v>
      </c>
    </row>
    <row r="1678" spans="1:46">
      <c r="A1678">
        <v>40129</v>
      </c>
      <c r="B1678" t="s">
        <v>10096</v>
      </c>
      <c r="C1678" t="s">
        <v>10097</v>
      </c>
      <c r="E1678" t="s">
        <v>10098</v>
      </c>
      <c r="F1678" t="s">
        <v>1605</v>
      </c>
      <c r="G1678" t="s">
        <v>1521</v>
      </c>
      <c r="H1678" t="s">
        <v>343</v>
      </c>
      <c r="J1678" t="s">
        <v>518</v>
      </c>
      <c r="K1678" t="s">
        <v>519</v>
      </c>
      <c r="L1678" t="s">
        <v>4205</v>
      </c>
      <c r="M1678" t="s">
        <v>1297</v>
      </c>
      <c r="N1678" t="s">
        <v>521</v>
      </c>
      <c r="O1678" t="s">
        <v>1522</v>
      </c>
      <c r="P1678" t="s">
        <v>523</v>
      </c>
      <c r="Q1678" t="s">
        <v>1471</v>
      </c>
      <c r="R1678" t="s">
        <v>1472</v>
      </c>
      <c r="S1678" t="s">
        <v>1521</v>
      </c>
      <c r="T1678" t="s">
        <v>1474</v>
      </c>
      <c r="U1678">
        <v>198100</v>
      </c>
      <c r="V1678" t="s">
        <v>9887</v>
      </c>
      <c r="W1678" t="s">
        <v>1523</v>
      </c>
      <c r="X1678" t="s">
        <v>8447</v>
      </c>
      <c r="Y1678" t="s">
        <v>4208</v>
      </c>
      <c r="Z1678" t="s">
        <v>4209</v>
      </c>
      <c r="AA1678" t="s">
        <v>4210</v>
      </c>
      <c r="AB1678" t="s">
        <v>8448</v>
      </c>
      <c r="AE1678">
        <v>-38.080306489999998</v>
      </c>
      <c r="AF1678">
        <v>176.21503815</v>
      </c>
      <c r="AG1678">
        <v>16</v>
      </c>
      <c r="AH1678">
        <v>4</v>
      </c>
      <c r="AI1678">
        <v>1</v>
      </c>
      <c r="AJ1678">
        <v>3</v>
      </c>
      <c r="AK1678">
        <v>5</v>
      </c>
      <c r="AL1678">
        <v>3</v>
      </c>
      <c r="AM1678">
        <v>2</v>
      </c>
      <c r="AN1678">
        <v>0</v>
      </c>
      <c r="AO1678">
        <v>14</v>
      </c>
      <c r="AP1678">
        <v>0</v>
      </c>
      <c r="AQ1678">
        <v>14</v>
      </c>
      <c r="AR1678">
        <v>0</v>
      </c>
      <c r="AS1678">
        <v>0</v>
      </c>
      <c r="AT1678">
        <v>0</v>
      </c>
    </row>
    <row r="1679" spans="1:46">
      <c r="A1679">
        <v>40130</v>
      </c>
      <c r="B1679" t="s">
        <v>10099</v>
      </c>
      <c r="C1679" t="s">
        <v>10100</v>
      </c>
      <c r="E1679" t="s">
        <v>10101</v>
      </c>
      <c r="G1679" t="s">
        <v>1545</v>
      </c>
      <c r="H1679" t="s">
        <v>343</v>
      </c>
      <c r="J1679" t="s">
        <v>518</v>
      </c>
      <c r="K1679" t="s">
        <v>519</v>
      </c>
      <c r="L1679" t="s">
        <v>4205</v>
      </c>
      <c r="M1679" t="s">
        <v>1297</v>
      </c>
      <c r="N1679" t="s">
        <v>557</v>
      </c>
      <c r="O1679" t="s">
        <v>1546</v>
      </c>
      <c r="P1679" t="s">
        <v>1262</v>
      </c>
      <c r="Q1679" t="s">
        <v>1299</v>
      </c>
      <c r="R1679" t="s">
        <v>1472</v>
      </c>
      <c r="S1679" t="s">
        <v>1320</v>
      </c>
      <c r="T1679" t="s">
        <v>1474</v>
      </c>
      <c r="U1679">
        <v>189101</v>
      </c>
      <c r="V1679" t="s">
        <v>9831</v>
      </c>
      <c r="W1679" t="s">
        <v>1548</v>
      </c>
      <c r="X1679" t="s">
        <v>8447</v>
      </c>
      <c r="Y1679" t="s">
        <v>4208</v>
      </c>
      <c r="Z1679" t="s">
        <v>4209</v>
      </c>
      <c r="AA1679" t="s">
        <v>4210</v>
      </c>
      <c r="AB1679" t="s">
        <v>8448</v>
      </c>
      <c r="AE1679">
        <v>-38.691540799999999</v>
      </c>
      <c r="AF1679">
        <v>176.10115880000001</v>
      </c>
      <c r="AG1679">
        <v>35</v>
      </c>
      <c r="AH1679">
        <v>9</v>
      </c>
      <c r="AI1679">
        <v>2</v>
      </c>
      <c r="AJ1679">
        <v>7</v>
      </c>
      <c r="AK1679">
        <v>4</v>
      </c>
      <c r="AL1679">
        <v>5</v>
      </c>
      <c r="AM1679">
        <v>4</v>
      </c>
      <c r="AN1679">
        <v>0</v>
      </c>
      <c r="AO1679">
        <v>22</v>
      </c>
      <c r="AP1679">
        <v>0</v>
      </c>
      <c r="AQ1679">
        <v>20</v>
      </c>
      <c r="AR1679">
        <v>0</v>
      </c>
      <c r="AS1679">
        <v>0</v>
      </c>
      <c r="AT1679">
        <v>2</v>
      </c>
    </row>
    <row r="1680" spans="1:46">
      <c r="A1680">
        <v>40132</v>
      </c>
      <c r="B1680" t="s">
        <v>10102</v>
      </c>
      <c r="C1680" t="s">
        <v>10103</v>
      </c>
      <c r="E1680" t="s">
        <v>10104</v>
      </c>
      <c r="F1680" t="s">
        <v>8453</v>
      </c>
      <c r="G1680" t="s">
        <v>1545</v>
      </c>
      <c r="H1680" t="s">
        <v>343</v>
      </c>
      <c r="J1680" t="s">
        <v>518</v>
      </c>
      <c r="K1680" t="s">
        <v>519</v>
      </c>
      <c r="L1680" t="s">
        <v>4205</v>
      </c>
      <c r="M1680" t="s">
        <v>1297</v>
      </c>
      <c r="N1680" t="s">
        <v>521</v>
      </c>
      <c r="O1680" t="s">
        <v>1546</v>
      </c>
      <c r="P1680" t="s">
        <v>1262</v>
      </c>
      <c r="Q1680" t="s">
        <v>1299</v>
      </c>
      <c r="R1680" t="s">
        <v>1472</v>
      </c>
      <c r="S1680" t="s">
        <v>1320</v>
      </c>
      <c r="T1680" t="s">
        <v>1474</v>
      </c>
      <c r="U1680">
        <v>188501</v>
      </c>
      <c r="V1680" t="s">
        <v>8453</v>
      </c>
      <c r="W1680" t="s">
        <v>1548</v>
      </c>
      <c r="X1680" t="s">
        <v>8447</v>
      </c>
      <c r="Y1680" t="s">
        <v>4208</v>
      </c>
      <c r="Z1680" t="s">
        <v>4209</v>
      </c>
      <c r="AA1680" t="s">
        <v>4210</v>
      </c>
      <c r="AB1680" t="s">
        <v>8448</v>
      </c>
      <c r="AE1680">
        <v>-38.682615650000002</v>
      </c>
      <c r="AF1680">
        <v>176.06095995999999</v>
      </c>
      <c r="AG1680">
        <v>15</v>
      </c>
      <c r="AH1680">
        <v>5</v>
      </c>
      <c r="AI1680">
        <v>0</v>
      </c>
      <c r="AJ1680">
        <v>1</v>
      </c>
      <c r="AK1680">
        <v>3</v>
      </c>
      <c r="AL1680">
        <v>0</v>
      </c>
      <c r="AM1680">
        <v>3</v>
      </c>
      <c r="AN1680">
        <v>0</v>
      </c>
      <c r="AO1680">
        <v>7</v>
      </c>
      <c r="AP1680">
        <v>0</v>
      </c>
      <c r="AQ1680">
        <v>7</v>
      </c>
      <c r="AR1680">
        <v>0</v>
      </c>
      <c r="AS1680">
        <v>0</v>
      </c>
      <c r="AT1680">
        <v>0</v>
      </c>
    </row>
    <row r="1681" spans="1:46">
      <c r="A1681">
        <v>40133</v>
      </c>
      <c r="B1681" t="s">
        <v>10105</v>
      </c>
      <c r="C1681" t="s">
        <v>10106</v>
      </c>
      <c r="E1681" t="s">
        <v>9749</v>
      </c>
      <c r="G1681" t="s">
        <v>10107</v>
      </c>
      <c r="H1681" t="s">
        <v>343</v>
      </c>
      <c r="J1681" t="s">
        <v>518</v>
      </c>
      <c r="K1681" t="s">
        <v>519</v>
      </c>
      <c r="L1681" t="s">
        <v>4205</v>
      </c>
      <c r="M1681" t="s">
        <v>1297</v>
      </c>
      <c r="N1681" t="s">
        <v>727</v>
      </c>
      <c r="O1681" t="s">
        <v>1546</v>
      </c>
      <c r="P1681" t="s">
        <v>540</v>
      </c>
      <c r="Q1681" t="s">
        <v>1299</v>
      </c>
      <c r="R1681" t="s">
        <v>1472</v>
      </c>
      <c r="S1681" t="s">
        <v>1320</v>
      </c>
      <c r="T1681" t="s">
        <v>1474</v>
      </c>
      <c r="U1681">
        <v>189600</v>
      </c>
      <c r="V1681" t="s">
        <v>10107</v>
      </c>
      <c r="W1681" t="s">
        <v>1548</v>
      </c>
      <c r="X1681" t="s">
        <v>8447</v>
      </c>
      <c r="Y1681" t="s">
        <v>4208</v>
      </c>
      <c r="Z1681" t="s">
        <v>4209</v>
      </c>
      <c r="AA1681" t="s">
        <v>4210</v>
      </c>
      <c r="AB1681" t="s">
        <v>8448</v>
      </c>
      <c r="AE1681">
        <v>-38.788114200000003</v>
      </c>
      <c r="AF1681">
        <v>176.07682611999999</v>
      </c>
      <c r="AG1681">
        <v>30</v>
      </c>
      <c r="AH1681">
        <v>8</v>
      </c>
      <c r="AI1681">
        <v>2</v>
      </c>
      <c r="AJ1681">
        <v>4</v>
      </c>
      <c r="AK1681">
        <v>6</v>
      </c>
      <c r="AL1681">
        <v>8</v>
      </c>
      <c r="AM1681">
        <v>5</v>
      </c>
      <c r="AN1681">
        <v>0</v>
      </c>
      <c r="AO1681">
        <v>25</v>
      </c>
      <c r="AP1681">
        <v>0</v>
      </c>
      <c r="AQ1681">
        <v>25</v>
      </c>
      <c r="AR1681">
        <v>0</v>
      </c>
      <c r="AS1681">
        <v>0</v>
      </c>
      <c r="AT1681">
        <v>0</v>
      </c>
    </row>
    <row r="1682" spans="1:46">
      <c r="A1682">
        <v>40137</v>
      </c>
      <c r="B1682" t="s">
        <v>10108</v>
      </c>
      <c r="C1682" t="s">
        <v>10109</v>
      </c>
      <c r="E1682" t="s">
        <v>10110</v>
      </c>
      <c r="G1682" t="s">
        <v>1679</v>
      </c>
      <c r="H1682" t="s">
        <v>343</v>
      </c>
      <c r="J1682" t="s">
        <v>518</v>
      </c>
      <c r="K1682" t="s">
        <v>519</v>
      </c>
      <c r="L1682" t="s">
        <v>4205</v>
      </c>
      <c r="M1682" t="s">
        <v>1297</v>
      </c>
      <c r="N1682" t="s">
        <v>521</v>
      </c>
      <c r="O1682" t="s">
        <v>1546</v>
      </c>
      <c r="P1682" t="s">
        <v>572</v>
      </c>
      <c r="Q1682" t="s">
        <v>1299</v>
      </c>
      <c r="R1682" t="s">
        <v>1472</v>
      </c>
      <c r="S1682" t="s">
        <v>1320</v>
      </c>
      <c r="T1682" t="s">
        <v>1474</v>
      </c>
      <c r="U1682">
        <v>187900</v>
      </c>
      <c r="V1682" t="s">
        <v>10111</v>
      </c>
      <c r="W1682" t="s">
        <v>1681</v>
      </c>
      <c r="X1682" t="s">
        <v>8447</v>
      </c>
      <c r="Y1682" t="s">
        <v>4208</v>
      </c>
      <c r="Z1682" t="s">
        <v>4209</v>
      </c>
      <c r="AA1682" t="s">
        <v>4210</v>
      </c>
      <c r="AB1682" t="s">
        <v>8448</v>
      </c>
      <c r="AE1682">
        <v>-39.036970789999998</v>
      </c>
      <c r="AF1682">
        <v>175.65054764999999</v>
      </c>
      <c r="AG1682">
        <v>18</v>
      </c>
      <c r="AH1682">
        <v>6</v>
      </c>
      <c r="AI1682">
        <v>0</v>
      </c>
      <c r="AJ1682">
        <v>5</v>
      </c>
      <c r="AK1682">
        <v>4</v>
      </c>
      <c r="AL1682">
        <v>2</v>
      </c>
      <c r="AM1682">
        <v>1</v>
      </c>
      <c r="AN1682">
        <v>0</v>
      </c>
      <c r="AO1682">
        <v>12</v>
      </c>
      <c r="AP1682">
        <v>0</v>
      </c>
      <c r="AQ1682">
        <v>12</v>
      </c>
      <c r="AR1682">
        <v>0</v>
      </c>
      <c r="AS1682">
        <v>0</v>
      </c>
      <c r="AT1682">
        <v>0</v>
      </c>
    </row>
    <row r="1683" spans="1:46">
      <c r="A1683">
        <v>40139</v>
      </c>
      <c r="B1683" t="s">
        <v>10112</v>
      </c>
      <c r="C1683" t="s">
        <v>10113</v>
      </c>
      <c r="E1683" t="s">
        <v>10114</v>
      </c>
      <c r="G1683" t="s">
        <v>1679</v>
      </c>
      <c r="H1683" t="s">
        <v>343</v>
      </c>
      <c r="J1683" t="s">
        <v>518</v>
      </c>
      <c r="K1683" t="s">
        <v>519</v>
      </c>
      <c r="L1683" t="s">
        <v>4205</v>
      </c>
      <c r="M1683" t="s">
        <v>1297</v>
      </c>
      <c r="N1683" t="s">
        <v>521</v>
      </c>
      <c r="O1683" t="s">
        <v>1546</v>
      </c>
      <c r="P1683" t="s">
        <v>572</v>
      </c>
      <c r="Q1683" t="s">
        <v>1299</v>
      </c>
      <c r="R1683" t="s">
        <v>1472</v>
      </c>
      <c r="S1683" t="s">
        <v>1320</v>
      </c>
      <c r="T1683" t="s">
        <v>1474</v>
      </c>
      <c r="U1683">
        <v>187900</v>
      </c>
      <c r="V1683" t="s">
        <v>10111</v>
      </c>
      <c r="W1683" t="s">
        <v>1681</v>
      </c>
      <c r="X1683" t="s">
        <v>8447</v>
      </c>
      <c r="Y1683" t="s">
        <v>4208</v>
      </c>
      <c r="Z1683" t="s">
        <v>4209</v>
      </c>
      <c r="AA1683" t="s">
        <v>4210</v>
      </c>
      <c r="AB1683" t="s">
        <v>8448</v>
      </c>
      <c r="AE1683">
        <v>-38.957187490000003</v>
      </c>
      <c r="AF1683">
        <v>175.86392785000001</v>
      </c>
      <c r="AG1683">
        <v>20</v>
      </c>
      <c r="AH1683">
        <v>8</v>
      </c>
      <c r="AI1683">
        <v>1</v>
      </c>
      <c r="AJ1683">
        <v>0</v>
      </c>
      <c r="AK1683">
        <v>4</v>
      </c>
      <c r="AL1683">
        <v>3</v>
      </c>
      <c r="AM1683">
        <v>2</v>
      </c>
      <c r="AN1683">
        <v>0</v>
      </c>
      <c r="AO1683">
        <v>10</v>
      </c>
      <c r="AP1683">
        <v>0</v>
      </c>
      <c r="AQ1683">
        <v>9</v>
      </c>
      <c r="AR1683">
        <v>0</v>
      </c>
      <c r="AS1683">
        <v>0</v>
      </c>
      <c r="AT1683">
        <v>1</v>
      </c>
    </row>
    <row r="1684" spans="1:46">
      <c r="A1684">
        <v>40140</v>
      </c>
      <c r="B1684" t="s">
        <v>10115</v>
      </c>
      <c r="C1684" t="s">
        <v>10116</v>
      </c>
      <c r="E1684" t="s">
        <v>10117</v>
      </c>
      <c r="F1684" t="s">
        <v>8453</v>
      </c>
      <c r="G1684" t="s">
        <v>1545</v>
      </c>
      <c r="H1684" t="s">
        <v>343</v>
      </c>
      <c r="J1684" t="s">
        <v>518</v>
      </c>
      <c r="K1684" t="s">
        <v>519</v>
      </c>
      <c r="L1684" t="s">
        <v>4205</v>
      </c>
      <c r="M1684" t="s">
        <v>1297</v>
      </c>
      <c r="N1684" t="s">
        <v>539</v>
      </c>
      <c r="O1684" t="s">
        <v>1546</v>
      </c>
      <c r="P1684" t="s">
        <v>1262</v>
      </c>
      <c r="Q1684" t="s">
        <v>1299</v>
      </c>
      <c r="R1684" t="s">
        <v>1472</v>
      </c>
      <c r="S1684" t="s">
        <v>1320</v>
      </c>
      <c r="T1684" t="s">
        <v>1474</v>
      </c>
      <c r="U1684">
        <v>188501</v>
      </c>
      <c r="V1684" t="s">
        <v>8453</v>
      </c>
      <c r="W1684" t="s">
        <v>1548</v>
      </c>
      <c r="X1684" t="s">
        <v>8447</v>
      </c>
      <c r="Y1684" t="s">
        <v>4208</v>
      </c>
      <c r="Z1684" t="s">
        <v>4209</v>
      </c>
      <c r="AA1684" t="s">
        <v>4210</v>
      </c>
      <c r="AB1684" t="s">
        <v>8448</v>
      </c>
      <c r="AE1684">
        <v>-38.684249649999998</v>
      </c>
      <c r="AF1684">
        <v>176.06218677000001</v>
      </c>
      <c r="AG1684">
        <v>20</v>
      </c>
      <c r="AH1684">
        <v>5</v>
      </c>
      <c r="AI1684">
        <v>0</v>
      </c>
      <c r="AJ1684">
        <v>4</v>
      </c>
      <c r="AK1684">
        <v>3</v>
      </c>
      <c r="AL1684">
        <v>7</v>
      </c>
      <c r="AM1684">
        <v>1</v>
      </c>
      <c r="AN1684">
        <v>0</v>
      </c>
      <c r="AO1684">
        <v>15</v>
      </c>
      <c r="AP1684">
        <v>0</v>
      </c>
      <c r="AQ1684">
        <v>15</v>
      </c>
      <c r="AR1684">
        <v>0</v>
      </c>
      <c r="AS1684">
        <v>0</v>
      </c>
      <c r="AT1684">
        <v>0</v>
      </c>
    </row>
    <row r="1685" spans="1:46">
      <c r="A1685">
        <v>40141</v>
      </c>
      <c r="B1685" t="s">
        <v>10118</v>
      </c>
      <c r="C1685" t="s">
        <v>10119</v>
      </c>
      <c r="E1685" t="s">
        <v>10120</v>
      </c>
      <c r="G1685" t="s">
        <v>9825</v>
      </c>
      <c r="H1685" t="s">
        <v>343</v>
      </c>
      <c r="J1685" t="s">
        <v>518</v>
      </c>
      <c r="K1685" t="s">
        <v>519</v>
      </c>
      <c r="L1685" t="s">
        <v>4205</v>
      </c>
      <c r="M1685" t="s">
        <v>1297</v>
      </c>
      <c r="N1685" t="s">
        <v>557</v>
      </c>
      <c r="O1685" t="s">
        <v>1522</v>
      </c>
      <c r="P1685" t="s">
        <v>572</v>
      </c>
      <c r="Q1685" t="s">
        <v>1299</v>
      </c>
      <c r="R1685" t="s">
        <v>1472</v>
      </c>
      <c r="S1685" t="s">
        <v>1521</v>
      </c>
      <c r="T1685" t="s">
        <v>1474</v>
      </c>
      <c r="U1685">
        <v>201800</v>
      </c>
      <c r="V1685" t="s">
        <v>9826</v>
      </c>
      <c r="W1685" t="s">
        <v>9827</v>
      </c>
      <c r="X1685" t="s">
        <v>8447</v>
      </c>
      <c r="Y1685" t="s">
        <v>4208</v>
      </c>
      <c r="Z1685" t="s">
        <v>4209</v>
      </c>
      <c r="AA1685" t="s">
        <v>4210</v>
      </c>
      <c r="AB1685" t="s">
        <v>8448</v>
      </c>
      <c r="AE1685">
        <v>-38.432049839999998</v>
      </c>
      <c r="AF1685">
        <v>176.31996556000001</v>
      </c>
      <c r="AG1685">
        <v>15</v>
      </c>
      <c r="AH1685">
        <v>6</v>
      </c>
      <c r="AI1685">
        <v>1</v>
      </c>
      <c r="AJ1685">
        <v>3</v>
      </c>
      <c r="AK1685">
        <v>4</v>
      </c>
      <c r="AL1685">
        <v>4</v>
      </c>
      <c r="AM1685">
        <v>1</v>
      </c>
      <c r="AN1685">
        <v>0</v>
      </c>
      <c r="AO1685">
        <v>13</v>
      </c>
      <c r="AP1685">
        <v>0</v>
      </c>
      <c r="AQ1685">
        <v>13</v>
      </c>
      <c r="AR1685">
        <v>0</v>
      </c>
      <c r="AS1685">
        <v>0</v>
      </c>
      <c r="AT1685">
        <v>0</v>
      </c>
    </row>
    <row r="1686" spans="1:46">
      <c r="A1686">
        <v>40143</v>
      </c>
      <c r="B1686" t="s">
        <v>10121</v>
      </c>
      <c r="C1686" t="s">
        <v>10122</v>
      </c>
      <c r="E1686" t="s">
        <v>10123</v>
      </c>
      <c r="F1686" t="s">
        <v>10124</v>
      </c>
      <c r="G1686" t="s">
        <v>1598</v>
      </c>
      <c r="H1686" t="s">
        <v>343</v>
      </c>
      <c r="J1686" t="s">
        <v>518</v>
      </c>
      <c r="K1686" t="s">
        <v>519</v>
      </c>
      <c r="L1686" t="s">
        <v>4205</v>
      </c>
      <c r="M1686" t="s">
        <v>1297</v>
      </c>
      <c r="N1686" t="s">
        <v>521</v>
      </c>
      <c r="O1686" t="s">
        <v>1698</v>
      </c>
      <c r="P1686" t="s">
        <v>654</v>
      </c>
      <c r="Q1686" t="s">
        <v>1471</v>
      </c>
      <c r="R1686" t="s">
        <v>1472</v>
      </c>
      <c r="S1686" t="s">
        <v>1699</v>
      </c>
      <c r="T1686" t="s">
        <v>1474</v>
      </c>
      <c r="U1686">
        <v>196000</v>
      </c>
      <c r="V1686" t="s">
        <v>10124</v>
      </c>
      <c r="W1686" t="s">
        <v>1731</v>
      </c>
      <c r="X1686" t="s">
        <v>10125</v>
      </c>
      <c r="Y1686" t="s">
        <v>4208</v>
      </c>
      <c r="Z1686" t="s">
        <v>4209</v>
      </c>
      <c r="AA1686" t="s">
        <v>4210</v>
      </c>
      <c r="AB1686" t="s">
        <v>10126</v>
      </c>
      <c r="AE1686">
        <v>-37.724073740000001</v>
      </c>
      <c r="AF1686">
        <v>176.16542451000001</v>
      </c>
      <c r="AG1686">
        <v>35</v>
      </c>
      <c r="AH1686">
        <v>14</v>
      </c>
      <c r="AI1686">
        <v>0</v>
      </c>
      <c r="AJ1686">
        <v>3</v>
      </c>
      <c r="AK1686">
        <v>6</v>
      </c>
      <c r="AL1686">
        <v>9</v>
      </c>
      <c r="AM1686">
        <v>4</v>
      </c>
      <c r="AN1686">
        <v>0</v>
      </c>
      <c r="AO1686">
        <v>22</v>
      </c>
      <c r="AP1686">
        <v>0</v>
      </c>
      <c r="AQ1686">
        <v>22</v>
      </c>
      <c r="AR1686">
        <v>0</v>
      </c>
      <c r="AS1686">
        <v>0</v>
      </c>
      <c r="AT1686">
        <v>0</v>
      </c>
    </row>
    <row r="1687" spans="1:46">
      <c r="A1687">
        <v>40144</v>
      </c>
      <c r="B1687" t="s">
        <v>10127</v>
      </c>
      <c r="C1687" t="s">
        <v>10128</v>
      </c>
      <c r="E1687" t="s">
        <v>10129</v>
      </c>
      <c r="F1687" t="s">
        <v>8472</v>
      </c>
      <c r="G1687" t="s">
        <v>1598</v>
      </c>
      <c r="H1687" t="s">
        <v>343</v>
      </c>
      <c r="J1687" t="s">
        <v>518</v>
      </c>
      <c r="K1687" t="s">
        <v>519</v>
      </c>
      <c r="L1687" t="s">
        <v>4205</v>
      </c>
      <c r="M1687" t="s">
        <v>1297</v>
      </c>
      <c r="N1687" t="s">
        <v>539</v>
      </c>
      <c r="O1687" t="s">
        <v>1698</v>
      </c>
      <c r="P1687" t="s">
        <v>654</v>
      </c>
      <c r="Q1687" t="s">
        <v>1471</v>
      </c>
      <c r="R1687" t="s">
        <v>1472</v>
      </c>
      <c r="S1687" t="s">
        <v>1598</v>
      </c>
      <c r="T1687" t="s">
        <v>1474</v>
      </c>
      <c r="U1687">
        <v>193000</v>
      </c>
      <c r="V1687" t="s">
        <v>10130</v>
      </c>
      <c r="W1687" t="s">
        <v>1709</v>
      </c>
      <c r="X1687" t="s">
        <v>10125</v>
      </c>
      <c r="Y1687" t="s">
        <v>4208</v>
      </c>
      <c r="Z1687" t="s">
        <v>4209</v>
      </c>
      <c r="AA1687" t="s">
        <v>4210</v>
      </c>
      <c r="AB1687" t="s">
        <v>10126</v>
      </c>
      <c r="AE1687">
        <v>-37.681939059999998</v>
      </c>
      <c r="AF1687">
        <v>176.10828463999999</v>
      </c>
      <c r="AG1687">
        <v>30</v>
      </c>
      <c r="AH1687">
        <v>8</v>
      </c>
      <c r="AI1687">
        <v>0</v>
      </c>
      <c r="AJ1687">
        <v>4</v>
      </c>
      <c r="AK1687">
        <v>8</v>
      </c>
      <c r="AL1687">
        <v>2</v>
      </c>
      <c r="AM1687">
        <v>1</v>
      </c>
      <c r="AN1687">
        <v>0</v>
      </c>
      <c r="AO1687">
        <v>15</v>
      </c>
      <c r="AP1687">
        <v>0</v>
      </c>
      <c r="AQ1687">
        <v>15</v>
      </c>
      <c r="AR1687">
        <v>0</v>
      </c>
      <c r="AS1687">
        <v>0</v>
      </c>
      <c r="AT1687">
        <v>0</v>
      </c>
    </row>
    <row r="1688" spans="1:46">
      <c r="A1688">
        <v>40145</v>
      </c>
      <c r="B1688" t="s">
        <v>10131</v>
      </c>
      <c r="C1688" t="s">
        <v>10132</v>
      </c>
      <c r="E1688" t="s">
        <v>10133</v>
      </c>
      <c r="G1688" t="s">
        <v>10134</v>
      </c>
      <c r="H1688" t="s">
        <v>343</v>
      </c>
      <c r="J1688" t="s">
        <v>518</v>
      </c>
      <c r="K1688" t="s">
        <v>519</v>
      </c>
      <c r="L1688" t="s">
        <v>4205</v>
      </c>
      <c r="M1688" t="s">
        <v>1297</v>
      </c>
      <c r="N1688" t="s">
        <v>727</v>
      </c>
      <c r="O1688" t="s">
        <v>1743</v>
      </c>
      <c r="P1688" t="s">
        <v>572</v>
      </c>
      <c r="Q1688" t="s">
        <v>1471</v>
      </c>
      <c r="R1688" t="s">
        <v>1472</v>
      </c>
      <c r="S1688" t="s">
        <v>1438</v>
      </c>
      <c r="T1688" t="s">
        <v>1474</v>
      </c>
      <c r="U1688">
        <v>190800</v>
      </c>
      <c r="V1688" t="s">
        <v>10134</v>
      </c>
      <c r="W1688" t="s">
        <v>3789</v>
      </c>
      <c r="X1688" t="s">
        <v>10125</v>
      </c>
      <c r="Y1688" t="s">
        <v>4208</v>
      </c>
      <c r="Z1688" t="s">
        <v>4209</v>
      </c>
      <c r="AA1688" t="s">
        <v>4210</v>
      </c>
      <c r="AB1688" t="s">
        <v>10126</v>
      </c>
      <c r="AE1688">
        <v>-37.613680590000001</v>
      </c>
      <c r="AF1688">
        <v>176.07753550000001</v>
      </c>
      <c r="AG1688">
        <v>25</v>
      </c>
      <c r="AH1688">
        <v>4</v>
      </c>
      <c r="AI1688">
        <v>1</v>
      </c>
      <c r="AJ1688">
        <v>2</v>
      </c>
      <c r="AK1688">
        <v>1</v>
      </c>
      <c r="AL1688">
        <v>6</v>
      </c>
      <c r="AM1688">
        <v>2</v>
      </c>
      <c r="AN1688">
        <v>0</v>
      </c>
      <c r="AO1688">
        <v>12</v>
      </c>
      <c r="AP1688">
        <v>0</v>
      </c>
      <c r="AQ1688">
        <v>11</v>
      </c>
      <c r="AR1688">
        <v>0</v>
      </c>
      <c r="AS1688">
        <v>0</v>
      </c>
      <c r="AT1688">
        <v>1</v>
      </c>
    </row>
    <row r="1689" spans="1:46">
      <c r="A1689">
        <v>40146</v>
      </c>
      <c r="B1689" t="s">
        <v>10135</v>
      </c>
      <c r="C1689" t="s">
        <v>10136</v>
      </c>
      <c r="E1689" t="s">
        <v>10137</v>
      </c>
      <c r="F1689" t="s">
        <v>1598</v>
      </c>
      <c r="G1689" t="s">
        <v>1598</v>
      </c>
      <c r="H1689" t="s">
        <v>343</v>
      </c>
      <c r="J1689" t="s">
        <v>518</v>
      </c>
      <c r="K1689" t="s">
        <v>519</v>
      </c>
      <c r="L1689" t="s">
        <v>4205</v>
      </c>
      <c r="M1689" t="s">
        <v>1297</v>
      </c>
      <c r="N1689" t="s">
        <v>521</v>
      </c>
      <c r="O1689" t="s">
        <v>1698</v>
      </c>
      <c r="P1689" t="s">
        <v>654</v>
      </c>
      <c r="Q1689" t="s">
        <v>1471</v>
      </c>
      <c r="R1689" t="s">
        <v>1472</v>
      </c>
      <c r="S1689" t="s">
        <v>1699</v>
      </c>
      <c r="T1689" t="s">
        <v>1474</v>
      </c>
      <c r="U1689">
        <v>195000</v>
      </c>
      <c r="V1689" t="s">
        <v>10138</v>
      </c>
      <c r="W1689" t="s">
        <v>1724</v>
      </c>
      <c r="X1689" t="s">
        <v>10125</v>
      </c>
      <c r="Y1689" t="s">
        <v>4208</v>
      </c>
      <c r="Z1689" t="s">
        <v>4209</v>
      </c>
      <c r="AA1689" t="s">
        <v>4210</v>
      </c>
      <c r="AB1689" t="s">
        <v>10126</v>
      </c>
      <c r="AE1689">
        <v>-37.697287209999999</v>
      </c>
      <c r="AF1689">
        <v>176.19464517</v>
      </c>
      <c r="AG1689">
        <v>52</v>
      </c>
      <c r="AH1689">
        <v>15</v>
      </c>
      <c r="AI1689">
        <v>0</v>
      </c>
      <c r="AJ1689">
        <v>3</v>
      </c>
      <c r="AK1689">
        <v>11</v>
      </c>
      <c r="AL1689">
        <v>9</v>
      </c>
      <c r="AM1689">
        <v>13</v>
      </c>
      <c r="AN1689">
        <v>0</v>
      </c>
      <c r="AO1689">
        <v>36</v>
      </c>
      <c r="AP1689">
        <v>0</v>
      </c>
      <c r="AQ1689">
        <v>36</v>
      </c>
      <c r="AR1689">
        <v>0</v>
      </c>
      <c r="AS1689">
        <v>0</v>
      </c>
      <c r="AT1689">
        <v>0</v>
      </c>
    </row>
    <row r="1690" spans="1:46">
      <c r="A1690">
        <v>40147</v>
      </c>
      <c r="B1690" t="s">
        <v>10139</v>
      </c>
      <c r="C1690" t="s">
        <v>10140</v>
      </c>
      <c r="E1690" t="s">
        <v>10141</v>
      </c>
      <c r="G1690" t="s">
        <v>9738</v>
      </c>
      <c r="H1690" t="s">
        <v>343</v>
      </c>
      <c r="J1690" t="s">
        <v>518</v>
      </c>
      <c r="K1690" t="s">
        <v>519</v>
      </c>
      <c r="L1690" t="s">
        <v>4205</v>
      </c>
      <c r="M1690" t="s">
        <v>1297</v>
      </c>
      <c r="N1690" t="s">
        <v>557</v>
      </c>
      <c r="O1690" t="s">
        <v>1743</v>
      </c>
      <c r="P1690" t="s">
        <v>572</v>
      </c>
      <c r="Q1690" t="s">
        <v>1471</v>
      </c>
      <c r="R1690" t="s">
        <v>1472</v>
      </c>
      <c r="S1690" t="s">
        <v>1699</v>
      </c>
      <c r="T1690" t="s">
        <v>1474</v>
      </c>
      <c r="U1690">
        <v>191201</v>
      </c>
      <c r="V1690" t="s">
        <v>9738</v>
      </c>
      <c r="W1690" t="s">
        <v>8759</v>
      </c>
      <c r="X1690" t="s">
        <v>10125</v>
      </c>
      <c r="Y1690" t="s">
        <v>4208</v>
      </c>
      <c r="Z1690" t="s">
        <v>4209</v>
      </c>
      <c r="AA1690" t="s">
        <v>4210</v>
      </c>
      <c r="AB1690" t="s">
        <v>10126</v>
      </c>
      <c r="AE1690">
        <v>-37.666797629999998</v>
      </c>
      <c r="AF1690">
        <v>176.07984101</v>
      </c>
      <c r="AG1690">
        <v>35</v>
      </c>
      <c r="AH1690">
        <v>10</v>
      </c>
      <c r="AI1690">
        <v>0</v>
      </c>
      <c r="AJ1690">
        <v>1</v>
      </c>
      <c r="AK1690">
        <v>6</v>
      </c>
      <c r="AL1690">
        <v>4</v>
      </c>
      <c r="AM1690">
        <v>3</v>
      </c>
      <c r="AN1690">
        <v>0</v>
      </c>
      <c r="AO1690">
        <v>14</v>
      </c>
      <c r="AP1690">
        <v>0</v>
      </c>
      <c r="AQ1690">
        <v>14</v>
      </c>
      <c r="AR1690">
        <v>0</v>
      </c>
      <c r="AS1690">
        <v>0</v>
      </c>
      <c r="AT1690">
        <v>0</v>
      </c>
    </row>
    <row r="1691" spans="1:46">
      <c r="A1691">
        <v>40148</v>
      </c>
      <c r="B1691" t="s">
        <v>10142</v>
      </c>
      <c r="C1691" t="s">
        <v>10143</v>
      </c>
      <c r="E1691" t="s">
        <v>10144</v>
      </c>
      <c r="F1691" t="s">
        <v>10145</v>
      </c>
      <c r="G1691" t="s">
        <v>1598</v>
      </c>
      <c r="H1691" t="s">
        <v>343</v>
      </c>
      <c r="J1691" t="s">
        <v>518</v>
      </c>
      <c r="K1691" t="s">
        <v>519</v>
      </c>
      <c r="L1691" t="s">
        <v>4205</v>
      </c>
      <c r="M1691" t="s">
        <v>1297</v>
      </c>
      <c r="N1691" t="s">
        <v>727</v>
      </c>
      <c r="O1691" t="s">
        <v>1698</v>
      </c>
      <c r="P1691" t="s">
        <v>654</v>
      </c>
      <c r="Q1691" t="s">
        <v>1471</v>
      </c>
      <c r="R1691" t="s">
        <v>1472</v>
      </c>
      <c r="S1691" t="s">
        <v>1598</v>
      </c>
      <c r="T1691" t="s">
        <v>1474</v>
      </c>
      <c r="U1691">
        <v>195300</v>
      </c>
      <c r="V1691" t="s">
        <v>10146</v>
      </c>
      <c r="W1691" t="s">
        <v>3724</v>
      </c>
      <c r="X1691" t="s">
        <v>10125</v>
      </c>
      <c r="Y1691" t="s">
        <v>4208</v>
      </c>
      <c r="Z1691" t="s">
        <v>4209</v>
      </c>
      <c r="AA1691" t="s">
        <v>4210</v>
      </c>
      <c r="AB1691" t="s">
        <v>10126</v>
      </c>
      <c r="AE1691">
        <v>-37.722116100000001</v>
      </c>
      <c r="AF1691">
        <v>176.14292602</v>
      </c>
      <c r="AG1691">
        <v>20</v>
      </c>
      <c r="AH1691">
        <v>6</v>
      </c>
      <c r="AI1691">
        <v>1</v>
      </c>
      <c r="AJ1691">
        <v>4</v>
      </c>
      <c r="AK1691">
        <v>4</v>
      </c>
      <c r="AL1691">
        <v>4</v>
      </c>
      <c r="AM1691">
        <v>3</v>
      </c>
      <c r="AN1691">
        <v>0</v>
      </c>
      <c r="AO1691">
        <v>16</v>
      </c>
      <c r="AP1691">
        <v>0</v>
      </c>
      <c r="AQ1691">
        <v>15</v>
      </c>
      <c r="AR1691">
        <v>0</v>
      </c>
      <c r="AS1691">
        <v>0</v>
      </c>
      <c r="AT1691">
        <v>1</v>
      </c>
    </row>
    <row r="1692" spans="1:46">
      <c r="A1692">
        <v>40149</v>
      </c>
      <c r="B1692" t="s">
        <v>10147</v>
      </c>
      <c r="C1692" t="s">
        <v>10148</v>
      </c>
      <c r="E1692" t="s">
        <v>10149</v>
      </c>
      <c r="G1692" t="s">
        <v>9738</v>
      </c>
      <c r="H1692" t="s">
        <v>343</v>
      </c>
      <c r="J1692" t="s">
        <v>518</v>
      </c>
      <c r="K1692" t="s">
        <v>519</v>
      </c>
      <c r="L1692" t="s">
        <v>4205</v>
      </c>
      <c r="M1692" t="s">
        <v>1297</v>
      </c>
      <c r="N1692" t="s">
        <v>557</v>
      </c>
      <c r="O1692" t="s">
        <v>1743</v>
      </c>
      <c r="P1692" t="s">
        <v>572</v>
      </c>
      <c r="Q1692" t="s">
        <v>1471</v>
      </c>
      <c r="R1692" t="s">
        <v>1472</v>
      </c>
      <c r="S1692" t="s">
        <v>1699</v>
      </c>
      <c r="T1692" t="s">
        <v>1474</v>
      </c>
      <c r="U1692">
        <v>191201</v>
      </c>
      <c r="V1692" t="s">
        <v>9738</v>
      </c>
      <c r="W1692" t="s">
        <v>8759</v>
      </c>
      <c r="X1692" t="s">
        <v>10125</v>
      </c>
      <c r="Y1692" t="s">
        <v>4208</v>
      </c>
      <c r="Z1692" t="s">
        <v>4209</v>
      </c>
      <c r="AA1692" t="s">
        <v>4210</v>
      </c>
      <c r="AB1692" t="s">
        <v>10126</v>
      </c>
      <c r="AE1692">
        <v>-37.663363490000002</v>
      </c>
      <c r="AF1692">
        <v>176.07109822999999</v>
      </c>
      <c r="AG1692">
        <v>25</v>
      </c>
      <c r="AH1692">
        <v>8</v>
      </c>
      <c r="AI1692">
        <v>0</v>
      </c>
      <c r="AJ1692">
        <v>3</v>
      </c>
      <c r="AK1692">
        <v>4</v>
      </c>
      <c r="AL1692">
        <v>4</v>
      </c>
      <c r="AM1692">
        <v>3</v>
      </c>
      <c r="AN1692">
        <v>0</v>
      </c>
      <c r="AO1692">
        <v>14</v>
      </c>
      <c r="AP1692">
        <v>0</v>
      </c>
      <c r="AQ1692">
        <v>14</v>
      </c>
      <c r="AR1692">
        <v>0</v>
      </c>
      <c r="AS1692">
        <v>0</v>
      </c>
      <c r="AT1692">
        <v>0</v>
      </c>
    </row>
    <row r="1693" spans="1:46">
      <c r="A1693">
        <v>40150</v>
      </c>
      <c r="B1693" t="s">
        <v>10150</v>
      </c>
      <c r="C1693" t="s">
        <v>10151</v>
      </c>
      <c r="E1693" t="s">
        <v>10152</v>
      </c>
      <c r="F1693" t="s">
        <v>10153</v>
      </c>
      <c r="G1693" t="s">
        <v>1598</v>
      </c>
      <c r="H1693" t="s">
        <v>343</v>
      </c>
      <c r="J1693" t="s">
        <v>518</v>
      </c>
      <c r="K1693" t="s">
        <v>519</v>
      </c>
      <c r="L1693" t="s">
        <v>4205</v>
      </c>
      <c r="M1693" t="s">
        <v>1297</v>
      </c>
      <c r="N1693" t="s">
        <v>539</v>
      </c>
      <c r="O1693" t="s">
        <v>1698</v>
      </c>
      <c r="P1693" t="s">
        <v>654</v>
      </c>
      <c r="Q1693" t="s">
        <v>1471</v>
      </c>
      <c r="R1693" t="s">
        <v>1472</v>
      </c>
      <c r="S1693" t="s">
        <v>1598</v>
      </c>
      <c r="T1693" t="s">
        <v>1474</v>
      </c>
      <c r="U1693">
        <v>193600</v>
      </c>
      <c r="V1693" t="s">
        <v>1708</v>
      </c>
      <c r="W1693" t="s">
        <v>1709</v>
      </c>
      <c r="X1693" t="s">
        <v>10125</v>
      </c>
      <c r="Y1693" t="s">
        <v>4208</v>
      </c>
      <c r="Z1693" t="s">
        <v>4209</v>
      </c>
      <c r="AA1693" t="s">
        <v>4210</v>
      </c>
      <c r="AB1693" t="s">
        <v>10126</v>
      </c>
      <c r="AE1693">
        <v>-37.690875579999997</v>
      </c>
      <c r="AF1693">
        <v>176.14656661000001</v>
      </c>
      <c r="AG1693">
        <v>20</v>
      </c>
      <c r="AH1693">
        <v>5</v>
      </c>
      <c r="AI1693">
        <v>1</v>
      </c>
      <c r="AJ1693">
        <v>1</v>
      </c>
      <c r="AK1693">
        <v>5</v>
      </c>
      <c r="AL1693">
        <v>8</v>
      </c>
      <c r="AM1693">
        <v>2</v>
      </c>
      <c r="AN1693">
        <v>0</v>
      </c>
      <c r="AO1693">
        <v>17</v>
      </c>
      <c r="AP1693">
        <v>0</v>
      </c>
      <c r="AQ1693">
        <v>14</v>
      </c>
      <c r="AR1693">
        <v>0</v>
      </c>
      <c r="AS1693">
        <v>0</v>
      </c>
      <c r="AT1693">
        <v>3</v>
      </c>
    </row>
    <row r="1694" spans="1:46">
      <c r="A1694">
        <v>40151</v>
      </c>
      <c r="B1694" t="s">
        <v>10154</v>
      </c>
      <c r="C1694" t="s">
        <v>10155</v>
      </c>
      <c r="E1694" t="s">
        <v>10156</v>
      </c>
      <c r="F1694" t="s">
        <v>3873</v>
      </c>
      <c r="G1694" t="s">
        <v>1598</v>
      </c>
      <c r="H1694" t="s">
        <v>343</v>
      </c>
      <c r="J1694" t="s">
        <v>518</v>
      </c>
      <c r="K1694" t="s">
        <v>519</v>
      </c>
      <c r="L1694" t="s">
        <v>4205</v>
      </c>
      <c r="M1694" t="s">
        <v>1297</v>
      </c>
      <c r="N1694" t="s">
        <v>521</v>
      </c>
      <c r="O1694" t="s">
        <v>1743</v>
      </c>
      <c r="P1694" t="s">
        <v>572</v>
      </c>
      <c r="Q1694" t="s">
        <v>1471</v>
      </c>
      <c r="R1694" t="s">
        <v>1472</v>
      </c>
      <c r="S1694" t="s">
        <v>1521</v>
      </c>
      <c r="T1694" t="s">
        <v>1474</v>
      </c>
      <c r="U1694">
        <v>191601</v>
      </c>
      <c r="V1694" t="s">
        <v>10157</v>
      </c>
      <c r="W1694" t="s">
        <v>8759</v>
      </c>
      <c r="X1694" t="s">
        <v>10125</v>
      </c>
      <c r="Y1694" t="s">
        <v>4208</v>
      </c>
      <c r="Z1694" t="s">
        <v>4209</v>
      </c>
      <c r="AA1694" t="s">
        <v>4210</v>
      </c>
      <c r="AB1694" t="s">
        <v>10126</v>
      </c>
      <c r="AE1694">
        <v>-37.719846560000001</v>
      </c>
      <c r="AF1694">
        <v>176.22709086</v>
      </c>
      <c r="AG1694">
        <v>25</v>
      </c>
      <c r="AH1694">
        <v>8</v>
      </c>
      <c r="AI1694">
        <v>0</v>
      </c>
      <c r="AJ1694">
        <v>4</v>
      </c>
      <c r="AK1694">
        <v>6</v>
      </c>
      <c r="AL1694">
        <v>4</v>
      </c>
      <c r="AM1694">
        <v>4</v>
      </c>
      <c r="AN1694">
        <v>0</v>
      </c>
      <c r="AO1694">
        <v>18</v>
      </c>
      <c r="AP1694">
        <v>0</v>
      </c>
      <c r="AQ1694">
        <v>18</v>
      </c>
      <c r="AR1694">
        <v>0</v>
      </c>
      <c r="AS1694">
        <v>0</v>
      </c>
      <c r="AT1694">
        <v>0</v>
      </c>
    </row>
    <row r="1695" spans="1:46">
      <c r="A1695">
        <v>40152</v>
      </c>
      <c r="B1695" t="s">
        <v>10158</v>
      </c>
      <c r="C1695" t="s">
        <v>10159</v>
      </c>
      <c r="E1695" t="s">
        <v>10160</v>
      </c>
      <c r="G1695" t="s">
        <v>1697</v>
      </c>
      <c r="H1695" t="s">
        <v>343</v>
      </c>
      <c r="J1695" t="s">
        <v>518</v>
      </c>
      <c r="K1695" t="s">
        <v>519</v>
      </c>
      <c r="L1695" t="s">
        <v>4205</v>
      </c>
      <c r="M1695" t="s">
        <v>1297</v>
      </c>
      <c r="N1695" t="s">
        <v>521</v>
      </c>
      <c r="O1695" t="s">
        <v>1698</v>
      </c>
      <c r="P1695" t="s">
        <v>654</v>
      </c>
      <c r="Q1695" t="s">
        <v>1471</v>
      </c>
      <c r="R1695" t="s">
        <v>1472</v>
      </c>
      <c r="S1695" t="s">
        <v>1699</v>
      </c>
      <c r="T1695" t="s">
        <v>1474</v>
      </c>
      <c r="U1695">
        <v>195800</v>
      </c>
      <c r="V1695" t="s">
        <v>1700</v>
      </c>
      <c r="W1695" t="s">
        <v>1701</v>
      </c>
      <c r="X1695" t="s">
        <v>10125</v>
      </c>
      <c r="Y1695" t="s">
        <v>4208</v>
      </c>
      <c r="Z1695" t="s">
        <v>4209</v>
      </c>
      <c r="AA1695" t="s">
        <v>4210</v>
      </c>
      <c r="AB1695" t="s">
        <v>10126</v>
      </c>
      <c r="AE1695">
        <v>-37.68319881</v>
      </c>
      <c r="AF1695">
        <v>176.22944580000001</v>
      </c>
      <c r="AG1695">
        <v>30</v>
      </c>
      <c r="AH1695">
        <v>5</v>
      </c>
      <c r="AI1695">
        <v>1</v>
      </c>
      <c r="AJ1695">
        <v>1</v>
      </c>
      <c r="AK1695">
        <v>6</v>
      </c>
      <c r="AL1695">
        <v>10</v>
      </c>
      <c r="AM1695">
        <v>2</v>
      </c>
      <c r="AN1695">
        <v>0</v>
      </c>
      <c r="AO1695">
        <v>20</v>
      </c>
      <c r="AP1695">
        <v>0</v>
      </c>
      <c r="AQ1695">
        <v>20</v>
      </c>
      <c r="AR1695">
        <v>0</v>
      </c>
      <c r="AS1695">
        <v>0</v>
      </c>
      <c r="AT1695">
        <v>0</v>
      </c>
    </row>
    <row r="1696" spans="1:46">
      <c r="A1696">
        <v>40154</v>
      </c>
      <c r="B1696" t="s">
        <v>10161</v>
      </c>
      <c r="C1696" t="s">
        <v>10162</v>
      </c>
      <c r="E1696" t="s">
        <v>10163</v>
      </c>
      <c r="G1696" t="s">
        <v>1469</v>
      </c>
      <c r="H1696" t="s">
        <v>343</v>
      </c>
      <c r="J1696" t="s">
        <v>518</v>
      </c>
      <c r="K1696" t="s">
        <v>519</v>
      </c>
      <c r="L1696" t="s">
        <v>4205</v>
      </c>
      <c r="M1696" t="s">
        <v>1297</v>
      </c>
      <c r="N1696" t="s">
        <v>727</v>
      </c>
      <c r="O1696" t="s">
        <v>1470</v>
      </c>
      <c r="P1696" t="s">
        <v>1262</v>
      </c>
      <c r="Q1696" t="s">
        <v>1471</v>
      </c>
      <c r="R1696" t="s">
        <v>1472</v>
      </c>
      <c r="S1696" t="s">
        <v>1473</v>
      </c>
      <c r="T1696" t="s">
        <v>1474</v>
      </c>
      <c r="U1696">
        <v>202800</v>
      </c>
      <c r="V1696" t="s">
        <v>1531</v>
      </c>
      <c r="W1696" t="s">
        <v>1476</v>
      </c>
      <c r="X1696" t="s">
        <v>10125</v>
      </c>
      <c r="Y1696" t="s">
        <v>4208</v>
      </c>
      <c r="Z1696" t="s">
        <v>4209</v>
      </c>
      <c r="AA1696" t="s">
        <v>4210</v>
      </c>
      <c r="AB1696" t="s">
        <v>10126</v>
      </c>
      <c r="AE1696">
        <v>-37.975639899999997</v>
      </c>
      <c r="AF1696">
        <v>176.97972687000001</v>
      </c>
      <c r="AG1696">
        <v>40</v>
      </c>
      <c r="AH1696">
        <v>13</v>
      </c>
      <c r="AI1696">
        <v>0</v>
      </c>
      <c r="AJ1696">
        <v>2</v>
      </c>
      <c r="AK1696">
        <v>6</v>
      </c>
      <c r="AL1696">
        <v>10</v>
      </c>
      <c r="AM1696">
        <v>7</v>
      </c>
      <c r="AN1696">
        <v>0</v>
      </c>
      <c r="AO1696">
        <v>25</v>
      </c>
      <c r="AP1696">
        <v>0</v>
      </c>
      <c r="AQ1696">
        <v>24</v>
      </c>
      <c r="AR1696">
        <v>0</v>
      </c>
      <c r="AS1696">
        <v>0</v>
      </c>
      <c r="AT1696">
        <v>1</v>
      </c>
    </row>
    <row r="1697" spans="1:46">
      <c r="A1697">
        <v>40155</v>
      </c>
      <c r="B1697" t="s">
        <v>10164</v>
      </c>
      <c r="C1697" t="s">
        <v>10165</v>
      </c>
      <c r="E1697" t="s">
        <v>10166</v>
      </c>
      <c r="G1697" t="s">
        <v>10167</v>
      </c>
      <c r="H1697" t="s">
        <v>343</v>
      </c>
      <c r="J1697" t="s">
        <v>518</v>
      </c>
      <c r="K1697" t="s">
        <v>519</v>
      </c>
      <c r="L1697" t="s">
        <v>4205</v>
      </c>
      <c r="M1697" t="s">
        <v>1297</v>
      </c>
      <c r="N1697" t="s">
        <v>539</v>
      </c>
      <c r="O1697" t="s">
        <v>1470</v>
      </c>
      <c r="P1697" t="s">
        <v>572</v>
      </c>
      <c r="Q1697" t="s">
        <v>1471</v>
      </c>
      <c r="R1697" t="s">
        <v>1472</v>
      </c>
      <c r="S1697" t="s">
        <v>1473</v>
      </c>
      <c r="T1697" t="s">
        <v>1474</v>
      </c>
      <c r="U1697">
        <v>202400</v>
      </c>
      <c r="V1697" t="s">
        <v>10168</v>
      </c>
      <c r="W1697" t="s">
        <v>1514</v>
      </c>
      <c r="X1697" t="s">
        <v>10125</v>
      </c>
      <c r="Y1697" t="s">
        <v>4208</v>
      </c>
      <c r="Z1697" t="s">
        <v>4209</v>
      </c>
      <c r="AA1697" t="s">
        <v>4210</v>
      </c>
      <c r="AB1697" t="s">
        <v>10126</v>
      </c>
      <c r="AE1697">
        <v>-38.010630730000003</v>
      </c>
      <c r="AF1697">
        <v>176.81355006000001</v>
      </c>
      <c r="AG1697">
        <v>35</v>
      </c>
      <c r="AH1697">
        <v>10</v>
      </c>
      <c r="AI1697">
        <v>1</v>
      </c>
      <c r="AJ1697">
        <v>9</v>
      </c>
      <c r="AK1697">
        <v>5</v>
      </c>
      <c r="AL1697">
        <v>9</v>
      </c>
      <c r="AM1697">
        <v>7</v>
      </c>
      <c r="AN1697">
        <v>0</v>
      </c>
      <c r="AO1697">
        <v>31</v>
      </c>
      <c r="AP1697">
        <v>0</v>
      </c>
      <c r="AQ1697">
        <v>31</v>
      </c>
      <c r="AR1697">
        <v>0</v>
      </c>
      <c r="AS1697">
        <v>0</v>
      </c>
      <c r="AT1697">
        <v>0</v>
      </c>
    </row>
    <row r="1698" spans="1:46">
      <c r="A1698">
        <v>40156</v>
      </c>
      <c r="B1698" t="s">
        <v>10169</v>
      </c>
      <c r="C1698" t="s">
        <v>10170</v>
      </c>
      <c r="E1698" t="s">
        <v>10171</v>
      </c>
      <c r="G1698" t="s">
        <v>1649</v>
      </c>
      <c r="H1698" t="s">
        <v>343</v>
      </c>
      <c r="J1698" t="s">
        <v>518</v>
      </c>
      <c r="K1698" t="s">
        <v>519</v>
      </c>
      <c r="L1698" t="s">
        <v>4205</v>
      </c>
      <c r="M1698" t="s">
        <v>1297</v>
      </c>
      <c r="N1698" t="s">
        <v>727</v>
      </c>
      <c r="O1698" t="s">
        <v>1650</v>
      </c>
      <c r="P1698" t="s">
        <v>523</v>
      </c>
      <c r="Q1698" t="s">
        <v>1471</v>
      </c>
      <c r="R1698" t="s">
        <v>1472</v>
      </c>
      <c r="S1698" t="s">
        <v>1473</v>
      </c>
      <c r="T1698" t="s">
        <v>1474</v>
      </c>
      <c r="U1698">
        <v>203901</v>
      </c>
      <c r="V1698" t="s">
        <v>10172</v>
      </c>
      <c r="W1698" t="s">
        <v>1652</v>
      </c>
      <c r="X1698" t="s">
        <v>10125</v>
      </c>
      <c r="Y1698" t="s">
        <v>4208</v>
      </c>
      <c r="Z1698" t="s">
        <v>4209</v>
      </c>
      <c r="AA1698" t="s">
        <v>4210</v>
      </c>
      <c r="AB1698" t="s">
        <v>10126</v>
      </c>
      <c r="AE1698">
        <v>-38.089402980000003</v>
      </c>
      <c r="AF1698">
        <v>176.70530189999999</v>
      </c>
      <c r="AG1698">
        <v>25</v>
      </c>
      <c r="AH1698">
        <v>9</v>
      </c>
      <c r="AI1698">
        <v>2</v>
      </c>
      <c r="AJ1698">
        <v>3</v>
      </c>
      <c r="AK1698">
        <v>2</v>
      </c>
      <c r="AL1698">
        <v>4</v>
      </c>
      <c r="AM1698">
        <v>4</v>
      </c>
      <c r="AN1698">
        <v>0</v>
      </c>
      <c r="AO1698">
        <v>15</v>
      </c>
      <c r="AP1698">
        <v>0</v>
      </c>
      <c r="AQ1698">
        <v>14</v>
      </c>
      <c r="AR1698">
        <v>1</v>
      </c>
      <c r="AS1698">
        <v>0</v>
      </c>
      <c r="AT1698">
        <v>0</v>
      </c>
    </row>
    <row r="1699" spans="1:46">
      <c r="A1699">
        <v>40157</v>
      </c>
      <c r="B1699" t="s">
        <v>10173</v>
      </c>
      <c r="C1699" t="s">
        <v>10174</v>
      </c>
      <c r="E1699" t="s">
        <v>10175</v>
      </c>
      <c r="G1699" t="s">
        <v>10167</v>
      </c>
      <c r="H1699" t="s">
        <v>343</v>
      </c>
      <c r="J1699" t="s">
        <v>518</v>
      </c>
      <c r="K1699" t="s">
        <v>519</v>
      </c>
      <c r="L1699" t="s">
        <v>4205</v>
      </c>
      <c r="M1699" t="s">
        <v>1297</v>
      </c>
      <c r="N1699" t="s">
        <v>727</v>
      </c>
      <c r="O1699" t="s">
        <v>1470</v>
      </c>
      <c r="P1699" t="s">
        <v>540</v>
      </c>
      <c r="Q1699" t="s">
        <v>1471</v>
      </c>
      <c r="R1699" t="s">
        <v>1472</v>
      </c>
      <c r="S1699" t="s">
        <v>1473</v>
      </c>
      <c r="T1699" t="s">
        <v>1474</v>
      </c>
      <c r="U1699">
        <v>202400</v>
      </c>
      <c r="V1699" t="s">
        <v>10168</v>
      </c>
      <c r="W1699" t="s">
        <v>1514</v>
      </c>
      <c r="X1699" t="s">
        <v>10125</v>
      </c>
      <c r="Y1699" t="s">
        <v>4208</v>
      </c>
      <c r="Z1699" t="s">
        <v>4209</v>
      </c>
      <c r="AA1699" t="s">
        <v>4210</v>
      </c>
      <c r="AB1699" t="s">
        <v>10126</v>
      </c>
      <c r="AE1699">
        <v>-38.035388400000002</v>
      </c>
      <c r="AF1699">
        <v>176.79726185999999</v>
      </c>
      <c r="AG1699">
        <v>35</v>
      </c>
      <c r="AH1699">
        <v>12</v>
      </c>
      <c r="AI1699">
        <v>0</v>
      </c>
      <c r="AJ1699">
        <v>7</v>
      </c>
      <c r="AK1699">
        <v>3</v>
      </c>
      <c r="AL1699">
        <v>4</v>
      </c>
      <c r="AM1699">
        <v>10</v>
      </c>
      <c r="AN1699">
        <v>0</v>
      </c>
      <c r="AO1699">
        <v>24</v>
      </c>
      <c r="AP1699">
        <v>0</v>
      </c>
      <c r="AQ1699">
        <v>24</v>
      </c>
      <c r="AR1699">
        <v>0</v>
      </c>
      <c r="AS1699">
        <v>0</v>
      </c>
      <c r="AT1699">
        <v>0</v>
      </c>
    </row>
    <row r="1700" spans="1:46">
      <c r="A1700">
        <v>40158</v>
      </c>
      <c r="B1700" t="s">
        <v>10176</v>
      </c>
      <c r="C1700" t="s">
        <v>10177</v>
      </c>
      <c r="E1700" t="s">
        <v>10178</v>
      </c>
      <c r="G1700" t="s">
        <v>10179</v>
      </c>
      <c r="H1700" t="s">
        <v>343</v>
      </c>
      <c r="J1700" t="s">
        <v>518</v>
      </c>
      <c r="K1700" t="s">
        <v>519</v>
      </c>
      <c r="L1700" t="s">
        <v>4205</v>
      </c>
      <c r="M1700" t="s">
        <v>1297</v>
      </c>
      <c r="N1700" t="s">
        <v>727</v>
      </c>
      <c r="O1700" t="s">
        <v>1470</v>
      </c>
      <c r="P1700" t="s">
        <v>540</v>
      </c>
      <c r="Q1700" t="s">
        <v>1471</v>
      </c>
      <c r="R1700" t="s">
        <v>1472</v>
      </c>
      <c r="S1700" t="s">
        <v>1473</v>
      </c>
      <c r="T1700" t="s">
        <v>1474</v>
      </c>
      <c r="U1700">
        <v>203100</v>
      </c>
      <c r="V1700" t="s">
        <v>10180</v>
      </c>
      <c r="W1700" t="s">
        <v>1595</v>
      </c>
      <c r="X1700" t="s">
        <v>10125</v>
      </c>
      <c r="Y1700" t="s">
        <v>4208</v>
      </c>
      <c r="Z1700" t="s">
        <v>4209</v>
      </c>
      <c r="AA1700" t="s">
        <v>4210</v>
      </c>
      <c r="AB1700" t="s">
        <v>10126</v>
      </c>
      <c r="AE1700">
        <v>-38.062596990000003</v>
      </c>
      <c r="AF1700">
        <v>177.00697489999999</v>
      </c>
      <c r="AG1700">
        <v>23</v>
      </c>
      <c r="AH1700">
        <v>10</v>
      </c>
      <c r="AI1700">
        <v>0</v>
      </c>
      <c r="AJ1700">
        <v>3</v>
      </c>
      <c r="AK1700">
        <v>5</v>
      </c>
      <c r="AL1700">
        <v>4</v>
      </c>
      <c r="AM1700">
        <v>3</v>
      </c>
      <c r="AN1700">
        <v>0</v>
      </c>
      <c r="AO1700">
        <v>15</v>
      </c>
      <c r="AP1700">
        <v>0</v>
      </c>
      <c r="AQ1700">
        <v>14</v>
      </c>
      <c r="AR1700">
        <v>1</v>
      </c>
      <c r="AS1700">
        <v>0</v>
      </c>
      <c r="AT1700">
        <v>0</v>
      </c>
    </row>
    <row r="1701" spans="1:46">
      <c r="A1701">
        <v>40159</v>
      </c>
      <c r="B1701" t="s">
        <v>10181</v>
      </c>
      <c r="C1701" t="s">
        <v>10182</v>
      </c>
      <c r="E1701" t="s">
        <v>10183</v>
      </c>
      <c r="G1701" t="s">
        <v>10167</v>
      </c>
      <c r="H1701" t="s">
        <v>343</v>
      </c>
      <c r="J1701" t="s">
        <v>518</v>
      </c>
      <c r="K1701" t="s">
        <v>519</v>
      </c>
      <c r="L1701" t="s">
        <v>4205</v>
      </c>
      <c r="M1701" t="s">
        <v>1297</v>
      </c>
      <c r="N1701" t="s">
        <v>727</v>
      </c>
      <c r="O1701" t="s">
        <v>1470</v>
      </c>
      <c r="P1701" t="s">
        <v>540</v>
      </c>
      <c r="Q1701" t="s">
        <v>1471</v>
      </c>
      <c r="R1701" t="s">
        <v>1472</v>
      </c>
      <c r="S1701" t="s">
        <v>1473</v>
      </c>
      <c r="T1701" t="s">
        <v>1474</v>
      </c>
      <c r="U1701">
        <v>202400</v>
      </c>
      <c r="V1701" t="s">
        <v>10168</v>
      </c>
      <c r="W1701" t="s">
        <v>1514</v>
      </c>
      <c r="X1701" t="s">
        <v>10125</v>
      </c>
      <c r="Y1701" t="s">
        <v>4208</v>
      </c>
      <c r="Z1701" t="s">
        <v>4209</v>
      </c>
      <c r="AA1701" t="s">
        <v>4210</v>
      </c>
      <c r="AB1701" t="s">
        <v>10126</v>
      </c>
      <c r="AE1701">
        <v>-38.035490750000001</v>
      </c>
      <c r="AF1701">
        <v>176.79704616999999</v>
      </c>
      <c r="AG1701">
        <v>40</v>
      </c>
      <c r="AH1701">
        <v>12</v>
      </c>
      <c r="AI1701">
        <v>0</v>
      </c>
      <c r="AJ1701">
        <v>11</v>
      </c>
      <c r="AK1701">
        <v>9</v>
      </c>
      <c r="AL1701">
        <v>4</v>
      </c>
      <c r="AM1701">
        <v>13</v>
      </c>
      <c r="AN1701">
        <v>0</v>
      </c>
      <c r="AO1701">
        <v>37</v>
      </c>
      <c r="AP1701">
        <v>0</v>
      </c>
      <c r="AQ1701">
        <v>37</v>
      </c>
      <c r="AR1701">
        <v>0</v>
      </c>
      <c r="AS1701">
        <v>0</v>
      </c>
      <c r="AT1701">
        <v>0</v>
      </c>
    </row>
    <row r="1702" spans="1:46">
      <c r="A1702">
        <v>40160</v>
      </c>
      <c r="B1702" t="s">
        <v>10184</v>
      </c>
      <c r="C1702" t="s">
        <v>10185</v>
      </c>
      <c r="E1702" t="s">
        <v>10186</v>
      </c>
      <c r="G1702" t="s">
        <v>1469</v>
      </c>
      <c r="H1702" t="s">
        <v>343</v>
      </c>
      <c r="J1702" t="s">
        <v>518</v>
      </c>
      <c r="K1702" t="s">
        <v>519</v>
      </c>
      <c r="L1702" t="s">
        <v>4205</v>
      </c>
      <c r="M1702" t="s">
        <v>1297</v>
      </c>
      <c r="N1702" t="s">
        <v>727</v>
      </c>
      <c r="O1702" t="s">
        <v>1470</v>
      </c>
      <c r="P1702" t="s">
        <v>572</v>
      </c>
      <c r="Q1702" t="s">
        <v>1471</v>
      </c>
      <c r="R1702" t="s">
        <v>1472</v>
      </c>
      <c r="S1702" t="s">
        <v>1473</v>
      </c>
      <c r="T1702" t="s">
        <v>1474</v>
      </c>
      <c r="U1702">
        <v>203500</v>
      </c>
      <c r="V1702" t="s">
        <v>9954</v>
      </c>
      <c r="W1702" t="s">
        <v>1595</v>
      </c>
      <c r="X1702" t="s">
        <v>10125</v>
      </c>
      <c r="Y1702" t="s">
        <v>4208</v>
      </c>
      <c r="Z1702" t="s">
        <v>4209</v>
      </c>
      <c r="AA1702" t="s">
        <v>4210</v>
      </c>
      <c r="AB1702" t="s">
        <v>10126</v>
      </c>
      <c r="AE1702">
        <v>-38.152568250000002</v>
      </c>
      <c r="AF1702">
        <v>176.98484379999999</v>
      </c>
      <c r="AG1702">
        <v>22</v>
      </c>
      <c r="AH1702">
        <v>12</v>
      </c>
      <c r="AI1702">
        <v>1</v>
      </c>
      <c r="AJ1702">
        <v>4</v>
      </c>
      <c r="AK1702">
        <v>7</v>
      </c>
      <c r="AL1702">
        <v>0</v>
      </c>
      <c r="AM1702">
        <v>1</v>
      </c>
      <c r="AN1702">
        <v>0</v>
      </c>
      <c r="AO1702">
        <v>13</v>
      </c>
      <c r="AP1702">
        <v>0</v>
      </c>
      <c r="AQ1702">
        <v>13</v>
      </c>
      <c r="AR1702">
        <v>0</v>
      </c>
      <c r="AS1702">
        <v>0</v>
      </c>
      <c r="AT1702">
        <v>0</v>
      </c>
    </row>
    <row r="1703" spans="1:46">
      <c r="A1703">
        <v>40164</v>
      </c>
      <c r="B1703" t="s">
        <v>10187</v>
      </c>
      <c r="C1703" t="s">
        <v>10188</v>
      </c>
      <c r="E1703" t="s">
        <v>10189</v>
      </c>
      <c r="G1703" t="s">
        <v>1611</v>
      </c>
      <c r="H1703" t="s">
        <v>343</v>
      </c>
      <c r="J1703" t="s">
        <v>518</v>
      </c>
      <c r="K1703" t="s">
        <v>519</v>
      </c>
      <c r="L1703" t="s">
        <v>4205</v>
      </c>
      <c r="M1703" t="s">
        <v>1297</v>
      </c>
      <c r="N1703" t="s">
        <v>727</v>
      </c>
      <c r="O1703" t="s">
        <v>1612</v>
      </c>
      <c r="P1703" t="s">
        <v>523</v>
      </c>
      <c r="Q1703" t="s">
        <v>1471</v>
      </c>
      <c r="R1703" t="s">
        <v>1472</v>
      </c>
      <c r="S1703" t="s">
        <v>1473</v>
      </c>
      <c r="T1703" t="s">
        <v>1474</v>
      </c>
      <c r="U1703">
        <v>204400</v>
      </c>
      <c r="V1703" t="s">
        <v>1613</v>
      </c>
      <c r="W1703" t="s">
        <v>1614</v>
      </c>
      <c r="X1703" t="s">
        <v>10125</v>
      </c>
      <c r="Y1703" t="s">
        <v>4208</v>
      </c>
      <c r="Z1703" t="s">
        <v>4209</v>
      </c>
      <c r="AA1703" t="s">
        <v>4210</v>
      </c>
      <c r="AB1703" t="s">
        <v>10126</v>
      </c>
      <c r="AE1703">
        <v>-38.001856680000003</v>
      </c>
      <c r="AF1703">
        <v>177.28440248000001</v>
      </c>
      <c r="AG1703">
        <v>40</v>
      </c>
      <c r="AH1703">
        <v>10</v>
      </c>
      <c r="AI1703">
        <v>1</v>
      </c>
      <c r="AJ1703">
        <v>7</v>
      </c>
      <c r="AK1703">
        <v>8</v>
      </c>
      <c r="AL1703">
        <v>10</v>
      </c>
      <c r="AM1703">
        <v>4</v>
      </c>
      <c r="AN1703">
        <v>0</v>
      </c>
      <c r="AO1703">
        <v>30</v>
      </c>
      <c r="AP1703">
        <v>0</v>
      </c>
      <c r="AQ1703">
        <v>30</v>
      </c>
      <c r="AR1703">
        <v>0</v>
      </c>
      <c r="AS1703">
        <v>0</v>
      </c>
      <c r="AT1703">
        <v>0</v>
      </c>
    </row>
    <row r="1704" spans="1:46">
      <c r="A1704">
        <v>40165</v>
      </c>
      <c r="B1704" t="s">
        <v>10190</v>
      </c>
      <c r="C1704" t="s">
        <v>10191</v>
      </c>
      <c r="E1704" t="s">
        <v>10192</v>
      </c>
      <c r="G1704" t="s">
        <v>1594</v>
      </c>
      <c r="H1704" t="s">
        <v>343</v>
      </c>
      <c r="J1704" t="s">
        <v>518</v>
      </c>
      <c r="K1704" t="s">
        <v>519</v>
      </c>
      <c r="L1704" t="s">
        <v>4205</v>
      </c>
      <c r="M1704" t="s">
        <v>1297</v>
      </c>
      <c r="N1704" t="s">
        <v>727</v>
      </c>
      <c r="O1704" t="s">
        <v>1470</v>
      </c>
      <c r="P1704" t="s">
        <v>523</v>
      </c>
      <c r="Q1704" t="s">
        <v>1471</v>
      </c>
      <c r="R1704" t="s">
        <v>1472</v>
      </c>
      <c r="S1704" t="s">
        <v>1473</v>
      </c>
      <c r="T1704" t="s">
        <v>1474</v>
      </c>
      <c r="U1704">
        <v>203600</v>
      </c>
      <c r="V1704" t="s">
        <v>1594</v>
      </c>
      <c r="W1704" t="s">
        <v>1595</v>
      </c>
      <c r="X1704" t="s">
        <v>10125</v>
      </c>
      <c r="Y1704" t="s">
        <v>4208</v>
      </c>
      <c r="Z1704" t="s">
        <v>4209</v>
      </c>
      <c r="AA1704" t="s">
        <v>4210</v>
      </c>
      <c r="AB1704" t="s">
        <v>10126</v>
      </c>
      <c r="AE1704">
        <v>-38.457915620000001</v>
      </c>
      <c r="AF1704">
        <v>176.70619092000001</v>
      </c>
      <c r="AG1704">
        <v>25</v>
      </c>
      <c r="AH1704">
        <v>10</v>
      </c>
      <c r="AI1704">
        <v>4</v>
      </c>
      <c r="AJ1704">
        <v>6</v>
      </c>
      <c r="AK1704">
        <v>1</v>
      </c>
      <c r="AL1704">
        <v>5</v>
      </c>
      <c r="AM1704">
        <v>2</v>
      </c>
      <c r="AN1704">
        <v>0</v>
      </c>
      <c r="AO1704">
        <v>18</v>
      </c>
      <c r="AP1704">
        <v>0</v>
      </c>
      <c r="AQ1704">
        <v>16</v>
      </c>
      <c r="AR1704">
        <v>0</v>
      </c>
      <c r="AS1704">
        <v>0</v>
      </c>
      <c r="AT1704">
        <v>2</v>
      </c>
    </row>
    <row r="1705" spans="1:46">
      <c r="A1705">
        <v>40167</v>
      </c>
      <c r="B1705" t="s">
        <v>10193</v>
      </c>
      <c r="C1705" t="s">
        <v>10194</v>
      </c>
      <c r="E1705" t="s">
        <v>10195</v>
      </c>
      <c r="G1705" t="s">
        <v>9953</v>
      </c>
      <c r="H1705" t="s">
        <v>343</v>
      </c>
      <c r="J1705" t="s">
        <v>518</v>
      </c>
      <c r="K1705" t="s">
        <v>519</v>
      </c>
      <c r="L1705" t="s">
        <v>4205</v>
      </c>
      <c r="M1705" t="s">
        <v>1297</v>
      </c>
      <c r="N1705" t="s">
        <v>727</v>
      </c>
      <c r="O1705" t="s">
        <v>1470</v>
      </c>
      <c r="P1705" t="s">
        <v>572</v>
      </c>
      <c r="Q1705" t="s">
        <v>1471</v>
      </c>
      <c r="R1705" t="s">
        <v>1472</v>
      </c>
      <c r="S1705" t="s">
        <v>1473</v>
      </c>
      <c r="T1705" t="s">
        <v>1474</v>
      </c>
      <c r="U1705">
        <v>203500</v>
      </c>
      <c r="V1705" t="s">
        <v>9954</v>
      </c>
      <c r="W1705" t="s">
        <v>1595</v>
      </c>
      <c r="X1705" t="s">
        <v>10125</v>
      </c>
      <c r="Y1705" t="s">
        <v>4208</v>
      </c>
      <c r="Z1705" t="s">
        <v>4209</v>
      </c>
      <c r="AA1705" t="s">
        <v>4210</v>
      </c>
      <c r="AB1705" t="s">
        <v>10126</v>
      </c>
      <c r="AE1705">
        <v>-38.13991601</v>
      </c>
      <c r="AF1705">
        <v>177.00415630000001</v>
      </c>
      <c r="AG1705">
        <v>35</v>
      </c>
      <c r="AH1705">
        <v>15</v>
      </c>
      <c r="AI1705">
        <v>1</v>
      </c>
      <c r="AJ1705">
        <v>6</v>
      </c>
      <c r="AK1705">
        <v>8</v>
      </c>
      <c r="AL1705">
        <v>6</v>
      </c>
      <c r="AM1705">
        <v>7</v>
      </c>
      <c r="AN1705">
        <v>0</v>
      </c>
      <c r="AO1705">
        <v>28</v>
      </c>
      <c r="AP1705">
        <v>0</v>
      </c>
      <c r="AQ1705">
        <v>28</v>
      </c>
      <c r="AR1705">
        <v>0</v>
      </c>
      <c r="AS1705">
        <v>0</v>
      </c>
      <c r="AT1705">
        <v>0</v>
      </c>
    </row>
    <row r="1706" spans="1:46">
      <c r="A1706">
        <v>40169</v>
      </c>
      <c r="B1706" t="s">
        <v>10196</v>
      </c>
      <c r="C1706" t="s">
        <v>10197</v>
      </c>
      <c r="E1706" t="s">
        <v>10198</v>
      </c>
      <c r="G1706" t="s">
        <v>1742</v>
      </c>
      <c r="H1706" t="s">
        <v>343</v>
      </c>
      <c r="J1706" t="s">
        <v>518</v>
      </c>
      <c r="K1706" t="s">
        <v>519</v>
      </c>
      <c r="L1706" t="s">
        <v>4205</v>
      </c>
      <c r="M1706" t="s">
        <v>1297</v>
      </c>
      <c r="N1706" t="s">
        <v>727</v>
      </c>
      <c r="O1706" t="s">
        <v>1743</v>
      </c>
      <c r="P1706" t="s">
        <v>523</v>
      </c>
      <c r="Q1706" t="s">
        <v>1471</v>
      </c>
      <c r="R1706" t="s">
        <v>1472</v>
      </c>
      <c r="S1706" t="s">
        <v>1521</v>
      </c>
      <c r="T1706" t="s">
        <v>1474</v>
      </c>
      <c r="U1706">
        <v>191901</v>
      </c>
      <c r="V1706" t="s">
        <v>10199</v>
      </c>
      <c r="W1706" t="s">
        <v>1745</v>
      </c>
      <c r="X1706" t="s">
        <v>8447</v>
      </c>
      <c r="Y1706" t="s">
        <v>4208</v>
      </c>
      <c r="Z1706" t="s">
        <v>4209</v>
      </c>
      <c r="AA1706" t="s">
        <v>4210</v>
      </c>
      <c r="AB1706" t="s">
        <v>8448</v>
      </c>
      <c r="AE1706">
        <v>-37.775669499999999</v>
      </c>
      <c r="AF1706">
        <v>176.29543197999999</v>
      </c>
      <c r="AG1706">
        <v>23</v>
      </c>
      <c r="AH1706">
        <v>6</v>
      </c>
      <c r="AI1706">
        <v>0</v>
      </c>
      <c r="AJ1706">
        <v>2</v>
      </c>
      <c r="AK1706">
        <v>6</v>
      </c>
      <c r="AL1706">
        <v>8</v>
      </c>
      <c r="AM1706">
        <v>3</v>
      </c>
      <c r="AN1706">
        <v>0</v>
      </c>
      <c r="AO1706">
        <v>19</v>
      </c>
      <c r="AP1706">
        <v>0</v>
      </c>
      <c r="AQ1706">
        <v>19</v>
      </c>
      <c r="AR1706">
        <v>0</v>
      </c>
      <c r="AS1706">
        <v>0</v>
      </c>
      <c r="AT1706">
        <v>0</v>
      </c>
    </row>
    <row r="1707" spans="1:46">
      <c r="A1707">
        <v>40170</v>
      </c>
      <c r="B1707" t="s">
        <v>10200</v>
      </c>
      <c r="C1707" t="s">
        <v>10201</v>
      </c>
      <c r="E1707" t="s">
        <v>10202</v>
      </c>
      <c r="G1707" t="s">
        <v>1513</v>
      </c>
      <c r="H1707" t="s">
        <v>343</v>
      </c>
      <c r="J1707" t="s">
        <v>518</v>
      </c>
      <c r="K1707" t="s">
        <v>519</v>
      </c>
      <c r="L1707" t="s">
        <v>4205</v>
      </c>
      <c r="M1707" t="s">
        <v>1297</v>
      </c>
      <c r="N1707" t="s">
        <v>727</v>
      </c>
      <c r="O1707" t="s">
        <v>1470</v>
      </c>
      <c r="P1707" t="s">
        <v>523</v>
      </c>
      <c r="Q1707" t="s">
        <v>1471</v>
      </c>
      <c r="R1707" t="s">
        <v>1472</v>
      </c>
      <c r="S1707" t="s">
        <v>1473</v>
      </c>
      <c r="T1707" t="s">
        <v>1474</v>
      </c>
      <c r="U1707">
        <v>202200</v>
      </c>
      <c r="V1707" t="s">
        <v>1513</v>
      </c>
      <c r="W1707" t="s">
        <v>1514</v>
      </c>
      <c r="X1707" t="s">
        <v>10125</v>
      </c>
      <c r="Y1707" t="s">
        <v>4208</v>
      </c>
      <c r="Z1707" t="s">
        <v>4209</v>
      </c>
      <c r="AA1707" t="s">
        <v>4210</v>
      </c>
      <c r="AB1707" t="s">
        <v>10126</v>
      </c>
      <c r="AE1707">
        <v>-37.961940579999997</v>
      </c>
      <c r="AF1707">
        <v>176.83495177</v>
      </c>
      <c r="AG1707">
        <v>37</v>
      </c>
      <c r="AH1707">
        <v>8</v>
      </c>
      <c r="AI1707">
        <v>1</v>
      </c>
      <c r="AJ1707">
        <v>6</v>
      </c>
      <c r="AK1707">
        <v>12</v>
      </c>
      <c r="AL1707">
        <v>10</v>
      </c>
      <c r="AM1707">
        <v>3</v>
      </c>
      <c r="AN1707">
        <v>0</v>
      </c>
      <c r="AO1707">
        <v>32</v>
      </c>
      <c r="AP1707">
        <v>0</v>
      </c>
      <c r="AQ1707">
        <v>29</v>
      </c>
      <c r="AR1707">
        <v>3</v>
      </c>
      <c r="AS1707">
        <v>0</v>
      </c>
      <c r="AT1707">
        <v>0</v>
      </c>
    </row>
    <row r="1708" spans="1:46">
      <c r="A1708">
        <v>40172</v>
      </c>
      <c r="B1708" t="s">
        <v>10203</v>
      </c>
      <c r="C1708" t="s">
        <v>10204</v>
      </c>
      <c r="E1708" t="s">
        <v>10205</v>
      </c>
      <c r="G1708" t="s">
        <v>3787</v>
      </c>
      <c r="H1708" t="s">
        <v>343</v>
      </c>
      <c r="J1708" t="s">
        <v>518</v>
      </c>
      <c r="K1708" t="s">
        <v>519</v>
      </c>
      <c r="L1708" t="s">
        <v>4205</v>
      </c>
      <c r="M1708" t="s">
        <v>1297</v>
      </c>
      <c r="N1708" t="s">
        <v>539</v>
      </c>
      <c r="O1708" t="s">
        <v>1743</v>
      </c>
      <c r="P1708" t="s">
        <v>523</v>
      </c>
      <c r="Q1708" t="s">
        <v>1471</v>
      </c>
      <c r="R1708" t="s">
        <v>1472</v>
      </c>
      <c r="S1708" t="s">
        <v>1438</v>
      </c>
      <c r="T1708" t="s">
        <v>1474</v>
      </c>
      <c r="U1708">
        <v>190602</v>
      </c>
      <c r="V1708" t="s">
        <v>3788</v>
      </c>
      <c r="W1708" t="s">
        <v>3789</v>
      </c>
      <c r="X1708" t="s">
        <v>10125</v>
      </c>
      <c r="Y1708" t="s">
        <v>4208</v>
      </c>
      <c r="Z1708" t="s">
        <v>4209</v>
      </c>
      <c r="AA1708" t="s">
        <v>4210</v>
      </c>
      <c r="AB1708" t="s">
        <v>10126</v>
      </c>
      <c r="AE1708">
        <v>-37.551416760000002</v>
      </c>
      <c r="AF1708">
        <v>175.9332187</v>
      </c>
      <c r="AG1708">
        <v>25</v>
      </c>
      <c r="AH1708">
        <v>7</v>
      </c>
      <c r="AI1708">
        <v>0</v>
      </c>
      <c r="AJ1708">
        <v>3</v>
      </c>
      <c r="AK1708">
        <v>1</v>
      </c>
      <c r="AL1708">
        <v>5</v>
      </c>
      <c r="AM1708">
        <v>0</v>
      </c>
      <c r="AN1708">
        <v>0</v>
      </c>
      <c r="AO1708">
        <v>9</v>
      </c>
      <c r="AP1708">
        <v>0</v>
      </c>
      <c r="AQ1708">
        <v>9</v>
      </c>
      <c r="AR1708">
        <v>0</v>
      </c>
      <c r="AS1708">
        <v>0</v>
      </c>
      <c r="AT1708">
        <v>0</v>
      </c>
    </row>
    <row r="1709" spans="1:46">
      <c r="A1709">
        <v>40173</v>
      </c>
      <c r="B1709" t="s">
        <v>10206</v>
      </c>
      <c r="C1709" t="s">
        <v>10207</v>
      </c>
      <c r="E1709" t="s">
        <v>10208</v>
      </c>
      <c r="F1709" t="s">
        <v>1729</v>
      </c>
      <c r="G1709" t="s">
        <v>1598</v>
      </c>
      <c r="H1709" t="s">
        <v>343</v>
      </c>
      <c r="J1709" t="s">
        <v>518</v>
      </c>
      <c r="K1709" t="s">
        <v>519</v>
      </c>
      <c r="L1709" t="s">
        <v>4205</v>
      </c>
      <c r="M1709" t="s">
        <v>1297</v>
      </c>
      <c r="N1709" t="s">
        <v>557</v>
      </c>
      <c r="O1709" t="s">
        <v>1698</v>
      </c>
      <c r="P1709" t="s">
        <v>654</v>
      </c>
      <c r="Q1709" t="s">
        <v>1471</v>
      </c>
      <c r="R1709" t="s">
        <v>1472</v>
      </c>
      <c r="S1709" t="s">
        <v>1699</v>
      </c>
      <c r="T1709" t="s">
        <v>1474</v>
      </c>
      <c r="U1709">
        <v>195900</v>
      </c>
      <c r="V1709" t="s">
        <v>1730</v>
      </c>
      <c r="W1709" t="s">
        <v>1731</v>
      </c>
      <c r="X1709" t="s">
        <v>10125</v>
      </c>
      <c r="Y1709" t="s">
        <v>4208</v>
      </c>
      <c r="Z1709" t="s">
        <v>4209</v>
      </c>
      <c r="AA1709" t="s">
        <v>4210</v>
      </c>
      <c r="AB1709" t="s">
        <v>10126</v>
      </c>
      <c r="AE1709">
        <v>-37.710299380000002</v>
      </c>
      <c r="AF1709">
        <v>176.18540272000001</v>
      </c>
      <c r="AG1709">
        <v>39</v>
      </c>
      <c r="AH1709">
        <v>8</v>
      </c>
      <c r="AI1709">
        <v>1</v>
      </c>
      <c r="AJ1709">
        <v>4</v>
      </c>
      <c r="AK1709">
        <v>5</v>
      </c>
      <c r="AL1709">
        <v>4</v>
      </c>
      <c r="AM1709">
        <v>3</v>
      </c>
      <c r="AN1709">
        <v>0</v>
      </c>
      <c r="AO1709">
        <v>17</v>
      </c>
      <c r="AP1709">
        <v>0</v>
      </c>
      <c r="AQ1709">
        <v>17</v>
      </c>
      <c r="AR1709">
        <v>0</v>
      </c>
      <c r="AS1709">
        <v>0</v>
      </c>
      <c r="AT1709">
        <v>0</v>
      </c>
    </row>
    <row r="1710" spans="1:46">
      <c r="A1710">
        <v>40176</v>
      </c>
      <c r="B1710" t="s">
        <v>10209</v>
      </c>
      <c r="C1710" t="s">
        <v>10210</v>
      </c>
      <c r="E1710" t="s">
        <v>10211</v>
      </c>
      <c r="F1710" t="s">
        <v>3770</v>
      </c>
      <c r="G1710" t="s">
        <v>1598</v>
      </c>
      <c r="H1710" t="s">
        <v>343</v>
      </c>
      <c r="J1710" t="s">
        <v>518</v>
      </c>
      <c r="K1710" t="s">
        <v>519</v>
      </c>
      <c r="L1710" t="s">
        <v>4205</v>
      </c>
      <c r="M1710" t="s">
        <v>1297</v>
      </c>
      <c r="N1710" t="s">
        <v>521</v>
      </c>
      <c r="O1710" t="s">
        <v>1698</v>
      </c>
      <c r="P1710" t="s">
        <v>654</v>
      </c>
      <c r="Q1710" t="s">
        <v>1471</v>
      </c>
      <c r="R1710" t="s">
        <v>1472</v>
      </c>
      <c r="S1710" t="s">
        <v>1699</v>
      </c>
      <c r="T1710" t="s">
        <v>1474</v>
      </c>
      <c r="U1710">
        <v>197000</v>
      </c>
      <c r="V1710" t="s">
        <v>4717</v>
      </c>
      <c r="W1710" t="s">
        <v>1701</v>
      </c>
      <c r="X1710" t="s">
        <v>10125</v>
      </c>
      <c r="Y1710" t="s">
        <v>4208</v>
      </c>
      <c r="Z1710" t="s">
        <v>4209</v>
      </c>
      <c r="AA1710" t="s">
        <v>4210</v>
      </c>
      <c r="AB1710" t="s">
        <v>10126</v>
      </c>
      <c r="AE1710">
        <v>-37.696917900000003</v>
      </c>
      <c r="AF1710">
        <v>176.26566489999999</v>
      </c>
      <c r="AG1710">
        <v>25</v>
      </c>
      <c r="AH1710">
        <v>6</v>
      </c>
      <c r="AI1710">
        <v>1</v>
      </c>
      <c r="AJ1710">
        <v>2</v>
      </c>
      <c r="AK1710">
        <v>5</v>
      </c>
      <c r="AL1710">
        <v>5</v>
      </c>
      <c r="AM1710">
        <v>7</v>
      </c>
      <c r="AN1710">
        <v>0</v>
      </c>
      <c r="AO1710">
        <v>20</v>
      </c>
      <c r="AP1710">
        <v>0</v>
      </c>
      <c r="AQ1710">
        <v>17</v>
      </c>
      <c r="AR1710">
        <v>2</v>
      </c>
      <c r="AS1710">
        <v>0</v>
      </c>
      <c r="AT1710">
        <v>1</v>
      </c>
    </row>
    <row r="1711" spans="1:46">
      <c r="A1711">
        <v>40178</v>
      </c>
      <c r="B1711" t="s">
        <v>10212</v>
      </c>
      <c r="C1711" t="s">
        <v>10213</v>
      </c>
      <c r="E1711" t="s">
        <v>10214</v>
      </c>
      <c r="G1711" t="s">
        <v>10167</v>
      </c>
      <c r="H1711" t="s">
        <v>343</v>
      </c>
      <c r="J1711" t="s">
        <v>518</v>
      </c>
      <c r="K1711" t="s">
        <v>519</v>
      </c>
      <c r="L1711" t="s">
        <v>4205</v>
      </c>
      <c r="M1711" t="s">
        <v>1297</v>
      </c>
      <c r="N1711" t="s">
        <v>727</v>
      </c>
      <c r="O1711" t="s">
        <v>1470</v>
      </c>
      <c r="P1711" t="s">
        <v>572</v>
      </c>
      <c r="Q1711" t="s">
        <v>1471</v>
      </c>
      <c r="R1711" t="s">
        <v>1472</v>
      </c>
      <c r="S1711" t="s">
        <v>1473</v>
      </c>
      <c r="T1711" t="s">
        <v>1474</v>
      </c>
      <c r="U1711">
        <v>202400</v>
      </c>
      <c r="V1711" t="s">
        <v>10168</v>
      </c>
      <c r="W1711" t="s">
        <v>1514</v>
      </c>
      <c r="X1711" t="s">
        <v>10125</v>
      </c>
      <c r="Y1711" t="s">
        <v>4208</v>
      </c>
      <c r="Z1711" t="s">
        <v>4209</v>
      </c>
      <c r="AA1711" t="s">
        <v>4210</v>
      </c>
      <c r="AB1711" t="s">
        <v>10126</v>
      </c>
      <c r="AE1711">
        <v>-38.037394390000003</v>
      </c>
      <c r="AF1711">
        <v>176.80732949</v>
      </c>
      <c r="AG1711">
        <v>50</v>
      </c>
      <c r="AH1711">
        <v>20</v>
      </c>
      <c r="AI1711">
        <v>3</v>
      </c>
      <c r="AJ1711">
        <v>6</v>
      </c>
      <c r="AK1711">
        <v>10</v>
      </c>
      <c r="AL1711">
        <v>12</v>
      </c>
      <c r="AM1711">
        <v>5</v>
      </c>
      <c r="AN1711">
        <v>0</v>
      </c>
      <c r="AO1711">
        <v>36</v>
      </c>
      <c r="AP1711">
        <v>0</v>
      </c>
      <c r="AQ1711">
        <v>35</v>
      </c>
      <c r="AR1711">
        <v>1</v>
      </c>
      <c r="AS1711">
        <v>0</v>
      </c>
      <c r="AT1711">
        <v>0</v>
      </c>
    </row>
    <row r="1712" spans="1:46">
      <c r="A1712">
        <v>40179</v>
      </c>
      <c r="B1712" t="s">
        <v>10215</v>
      </c>
      <c r="C1712" t="s">
        <v>10216</v>
      </c>
      <c r="E1712" t="s">
        <v>10217</v>
      </c>
      <c r="G1712" t="s">
        <v>10218</v>
      </c>
      <c r="H1712" t="s">
        <v>343</v>
      </c>
      <c r="J1712" t="s">
        <v>518</v>
      </c>
      <c r="K1712" t="s">
        <v>519</v>
      </c>
      <c r="L1712" t="s">
        <v>4205</v>
      </c>
      <c r="M1712" t="s">
        <v>1297</v>
      </c>
      <c r="N1712" t="s">
        <v>539</v>
      </c>
      <c r="O1712" t="s">
        <v>1470</v>
      </c>
      <c r="P1712" t="s">
        <v>540</v>
      </c>
      <c r="Q1712" t="s">
        <v>1471</v>
      </c>
      <c r="R1712" t="s">
        <v>1472</v>
      </c>
      <c r="S1712" t="s">
        <v>1473</v>
      </c>
      <c r="T1712" t="s">
        <v>1474</v>
      </c>
      <c r="U1712">
        <v>202000</v>
      </c>
      <c r="V1712" t="s">
        <v>10219</v>
      </c>
      <c r="W1712" t="s">
        <v>1514</v>
      </c>
      <c r="X1712" t="s">
        <v>10125</v>
      </c>
      <c r="Y1712" t="s">
        <v>4208</v>
      </c>
      <c r="Z1712" t="s">
        <v>4209</v>
      </c>
      <c r="AA1712" t="s">
        <v>4210</v>
      </c>
      <c r="AB1712" t="s">
        <v>10126</v>
      </c>
      <c r="AE1712">
        <v>-37.8906943</v>
      </c>
      <c r="AF1712">
        <v>176.7629838</v>
      </c>
      <c r="AG1712">
        <v>25</v>
      </c>
      <c r="AH1712">
        <v>6</v>
      </c>
      <c r="AI1712">
        <v>0</v>
      </c>
      <c r="AJ1712">
        <v>2</v>
      </c>
      <c r="AK1712">
        <v>4</v>
      </c>
      <c r="AL1712">
        <v>4</v>
      </c>
      <c r="AM1712">
        <v>4</v>
      </c>
      <c r="AN1712">
        <v>0</v>
      </c>
      <c r="AO1712">
        <v>14</v>
      </c>
      <c r="AP1712">
        <v>0</v>
      </c>
      <c r="AQ1712">
        <v>14</v>
      </c>
      <c r="AR1712">
        <v>0</v>
      </c>
      <c r="AS1712">
        <v>0</v>
      </c>
      <c r="AT1712">
        <v>0</v>
      </c>
    </row>
    <row r="1713" spans="1:46">
      <c r="A1713">
        <v>40180</v>
      </c>
      <c r="B1713" t="s">
        <v>10220</v>
      </c>
      <c r="C1713" t="s">
        <v>10221</v>
      </c>
      <c r="E1713" t="s">
        <v>10222</v>
      </c>
      <c r="G1713" t="s">
        <v>10223</v>
      </c>
      <c r="H1713" t="s">
        <v>343</v>
      </c>
      <c r="J1713" t="s">
        <v>518</v>
      </c>
      <c r="K1713" t="s">
        <v>519</v>
      </c>
      <c r="L1713" t="s">
        <v>4205</v>
      </c>
      <c r="M1713" t="s">
        <v>1297</v>
      </c>
      <c r="N1713" t="s">
        <v>727</v>
      </c>
      <c r="O1713" t="s">
        <v>1612</v>
      </c>
      <c r="P1713" t="s">
        <v>540</v>
      </c>
      <c r="Q1713" t="s">
        <v>1471</v>
      </c>
      <c r="R1713" t="s">
        <v>1472</v>
      </c>
      <c r="S1713" t="s">
        <v>1473</v>
      </c>
      <c r="T1713" t="s">
        <v>1474</v>
      </c>
      <c r="U1713">
        <v>204200</v>
      </c>
      <c r="V1713" t="s">
        <v>10224</v>
      </c>
      <c r="W1713" t="s">
        <v>10225</v>
      </c>
      <c r="X1713" t="s">
        <v>10125</v>
      </c>
      <c r="Y1713" t="s">
        <v>4208</v>
      </c>
      <c r="Z1713" t="s">
        <v>4209</v>
      </c>
      <c r="AA1713" t="s">
        <v>4210</v>
      </c>
      <c r="AB1713" t="s">
        <v>10126</v>
      </c>
      <c r="AE1713">
        <v>-37.729877999999999</v>
      </c>
      <c r="AF1713">
        <v>177.69515723999999</v>
      </c>
      <c r="AG1713">
        <v>30</v>
      </c>
      <c r="AH1713">
        <v>8</v>
      </c>
      <c r="AI1713">
        <v>1</v>
      </c>
      <c r="AJ1713">
        <v>4</v>
      </c>
      <c r="AK1713">
        <v>2</v>
      </c>
      <c r="AL1713">
        <v>5</v>
      </c>
      <c r="AM1713">
        <v>4</v>
      </c>
      <c r="AN1713">
        <v>0</v>
      </c>
      <c r="AO1713">
        <v>16</v>
      </c>
      <c r="AP1713">
        <v>0</v>
      </c>
      <c r="AQ1713">
        <v>15</v>
      </c>
      <c r="AR1713">
        <v>1</v>
      </c>
      <c r="AS1713">
        <v>0</v>
      </c>
      <c r="AT1713">
        <v>0</v>
      </c>
    </row>
    <row r="1714" spans="1:46">
      <c r="A1714">
        <v>40183</v>
      </c>
      <c r="B1714" t="s">
        <v>10226</v>
      </c>
      <c r="C1714" t="s">
        <v>10227</v>
      </c>
      <c r="E1714" t="s">
        <v>10228</v>
      </c>
      <c r="G1714" t="s">
        <v>10229</v>
      </c>
      <c r="H1714" t="s">
        <v>343</v>
      </c>
      <c r="J1714" t="s">
        <v>518</v>
      </c>
      <c r="K1714" t="s">
        <v>519</v>
      </c>
      <c r="L1714" t="s">
        <v>4205</v>
      </c>
      <c r="M1714" t="s">
        <v>1297</v>
      </c>
      <c r="N1714" t="s">
        <v>539</v>
      </c>
      <c r="O1714" t="s">
        <v>1470</v>
      </c>
      <c r="P1714" t="s">
        <v>572</v>
      </c>
      <c r="Q1714" t="s">
        <v>1471</v>
      </c>
      <c r="R1714" t="s">
        <v>1472</v>
      </c>
      <c r="S1714" t="s">
        <v>1473</v>
      </c>
      <c r="T1714" t="s">
        <v>1474</v>
      </c>
      <c r="U1714">
        <v>203400</v>
      </c>
      <c r="V1714" t="s">
        <v>9795</v>
      </c>
      <c r="W1714" t="s">
        <v>1595</v>
      </c>
      <c r="X1714" t="s">
        <v>10125</v>
      </c>
      <c r="Y1714" t="s">
        <v>4208</v>
      </c>
      <c r="Z1714" t="s">
        <v>4209</v>
      </c>
      <c r="AA1714" t="s">
        <v>4210</v>
      </c>
      <c r="AB1714" t="s">
        <v>10126</v>
      </c>
      <c r="AE1714">
        <v>-38.225509070000001</v>
      </c>
      <c r="AF1714">
        <v>176.84381594999999</v>
      </c>
      <c r="AG1714">
        <v>20</v>
      </c>
      <c r="AH1714">
        <v>5</v>
      </c>
      <c r="AI1714">
        <v>0</v>
      </c>
      <c r="AJ1714">
        <v>1</v>
      </c>
      <c r="AK1714">
        <v>2</v>
      </c>
      <c r="AL1714">
        <v>2</v>
      </c>
      <c r="AM1714">
        <v>0</v>
      </c>
      <c r="AN1714">
        <v>0</v>
      </c>
      <c r="AO1714">
        <v>5</v>
      </c>
      <c r="AP1714">
        <v>0</v>
      </c>
      <c r="AQ1714">
        <v>5</v>
      </c>
      <c r="AR1714">
        <v>0</v>
      </c>
      <c r="AS1714">
        <v>0</v>
      </c>
      <c r="AT1714">
        <v>0</v>
      </c>
    </row>
    <row r="1715" spans="1:46">
      <c r="A1715">
        <v>40184</v>
      </c>
      <c r="B1715" t="s">
        <v>10230</v>
      </c>
      <c r="C1715" t="s">
        <v>10231</v>
      </c>
      <c r="E1715" t="s">
        <v>10232</v>
      </c>
      <c r="G1715" t="s">
        <v>1611</v>
      </c>
      <c r="H1715" t="s">
        <v>343</v>
      </c>
      <c r="J1715" t="s">
        <v>518</v>
      </c>
      <c r="K1715" t="s">
        <v>519</v>
      </c>
      <c r="L1715" t="s">
        <v>4205</v>
      </c>
      <c r="M1715" t="s">
        <v>1297</v>
      </c>
      <c r="N1715" t="s">
        <v>521</v>
      </c>
      <c r="O1715" t="s">
        <v>1612</v>
      </c>
      <c r="P1715" t="s">
        <v>572</v>
      </c>
      <c r="Q1715" t="s">
        <v>1471</v>
      </c>
      <c r="R1715" t="s">
        <v>1472</v>
      </c>
      <c r="S1715" t="s">
        <v>1473</v>
      </c>
      <c r="T1715" t="s">
        <v>1474</v>
      </c>
      <c r="U1715">
        <v>204200</v>
      </c>
      <c r="V1715" t="s">
        <v>10224</v>
      </c>
      <c r="W1715" t="s">
        <v>10225</v>
      </c>
      <c r="X1715" t="s">
        <v>10125</v>
      </c>
      <c r="Y1715" t="s">
        <v>4208</v>
      </c>
      <c r="Z1715" t="s">
        <v>4209</v>
      </c>
      <c r="AA1715" t="s">
        <v>4210</v>
      </c>
      <c r="AB1715" t="s">
        <v>10126</v>
      </c>
      <c r="AE1715">
        <v>-37.574556639999997</v>
      </c>
      <c r="AF1715">
        <v>177.99702690999999</v>
      </c>
      <c r="AG1715">
        <v>27</v>
      </c>
      <c r="AH1715">
        <v>10</v>
      </c>
      <c r="AI1715">
        <v>0</v>
      </c>
      <c r="AJ1715">
        <v>6</v>
      </c>
      <c r="AK1715">
        <v>3</v>
      </c>
      <c r="AL1715">
        <v>8</v>
      </c>
      <c r="AM1715">
        <v>2</v>
      </c>
      <c r="AN1715">
        <v>0</v>
      </c>
      <c r="AO1715">
        <v>19</v>
      </c>
      <c r="AP1715">
        <v>0</v>
      </c>
      <c r="AQ1715">
        <v>19</v>
      </c>
      <c r="AR1715">
        <v>0</v>
      </c>
      <c r="AS1715">
        <v>0</v>
      </c>
      <c r="AT1715">
        <v>0</v>
      </c>
    </row>
    <row r="1716" spans="1:46">
      <c r="A1716">
        <v>40185</v>
      </c>
      <c r="B1716" t="s">
        <v>10233</v>
      </c>
      <c r="C1716" t="s">
        <v>10234</v>
      </c>
      <c r="E1716" t="s">
        <v>10235</v>
      </c>
      <c r="G1716" t="s">
        <v>1469</v>
      </c>
      <c r="H1716" t="s">
        <v>343</v>
      </c>
      <c r="J1716" t="s">
        <v>518</v>
      </c>
      <c r="K1716" t="s">
        <v>519</v>
      </c>
      <c r="L1716" t="s">
        <v>4205</v>
      </c>
      <c r="M1716" t="s">
        <v>1297</v>
      </c>
      <c r="N1716" t="s">
        <v>727</v>
      </c>
      <c r="O1716" t="s">
        <v>1470</v>
      </c>
      <c r="P1716" t="s">
        <v>1262</v>
      </c>
      <c r="Q1716" t="s">
        <v>1471</v>
      </c>
      <c r="R1716" t="s">
        <v>1472</v>
      </c>
      <c r="S1716" t="s">
        <v>1473</v>
      </c>
      <c r="T1716" t="s">
        <v>1474</v>
      </c>
      <c r="U1716">
        <v>202700</v>
      </c>
      <c r="V1716" t="s">
        <v>1475</v>
      </c>
      <c r="W1716" t="s">
        <v>1476</v>
      </c>
      <c r="X1716" t="s">
        <v>10125</v>
      </c>
      <c r="Y1716" t="s">
        <v>4208</v>
      </c>
      <c r="Z1716" t="s">
        <v>4209</v>
      </c>
      <c r="AA1716" t="s">
        <v>4210</v>
      </c>
      <c r="AB1716" t="s">
        <v>10126</v>
      </c>
      <c r="AE1716">
        <v>-37.950096719999998</v>
      </c>
      <c r="AF1716">
        <v>177.004322</v>
      </c>
      <c r="AG1716">
        <v>24</v>
      </c>
      <c r="AH1716">
        <v>8</v>
      </c>
      <c r="AI1716">
        <v>0</v>
      </c>
      <c r="AJ1716">
        <v>3</v>
      </c>
      <c r="AK1716">
        <v>7</v>
      </c>
      <c r="AL1716">
        <v>5</v>
      </c>
      <c r="AM1716">
        <v>5</v>
      </c>
      <c r="AN1716">
        <v>0</v>
      </c>
      <c r="AO1716">
        <v>20</v>
      </c>
      <c r="AP1716">
        <v>0</v>
      </c>
      <c r="AQ1716">
        <v>20</v>
      </c>
      <c r="AR1716">
        <v>0</v>
      </c>
      <c r="AS1716">
        <v>0</v>
      </c>
      <c r="AT1716">
        <v>0</v>
      </c>
    </row>
    <row r="1717" spans="1:46">
      <c r="A1717">
        <v>40186</v>
      </c>
      <c r="B1717" t="s">
        <v>10236</v>
      </c>
      <c r="C1717" t="s">
        <v>10237</v>
      </c>
      <c r="E1717" t="s">
        <v>10238</v>
      </c>
      <c r="G1717" t="s">
        <v>1469</v>
      </c>
      <c r="H1717" t="s">
        <v>343</v>
      </c>
      <c r="J1717" t="s">
        <v>518</v>
      </c>
      <c r="K1717" t="s">
        <v>519</v>
      </c>
      <c r="L1717" t="s">
        <v>4205</v>
      </c>
      <c r="M1717" t="s">
        <v>1297</v>
      </c>
      <c r="N1717" t="s">
        <v>521</v>
      </c>
      <c r="O1717" t="s">
        <v>1470</v>
      </c>
      <c r="P1717" t="s">
        <v>1262</v>
      </c>
      <c r="Q1717" t="s">
        <v>1471</v>
      </c>
      <c r="R1717" t="s">
        <v>1472</v>
      </c>
      <c r="S1717" t="s">
        <v>1473</v>
      </c>
      <c r="T1717" t="s">
        <v>1474</v>
      </c>
      <c r="U1717">
        <v>202500</v>
      </c>
      <c r="V1717" t="s">
        <v>10239</v>
      </c>
      <c r="W1717" t="s">
        <v>1514</v>
      </c>
      <c r="X1717" t="s">
        <v>10125</v>
      </c>
      <c r="Y1717" t="s">
        <v>4208</v>
      </c>
      <c r="Z1717" t="s">
        <v>4209</v>
      </c>
      <c r="AA1717" t="s">
        <v>4210</v>
      </c>
      <c r="AB1717" t="s">
        <v>10126</v>
      </c>
      <c r="AE1717">
        <v>-37.957184269999999</v>
      </c>
      <c r="AF1717">
        <v>176.95019912999999</v>
      </c>
      <c r="AG1717">
        <v>40</v>
      </c>
      <c r="AH1717">
        <v>15</v>
      </c>
      <c r="AI1717">
        <v>4</v>
      </c>
      <c r="AJ1717">
        <v>7</v>
      </c>
      <c r="AK1717">
        <v>11</v>
      </c>
      <c r="AL1717">
        <v>6</v>
      </c>
      <c r="AM1717">
        <v>9</v>
      </c>
      <c r="AN1717">
        <v>0</v>
      </c>
      <c r="AO1717">
        <v>37</v>
      </c>
      <c r="AP1717">
        <v>0</v>
      </c>
      <c r="AQ1717">
        <v>37</v>
      </c>
      <c r="AR1717">
        <v>0</v>
      </c>
      <c r="AS1717">
        <v>0</v>
      </c>
      <c r="AT1717">
        <v>0</v>
      </c>
    </row>
    <row r="1718" spans="1:46">
      <c r="A1718">
        <v>40187</v>
      </c>
      <c r="B1718" t="s">
        <v>10240</v>
      </c>
      <c r="C1718" t="s">
        <v>10241</v>
      </c>
      <c r="E1718" t="s">
        <v>10242</v>
      </c>
      <c r="G1718" t="s">
        <v>1611</v>
      </c>
      <c r="H1718" t="s">
        <v>343</v>
      </c>
      <c r="J1718" t="s">
        <v>518</v>
      </c>
      <c r="K1718" t="s">
        <v>519</v>
      </c>
      <c r="L1718" t="s">
        <v>4205</v>
      </c>
      <c r="M1718" t="s">
        <v>1297</v>
      </c>
      <c r="N1718" t="s">
        <v>727</v>
      </c>
      <c r="O1718" t="s">
        <v>1612</v>
      </c>
      <c r="P1718" t="s">
        <v>572</v>
      </c>
      <c r="Q1718" t="s">
        <v>1471</v>
      </c>
      <c r="R1718" t="s">
        <v>1472</v>
      </c>
      <c r="S1718" t="s">
        <v>1473</v>
      </c>
      <c r="T1718" t="s">
        <v>1474</v>
      </c>
      <c r="U1718">
        <v>204200</v>
      </c>
      <c r="V1718" t="s">
        <v>10224</v>
      </c>
      <c r="W1718" t="s">
        <v>10225</v>
      </c>
      <c r="X1718" t="s">
        <v>10125</v>
      </c>
      <c r="Y1718" t="s">
        <v>4208</v>
      </c>
      <c r="Z1718" t="s">
        <v>4209</v>
      </c>
      <c r="AA1718" t="s">
        <v>4210</v>
      </c>
      <c r="AB1718" t="s">
        <v>10126</v>
      </c>
      <c r="AE1718">
        <v>-37.999659479999998</v>
      </c>
      <c r="AF1718">
        <v>177.29766290000001</v>
      </c>
      <c r="AG1718">
        <v>30</v>
      </c>
      <c r="AH1718">
        <v>10</v>
      </c>
      <c r="AI1718">
        <v>0</v>
      </c>
      <c r="AJ1718">
        <v>3</v>
      </c>
      <c r="AK1718">
        <v>5</v>
      </c>
      <c r="AL1718">
        <v>5</v>
      </c>
      <c r="AM1718">
        <v>5</v>
      </c>
      <c r="AN1718">
        <v>0</v>
      </c>
      <c r="AO1718">
        <v>18</v>
      </c>
      <c r="AP1718">
        <v>0</v>
      </c>
      <c r="AQ1718">
        <v>17</v>
      </c>
      <c r="AR1718">
        <v>1</v>
      </c>
      <c r="AS1718">
        <v>0</v>
      </c>
      <c r="AT1718">
        <v>0</v>
      </c>
    </row>
    <row r="1719" spans="1:46">
      <c r="A1719">
        <v>40192</v>
      </c>
      <c r="B1719" t="s">
        <v>10243</v>
      </c>
      <c r="C1719" t="s">
        <v>10244</v>
      </c>
      <c r="E1719" t="s">
        <v>10245</v>
      </c>
      <c r="G1719" t="s">
        <v>10246</v>
      </c>
      <c r="H1719" t="s">
        <v>343</v>
      </c>
      <c r="J1719" t="s">
        <v>518</v>
      </c>
      <c r="K1719" t="s">
        <v>519</v>
      </c>
      <c r="L1719" t="s">
        <v>4205</v>
      </c>
      <c r="M1719" t="s">
        <v>1297</v>
      </c>
      <c r="N1719" t="s">
        <v>521</v>
      </c>
      <c r="O1719" t="s">
        <v>1522</v>
      </c>
      <c r="P1719" t="s">
        <v>523</v>
      </c>
      <c r="Q1719" t="s">
        <v>1471</v>
      </c>
      <c r="R1719" t="s">
        <v>1472</v>
      </c>
      <c r="S1719" t="s">
        <v>1521</v>
      </c>
      <c r="T1719" t="s">
        <v>1474</v>
      </c>
      <c r="U1719">
        <v>198100</v>
      </c>
      <c r="V1719" t="s">
        <v>9887</v>
      </c>
      <c r="W1719" t="s">
        <v>9827</v>
      </c>
      <c r="X1719" t="s">
        <v>8447</v>
      </c>
      <c r="Y1719" t="s">
        <v>4208</v>
      </c>
      <c r="Z1719" t="s">
        <v>4209</v>
      </c>
      <c r="AA1719" t="s">
        <v>4210</v>
      </c>
      <c r="AB1719" t="s">
        <v>8448</v>
      </c>
      <c r="AE1719">
        <v>-38.050246139999999</v>
      </c>
      <c r="AF1719">
        <v>176.2210054</v>
      </c>
      <c r="AG1719">
        <v>30</v>
      </c>
      <c r="AH1719">
        <v>10</v>
      </c>
      <c r="AI1719">
        <v>2</v>
      </c>
      <c r="AJ1719">
        <v>4</v>
      </c>
      <c r="AK1719">
        <v>12</v>
      </c>
      <c r="AL1719">
        <v>3</v>
      </c>
      <c r="AM1719">
        <v>3</v>
      </c>
      <c r="AN1719">
        <v>0</v>
      </c>
      <c r="AO1719">
        <v>24</v>
      </c>
      <c r="AP1719">
        <v>0</v>
      </c>
      <c r="AQ1719">
        <v>24</v>
      </c>
      <c r="AR1719">
        <v>0</v>
      </c>
      <c r="AS1719">
        <v>0</v>
      </c>
      <c r="AT1719">
        <v>0</v>
      </c>
    </row>
    <row r="1720" spans="1:46">
      <c r="A1720">
        <v>40193</v>
      </c>
      <c r="B1720" t="s">
        <v>10247</v>
      </c>
      <c r="C1720" t="s">
        <v>10248</v>
      </c>
      <c r="E1720" t="s">
        <v>10249</v>
      </c>
      <c r="F1720" t="s">
        <v>10010</v>
      </c>
      <c r="G1720" t="s">
        <v>1521</v>
      </c>
      <c r="H1720" t="s">
        <v>343</v>
      </c>
      <c r="J1720" t="s">
        <v>518</v>
      </c>
      <c r="K1720" t="s">
        <v>519</v>
      </c>
      <c r="L1720" t="s">
        <v>4205</v>
      </c>
      <c r="M1720" t="s">
        <v>1297</v>
      </c>
      <c r="N1720" t="s">
        <v>521</v>
      </c>
      <c r="O1720" t="s">
        <v>1522</v>
      </c>
      <c r="P1720" t="s">
        <v>584</v>
      </c>
      <c r="Q1720" t="s">
        <v>1471</v>
      </c>
      <c r="R1720" t="s">
        <v>1472</v>
      </c>
      <c r="S1720" t="s">
        <v>1521</v>
      </c>
      <c r="T1720" t="s">
        <v>1474</v>
      </c>
      <c r="U1720">
        <v>201300</v>
      </c>
      <c r="V1720" t="s">
        <v>8518</v>
      </c>
      <c r="W1720" t="s">
        <v>1523</v>
      </c>
      <c r="X1720" t="s">
        <v>8447</v>
      </c>
      <c r="Y1720" t="s">
        <v>4208</v>
      </c>
      <c r="Z1720" t="s">
        <v>4209</v>
      </c>
      <c r="AA1720" t="s">
        <v>4210</v>
      </c>
      <c r="AB1720" t="s">
        <v>8448</v>
      </c>
      <c r="AE1720">
        <v>-38.162708709999997</v>
      </c>
      <c r="AF1720">
        <v>176.25600104</v>
      </c>
      <c r="AG1720">
        <v>15</v>
      </c>
      <c r="AH1720">
        <v>10</v>
      </c>
      <c r="AI1720">
        <v>0</v>
      </c>
      <c r="AJ1720">
        <v>3</v>
      </c>
      <c r="AK1720">
        <v>4</v>
      </c>
      <c r="AL1720">
        <v>3</v>
      </c>
      <c r="AM1720">
        <v>4</v>
      </c>
      <c r="AN1720">
        <v>0</v>
      </c>
      <c r="AO1720">
        <v>14</v>
      </c>
      <c r="AP1720">
        <v>0</v>
      </c>
      <c r="AQ1720">
        <v>14</v>
      </c>
      <c r="AR1720">
        <v>0</v>
      </c>
      <c r="AS1720">
        <v>0</v>
      </c>
      <c r="AT1720">
        <v>0</v>
      </c>
    </row>
    <row r="1721" spans="1:46">
      <c r="A1721">
        <v>40195</v>
      </c>
      <c r="B1721" t="s">
        <v>10250</v>
      </c>
      <c r="C1721" t="s">
        <v>10251</v>
      </c>
      <c r="E1721" t="s">
        <v>10252</v>
      </c>
      <c r="G1721" t="s">
        <v>9714</v>
      </c>
      <c r="H1721" t="s">
        <v>343</v>
      </c>
      <c r="J1721" t="s">
        <v>518</v>
      </c>
      <c r="K1721" t="s">
        <v>519</v>
      </c>
      <c r="L1721" t="s">
        <v>4205</v>
      </c>
      <c r="M1721" t="s">
        <v>1297</v>
      </c>
      <c r="N1721" t="s">
        <v>521</v>
      </c>
      <c r="O1721" t="s">
        <v>1546</v>
      </c>
      <c r="P1721" t="s">
        <v>540</v>
      </c>
      <c r="Q1721" t="s">
        <v>1299</v>
      </c>
      <c r="R1721" t="s">
        <v>1472</v>
      </c>
      <c r="S1721" t="s">
        <v>1320</v>
      </c>
      <c r="T1721" t="s">
        <v>1485</v>
      </c>
      <c r="U1721">
        <v>187702</v>
      </c>
      <c r="V1721" t="s">
        <v>9714</v>
      </c>
      <c r="W1721" t="s">
        <v>9715</v>
      </c>
      <c r="X1721" t="s">
        <v>8447</v>
      </c>
      <c r="Y1721" t="s">
        <v>4208</v>
      </c>
      <c r="Z1721" t="s">
        <v>4209</v>
      </c>
      <c r="AA1721" t="s">
        <v>4210</v>
      </c>
      <c r="AB1721" t="s">
        <v>8448</v>
      </c>
      <c r="AE1721">
        <v>-38.366289969999997</v>
      </c>
      <c r="AF1721">
        <v>175.77524553000001</v>
      </c>
      <c r="AG1721">
        <v>20</v>
      </c>
      <c r="AH1721">
        <v>5</v>
      </c>
      <c r="AI1721">
        <v>4</v>
      </c>
      <c r="AJ1721">
        <v>1</v>
      </c>
      <c r="AK1721">
        <v>0</v>
      </c>
      <c r="AL1721">
        <v>1</v>
      </c>
      <c r="AM1721">
        <v>1</v>
      </c>
      <c r="AN1721">
        <v>0</v>
      </c>
      <c r="AO1721">
        <v>7</v>
      </c>
      <c r="AP1721">
        <v>0</v>
      </c>
      <c r="AQ1721">
        <v>7</v>
      </c>
      <c r="AR1721">
        <v>0</v>
      </c>
      <c r="AS1721">
        <v>0</v>
      </c>
      <c r="AT1721">
        <v>0</v>
      </c>
    </row>
    <row r="1722" spans="1:46">
      <c r="A1722">
        <v>40199</v>
      </c>
      <c r="B1722" t="s">
        <v>10253</v>
      </c>
      <c r="C1722" t="s">
        <v>10254</v>
      </c>
      <c r="E1722" t="s">
        <v>10255</v>
      </c>
      <c r="F1722" t="s">
        <v>10239</v>
      </c>
      <c r="G1722" t="s">
        <v>1469</v>
      </c>
      <c r="H1722" t="s">
        <v>343</v>
      </c>
      <c r="J1722" t="s">
        <v>518</v>
      </c>
      <c r="K1722" t="s">
        <v>519</v>
      </c>
      <c r="L1722" t="s">
        <v>4205</v>
      </c>
      <c r="M1722" t="s">
        <v>1297</v>
      </c>
      <c r="N1722" t="s">
        <v>727</v>
      </c>
      <c r="O1722" t="s">
        <v>1470</v>
      </c>
      <c r="P1722" t="s">
        <v>1262</v>
      </c>
      <c r="Q1722" t="s">
        <v>1471</v>
      </c>
      <c r="R1722" t="s">
        <v>1472</v>
      </c>
      <c r="S1722" t="s">
        <v>1473</v>
      </c>
      <c r="T1722" t="s">
        <v>1474</v>
      </c>
      <c r="U1722">
        <v>202500</v>
      </c>
      <c r="V1722" t="s">
        <v>10239</v>
      </c>
      <c r="W1722" t="s">
        <v>1476</v>
      </c>
      <c r="X1722" t="s">
        <v>10125</v>
      </c>
      <c r="Y1722" t="s">
        <v>4208</v>
      </c>
      <c r="Z1722" t="s">
        <v>4209</v>
      </c>
      <c r="AA1722" t="s">
        <v>4210</v>
      </c>
      <c r="AB1722" t="s">
        <v>10126</v>
      </c>
      <c r="AE1722">
        <v>-37.931013700000001</v>
      </c>
      <c r="AF1722">
        <v>176.94229923</v>
      </c>
      <c r="AG1722">
        <v>47</v>
      </c>
      <c r="AH1722">
        <v>20</v>
      </c>
      <c r="AI1722">
        <v>2</v>
      </c>
      <c r="AJ1722">
        <v>2</v>
      </c>
      <c r="AK1722">
        <v>7</v>
      </c>
      <c r="AL1722">
        <v>5</v>
      </c>
      <c r="AM1722">
        <v>6</v>
      </c>
      <c r="AN1722">
        <v>0</v>
      </c>
      <c r="AO1722">
        <v>22</v>
      </c>
      <c r="AP1722">
        <v>0</v>
      </c>
      <c r="AQ1722">
        <v>21</v>
      </c>
      <c r="AR1722">
        <v>0</v>
      </c>
      <c r="AS1722">
        <v>0</v>
      </c>
      <c r="AT1722">
        <v>1</v>
      </c>
    </row>
    <row r="1723" spans="1:46">
      <c r="A1723">
        <v>40200</v>
      </c>
      <c r="B1723" t="s">
        <v>10256</v>
      </c>
      <c r="C1723" t="s">
        <v>10257</v>
      </c>
      <c r="D1723" t="s">
        <v>10258</v>
      </c>
      <c r="E1723" t="s">
        <v>10259</v>
      </c>
      <c r="F1723" t="s">
        <v>10075</v>
      </c>
      <c r="G1723" t="s">
        <v>1521</v>
      </c>
      <c r="H1723" t="s">
        <v>3942</v>
      </c>
      <c r="J1723" t="s">
        <v>3962</v>
      </c>
      <c r="K1723" t="s">
        <v>519</v>
      </c>
      <c r="M1723" t="s">
        <v>1297</v>
      </c>
      <c r="N1723" t="s">
        <v>521</v>
      </c>
      <c r="O1723" t="s">
        <v>1522</v>
      </c>
      <c r="P1723" t="s">
        <v>584</v>
      </c>
      <c r="Q1723" t="s">
        <v>1471</v>
      </c>
      <c r="R1723" t="s">
        <v>1472</v>
      </c>
      <c r="S1723" t="s">
        <v>1521</v>
      </c>
      <c r="T1723" t="s">
        <v>1474</v>
      </c>
      <c r="U1723">
        <v>199500</v>
      </c>
      <c r="V1723" t="s">
        <v>8705</v>
      </c>
      <c r="W1723" t="s">
        <v>1523</v>
      </c>
      <c r="X1723" t="s">
        <v>10260</v>
      </c>
      <c r="Y1723" t="s">
        <v>3981</v>
      </c>
      <c r="AA1723" t="s">
        <v>3982</v>
      </c>
      <c r="AB1723" t="s">
        <v>10257</v>
      </c>
      <c r="AC1723">
        <v>99107</v>
      </c>
      <c r="AD1723" t="s">
        <v>1526</v>
      </c>
      <c r="AE1723">
        <v>-38.13218758</v>
      </c>
      <c r="AF1723">
        <v>176.21644545000001</v>
      </c>
      <c r="AG1723">
        <v>46</v>
      </c>
      <c r="AH1723">
        <v>14</v>
      </c>
      <c r="AI1723">
        <v>4</v>
      </c>
      <c r="AJ1723">
        <v>12</v>
      </c>
      <c r="AK1723">
        <v>10</v>
      </c>
      <c r="AL1723">
        <v>9</v>
      </c>
      <c r="AM1723">
        <v>15</v>
      </c>
      <c r="AN1723">
        <v>0</v>
      </c>
      <c r="AO1723">
        <v>50</v>
      </c>
      <c r="AP1723">
        <v>20</v>
      </c>
      <c r="AQ1723">
        <v>36</v>
      </c>
      <c r="AR1723">
        <v>10</v>
      </c>
      <c r="AS1723">
        <v>1</v>
      </c>
      <c r="AT1723">
        <v>0</v>
      </c>
    </row>
    <row r="1724" spans="1:46">
      <c r="A1724">
        <v>40201</v>
      </c>
      <c r="B1724" t="s">
        <v>10261</v>
      </c>
      <c r="C1724" t="s">
        <v>10262</v>
      </c>
      <c r="E1724" t="s">
        <v>10263</v>
      </c>
      <c r="G1724" t="s">
        <v>1842</v>
      </c>
      <c r="H1724" t="s">
        <v>3942</v>
      </c>
      <c r="J1724" t="s">
        <v>3962</v>
      </c>
      <c r="K1724" t="s">
        <v>519</v>
      </c>
      <c r="M1724" t="s">
        <v>1297</v>
      </c>
      <c r="N1724" t="s">
        <v>557</v>
      </c>
      <c r="O1724" t="s">
        <v>1887</v>
      </c>
      <c r="P1724" t="s">
        <v>584</v>
      </c>
      <c r="Q1724" t="s">
        <v>1636</v>
      </c>
      <c r="R1724" t="s">
        <v>1760</v>
      </c>
      <c r="S1724" t="s">
        <v>1842</v>
      </c>
      <c r="T1724" t="s">
        <v>1485</v>
      </c>
      <c r="U1724">
        <v>225700</v>
      </c>
      <c r="V1724" t="s">
        <v>10264</v>
      </c>
      <c r="W1724" t="s">
        <v>1652</v>
      </c>
      <c r="X1724" t="s">
        <v>10265</v>
      </c>
      <c r="Y1724" t="s">
        <v>10266</v>
      </c>
      <c r="Z1724" t="s">
        <v>10267</v>
      </c>
      <c r="AA1724" t="s">
        <v>10268</v>
      </c>
      <c r="AB1724" t="s">
        <v>10269</v>
      </c>
      <c r="AC1724">
        <v>99218</v>
      </c>
      <c r="AD1724" t="s">
        <v>1893</v>
      </c>
      <c r="AE1724">
        <v>-39.936537989999998</v>
      </c>
      <c r="AF1724">
        <v>175.04420891999999</v>
      </c>
      <c r="AG1724">
        <v>37</v>
      </c>
      <c r="AH1724">
        <v>9</v>
      </c>
      <c r="AI1724">
        <v>1</v>
      </c>
      <c r="AJ1724">
        <v>8</v>
      </c>
      <c r="AK1724">
        <v>7</v>
      </c>
      <c r="AL1724">
        <v>9</v>
      </c>
      <c r="AM1724">
        <v>8</v>
      </c>
      <c r="AN1724">
        <v>1</v>
      </c>
      <c r="AO1724">
        <v>34</v>
      </c>
      <c r="AP1724">
        <v>29</v>
      </c>
      <c r="AQ1724">
        <v>10</v>
      </c>
      <c r="AR1724">
        <v>5</v>
      </c>
      <c r="AS1724">
        <v>2</v>
      </c>
      <c r="AT1724">
        <v>0</v>
      </c>
    </row>
    <row r="1725" spans="1:46">
      <c r="A1725">
        <v>40202</v>
      </c>
      <c r="B1725" t="s">
        <v>10270</v>
      </c>
      <c r="C1725" t="s">
        <v>10271</v>
      </c>
      <c r="E1725" t="s">
        <v>10272</v>
      </c>
      <c r="G1725" t="s">
        <v>1679</v>
      </c>
      <c r="H1725" t="s">
        <v>343</v>
      </c>
      <c r="J1725" t="s">
        <v>518</v>
      </c>
      <c r="K1725" t="s">
        <v>519</v>
      </c>
      <c r="L1725" t="s">
        <v>4205</v>
      </c>
      <c r="M1725" t="s">
        <v>1297</v>
      </c>
      <c r="N1725" t="s">
        <v>727</v>
      </c>
      <c r="O1725" t="s">
        <v>1546</v>
      </c>
      <c r="P1725" t="s">
        <v>523</v>
      </c>
      <c r="Q1725" t="s">
        <v>1299</v>
      </c>
      <c r="R1725" t="s">
        <v>1472</v>
      </c>
      <c r="S1725" t="s">
        <v>1320</v>
      </c>
      <c r="T1725" t="s">
        <v>1474</v>
      </c>
      <c r="U1725">
        <v>189700</v>
      </c>
      <c r="V1725" t="s">
        <v>1680</v>
      </c>
      <c r="W1725" t="s">
        <v>1681</v>
      </c>
      <c r="X1725" t="s">
        <v>8447</v>
      </c>
      <c r="Y1725" t="s">
        <v>4208</v>
      </c>
      <c r="Z1725" t="s">
        <v>4209</v>
      </c>
      <c r="AA1725" t="s">
        <v>4210</v>
      </c>
      <c r="AB1725" t="s">
        <v>8448</v>
      </c>
      <c r="AE1725">
        <v>-38.985122279999999</v>
      </c>
      <c r="AF1725">
        <v>175.80539711</v>
      </c>
      <c r="AG1725">
        <v>20</v>
      </c>
      <c r="AH1725">
        <v>8</v>
      </c>
      <c r="AI1725">
        <v>1</v>
      </c>
      <c r="AJ1725">
        <v>4</v>
      </c>
      <c r="AK1725">
        <v>4</v>
      </c>
      <c r="AL1725">
        <v>4</v>
      </c>
      <c r="AM1725">
        <v>3</v>
      </c>
      <c r="AN1725">
        <v>0</v>
      </c>
      <c r="AO1725">
        <v>16</v>
      </c>
      <c r="AP1725">
        <v>0</v>
      </c>
      <c r="AQ1725">
        <v>16</v>
      </c>
      <c r="AR1725">
        <v>0</v>
      </c>
      <c r="AS1725">
        <v>0</v>
      </c>
      <c r="AT1725">
        <v>0</v>
      </c>
    </row>
    <row r="1726" spans="1:46">
      <c r="A1726">
        <v>40204</v>
      </c>
      <c r="B1726" t="s">
        <v>10273</v>
      </c>
      <c r="C1726" t="s">
        <v>10274</v>
      </c>
      <c r="D1726" t="s">
        <v>10275</v>
      </c>
      <c r="E1726" t="s">
        <v>10276</v>
      </c>
      <c r="F1726" t="s">
        <v>1521</v>
      </c>
      <c r="G1726" t="s">
        <v>1521</v>
      </c>
      <c r="H1726" t="s">
        <v>3942</v>
      </c>
      <c r="J1726" t="s">
        <v>3962</v>
      </c>
      <c r="K1726" t="s">
        <v>519</v>
      </c>
      <c r="M1726" t="s">
        <v>1297</v>
      </c>
      <c r="N1726" t="s">
        <v>539</v>
      </c>
      <c r="O1726" t="s">
        <v>1522</v>
      </c>
      <c r="P1726" t="s">
        <v>584</v>
      </c>
      <c r="Q1726" t="s">
        <v>1471</v>
      </c>
      <c r="R1726" t="s">
        <v>1472</v>
      </c>
      <c r="S1726" t="s">
        <v>1521</v>
      </c>
      <c r="T1726" t="s">
        <v>1474</v>
      </c>
      <c r="U1726">
        <v>199300</v>
      </c>
      <c r="V1726" t="s">
        <v>10277</v>
      </c>
      <c r="W1726" t="s">
        <v>1523</v>
      </c>
      <c r="X1726" t="s">
        <v>10278</v>
      </c>
      <c r="Y1726" t="s">
        <v>10279</v>
      </c>
      <c r="Z1726" t="s">
        <v>8564</v>
      </c>
      <c r="AA1726" t="s">
        <v>10280</v>
      </c>
      <c r="AB1726" t="s">
        <v>10281</v>
      </c>
      <c r="AE1726">
        <v>-38.119707099999999</v>
      </c>
      <c r="AF1726">
        <v>176.22730254999999</v>
      </c>
      <c r="AG1726">
        <v>90</v>
      </c>
      <c r="AH1726">
        <v>40</v>
      </c>
      <c r="AI1726">
        <v>7</v>
      </c>
      <c r="AJ1726">
        <v>8</v>
      </c>
      <c r="AK1726">
        <v>18</v>
      </c>
      <c r="AL1726">
        <v>14</v>
      </c>
      <c r="AM1726">
        <v>19</v>
      </c>
      <c r="AN1726">
        <v>1</v>
      </c>
      <c r="AO1726">
        <v>67</v>
      </c>
      <c r="AP1726">
        <v>35</v>
      </c>
      <c r="AQ1726">
        <v>27</v>
      </c>
      <c r="AR1726">
        <v>5</v>
      </c>
      <c r="AS1726">
        <v>21</v>
      </c>
      <c r="AT1726">
        <v>0</v>
      </c>
    </row>
    <row r="1727" spans="1:46">
      <c r="A1727">
        <v>40207</v>
      </c>
      <c r="B1727" t="s">
        <v>10282</v>
      </c>
      <c r="C1727" t="s">
        <v>10283</v>
      </c>
      <c r="D1727" t="s">
        <v>10284</v>
      </c>
      <c r="E1727" t="s">
        <v>10285</v>
      </c>
      <c r="F1727" t="s">
        <v>3722</v>
      </c>
      <c r="G1727" t="s">
        <v>1598</v>
      </c>
      <c r="H1727" t="s">
        <v>3942</v>
      </c>
      <c r="J1727" t="s">
        <v>3962</v>
      </c>
      <c r="K1727" t="s">
        <v>519</v>
      </c>
      <c r="M1727" t="s">
        <v>1297</v>
      </c>
      <c r="N1727" t="s">
        <v>557</v>
      </c>
      <c r="O1727" t="s">
        <v>1698</v>
      </c>
      <c r="P1727" t="s">
        <v>654</v>
      </c>
      <c r="Q1727" t="s">
        <v>1471</v>
      </c>
      <c r="R1727" t="s">
        <v>1472</v>
      </c>
      <c r="S1727" t="s">
        <v>1598</v>
      </c>
      <c r="T1727" t="s">
        <v>1474</v>
      </c>
      <c r="U1727">
        <v>194802</v>
      </c>
      <c r="V1727" t="s">
        <v>3723</v>
      </c>
      <c r="W1727" t="s">
        <v>3724</v>
      </c>
      <c r="X1727" t="s">
        <v>10286</v>
      </c>
      <c r="Y1727" t="s">
        <v>10287</v>
      </c>
      <c r="Z1727" t="s">
        <v>821</v>
      </c>
      <c r="AA1727" t="s">
        <v>4069</v>
      </c>
      <c r="AC1727">
        <v>99085</v>
      </c>
      <c r="AD1727" t="s">
        <v>1718</v>
      </c>
      <c r="AE1727">
        <v>-37.709666069999997</v>
      </c>
      <c r="AF1727">
        <v>176.15043813</v>
      </c>
      <c r="AG1727">
        <v>42</v>
      </c>
      <c r="AH1727">
        <v>15</v>
      </c>
      <c r="AI1727">
        <v>1</v>
      </c>
      <c r="AJ1727">
        <v>3</v>
      </c>
      <c r="AK1727">
        <v>5</v>
      </c>
      <c r="AL1727">
        <v>11</v>
      </c>
      <c r="AM1727">
        <v>12</v>
      </c>
      <c r="AN1727">
        <v>0</v>
      </c>
      <c r="AO1727">
        <v>32</v>
      </c>
      <c r="AP1727">
        <v>13</v>
      </c>
      <c r="AQ1727">
        <v>13</v>
      </c>
      <c r="AR1727">
        <v>3</v>
      </c>
      <c r="AS1727">
        <v>12</v>
      </c>
      <c r="AT1727">
        <v>2</v>
      </c>
    </row>
    <row r="1728" spans="1:46">
      <c r="A1728">
        <v>40209</v>
      </c>
      <c r="B1728" t="s">
        <v>10288</v>
      </c>
      <c r="C1728" t="s">
        <v>10289</v>
      </c>
      <c r="E1728" t="s">
        <v>10290</v>
      </c>
      <c r="G1728" t="s">
        <v>2725</v>
      </c>
      <c r="H1728" t="s">
        <v>3942</v>
      </c>
      <c r="J1728" t="s">
        <v>3962</v>
      </c>
      <c r="K1728" t="s">
        <v>519</v>
      </c>
      <c r="M1728" t="s">
        <v>2287</v>
      </c>
      <c r="N1728" t="s">
        <v>539</v>
      </c>
      <c r="O1728" t="s">
        <v>2066</v>
      </c>
      <c r="P1728" t="s">
        <v>1262</v>
      </c>
      <c r="Q1728" t="s">
        <v>1636</v>
      </c>
      <c r="R1728" t="s">
        <v>2289</v>
      </c>
      <c r="S1728" t="s">
        <v>2067</v>
      </c>
      <c r="T1728" t="s">
        <v>1485</v>
      </c>
      <c r="U1728">
        <v>235100</v>
      </c>
      <c r="V1728" t="s">
        <v>10291</v>
      </c>
      <c r="W1728" t="s">
        <v>2727</v>
      </c>
      <c r="X1728" t="s">
        <v>10292</v>
      </c>
      <c r="Y1728" t="s">
        <v>10293</v>
      </c>
      <c r="AA1728" t="s">
        <v>10294</v>
      </c>
      <c r="AB1728" t="s">
        <v>10295</v>
      </c>
      <c r="AE1728">
        <v>-40.618936599999998</v>
      </c>
      <c r="AF1728">
        <v>175.30438214</v>
      </c>
      <c r="AG1728">
        <v>40</v>
      </c>
      <c r="AH1728">
        <v>15</v>
      </c>
      <c r="AI1728">
        <v>2</v>
      </c>
      <c r="AJ1728">
        <v>9</v>
      </c>
      <c r="AK1728">
        <v>18</v>
      </c>
      <c r="AL1728">
        <v>14</v>
      </c>
      <c r="AM1728">
        <v>8</v>
      </c>
      <c r="AN1728">
        <v>0</v>
      </c>
      <c r="AO1728">
        <v>51</v>
      </c>
      <c r="AP1728">
        <v>45</v>
      </c>
      <c r="AQ1728">
        <v>24</v>
      </c>
      <c r="AR1728">
        <v>6</v>
      </c>
      <c r="AS1728">
        <v>1</v>
      </c>
      <c r="AT1728">
        <v>1</v>
      </c>
    </row>
    <row r="1729" spans="1:46">
      <c r="A1729">
        <v>40210</v>
      </c>
      <c r="B1729" t="s">
        <v>10296</v>
      </c>
      <c r="C1729" t="s">
        <v>10297</v>
      </c>
      <c r="D1729" t="s">
        <v>10298</v>
      </c>
      <c r="E1729" t="s">
        <v>10299</v>
      </c>
      <c r="G1729" t="s">
        <v>10300</v>
      </c>
      <c r="H1729" t="s">
        <v>343</v>
      </c>
      <c r="J1729" t="s">
        <v>518</v>
      </c>
      <c r="K1729" t="s">
        <v>519</v>
      </c>
      <c r="L1729" t="s">
        <v>4205</v>
      </c>
      <c r="M1729" t="s">
        <v>1297</v>
      </c>
      <c r="N1729" t="s">
        <v>557</v>
      </c>
      <c r="O1729" t="s">
        <v>2117</v>
      </c>
      <c r="P1729" t="s">
        <v>540</v>
      </c>
      <c r="Q1729" t="s">
        <v>2118</v>
      </c>
      <c r="R1729" t="s">
        <v>1472</v>
      </c>
      <c r="S1729" t="s">
        <v>2119</v>
      </c>
      <c r="T1729" t="s">
        <v>1474</v>
      </c>
      <c r="U1729">
        <v>207400</v>
      </c>
      <c r="V1729" t="s">
        <v>10301</v>
      </c>
      <c r="W1729" t="s">
        <v>565</v>
      </c>
      <c r="X1729" t="s">
        <v>10125</v>
      </c>
      <c r="Y1729" t="s">
        <v>4208</v>
      </c>
      <c r="Z1729" t="s">
        <v>4209</v>
      </c>
      <c r="AA1729" t="s">
        <v>4210</v>
      </c>
      <c r="AB1729" t="s">
        <v>10126</v>
      </c>
      <c r="AE1729">
        <v>-38.817490620000001</v>
      </c>
      <c r="AF1729">
        <v>177.14003933000001</v>
      </c>
      <c r="AG1729">
        <v>20</v>
      </c>
      <c r="AH1729">
        <v>10</v>
      </c>
      <c r="AI1729">
        <v>1</v>
      </c>
      <c r="AJ1729">
        <v>4</v>
      </c>
      <c r="AK1729">
        <v>3</v>
      </c>
      <c r="AL1729">
        <v>3</v>
      </c>
      <c r="AM1729">
        <v>4</v>
      </c>
      <c r="AN1729">
        <v>0</v>
      </c>
      <c r="AO1729">
        <v>15</v>
      </c>
      <c r="AP1729">
        <v>0</v>
      </c>
      <c r="AQ1729">
        <v>15</v>
      </c>
      <c r="AR1729">
        <v>0</v>
      </c>
      <c r="AS1729">
        <v>0</v>
      </c>
      <c r="AT1729">
        <v>0</v>
      </c>
    </row>
    <row r="1730" spans="1:46">
      <c r="A1730">
        <v>40212</v>
      </c>
      <c r="B1730" t="s">
        <v>10302</v>
      </c>
      <c r="C1730" t="s">
        <v>10303</v>
      </c>
      <c r="E1730" t="s">
        <v>10304</v>
      </c>
      <c r="G1730" t="s">
        <v>10305</v>
      </c>
      <c r="H1730" t="s">
        <v>343</v>
      </c>
      <c r="J1730" t="s">
        <v>518</v>
      </c>
      <c r="K1730" t="s">
        <v>519</v>
      </c>
      <c r="L1730" t="s">
        <v>4205</v>
      </c>
      <c r="M1730" t="s">
        <v>1297</v>
      </c>
      <c r="N1730" t="s">
        <v>727</v>
      </c>
      <c r="O1730" t="s">
        <v>1470</v>
      </c>
      <c r="P1730" t="s">
        <v>572</v>
      </c>
      <c r="Q1730" t="s">
        <v>1471</v>
      </c>
      <c r="R1730" t="s">
        <v>1472</v>
      </c>
      <c r="S1730" t="s">
        <v>1473</v>
      </c>
      <c r="T1730" t="s">
        <v>1474</v>
      </c>
      <c r="U1730">
        <v>203500</v>
      </c>
      <c r="V1730" t="s">
        <v>9954</v>
      </c>
      <c r="W1730" t="s">
        <v>1595</v>
      </c>
      <c r="X1730" t="s">
        <v>10125</v>
      </c>
      <c r="Y1730" t="s">
        <v>4208</v>
      </c>
      <c r="Z1730" t="s">
        <v>4209</v>
      </c>
      <c r="AA1730" t="s">
        <v>4210</v>
      </c>
      <c r="AB1730" t="s">
        <v>10126</v>
      </c>
      <c r="AE1730">
        <v>-38.179113639999997</v>
      </c>
      <c r="AF1730">
        <v>177.10673797999999</v>
      </c>
      <c r="AG1730">
        <v>28</v>
      </c>
      <c r="AH1730">
        <v>10</v>
      </c>
      <c r="AI1730">
        <v>1</v>
      </c>
      <c r="AJ1730">
        <v>5</v>
      </c>
      <c r="AK1730">
        <v>7</v>
      </c>
      <c r="AL1730">
        <v>3</v>
      </c>
      <c r="AM1730">
        <v>2</v>
      </c>
      <c r="AN1730">
        <v>0</v>
      </c>
      <c r="AO1730">
        <v>18</v>
      </c>
      <c r="AP1730">
        <v>0</v>
      </c>
      <c r="AQ1730">
        <v>17</v>
      </c>
      <c r="AR1730">
        <v>0</v>
      </c>
      <c r="AS1730">
        <v>0</v>
      </c>
      <c r="AT1730">
        <v>1</v>
      </c>
    </row>
    <row r="1731" spans="1:46">
      <c r="A1731">
        <v>40213</v>
      </c>
      <c r="B1731" t="s">
        <v>10306</v>
      </c>
      <c r="C1731" t="s">
        <v>10307</v>
      </c>
      <c r="E1731" t="s">
        <v>10308</v>
      </c>
      <c r="G1731" t="s">
        <v>1649</v>
      </c>
      <c r="H1731" t="s">
        <v>343</v>
      </c>
      <c r="J1731" t="s">
        <v>518</v>
      </c>
      <c r="K1731" t="s">
        <v>519</v>
      </c>
      <c r="L1731" t="s">
        <v>4205</v>
      </c>
      <c r="M1731" t="s">
        <v>1297</v>
      </c>
      <c r="N1731" t="s">
        <v>727</v>
      </c>
      <c r="O1731" t="s">
        <v>1650</v>
      </c>
      <c r="P1731" t="s">
        <v>523</v>
      </c>
      <c r="Q1731" t="s">
        <v>1471</v>
      </c>
      <c r="R1731" t="s">
        <v>1472</v>
      </c>
      <c r="S1731" t="s">
        <v>1473</v>
      </c>
      <c r="T1731" t="s">
        <v>1474</v>
      </c>
      <c r="U1731">
        <v>203901</v>
      </c>
      <c r="V1731" t="s">
        <v>10172</v>
      </c>
      <c r="W1731" t="s">
        <v>1652</v>
      </c>
      <c r="X1731" t="s">
        <v>10125</v>
      </c>
      <c r="Y1731" t="s">
        <v>4208</v>
      </c>
      <c r="Z1731" t="s">
        <v>4209</v>
      </c>
      <c r="AA1731" t="s">
        <v>4210</v>
      </c>
      <c r="AB1731" t="s">
        <v>10126</v>
      </c>
      <c r="AE1731">
        <v>-38.088874099999998</v>
      </c>
      <c r="AF1731">
        <v>176.70866140999999</v>
      </c>
      <c r="AG1731">
        <v>30</v>
      </c>
      <c r="AH1731">
        <v>8</v>
      </c>
      <c r="AI1731">
        <v>0</v>
      </c>
      <c r="AJ1731">
        <v>2</v>
      </c>
      <c r="AK1731">
        <v>8</v>
      </c>
      <c r="AL1731">
        <v>1</v>
      </c>
      <c r="AM1731">
        <v>6</v>
      </c>
      <c r="AN1731">
        <v>0</v>
      </c>
      <c r="AO1731">
        <v>17</v>
      </c>
      <c r="AP1731">
        <v>0</v>
      </c>
      <c r="AQ1731">
        <v>17</v>
      </c>
      <c r="AR1731">
        <v>0</v>
      </c>
      <c r="AS1731">
        <v>0</v>
      </c>
      <c r="AT1731">
        <v>0</v>
      </c>
    </row>
    <row r="1732" spans="1:46">
      <c r="A1732">
        <v>40215</v>
      </c>
      <c r="B1732" t="s">
        <v>10309</v>
      </c>
      <c r="C1732" t="s">
        <v>10310</v>
      </c>
      <c r="E1732" t="s">
        <v>10311</v>
      </c>
      <c r="G1732" t="s">
        <v>1545</v>
      </c>
      <c r="H1732" t="s">
        <v>343</v>
      </c>
      <c r="J1732" t="s">
        <v>518</v>
      </c>
      <c r="K1732" t="s">
        <v>519</v>
      </c>
      <c r="L1732" t="s">
        <v>4205</v>
      </c>
      <c r="M1732" t="s">
        <v>1297</v>
      </c>
      <c r="N1732" t="s">
        <v>557</v>
      </c>
      <c r="O1732" t="s">
        <v>1546</v>
      </c>
      <c r="P1732" t="s">
        <v>1262</v>
      </c>
      <c r="Q1732" t="s">
        <v>1299</v>
      </c>
      <c r="R1732" t="s">
        <v>1472</v>
      </c>
      <c r="S1732" t="s">
        <v>1320</v>
      </c>
      <c r="T1732" t="s">
        <v>1474</v>
      </c>
      <c r="U1732">
        <v>188600</v>
      </c>
      <c r="V1732" t="s">
        <v>9836</v>
      </c>
      <c r="W1732" t="s">
        <v>1548</v>
      </c>
      <c r="X1732" t="s">
        <v>8447</v>
      </c>
      <c r="Y1732" t="s">
        <v>4208</v>
      </c>
      <c r="Z1732" t="s">
        <v>4209</v>
      </c>
      <c r="AA1732" t="s">
        <v>4210</v>
      </c>
      <c r="AB1732" t="s">
        <v>8448</v>
      </c>
      <c r="AE1732">
        <v>-38.679869189999998</v>
      </c>
      <c r="AF1732">
        <v>176.07513376</v>
      </c>
      <c r="AG1732">
        <v>30</v>
      </c>
      <c r="AH1732">
        <v>8</v>
      </c>
      <c r="AI1732">
        <v>0</v>
      </c>
      <c r="AJ1732">
        <v>5</v>
      </c>
      <c r="AK1732">
        <v>9</v>
      </c>
      <c r="AL1732">
        <v>3</v>
      </c>
      <c r="AM1732">
        <v>6</v>
      </c>
      <c r="AN1732">
        <v>0</v>
      </c>
      <c r="AO1732">
        <v>23</v>
      </c>
      <c r="AP1732">
        <v>0</v>
      </c>
      <c r="AQ1732">
        <v>21</v>
      </c>
      <c r="AR1732">
        <v>1</v>
      </c>
      <c r="AS1732">
        <v>0</v>
      </c>
      <c r="AT1732">
        <v>1</v>
      </c>
    </row>
    <row r="1733" spans="1:46">
      <c r="A1733">
        <v>40217</v>
      </c>
      <c r="B1733" t="s">
        <v>10312</v>
      </c>
      <c r="C1733" t="s">
        <v>10313</v>
      </c>
      <c r="E1733" t="s">
        <v>10242</v>
      </c>
      <c r="G1733" t="s">
        <v>2915</v>
      </c>
      <c r="H1733" t="s">
        <v>343</v>
      </c>
      <c r="J1733" t="s">
        <v>518</v>
      </c>
      <c r="K1733" t="s">
        <v>519</v>
      </c>
      <c r="L1733" t="s">
        <v>4205</v>
      </c>
      <c r="M1733" t="s">
        <v>1297</v>
      </c>
      <c r="N1733" t="s">
        <v>727</v>
      </c>
      <c r="O1733" t="s">
        <v>1612</v>
      </c>
      <c r="P1733" t="s">
        <v>540</v>
      </c>
      <c r="Q1733" t="s">
        <v>1471</v>
      </c>
      <c r="R1733" t="s">
        <v>1472</v>
      </c>
      <c r="S1733" t="s">
        <v>1473</v>
      </c>
      <c r="T1733" t="s">
        <v>1474</v>
      </c>
      <c r="U1733">
        <v>204200</v>
      </c>
      <c r="V1733" t="s">
        <v>10224</v>
      </c>
      <c r="W1733" t="s">
        <v>10225</v>
      </c>
      <c r="X1733" t="s">
        <v>10125</v>
      </c>
      <c r="Y1733" t="s">
        <v>4208</v>
      </c>
      <c r="Z1733" t="s">
        <v>4209</v>
      </c>
      <c r="AA1733" t="s">
        <v>4210</v>
      </c>
      <c r="AB1733" t="s">
        <v>10126</v>
      </c>
      <c r="AE1733">
        <v>-37.767930190000001</v>
      </c>
      <c r="AF1733">
        <v>177.68034904000001</v>
      </c>
      <c r="AG1733">
        <v>25</v>
      </c>
      <c r="AH1733">
        <v>10</v>
      </c>
      <c r="AI1733">
        <v>0</v>
      </c>
      <c r="AJ1733">
        <v>2</v>
      </c>
      <c r="AK1733">
        <v>0</v>
      </c>
      <c r="AL1733">
        <v>4</v>
      </c>
      <c r="AM1733">
        <v>5</v>
      </c>
      <c r="AN1733">
        <v>0</v>
      </c>
      <c r="AO1733">
        <v>11</v>
      </c>
      <c r="AP1733">
        <v>0</v>
      </c>
      <c r="AQ1733">
        <v>11</v>
      </c>
      <c r="AR1733">
        <v>0</v>
      </c>
      <c r="AS1733">
        <v>0</v>
      </c>
      <c r="AT1733">
        <v>0</v>
      </c>
    </row>
    <row r="1734" spans="1:46">
      <c r="A1734">
        <v>40218</v>
      </c>
      <c r="B1734" t="s">
        <v>10314</v>
      </c>
      <c r="C1734" t="s">
        <v>10315</v>
      </c>
      <c r="E1734" t="s">
        <v>10316</v>
      </c>
      <c r="G1734" t="s">
        <v>1611</v>
      </c>
      <c r="H1734" t="s">
        <v>343</v>
      </c>
      <c r="J1734" t="s">
        <v>518</v>
      </c>
      <c r="K1734" t="s">
        <v>519</v>
      </c>
      <c r="L1734" t="s">
        <v>4205</v>
      </c>
      <c r="M1734" t="s">
        <v>1297</v>
      </c>
      <c r="N1734" t="s">
        <v>727</v>
      </c>
      <c r="O1734" t="s">
        <v>1612</v>
      </c>
      <c r="P1734" t="s">
        <v>572</v>
      </c>
      <c r="Q1734" t="s">
        <v>1471</v>
      </c>
      <c r="R1734" t="s">
        <v>1472</v>
      </c>
      <c r="S1734" t="s">
        <v>1473</v>
      </c>
      <c r="T1734" t="s">
        <v>1474</v>
      </c>
      <c r="U1734">
        <v>204500</v>
      </c>
      <c r="V1734" t="s">
        <v>10317</v>
      </c>
      <c r="W1734" t="s">
        <v>10318</v>
      </c>
      <c r="X1734" t="s">
        <v>10125</v>
      </c>
      <c r="Y1734" t="s">
        <v>4208</v>
      </c>
      <c r="Z1734" t="s">
        <v>4209</v>
      </c>
      <c r="AA1734" t="s">
        <v>4210</v>
      </c>
      <c r="AB1734" t="s">
        <v>10126</v>
      </c>
      <c r="AE1734">
        <v>-38.02074365</v>
      </c>
      <c r="AF1734">
        <v>177.30040052999999</v>
      </c>
      <c r="AG1734">
        <v>28</v>
      </c>
      <c r="AH1734">
        <v>7</v>
      </c>
      <c r="AI1734">
        <v>0</v>
      </c>
      <c r="AJ1734">
        <v>5</v>
      </c>
      <c r="AK1734">
        <v>4</v>
      </c>
      <c r="AL1734">
        <v>6</v>
      </c>
      <c r="AM1734">
        <v>2</v>
      </c>
      <c r="AN1734">
        <v>0</v>
      </c>
      <c r="AO1734">
        <v>17</v>
      </c>
      <c r="AP1734">
        <v>0</v>
      </c>
      <c r="AQ1734">
        <v>17</v>
      </c>
      <c r="AR1734">
        <v>0</v>
      </c>
      <c r="AS1734">
        <v>0</v>
      </c>
      <c r="AT1734">
        <v>0</v>
      </c>
    </row>
    <row r="1735" spans="1:46">
      <c r="A1735">
        <v>40221</v>
      </c>
      <c r="B1735" t="s">
        <v>10319</v>
      </c>
      <c r="C1735" t="s">
        <v>10320</v>
      </c>
      <c r="E1735" t="s">
        <v>10321</v>
      </c>
      <c r="F1735" t="s">
        <v>1949</v>
      </c>
      <c r="G1735" t="s">
        <v>1842</v>
      </c>
      <c r="H1735" t="s">
        <v>343</v>
      </c>
      <c r="J1735" t="s">
        <v>518</v>
      </c>
      <c r="K1735" t="s">
        <v>519</v>
      </c>
      <c r="L1735" t="s">
        <v>4205</v>
      </c>
      <c r="M1735" t="s">
        <v>1297</v>
      </c>
      <c r="N1735" t="s">
        <v>521</v>
      </c>
      <c r="O1735" t="s">
        <v>1887</v>
      </c>
      <c r="P1735" t="s">
        <v>584</v>
      </c>
      <c r="Q1735" t="s">
        <v>1636</v>
      </c>
      <c r="R1735" t="s">
        <v>1760</v>
      </c>
      <c r="S1735" t="s">
        <v>1842</v>
      </c>
      <c r="T1735" t="s">
        <v>1485</v>
      </c>
      <c r="U1735">
        <v>224900</v>
      </c>
      <c r="V1735" t="s">
        <v>10322</v>
      </c>
      <c r="W1735" t="s">
        <v>1652</v>
      </c>
      <c r="X1735" t="s">
        <v>9070</v>
      </c>
      <c r="Y1735" t="s">
        <v>4208</v>
      </c>
      <c r="Z1735" t="s">
        <v>4209</v>
      </c>
      <c r="AA1735" t="s">
        <v>4210</v>
      </c>
      <c r="AB1735" t="s">
        <v>9071</v>
      </c>
      <c r="AE1735">
        <v>-39.906213219999998</v>
      </c>
      <c r="AF1735">
        <v>175.06598063999999</v>
      </c>
      <c r="AG1735">
        <v>30</v>
      </c>
      <c r="AH1735">
        <v>8</v>
      </c>
      <c r="AI1735">
        <v>0</v>
      </c>
      <c r="AJ1735">
        <v>3</v>
      </c>
      <c r="AK1735">
        <v>3</v>
      </c>
      <c r="AL1735">
        <v>0</v>
      </c>
      <c r="AM1735">
        <v>3</v>
      </c>
      <c r="AN1735">
        <v>0</v>
      </c>
      <c r="AO1735">
        <v>9</v>
      </c>
      <c r="AP1735">
        <v>0</v>
      </c>
      <c r="AQ1735">
        <v>9</v>
      </c>
      <c r="AR1735">
        <v>0</v>
      </c>
      <c r="AS1735">
        <v>0</v>
      </c>
      <c r="AT1735">
        <v>0</v>
      </c>
    </row>
    <row r="1736" spans="1:46">
      <c r="A1736">
        <v>40224</v>
      </c>
      <c r="B1736" t="s">
        <v>10323</v>
      </c>
      <c r="C1736" t="s">
        <v>10324</v>
      </c>
      <c r="D1736" t="s">
        <v>10325</v>
      </c>
      <c r="E1736" t="s">
        <v>10326</v>
      </c>
      <c r="F1736" t="s">
        <v>10327</v>
      </c>
      <c r="G1736" t="s">
        <v>1974</v>
      </c>
      <c r="H1736" t="s">
        <v>343</v>
      </c>
      <c r="J1736" t="s">
        <v>518</v>
      </c>
      <c r="K1736" t="s">
        <v>519</v>
      </c>
      <c r="L1736" t="s">
        <v>4205</v>
      </c>
      <c r="M1736" t="s">
        <v>2287</v>
      </c>
      <c r="N1736" t="s">
        <v>571</v>
      </c>
      <c r="O1736" t="s">
        <v>1956</v>
      </c>
      <c r="P1736" t="s">
        <v>584</v>
      </c>
      <c r="Q1736" t="s">
        <v>1636</v>
      </c>
      <c r="R1736" t="s">
        <v>2289</v>
      </c>
      <c r="S1736" t="s">
        <v>1637</v>
      </c>
      <c r="T1736" t="s">
        <v>1485</v>
      </c>
      <c r="U1736">
        <v>231900</v>
      </c>
      <c r="V1736" t="s">
        <v>10328</v>
      </c>
      <c r="W1736" t="s">
        <v>1957</v>
      </c>
      <c r="X1736" t="s">
        <v>10329</v>
      </c>
      <c r="Y1736" t="s">
        <v>4208</v>
      </c>
      <c r="Z1736" t="s">
        <v>4209</v>
      </c>
      <c r="AA1736" t="s">
        <v>4210</v>
      </c>
      <c r="AB1736" t="s">
        <v>10330</v>
      </c>
      <c r="AE1736">
        <v>-40.390900420000001</v>
      </c>
      <c r="AF1736">
        <v>175.61675700999999</v>
      </c>
      <c r="AG1736">
        <v>24</v>
      </c>
      <c r="AH1736">
        <v>8</v>
      </c>
      <c r="AI1736">
        <v>2</v>
      </c>
      <c r="AJ1736">
        <v>4</v>
      </c>
      <c r="AK1736">
        <v>8</v>
      </c>
      <c r="AL1736">
        <v>3</v>
      </c>
      <c r="AM1736">
        <v>4</v>
      </c>
      <c r="AN1736">
        <v>0</v>
      </c>
      <c r="AO1736">
        <v>21</v>
      </c>
      <c r="AP1736">
        <v>0</v>
      </c>
      <c r="AQ1736">
        <v>21</v>
      </c>
      <c r="AR1736">
        <v>0</v>
      </c>
      <c r="AS1736">
        <v>0</v>
      </c>
      <c r="AT1736">
        <v>0</v>
      </c>
    </row>
    <row r="1737" spans="1:46">
      <c r="A1737">
        <v>40226</v>
      </c>
      <c r="B1737" t="s">
        <v>10331</v>
      </c>
      <c r="C1737" t="s">
        <v>10332</v>
      </c>
      <c r="E1737" t="s">
        <v>10333</v>
      </c>
      <c r="G1737" t="s">
        <v>10334</v>
      </c>
      <c r="H1737" t="s">
        <v>343</v>
      </c>
      <c r="J1737" t="s">
        <v>518</v>
      </c>
      <c r="K1737" t="s">
        <v>519</v>
      </c>
      <c r="L1737" t="s">
        <v>4205</v>
      </c>
      <c r="M1737" t="s">
        <v>1297</v>
      </c>
      <c r="N1737" t="s">
        <v>727</v>
      </c>
      <c r="O1737" t="s">
        <v>1612</v>
      </c>
      <c r="P1737" t="s">
        <v>572</v>
      </c>
      <c r="Q1737" t="s">
        <v>1471</v>
      </c>
      <c r="R1737" t="s">
        <v>1472</v>
      </c>
      <c r="S1737" t="s">
        <v>1473</v>
      </c>
      <c r="T1737" t="s">
        <v>1474</v>
      </c>
      <c r="U1737">
        <v>204101</v>
      </c>
      <c r="V1737" t="s">
        <v>10335</v>
      </c>
      <c r="W1737" t="s">
        <v>10318</v>
      </c>
      <c r="X1737" t="s">
        <v>10125</v>
      </c>
      <c r="Y1737" t="s">
        <v>4208</v>
      </c>
      <c r="Z1737" t="s">
        <v>4209</v>
      </c>
      <c r="AA1737" t="s">
        <v>4210</v>
      </c>
      <c r="AB1737" t="s">
        <v>10126</v>
      </c>
      <c r="AE1737">
        <v>-38.046718669999997</v>
      </c>
      <c r="AF1737">
        <v>177.14523500999999</v>
      </c>
      <c r="AG1737">
        <v>30</v>
      </c>
      <c r="AH1737">
        <v>5</v>
      </c>
      <c r="AI1737">
        <v>1</v>
      </c>
      <c r="AJ1737">
        <v>3</v>
      </c>
      <c r="AK1737">
        <v>3</v>
      </c>
      <c r="AL1737">
        <v>8</v>
      </c>
      <c r="AM1737">
        <v>1</v>
      </c>
      <c r="AN1737">
        <v>0</v>
      </c>
      <c r="AO1737">
        <v>16</v>
      </c>
      <c r="AP1737">
        <v>0</v>
      </c>
      <c r="AQ1737">
        <v>16</v>
      </c>
      <c r="AR1737">
        <v>0</v>
      </c>
      <c r="AS1737">
        <v>0</v>
      </c>
      <c r="AT1737">
        <v>0</v>
      </c>
    </row>
    <row r="1738" spans="1:46">
      <c r="A1738">
        <v>40228</v>
      </c>
      <c r="B1738" t="s">
        <v>10336</v>
      </c>
      <c r="C1738" t="s">
        <v>10337</v>
      </c>
      <c r="D1738" t="s">
        <v>10338</v>
      </c>
      <c r="E1738" t="s">
        <v>10339</v>
      </c>
      <c r="G1738" t="s">
        <v>1857</v>
      </c>
      <c r="H1738" t="s">
        <v>3942</v>
      </c>
      <c r="J1738" t="s">
        <v>518</v>
      </c>
      <c r="K1738" t="s">
        <v>519</v>
      </c>
      <c r="M1738" t="s">
        <v>1297</v>
      </c>
      <c r="N1738" t="s">
        <v>571</v>
      </c>
      <c r="O1738" t="s">
        <v>1851</v>
      </c>
      <c r="P1738" t="s">
        <v>523</v>
      </c>
      <c r="Q1738" t="s">
        <v>1759</v>
      </c>
      <c r="R1738" t="s">
        <v>1760</v>
      </c>
      <c r="S1738" t="s">
        <v>1842</v>
      </c>
      <c r="T1738" t="s">
        <v>1485</v>
      </c>
      <c r="U1738">
        <v>221800</v>
      </c>
      <c r="V1738" t="s">
        <v>1858</v>
      </c>
      <c r="W1738" t="s">
        <v>1859</v>
      </c>
      <c r="X1738" t="s">
        <v>10340</v>
      </c>
      <c r="Y1738" t="s">
        <v>10341</v>
      </c>
      <c r="AA1738" t="s">
        <v>10342</v>
      </c>
      <c r="AB1738" t="s">
        <v>10343</v>
      </c>
      <c r="AC1738">
        <v>99167</v>
      </c>
      <c r="AD1738" t="s">
        <v>1860</v>
      </c>
      <c r="AE1738">
        <v>-39.594277439999999</v>
      </c>
      <c r="AF1738">
        <v>174.27494383000001</v>
      </c>
      <c r="AG1738">
        <v>50</v>
      </c>
      <c r="AH1738">
        <v>15</v>
      </c>
      <c r="AI1738">
        <v>6</v>
      </c>
      <c r="AJ1738">
        <v>16</v>
      </c>
      <c r="AK1738">
        <v>16</v>
      </c>
      <c r="AL1738">
        <v>20</v>
      </c>
      <c r="AM1738">
        <v>14</v>
      </c>
      <c r="AN1738">
        <v>0</v>
      </c>
      <c r="AO1738">
        <v>72</v>
      </c>
      <c r="AP1738">
        <v>70</v>
      </c>
      <c r="AQ1738">
        <v>20</v>
      </c>
      <c r="AR1738">
        <v>0</v>
      </c>
      <c r="AS1738">
        <v>0</v>
      </c>
      <c r="AT1738">
        <v>0</v>
      </c>
    </row>
    <row r="1739" spans="1:46">
      <c r="A1739">
        <v>40229</v>
      </c>
      <c r="B1739" t="s">
        <v>10344</v>
      </c>
      <c r="C1739" t="s">
        <v>10345</v>
      </c>
      <c r="D1739" t="s">
        <v>10346</v>
      </c>
      <c r="E1739" t="s">
        <v>10347</v>
      </c>
      <c r="F1739" t="s">
        <v>2003</v>
      </c>
      <c r="G1739" t="s">
        <v>1974</v>
      </c>
      <c r="H1739" t="s">
        <v>3942</v>
      </c>
      <c r="J1739" t="s">
        <v>3962</v>
      </c>
      <c r="K1739" t="s">
        <v>519</v>
      </c>
      <c r="M1739" t="s">
        <v>1297</v>
      </c>
      <c r="N1739" t="s">
        <v>571</v>
      </c>
      <c r="O1739" t="s">
        <v>1956</v>
      </c>
      <c r="P1739" t="s">
        <v>584</v>
      </c>
      <c r="Q1739" t="s">
        <v>1636</v>
      </c>
      <c r="R1739" t="s">
        <v>1760</v>
      </c>
      <c r="S1739" t="s">
        <v>1974</v>
      </c>
      <c r="T1739" t="s">
        <v>1485</v>
      </c>
      <c r="U1739">
        <v>231700</v>
      </c>
      <c r="V1739" t="s">
        <v>10348</v>
      </c>
      <c r="W1739" t="s">
        <v>1957</v>
      </c>
      <c r="X1739" t="s">
        <v>10349</v>
      </c>
      <c r="Y1739" t="s">
        <v>10350</v>
      </c>
      <c r="Z1739" t="s">
        <v>2038</v>
      </c>
      <c r="AA1739" t="s">
        <v>1960</v>
      </c>
      <c r="AB1739" t="s">
        <v>10345</v>
      </c>
      <c r="AC1739">
        <v>99052</v>
      </c>
      <c r="AD1739" t="s">
        <v>1962</v>
      </c>
      <c r="AE1739">
        <v>-40.361381450000003</v>
      </c>
      <c r="AF1739">
        <v>175.63227273000001</v>
      </c>
      <c r="AG1739">
        <v>81</v>
      </c>
      <c r="AH1739">
        <v>20</v>
      </c>
      <c r="AI1739">
        <v>2</v>
      </c>
      <c r="AJ1739">
        <v>13</v>
      </c>
      <c r="AK1739">
        <v>20</v>
      </c>
      <c r="AL1739">
        <v>17</v>
      </c>
      <c r="AM1739">
        <v>29</v>
      </c>
      <c r="AN1739">
        <v>1</v>
      </c>
      <c r="AO1739">
        <v>82</v>
      </c>
      <c r="AP1739">
        <v>57</v>
      </c>
      <c r="AQ1739">
        <v>22</v>
      </c>
      <c r="AR1739">
        <v>7</v>
      </c>
      <c r="AS1739">
        <v>20</v>
      </c>
      <c r="AT1739">
        <v>3</v>
      </c>
    </row>
    <row r="1740" spans="1:46">
      <c r="A1740">
        <v>40230</v>
      </c>
      <c r="B1740" t="s">
        <v>10351</v>
      </c>
      <c r="C1740" t="s">
        <v>10352</v>
      </c>
      <c r="D1740" t="s">
        <v>10353</v>
      </c>
      <c r="E1740" t="s">
        <v>10354</v>
      </c>
      <c r="F1740" t="s">
        <v>1949</v>
      </c>
      <c r="G1740" t="s">
        <v>1842</v>
      </c>
      <c r="H1740" t="s">
        <v>298</v>
      </c>
      <c r="J1740" t="s">
        <v>518</v>
      </c>
      <c r="K1740" t="s">
        <v>519</v>
      </c>
      <c r="M1740" t="s">
        <v>1297</v>
      </c>
      <c r="N1740" t="s">
        <v>571</v>
      </c>
      <c r="O1740" t="s">
        <v>1887</v>
      </c>
      <c r="P1740" t="s">
        <v>584</v>
      </c>
      <c r="Q1740" t="s">
        <v>1636</v>
      </c>
      <c r="R1740" t="s">
        <v>1760</v>
      </c>
      <c r="S1740" t="s">
        <v>1842</v>
      </c>
      <c r="T1740" t="s">
        <v>1485</v>
      </c>
      <c r="U1740">
        <v>225500</v>
      </c>
      <c r="V1740" t="s">
        <v>1950</v>
      </c>
      <c r="W1740" t="s">
        <v>1652</v>
      </c>
      <c r="X1740" t="s">
        <v>10355</v>
      </c>
      <c r="Y1740" t="s">
        <v>5187</v>
      </c>
      <c r="AA1740" t="s">
        <v>5188</v>
      </c>
      <c r="AB1740" t="s">
        <v>10356</v>
      </c>
      <c r="AE1740">
        <v>-39.918557399999997</v>
      </c>
      <c r="AF1740">
        <v>175.06693509999999</v>
      </c>
      <c r="AG1740">
        <v>17</v>
      </c>
      <c r="AH1740">
        <v>10</v>
      </c>
      <c r="AI1740">
        <v>0</v>
      </c>
      <c r="AJ1740">
        <v>4</v>
      </c>
      <c r="AK1740">
        <v>2</v>
      </c>
      <c r="AL1740">
        <v>6</v>
      </c>
      <c r="AM1740">
        <v>1</v>
      </c>
      <c r="AN1740">
        <v>1</v>
      </c>
      <c r="AO1740">
        <v>14</v>
      </c>
      <c r="AP1740">
        <v>14</v>
      </c>
      <c r="AQ1740">
        <v>5</v>
      </c>
      <c r="AR1740">
        <v>2</v>
      </c>
      <c r="AS1740">
        <v>1</v>
      </c>
      <c r="AT1740">
        <v>0</v>
      </c>
    </row>
    <row r="1741" spans="1:46">
      <c r="A1741">
        <v>40233</v>
      </c>
      <c r="B1741" t="s">
        <v>10357</v>
      </c>
      <c r="C1741" t="s">
        <v>10358</v>
      </c>
      <c r="D1741" t="s">
        <v>10359</v>
      </c>
      <c r="E1741" t="s">
        <v>10360</v>
      </c>
      <c r="G1741" t="s">
        <v>1757</v>
      </c>
      <c r="H1741" t="s">
        <v>3942</v>
      </c>
      <c r="J1741" t="s">
        <v>518</v>
      </c>
      <c r="K1741" t="s">
        <v>519</v>
      </c>
      <c r="M1741" t="s">
        <v>1297</v>
      </c>
      <c r="N1741" t="s">
        <v>571</v>
      </c>
      <c r="O1741" t="s">
        <v>1758</v>
      </c>
      <c r="P1741" t="s">
        <v>584</v>
      </c>
      <c r="Q1741" t="s">
        <v>1759</v>
      </c>
      <c r="R1741" t="s">
        <v>1760</v>
      </c>
      <c r="S1741" t="s">
        <v>1757</v>
      </c>
      <c r="T1741" t="s">
        <v>1485</v>
      </c>
      <c r="U1741">
        <v>216900</v>
      </c>
      <c r="V1741" t="s">
        <v>10361</v>
      </c>
      <c r="W1741" t="s">
        <v>1762</v>
      </c>
      <c r="X1741" t="s">
        <v>10362</v>
      </c>
      <c r="Y1741" t="s">
        <v>3944</v>
      </c>
      <c r="Z1741" t="s">
        <v>3945</v>
      </c>
      <c r="AA1741" t="s">
        <v>3946</v>
      </c>
      <c r="AE1741">
        <v>-39.061643619999998</v>
      </c>
      <c r="AF1741">
        <v>174.06740809999999</v>
      </c>
      <c r="AG1741">
        <v>50</v>
      </c>
      <c r="AH1741">
        <v>15</v>
      </c>
      <c r="AI1741">
        <v>1</v>
      </c>
      <c r="AJ1741">
        <v>10</v>
      </c>
      <c r="AK1741">
        <v>20</v>
      </c>
      <c r="AL1741">
        <v>17</v>
      </c>
      <c r="AM1741">
        <v>11</v>
      </c>
      <c r="AN1741">
        <v>0</v>
      </c>
      <c r="AO1741">
        <v>59</v>
      </c>
      <c r="AP1741">
        <v>34</v>
      </c>
      <c r="AQ1741">
        <v>7</v>
      </c>
      <c r="AR1741">
        <v>2</v>
      </c>
      <c r="AS1741">
        <v>23</v>
      </c>
      <c r="AT1741">
        <v>7</v>
      </c>
    </row>
    <row r="1742" spans="1:46">
      <c r="A1742">
        <v>40234</v>
      </c>
      <c r="B1742" t="s">
        <v>10363</v>
      </c>
      <c r="C1742" t="s">
        <v>10364</v>
      </c>
      <c r="D1742" t="s">
        <v>10365</v>
      </c>
      <c r="E1742" t="s">
        <v>10366</v>
      </c>
      <c r="G1742" t="s">
        <v>10367</v>
      </c>
      <c r="H1742" t="s">
        <v>3942</v>
      </c>
      <c r="J1742" t="s">
        <v>518</v>
      </c>
      <c r="K1742" t="s">
        <v>519</v>
      </c>
      <c r="M1742" t="s">
        <v>1297</v>
      </c>
      <c r="N1742" t="s">
        <v>571</v>
      </c>
      <c r="O1742" t="s">
        <v>1851</v>
      </c>
      <c r="P1742" t="s">
        <v>540</v>
      </c>
      <c r="Q1742" t="s">
        <v>1759</v>
      </c>
      <c r="R1742" t="s">
        <v>1760</v>
      </c>
      <c r="S1742" t="s">
        <v>1842</v>
      </c>
      <c r="T1742" t="s">
        <v>1485</v>
      </c>
      <c r="U1742">
        <v>220901</v>
      </c>
      <c r="V1742" t="s">
        <v>10367</v>
      </c>
      <c r="W1742" t="s">
        <v>10368</v>
      </c>
      <c r="X1742" t="s">
        <v>10369</v>
      </c>
      <c r="Y1742" t="s">
        <v>10370</v>
      </c>
      <c r="AA1742" t="s">
        <v>10371</v>
      </c>
      <c r="AB1742" t="s">
        <v>10372</v>
      </c>
      <c r="AE1742">
        <v>-39.546868910000001</v>
      </c>
      <c r="AF1742">
        <v>174.12151399000001</v>
      </c>
      <c r="AG1742">
        <v>24</v>
      </c>
      <c r="AH1742">
        <v>0</v>
      </c>
      <c r="AI1742">
        <v>0</v>
      </c>
      <c r="AJ1742">
        <v>0</v>
      </c>
      <c r="AK1742">
        <v>8</v>
      </c>
      <c r="AL1742">
        <v>8</v>
      </c>
      <c r="AM1742">
        <v>14</v>
      </c>
      <c r="AN1742">
        <v>4</v>
      </c>
      <c r="AO1742">
        <v>34</v>
      </c>
      <c r="AP1742">
        <v>24</v>
      </c>
      <c r="AQ1742">
        <v>14</v>
      </c>
      <c r="AR1742">
        <v>2</v>
      </c>
      <c r="AS1742">
        <v>5</v>
      </c>
      <c r="AT1742">
        <v>1</v>
      </c>
    </row>
    <row r="1743" spans="1:46">
      <c r="A1743">
        <v>40235</v>
      </c>
      <c r="B1743" t="s">
        <v>10373</v>
      </c>
      <c r="C1743" t="s">
        <v>10374</v>
      </c>
      <c r="D1743" t="s">
        <v>10375</v>
      </c>
      <c r="E1743" t="s">
        <v>10376</v>
      </c>
      <c r="F1743" t="s">
        <v>10377</v>
      </c>
      <c r="G1743" t="s">
        <v>1974</v>
      </c>
      <c r="H1743" t="s">
        <v>517</v>
      </c>
      <c r="J1743" t="s">
        <v>518</v>
      </c>
      <c r="K1743" t="s">
        <v>519</v>
      </c>
      <c r="M1743" t="s">
        <v>1297</v>
      </c>
      <c r="N1743" t="s">
        <v>571</v>
      </c>
      <c r="O1743" t="s">
        <v>1956</v>
      </c>
      <c r="P1743" t="s">
        <v>584</v>
      </c>
      <c r="Q1743" t="s">
        <v>1636</v>
      </c>
      <c r="R1743" t="s">
        <v>1760</v>
      </c>
      <c r="S1743" t="s">
        <v>1974</v>
      </c>
      <c r="T1743" t="s">
        <v>1485</v>
      </c>
      <c r="U1743">
        <v>230300</v>
      </c>
      <c r="V1743" t="s">
        <v>10378</v>
      </c>
      <c r="W1743" t="s">
        <v>1957</v>
      </c>
      <c r="X1743" t="s">
        <v>1958</v>
      </c>
      <c r="Y1743" t="s">
        <v>1959</v>
      </c>
      <c r="AA1743" t="s">
        <v>1960</v>
      </c>
      <c r="AB1743" t="s">
        <v>1961</v>
      </c>
      <c r="AC1743">
        <v>99052</v>
      </c>
      <c r="AD1743" t="s">
        <v>1962</v>
      </c>
      <c r="AE1743">
        <v>-40.327882879999997</v>
      </c>
      <c r="AF1743">
        <v>175.64807868</v>
      </c>
      <c r="AG1743">
        <v>40</v>
      </c>
      <c r="AH1743">
        <v>0</v>
      </c>
      <c r="AI1743">
        <v>0</v>
      </c>
      <c r="AJ1743">
        <v>0</v>
      </c>
      <c r="AK1743">
        <v>2</v>
      </c>
      <c r="AL1743">
        <v>16</v>
      </c>
      <c r="AM1743">
        <v>21</v>
      </c>
      <c r="AN1743">
        <v>1</v>
      </c>
      <c r="AO1743">
        <v>40</v>
      </c>
      <c r="AP1743">
        <v>26</v>
      </c>
      <c r="AQ1743">
        <v>12</v>
      </c>
      <c r="AR1743">
        <v>4</v>
      </c>
      <c r="AS1743">
        <v>8</v>
      </c>
      <c r="AT1743">
        <v>1</v>
      </c>
    </row>
    <row r="1744" spans="1:46">
      <c r="A1744">
        <v>40238</v>
      </c>
      <c r="B1744" t="s">
        <v>10379</v>
      </c>
      <c r="C1744" t="s">
        <v>10380</v>
      </c>
      <c r="D1744" t="s">
        <v>10381</v>
      </c>
      <c r="E1744" t="s">
        <v>10382</v>
      </c>
      <c r="F1744" t="s">
        <v>10383</v>
      </c>
      <c r="G1744" t="s">
        <v>2725</v>
      </c>
      <c r="H1744" t="s">
        <v>3942</v>
      </c>
      <c r="I1744" t="s">
        <v>4951</v>
      </c>
      <c r="J1744" t="s">
        <v>518</v>
      </c>
      <c r="K1744" t="s">
        <v>519</v>
      </c>
      <c r="M1744" t="s">
        <v>2287</v>
      </c>
      <c r="N1744" t="s">
        <v>727</v>
      </c>
      <c r="O1744" t="s">
        <v>2066</v>
      </c>
      <c r="P1744" t="s">
        <v>1262</v>
      </c>
      <c r="Q1744" t="s">
        <v>1636</v>
      </c>
      <c r="R1744" t="s">
        <v>2289</v>
      </c>
      <c r="S1744" t="s">
        <v>2067</v>
      </c>
      <c r="T1744" t="s">
        <v>1485</v>
      </c>
      <c r="U1744">
        <v>235600</v>
      </c>
      <c r="V1744" t="s">
        <v>10384</v>
      </c>
      <c r="W1744" t="s">
        <v>2727</v>
      </c>
      <c r="X1744" t="s">
        <v>10385</v>
      </c>
      <c r="Y1744" t="s">
        <v>10382</v>
      </c>
      <c r="Z1744" t="s">
        <v>2725</v>
      </c>
      <c r="AA1744" t="s">
        <v>10386</v>
      </c>
      <c r="AC1744">
        <v>99058</v>
      </c>
      <c r="AD1744" t="s">
        <v>2728</v>
      </c>
      <c r="AE1744">
        <v>-40.628085169999999</v>
      </c>
      <c r="AF1744">
        <v>175.28463141</v>
      </c>
      <c r="AG1744">
        <v>15</v>
      </c>
      <c r="AH1744">
        <v>7</v>
      </c>
      <c r="AI1744">
        <v>0</v>
      </c>
      <c r="AJ1744">
        <v>3</v>
      </c>
      <c r="AK1744">
        <v>5</v>
      </c>
      <c r="AL1744">
        <v>5</v>
      </c>
      <c r="AM1744">
        <v>3</v>
      </c>
      <c r="AN1744">
        <v>0</v>
      </c>
      <c r="AO1744">
        <v>16</v>
      </c>
      <c r="AP1744">
        <v>4</v>
      </c>
      <c r="AQ1744">
        <v>16</v>
      </c>
      <c r="AR1744">
        <v>0</v>
      </c>
      <c r="AS1744">
        <v>0</v>
      </c>
      <c r="AT1744">
        <v>0</v>
      </c>
    </row>
    <row r="1745" spans="1:46">
      <c r="A1745">
        <v>40239</v>
      </c>
      <c r="B1745" t="s">
        <v>10387</v>
      </c>
      <c r="C1745" t="s">
        <v>10388</v>
      </c>
      <c r="E1745" t="s">
        <v>10389</v>
      </c>
      <c r="F1745" t="s">
        <v>2049</v>
      </c>
      <c r="G1745" t="s">
        <v>1974</v>
      </c>
      <c r="H1745" t="s">
        <v>3942</v>
      </c>
      <c r="J1745" t="s">
        <v>518</v>
      </c>
      <c r="K1745" t="s">
        <v>519</v>
      </c>
      <c r="M1745" t="s">
        <v>1297</v>
      </c>
      <c r="N1745" t="s">
        <v>557</v>
      </c>
      <c r="O1745" t="s">
        <v>1956</v>
      </c>
      <c r="P1745" t="s">
        <v>584</v>
      </c>
      <c r="Q1745" t="s">
        <v>1636</v>
      </c>
      <c r="R1745" t="s">
        <v>1760</v>
      </c>
      <c r="S1745" t="s">
        <v>1974</v>
      </c>
      <c r="T1745" t="s">
        <v>1485</v>
      </c>
      <c r="U1745">
        <v>230200</v>
      </c>
      <c r="V1745" t="s">
        <v>10390</v>
      </c>
      <c r="W1745" t="s">
        <v>1957</v>
      </c>
      <c r="X1745" t="s">
        <v>10391</v>
      </c>
      <c r="Y1745" t="s">
        <v>6369</v>
      </c>
      <c r="Z1745" t="s">
        <v>4555</v>
      </c>
      <c r="AA1745" t="s">
        <v>4556</v>
      </c>
      <c r="AB1745" t="s">
        <v>10388</v>
      </c>
      <c r="AE1745">
        <v>-40.33013167</v>
      </c>
      <c r="AF1745">
        <v>175.63278786000001</v>
      </c>
      <c r="AG1745">
        <v>38</v>
      </c>
      <c r="AH1745">
        <v>10</v>
      </c>
      <c r="AI1745">
        <v>1</v>
      </c>
      <c r="AJ1745">
        <v>2</v>
      </c>
      <c r="AK1745">
        <v>10</v>
      </c>
      <c r="AL1745">
        <v>7</v>
      </c>
      <c r="AM1745">
        <v>13</v>
      </c>
      <c r="AN1745">
        <v>2</v>
      </c>
      <c r="AO1745">
        <v>35</v>
      </c>
      <c r="AP1745">
        <v>22</v>
      </c>
      <c r="AQ1745">
        <v>12</v>
      </c>
      <c r="AR1745">
        <v>4</v>
      </c>
      <c r="AS1745">
        <v>7</v>
      </c>
      <c r="AT1745">
        <v>0</v>
      </c>
    </row>
    <row r="1746" spans="1:46">
      <c r="A1746">
        <v>40240</v>
      </c>
      <c r="B1746" t="s">
        <v>10392</v>
      </c>
      <c r="C1746" t="s">
        <v>10393</v>
      </c>
      <c r="D1746" t="s">
        <v>10394</v>
      </c>
      <c r="E1746" t="s">
        <v>10395</v>
      </c>
      <c r="G1746" t="s">
        <v>2725</v>
      </c>
      <c r="H1746" t="s">
        <v>343</v>
      </c>
      <c r="J1746" t="s">
        <v>518</v>
      </c>
      <c r="K1746" t="s">
        <v>519</v>
      </c>
      <c r="L1746" t="s">
        <v>4205</v>
      </c>
      <c r="M1746" t="s">
        <v>2287</v>
      </c>
      <c r="N1746" t="s">
        <v>557</v>
      </c>
      <c r="O1746" t="s">
        <v>2066</v>
      </c>
      <c r="P1746" t="s">
        <v>1262</v>
      </c>
      <c r="Q1746" t="s">
        <v>1636</v>
      </c>
      <c r="R1746" t="s">
        <v>2289</v>
      </c>
      <c r="S1746" t="s">
        <v>2067</v>
      </c>
      <c r="T1746" t="s">
        <v>1485</v>
      </c>
      <c r="U1746">
        <v>235500</v>
      </c>
      <c r="V1746" t="s">
        <v>10396</v>
      </c>
      <c r="W1746" t="s">
        <v>2727</v>
      </c>
      <c r="X1746" t="s">
        <v>10329</v>
      </c>
      <c r="Y1746" t="s">
        <v>4208</v>
      </c>
      <c r="Z1746" t="s">
        <v>4209</v>
      </c>
      <c r="AA1746" t="s">
        <v>4210</v>
      </c>
      <c r="AB1746" t="s">
        <v>10330</v>
      </c>
      <c r="AE1746">
        <v>-40.622596180000002</v>
      </c>
      <c r="AF1746">
        <v>175.29973329000001</v>
      </c>
      <c r="AG1746">
        <v>12</v>
      </c>
      <c r="AH1746">
        <v>4</v>
      </c>
      <c r="AI1746">
        <v>0</v>
      </c>
      <c r="AJ1746">
        <v>2</v>
      </c>
      <c r="AK1746">
        <v>4</v>
      </c>
      <c r="AL1746">
        <v>3</v>
      </c>
      <c r="AM1746">
        <v>2</v>
      </c>
      <c r="AN1746">
        <v>0</v>
      </c>
      <c r="AO1746">
        <v>11</v>
      </c>
      <c r="AP1746">
        <v>0</v>
      </c>
      <c r="AQ1746">
        <v>11</v>
      </c>
      <c r="AR1746">
        <v>0</v>
      </c>
      <c r="AS1746">
        <v>0</v>
      </c>
      <c r="AT1746">
        <v>0</v>
      </c>
    </row>
    <row r="1747" spans="1:46">
      <c r="A1747">
        <v>40241</v>
      </c>
      <c r="B1747" t="s">
        <v>10397</v>
      </c>
      <c r="C1747" t="s">
        <v>10398</v>
      </c>
      <c r="E1747" t="s">
        <v>10399</v>
      </c>
      <c r="F1747" t="s">
        <v>2003</v>
      </c>
      <c r="G1747" t="s">
        <v>1974</v>
      </c>
      <c r="H1747" t="s">
        <v>3942</v>
      </c>
      <c r="J1747" t="s">
        <v>518</v>
      </c>
      <c r="K1747" t="s">
        <v>519</v>
      </c>
      <c r="M1747" t="s">
        <v>1297</v>
      </c>
      <c r="N1747" t="s">
        <v>571</v>
      </c>
      <c r="O1747" t="s">
        <v>1956</v>
      </c>
      <c r="P1747" t="s">
        <v>584</v>
      </c>
      <c r="Q1747" t="s">
        <v>1636</v>
      </c>
      <c r="R1747" t="s">
        <v>1760</v>
      </c>
      <c r="S1747" t="s">
        <v>1974</v>
      </c>
      <c r="T1747" t="s">
        <v>1485</v>
      </c>
      <c r="U1747">
        <v>231700</v>
      </c>
      <c r="V1747" t="s">
        <v>10348</v>
      </c>
      <c r="W1747" t="s">
        <v>1957</v>
      </c>
      <c r="X1747" t="s">
        <v>10400</v>
      </c>
      <c r="Y1747" t="s">
        <v>3944</v>
      </c>
      <c r="Z1747" t="s">
        <v>3945</v>
      </c>
      <c r="AA1747" t="s">
        <v>3946</v>
      </c>
      <c r="AB1747" t="s">
        <v>10401</v>
      </c>
      <c r="AE1747">
        <v>-40.363750099999997</v>
      </c>
      <c r="AF1747">
        <v>175.62123647999999</v>
      </c>
      <c r="AG1747">
        <v>59</v>
      </c>
      <c r="AH1747">
        <v>20</v>
      </c>
      <c r="AI1747">
        <v>3</v>
      </c>
      <c r="AJ1747">
        <v>13</v>
      </c>
      <c r="AK1747">
        <v>18</v>
      </c>
      <c r="AL1747">
        <v>11</v>
      </c>
      <c r="AM1747">
        <v>20</v>
      </c>
      <c r="AN1747">
        <v>0</v>
      </c>
      <c r="AO1747">
        <v>65</v>
      </c>
      <c r="AP1747">
        <v>52</v>
      </c>
      <c r="AQ1747">
        <v>23</v>
      </c>
      <c r="AR1747">
        <v>7</v>
      </c>
      <c r="AS1747">
        <v>6</v>
      </c>
      <c r="AT1747">
        <v>1</v>
      </c>
    </row>
    <row r="1748" spans="1:46">
      <c r="A1748">
        <v>40243</v>
      </c>
      <c r="B1748" t="s">
        <v>10402</v>
      </c>
      <c r="C1748" t="s">
        <v>10403</v>
      </c>
      <c r="D1748" t="s">
        <v>10404</v>
      </c>
      <c r="E1748" t="s">
        <v>10405</v>
      </c>
      <c r="G1748" t="s">
        <v>1974</v>
      </c>
      <c r="H1748" t="s">
        <v>3942</v>
      </c>
      <c r="J1748" t="s">
        <v>518</v>
      </c>
      <c r="K1748" t="s">
        <v>519</v>
      </c>
      <c r="M1748" t="s">
        <v>1297</v>
      </c>
      <c r="N1748" t="s">
        <v>571</v>
      </c>
      <c r="O1748" t="s">
        <v>1956</v>
      </c>
      <c r="P1748" t="s">
        <v>584</v>
      </c>
      <c r="Q1748" t="s">
        <v>1636</v>
      </c>
      <c r="R1748" t="s">
        <v>1760</v>
      </c>
      <c r="S1748" t="s">
        <v>1974</v>
      </c>
      <c r="T1748" t="s">
        <v>1485</v>
      </c>
      <c r="U1748">
        <v>230500</v>
      </c>
      <c r="V1748" t="s">
        <v>10406</v>
      </c>
      <c r="W1748" t="s">
        <v>1957</v>
      </c>
      <c r="X1748" t="s">
        <v>10400</v>
      </c>
      <c r="Y1748" t="s">
        <v>3944</v>
      </c>
      <c r="Z1748" t="s">
        <v>3945</v>
      </c>
      <c r="AA1748" t="s">
        <v>3946</v>
      </c>
      <c r="AB1748" t="s">
        <v>10401</v>
      </c>
      <c r="AE1748">
        <v>-40.3504954</v>
      </c>
      <c r="AF1748">
        <v>175.6114982</v>
      </c>
      <c r="AG1748">
        <v>59</v>
      </c>
      <c r="AH1748">
        <v>25</v>
      </c>
      <c r="AI1748">
        <v>1</v>
      </c>
      <c r="AJ1748">
        <v>19</v>
      </c>
      <c r="AK1748">
        <v>0</v>
      </c>
      <c r="AL1748">
        <v>4</v>
      </c>
      <c r="AM1748">
        <v>28</v>
      </c>
      <c r="AN1748">
        <v>6</v>
      </c>
      <c r="AO1748">
        <v>58</v>
      </c>
      <c r="AP1748">
        <v>38</v>
      </c>
      <c r="AQ1748">
        <v>25</v>
      </c>
      <c r="AR1748">
        <v>2</v>
      </c>
      <c r="AS1748">
        <v>6</v>
      </c>
      <c r="AT1748">
        <v>6</v>
      </c>
    </row>
    <row r="1749" spans="1:46">
      <c r="A1749">
        <v>40244</v>
      </c>
      <c r="B1749" t="s">
        <v>10407</v>
      </c>
      <c r="C1749" t="s">
        <v>10408</v>
      </c>
      <c r="D1749" t="s">
        <v>10409</v>
      </c>
      <c r="E1749" t="s">
        <v>10410</v>
      </c>
      <c r="G1749" t="s">
        <v>2725</v>
      </c>
      <c r="H1749" t="s">
        <v>3942</v>
      </c>
      <c r="J1749" t="s">
        <v>3962</v>
      </c>
      <c r="K1749" t="s">
        <v>519</v>
      </c>
      <c r="M1749" t="s">
        <v>2287</v>
      </c>
      <c r="N1749" t="s">
        <v>571</v>
      </c>
      <c r="O1749" t="s">
        <v>2066</v>
      </c>
      <c r="P1749" t="s">
        <v>572</v>
      </c>
      <c r="Q1749" t="s">
        <v>1636</v>
      </c>
      <c r="R1749" t="s">
        <v>2289</v>
      </c>
      <c r="S1749" t="s">
        <v>2067</v>
      </c>
      <c r="T1749" t="s">
        <v>1485</v>
      </c>
      <c r="U1749">
        <v>234801</v>
      </c>
      <c r="V1749" t="s">
        <v>10411</v>
      </c>
      <c r="W1749" t="s">
        <v>10412</v>
      </c>
      <c r="X1749" t="s">
        <v>10413</v>
      </c>
      <c r="Y1749" t="s">
        <v>10414</v>
      </c>
      <c r="AA1749" t="s">
        <v>10415</v>
      </c>
      <c r="AB1749" t="s">
        <v>10416</v>
      </c>
      <c r="AE1749">
        <v>-40.631932769999999</v>
      </c>
      <c r="AF1749">
        <v>175.24178062999999</v>
      </c>
      <c r="AG1749">
        <v>30</v>
      </c>
      <c r="AH1749">
        <v>15</v>
      </c>
      <c r="AI1749">
        <v>2</v>
      </c>
      <c r="AJ1749">
        <v>10</v>
      </c>
      <c r="AK1749">
        <v>8</v>
      </c>
      <c r="AL1749">
        <v>11</v>
      </c>
      <c r="AM1749">
        <v>8</v>
      </c>
      <c r="AN1749">
        <v>0</v>
      </c>
      <c r="AO1749">
        <v>39</v>
      </c>
      <c r="AP1749">
        <v>38</v>
      </c>
      <c r="AQ1749">
        <v>12</v>
      </c>
      <c r="AR1749">
        <v>0</v>
      </c>
      <c r="AS1749">
        <v>2</v>
      </c>
      <c r="AT1749">
        <v>0</v>
      </c>
    </row>
    <row r="1750" spans="1:46">
      <c r="A1750">
        <v>40247</v>
      </c>
      <c r="B1750" t="s">
        <v>10417</v>
      </c>
      <c r="C1750" t="s">
        <v>10418</v>
      </c>
      <c r="D1750" t="s">
        <v>10419</v>
      </c>
      <c r="E1750" t="s">
        <v>10420</v>
      </c>
      <c r="G1750" t="s">
        <v>1974</v>
      </c>
      <c r="H1750" t="s">
        <v>3942</v>
      </c>
      <c r="J1750" t="s">
        <v>3962</v>
      </c>
      <c r="K1750" t="s">
        <v>519</v>
      </c>
      <c r="M1750" t="s">
        <v>1297</v>
      </c>
      <c r="N1750" t="s">
        <v>557</v>
      </c>
      <c r="O1750" t="s">
        <v>1956</v>
      </c>
      <c r="P1750" t="s">
        <v>584</v>
      </c>
      <c r="Q1750" t="s">
        <v>1636</v>
      </c>
      <c r="R1750" t="s">
        <v>1760</v>
      </c>
      <c r="S1750" t="s">
        <v>1974</v>
      </c>
      <c r="T1750" t="s">
        <v>1485</v>
      </c>
      <c r="U1750">
        <v>230600</v>
      </c>
      <c r="V1750" t="s">
        <v>1975</v>
      </c>
      <c r="W1750" t="s">
        <v>1957</v>
      </c>
      <c r="X1750" t="s">
        <v>10421</v>
      </c>
      <c r="Y1750" t="s">
        <v>4634</v>
      </c>
      <c r="AA1750" t="s">
        <v>4635</v>
      </c>
      <c r="AB1750" t="s">
        <v>10418</v>
      </c>
      <c r="AE1750">
        <v>-40.359838949999997</v>
      </c>
      <c r="AF1750">
        <v>175.60786338</v>
      </c>
      <c r="AG1750">
        <v>60</v>
      </c>
      <c r="AH1750">
        <v>16</v>
      </c>
      <c r="AI1750">
        <v>3</v>
      </c>
      <c r="AJ1750">
        <v>8</v>
      </c>
      <c r="AK1750">
        <v>16</v>
      </c>
      <c r="AL1750">
        <v>23</v>
      </c>
      <c r="AM1750">
        <v>14</v>
      </c>
      <c r="AN1750">
        <v>0</v>
      </c>
      <c r="AO1750">
        <v>64</v>
      </c>
      <c r="AP1750">
        <v>28</v>
      </c>
      <c r="AQ1750">
        <v>28</v>
      </c>
      <c r="AR1750">
        <v>3</v>
      </c>
      <c r="AS1750">
        <v>15</v>
      </c>
      <c r="AT1750">
        <v>6</v>
      </c>
    </row>
    <row r="1751" spans="1:46">
      <c r="A1751">
        <v>40249</v>
      </c>
      <c r="B1751" t="s">
        <v>10422</v>
      </c>
      <c r="C1751" t="s">
        <v>10423</v>
      </c>
      <c r="D1751" t="s">
        <v>10424</v>
      </c>
      <c r="E1751" t="s">
        <v>10425</v>
      </c>
      <c r="G1751" t="s">
        <v>1974</v>
      </c>
      <c r="H1751" t="s">
        <v>3942</v>
      </c>
      <c r="I1751" t="s">
        <v>3953</v>
      </c>
      <c r="J1751" t="s">
        <v>518</v>
      </c>
      <c r="K1751" t="s">
        <v>519</v>
      </c>
      <c r="M1751" t="s">
        <v>1297</v>
      </c>
      <c r="N1751" t="s">
        <v>571</v>
      </c>
      <c r="O1751" t="s">
        <v>1956</v>
      </c>
      <c r="P1751" t="s">
        <v>584</v>
      </c>
      <c r="Q1751" t="s">
        <v>1636</v>
      </c>
      <c r="R1751" t="s">
        <v>1760</v>
      </c>
      <c r="S1751" t="s">
        <v>1974</v>
      </c>
      <c r="T1751" t="s">
        <v>1485</v>
      </c>
      <c r="U1751">
        <v>230600</v>
      </c>
      <c r="V1751" t="s">
        <v>1975</v>
      </c>
      <c r="W1751" t="s">
        <v>1957</v>
      </c>
      <c r="X1751" t="s">
        <v>10426</v>
      </c>
      <c r="Y1751" t="s">
        <v>10425</v>
      </c>
      <c r="Z1751" t="s">
        <v>1974</v>
      </c>
      <c r="AA1751" t="s">
        <v>10427</v>
      </c>
      <c r="AB1751" t="s">
        <v>10428</v>
      </c>
      <c r="AE1751">
        <v>-40.361699299999998</v>
      </c>
      <c r="AF1751">
        <v>175.6026774</v>
      </c>
      <c r="AG1751">
        <v>45</v>
      </c>
      <c r="AH1751">
        <v>15</v>
      </c>
      <c r="AI1751">
        <v>0</v>
      </c>
      <c r="AJ1751">
        <v>1</v>
      </c>
      <c r="AK1751">
        <v>10</v>
      </c>
      <c r="AL1751">
        <v>11</v>
      </c>
      <c r="AM1751">
        <v>13</v>
      </c>
      <c r="AN1751">
        <v>2</v>
      </c>
      <c r="AO1751">
        <v>37</v>
      </c>
      <c r="AP1751">
        <v>31</v>
      </c>
      <c r="AQ1751">
        <v>6</v>
      </c>
      <c r="AR1751">
        <v>2</v>
      </c>
      <c r="AS1751">
        <v>6</v>
      </c>
      <c r="AT1751">
        <v>2</v>
      </c>
    </row>
    <row r="1752" spans="1:46">
      <c r="A1752">
        <v>40251</v>
      </c>
      <c r="B1752" t="s">
        <v>10429</v>
      </c>
      <c r="C1752" t="s">
        <v>10430</v>
      </c>
      <c r="D1752" t="s">
        <v>10431</v>
      </c>
      <c r="E1752" t="s">
        <v>10432</v>
      </c>
      <c r="G1752" t="s">
        <v>10433</v>
      </c>
      <c r="H1752" t="s">
        <v>3942</v>
      </c>
      <c r="J1752" t="s">
        <v>518</v>
      </c>
      <c r="K1752" t="s">
        <v>519</v>
      </c>
      <c r="M1752" t="s">
        <v>2287</v>
      </c>
      <c r="N1752" t="s">
        <v>539</v>
      </c>
      <c r="O1752" t="s">
        <v>2066</v>
      </c>
      <c r="P1752" t="s">
        <v>523</v>
      </c>
      <c r="Q1752" t="s">
        <v>1636</v>
      </c>
      <c r="R1752" t="s">
        <v>2289</v>
      </c>
      <c r="S1752" t="s">
        <v>2067</v>
      </c>
      <c r="T1752" t="s">
        <v>1485</v>
      </c>
      <c r="U1752">
        <v>234100</v>
      </c>
      <c r="V1752" t="s">
        <v>10433</v>
      </c>
      <c r="W1752" t="s">
        <v>2069</v>
      </c>
      <c r="X1752" t="s">
        <v>10434</v>
      </c>
      <c r="Y1752" t="s">
        <v>3944</v>
      </c>
      <c r="Z1752" t="s">
        <v>3945</v>
      </c>
      <c r="AA1752" t="s">
        <v>3946</v>
      </c>
      <c r="AE1752">
        <v>-40.4615315</v>
      </c>
      <c r="AF1752">
        <v>175.2268115</v>
      </c>
      <c r="AG1752">
        <v>30</v>
      </c>
      <c r="AH1752">
        <v>0</v>
      </c>
      <c r="AI1752">
        <v>0</v>
      </c>
      <c r="AJ1752">
        <v>0</v>
      </c>
      <c r="AK1752">
        <v>4</v>
      </c>
      <c r="AL1752">
        <v>7</v>
      </c>
      <c r="AM1752">
        <v>6</v>
      </c>
      <c r="AN1752">
        <v>0</v>
      </c>
      <c r="AO1752">
        <v>17</v>
      </c>
      <c r="AP1752">
        <v>13</v>
      </c>
      <c r="AQ1752">
        <v>4</v>
      </c>
      <c r="AR1752">
        <v>0</v>
      </c>
      <c r="AS1752">
        <v>0</v>
      </c>
      <c r="AT1752">
        <v>0</v>
      </c>
    </row>
    <row r="1753" spans="1:46">
      <c r="A1753">
        <v>40255</v>
      </c>
      <c r="B1753" t="s">
        <v>10435</v>
      </c>
      <c r="C1753" t="s">
        <v>10436</v>
      </c>
      <c r="D1753" t="s">
        <v>10437</v>
      </c>
      <c r="E1753" t="s">
        <v>10438</v>
      </c>
      <c r="G1753" t="s">
        <v>1634</v>
      </c>
      <c r="H1753" t="s">
        <v>3942</v>
      </c>
      <c r="J1753" t="s">
        <v>518</v>
      </c>
      <c r="K1753" t="s">
        <v>519</v>
      </c>
      <c r="M1753" t="s">
        <v>1297</v>
      </c>
      <c r="N1753" t="s">
        <v>557</v>
      </c>
      <c r="O1753" t="s">
        <v>1635</v>
      </c>
      <c r="P1753" t="s">
        <v>523</v>
      </c>
      <c r="Q1753" t="s">
        <v>1636</v>
      </c>
      <c r="R1753" t="s">
        <v>1300</v>
      </c>
      <c r="S1753" t="s">
        <v>1637</v>
      </c>
      <c r="T1753" t="s">
        <v>1485</v>
      </c>
      <c r="U1753">
        <v>222700</v>
      </c>
      <c r="V1753" t="s">
        <v>10439</v>
      </c>
      <c r="W1753" t="s">
        <v>1639</v>
      </c>
      <c r="X1753" t="s">
        <v>10440</v>
      </c>
      <c r="Y1753" t="s">
        <v>10441</v>
      </c>
      <c r="Z1753" t="s">
        <v>1634</v>
      </c>
      <c r="AA1753" t="s">
        <v>10442</v>
      </c>
      <c r="AC1753">
        <v>99201</v>
      </c>
      <c r="AD1753" t="s">
        <v>1640</v>
      </c>
      <c r="AE1753">
        <v>-38.888358060000002</v>
      </c>
      <c r="AF1753">
        <v>175.32304192000001</v>
      </c>
      <c r="AG1753">
        <v>40</v>
      </c>
      <c r="AH1753">
        <v>0</v>
      </c>
      <c r="AI1753">
        <v>0</v>
      </c>
      <c r="AJ1753">
        <v>0</v>
      </c>
      <c r="AK1753">
        <v>6</v>
      </c>
      <c r="AL1753">
        <v>28</v>
      </c>
      <c r="AM1753">
        <v>18</v>
      </c>
      <c r="AN1753">
        <v>1</v>
      </c>
      <c r="AO1753">
        <v>53</v>
      </c>
      <c r="AP1753">
        <v>44</v>
      </c>
      <c r="AQ1753">
        <v>23</v>
      </c>
      <c r="AR1753">
        <v>0</v>
      </c>
      <c r="AS1753">
        <v>4</v>
      </c>
      <c r="AT1753">
        <v>2</v>
      </c>
    </row>
    <row r="1754" spans="1:46">
      <c r="A1754">
        <v>40259</v>
      </c>
      <c r="B1754" t="s">
        <v>10443</v>
      </c>
      <c r="C1754" t="s">
        <v>10444</v>
      </c>
      <c r="D1754" t="s">
        <v>10445</v>
      </c>
      <c r="E1754" t="s">
        <v>10446</v>
      </c>
      <c r="F1754" t="s">
        <v>3722</v>
      </c>
      <c r="G1754" t="s">
        <v>1598</v>
      </c>
      <c r="H1754" t="s">
        <v>3942</v>
      </c>
      <c r="J1754" t="s">
        <v>3962</v>
      </c>
      <c r="K1754" t="s">
        <v>519</v>
      </c>
      <c r="M1754" t="s">
        <v>1297</v>
      </c>
      <c r="N1754" t="s">
        <v>571</v>
      </c>
      <c r="O1754" t="s">
        <v>1698</v>
      </c>
      <c r="P1754" t="s">
        <v>654</v>
      </c>
      <c r="Q1754" t="s">
        <v>1471</v>
      </c>
      <c r="R1754" t="s">
        <v>1472</v>
      </c>
      <c r="S1754" t="s">
        <v>1598</v>
      </c>
      <c r="T1754" t="s">
        <v>1474</v>
      </c>
      <c r="U1754">
        <v>194801</v>
      </c>
      <c r="V1754" t="s">
        <v>3722</v>
      </c>
      <c r="W1754" t="s">
        <v>3724</v>
      </c>
      <c r="X1754" t="s">
        <v>10447</v>
      </c>
      <c r="Y1754" t="s">
        <v>10446</v>
      </c>
      <c r="AA1754" t="s">
        <v>8884</v>
      </c>
      <c r="AB1754" t="s">
        <v>10448</v>
      </c>
      <c r="AC1754">
        <v>99085</v>
      </c>
      <c r="AD1754" t="s">
        <v>1718</v>
      </c>
      <c r="AE1754">
        <v>-37.705532650000002</v>
      </c>
      <c r="AF1754">
        <v>176.15727074</v>
      </c>
      <c r="AG1754">
        <v>35</v>
      </c>
      <c r="AH1754">
        <v>12</v>
      </c>
      <c r="AI1754">
        <v>0</v>
      </c>
      <c r="AJ1754">
        <v>7</v>
      </c>
      <c r="AK1754">
        <v>3</v>
      </c>
      <c r="AL1754">
        <v>6</v>
      </c>
      <c r="AM1754">
        <v>6</v>
      </c>
      <c r="AN1754">
        <v>1</v>
      </c>
      <c r="AO1754">
        <v>23</v>
      </c>
      <c r="AP1754">
        <v>16</v>
      </c>
      <c r="AQ1754">
        <v>7</v>
      </c>
      <c r="AR1754">
        <v>1</v>
      </c>
      <c r="AS1754">
        <v>2</v>
      </c>
      <c r="AT1754">
        <v>3</v>
      </c>
    </row>
    <row r="1755" spans="1:46">
      <c r="A1755">
        <v>40265</v>
      </c>
      <c r="B1755" t="s">
        <v>10449</v>
      </c>
      <c r="C1755" t="s">
        <v>10450</v>
      </c>
      <c r="D1755" t="s">
        <v>10451</v>
      </c>
      <c r="E1755" t="s">
        <v>10452</v>
      </c>
      <c r="F1755" t="s">
        <v>8491</v>
      </c>
      <c r="G1755" t="s">
        <v>1521</v>
      </c>
      <c r="H1755" t="s">
        <v>3942</v>
      </c>
      <c r="J1755" t="s">
        <v>3962</v>
      </c>
      <c r="K1755" t="s">
        <v>519</v>
      </c>
      <c r="M1755" t="s">
        <v>1297</v>
      </c>
      <c r="N1755" t="s">
        <v>571</v>
      </c>
      <c r="O1755" t="s">
        <v>1522</v>
      </c>
      <c r="P1755" t="s">
        <v>584</v>
      </c>
      <c r="Q1755" t="s">
        <v>1471</v>
      </c>
      <c r="R1755" t="s">
        <v>1472</v>
      </c>
      <c r="S1755" t="s">
        <v>1521</v>
      </c>
      <c r="T1755" t="s">
        <v>1474</v>
      </c>
      <c r="U1755">
        <v>200100</v>
      </c>
      <c r="V1755" t="s">
        <v>8491</v>
      </c>
      <c r="W1755" t="s">
        <v>1523</v>
      </c>
      <c r="X1755" t="s">
        <v>8743</v>
      </c>
      <c r="Y1755" t="s">
        <v>10453</v>
      </c>
      <c r="AA1755" t="s">
        <v>8908</v>
      </c>
      <c r="AB1755" t="s">
        <v>8741</v>
      </c>
      <c r="AC1755">
        <v>99019</v>
      </c>
      <c r="AD1755" t="s">
        <v>1565</v>
      </c>
      <c r="AE1755">
        <v>-38.133630189999998</v>
      </c>
      <c r="AF1755">
        <v>176.25220231</v>
      </c>
      <c r="AG1755">
        <v>35</v>
      </c>
      <c r="AH1755">
        <v>10</v>
      </c>
      <c r="AI1755">
        <v>0</v>
      </c>
      <c r="AJ1755">
        <v>8</v>
      </c>
      <c r="AK1755">
        <v>4</v>
      </c>
      <c r="AL1755">
        <v>9</v>
      </c>
      <c r="AM1755">
        <v>3</v>
      </c>
      <c r="AN1755">
        <v>0</v>
      </c>
      <c r="AO1755">
        <v>24</v>
      </c>
      <c r="AP1755">
        <v>17</v>
      </c>
      <c r="AQ1755">
        <v>10</v>
      </c>
      <c r="AR1755">
        <v>2</v>
      </c>
      <c r="AS1755">
        <v>1</v>
      </c>
      <c r="AT1755">
        <v>4</v>
      </c>
    </row>
    <row r="1756" spans="1:46">
      <c r="A1756">
        <v>40266</v>
      </c>
      <c r="B1756" t="s">
        <v>10454</v>
      </c>
      <c r="C1756" t="s">
        <v>10455</v>
      </c>
      <c r="D1756" t="s">
        <v>10456</v>
      </c>
      <c r="E1756" t="s">
        <v>4715</v>
      </c>
      <c r="F1756" t="s">
        <v>3770</v>
      </c>
      <c r="G1756" t="s">
        <v>1598</v>
      </c>
      <c r="H1756" t="s">
        <v>4716</v>
      </c>
      <c r="J1756" t="s">
        <v>3962</v>
      </c>
      <c r="K1756" t="s">
        <v>519</v>
      </c>
      <c r="M1756" t="s">
        <v>1297</v>
      </c>
      <c r="N1756" t="s">
        <v>571</v>
      </c>
      <c r="O1756" t="s">
        <v>1698</v>
      </c>
      <c r="P1756" t="s">
        <v>654</v>
      </c>
      <c r="Q1756" t="s">
        <v>1471</v>
      </c>
      <c r="R1756" t="s">
        <v>1472</v>
      </c>
      <c r="S1756" t="s">
        <v>1699</v>
      </c>
      <c r="T1756" t="s">
        <v>1474</v>
      </c>
      <c r="U1756">
        <v>197000</v>
      </c>
      <c r="V1756" t="s">
        <v>4717</v>
      </c>
      <c r="W1756" t="s">
        <v>1701</v>
      </c>
      <c r="X1756" t="s">
        <v>10457</v>
      </c>
      <c r="Y1756" t="s">
        <v>4715</v>
      </c>
      <c r="Z1756" t="s">
        <v>3770</v>
      </c>
      <c r="AA1756" t="s">
        <v>4719</v>
      </c>
      <c r="AB1756" t="s">
        <v>10455</v>
      </c>
      <c r="AE1756">
        <v>-37.697152350000003</v>
      </c>
      <c r="AF1756">
        <v>176.26234006000001</v>
      </c>
      <c r="AG1756">
        <v>60</v>
      </c>
      <c r="AH1756">
        <v>60</v>
      </c>
      <c r="AI1756">
        <v>0</v>
      </c>
      <c r="AJ1756">
        <v>3</v>
      </c>
      <c r="AK1756">
        <v>3</v>
      </c>
      <c r="AL1756">
        <v>1</v>
      </c>
      <c r="AM1756">
        <v>2</v>
      </c>
      <c r="AN1756">
        <v>0</v>
      </c>
      <c r="AO1756">
        <v>9</v>
      </c>
      <c r="AP1756">
        <v>8</v>
      </c>
      <c r="AQ1756">
        <v>2</v>
      </c>
      <c r="AR1756">
        <v>0</v>
      </c>
      <c r="AS1756">
        <v>0</v>
      </c>
      <c r="AT1756">
        <v>1</v>
      </c>
    </row>
    <row r="1757" spans="1:46">
      <c r="A1757">
        <v>40268</v>
      </c>
      <c r="B1757" t="s">
        <v>10458</v>
      </c>
      <c r="C1757" t="s">
        <v>10459</v>
      </c>
      <c r="D1757" t="s">
        <v>10460</v>
      </c>
      <c r="E1757" t="s">
        <v>10461</v>
      </c>
      <c r="G1757" t="s">
        <v>1742</v>
      </c>
      <c r="H1757" t="s">
        <v>3942</v>
      </c>
      <c r="J1757" t="s">
        <v>3962</v>
      </c>
      <c r="K1757" t="s">
        <v>519</v>
      </c>
      <c r="M1757" t="s">
        <v>1297</v>
      </c>
      <c r="N1757" t="s">
        <v>4519</v>
      </c>
      <c r="O1757" t="s">
        <v>1743</v>
      </c>
      <c r="P1757" t="s">
        <v>523</v>
      </c>
      <c r="Q1757" t="s">
        <v>1471</v>
      </c>
      <c r="R1757" t="s">
        <v>1472</v>
      </c>
      <c r="S1757" t="s">
        <v>1521</v>
      </c>
      <c r="T1757" t="s">
        <v>1474</v>
      </c>
      <c r="U1757">
        <v>192101</v>
      </c>
      <c r="V1757" t="s">
        <v>1744</v>
      </c>
      <c r="W1757" t="s">
        <v>1745</v>
      </c>
      <c r="X1757" t="s">
        <v>10462</v>
      </c>
      <c r="Y1757" t="s">
        <v>10463</v>
      </c>
      <c r="Z1757" t="s">
        <v>1742</v>
      </c>
      <c r="AA1757" t="s">
        <v>10464</v>
      </c>
      <c r="AB1757" t="s">
        <v>10459</v>
      </c>
      <c r="AE1757">
        <v>-37.784484329999998</v>
      </c>
      <c r="AF1757">
        <v>176.33001949999999</v>
      </c>
      <c r="AG1757">
        <v>50</v>
      </c>
      <c r="AH1757">
        <v>15</v>
      </c>
      <c r="AI1757">
        <v>1</v>
      </c>
      <c r="AJ1757">
        <v>3</v>
      </c>
      <c r="AK1757">
        <v>5</v>
      </c>
      <c r="AL1757">
        <v>21</v>
      </c>
      <c r="AM1757">
        <v>14</v>
      </c>
      <c r="AN1757">
        <v>1</v>
      </c>
      <c r="AO1757">
        <v>45</v>
      </c>
      <c r="AP1757">
        <v>14</v>
      </c>
      <c r="AQ1757">
        <v>15</v>
      </c>
      <c r="AR1757">
        <v>3</v>
      </c>
      <c r="AS1757">
        <v>22</v>
      </c>
      <c r="AT1757">
        <v>0</v>
      </c>
    </row>
    <row r="1758" spans="1:46">
      <c r="A1758">
        <v>40269</v>
      </c>
      <c r="B1758" t="s">
        <v>10465</v>
      </c>
      <c r="C1758" t="s">
        <v>10466</v>
      </c>
      <c r="D1758" t="s">
        <v>10467</v>
      </c>
      <c r="E1758" t="s">
        <v>10468</v>
      </c>
      <c r="F1758" t="s">
        <v>1715</v>
      </c>
      <c r="G1758" t="s">
        <v>1598</v>
      </c>
      <c r="H1758" t="s">
        <v>4032</v>
      </c>
      <c r="J1758" t="s">
        <v>518</v>
      </c>
      <c r="K1758" t="s">
        <v>519</v>
      </c>
      <c r="M1758" t="s">
        <v>1297</v>
      </c>
      <c r="N1758" t="s">
        <v>727</v>
      </c>
      <c r="O1758" t="s">
        <v>1698</v>
      </c>
      <c r="P1758" t="s">
        <v>654</v>
      </c>
      <c r="Q1758" t="s">
        <v>1471</v>
      </c>
      <c r="R1758" t="s">
        <v>1472</v>
      </c>
      <c r="S1758" t="s">
        <v>1598</v>
      </c>
      <c r="T1758" t="s">
        <v>1474</v>
      </c>
      <c r="U1758">
        <v>194400</v>
      </c>
      <c r="V1758" t="s">
        <v>10469</v>
      </c>
      <c r="W1758" t="s">
        <v>3724</v>
      </c>
      <c r="X1758" t="s">
        <v>10470</v>
      </c>
      <c r="Y1758" t="s">
        <v>10471</v>
      </c>
      <c r="AA1758" t="s">
        <v>8708</v>
      </c>
      <c r="AB1758" t="s">
        <v>10466</v>
      </c>
      <c r="AE1758">
        <v>-37.707247330000001</v>
      </c>
      <c r="AF1758">
        <v>176.14872301</v>
      </c>
      <c r="AG1758">
        <v>22</v>
      </c>
      <c r="AH1758">
        <v>5</v>
      </c>
    </row>
    <row r="1759" spans="1:46">
      <c r="A1759">
        <v>40271</v>
      </c>
      <c r="B1759" t="s">
        <v>10472</v>
      </c>
      <c r="C1759" t="s">
        <v>10473</v>
      </c>
      <c r="D1759" t="s">
        <v>10474</v>
      </c>
      <c r="E1759" t="s">
        <v>10475</v>
      </c>
      <c r="F1759" t="s">
        <v>3770</v>
      </c>
      <c r="G1759" t="s">
        <v>1598</v>
      </c>
      <c r="H1759" t="s">
        <v>3942</v>
      </c>
      <c r="J1759" t="s">
        <v>518</v>
      </c>
      <c r="K1759" t="s">
        <v>519</v>
      </c>
      <c r="M1759" t="s">
        <v>1297</v>
      </c>
      <c r="N1759" t="s">
        <v>571</v>
      </c>
      <c r="O1759" t="s">
        <v>1698</v>
      </c>
      <c r="P1759" t="s">
        <v>654</v>
      </c>
      <c r="Q1759" t="s">
        <v>1471</v>
      </c>
      <c r="R1759" t="s">
        <v>1472</v>
      </c>
      <c r="S1759" t="s">
        <v>1699</v>
      </c>
      <c r="T1759" t="s">
        <v>1474</v>
      </c>
      <c r="U1759">
        <v>197400</v>
      </c>
      <c r="V1759" t="s">
        <v>8571</v>
      </c>
      <c r="W1759" t="s">
        <v>3772</v>
      </c>
      <c r="X1759" t="s">
        <v>8377</v>
      </c>
      <c r="Y1759" t="s">
        <v>3944</v>
      </c>
      <c r="Z1759" t="s">
        <v>3945</v>
      </c>
      <c r="AA1759" t="s">
        <v>3946</v>
      </c>
      <c r="AB1759" t="s">
        <v>8378</v>
      </c>
      <c r="AE1759">
        <v>-37.711212719999999</v>
      </c>
      <c r="AF1759">
        <v>176.3137423</v>
      </c>
      <c r="AG1759">
        <v>80</v>
      </c>
      <c r="AH1759">
        <v>15</v>
      </c>
      <c r="AI1759">
        <v>2</v>
      </c>
      <c r="AJ1759">
        <v>6</v>
      </c>
      <c r="AK1759">
        <v>18</v>
      </c>
      <c r="AL1759">
        <v>24</v>
      </c>
      <c r="AM1759">
        <v>27</v>
      </c>
      <c r="AN1759">
        <v>2</v>
      </c>
      <c r="AO1759">
        <v>79</v>
      </c>
      <c r="AP1759">
        <v>25</v>
      </c>
      <c r="AQ1759">
        <v>23</v>
      </c>
      <c r="AR1759">
        <v>2</v>
      </c>
      <c r="AS1759">
        <v>33</v>
      </c>
      <c r="AT1759">
        <v>8</v>
      </c>
    </row>
    <row r="1760" spans="1:46">
      <c r="A1760">
        <v>40272</v>
      </c>
      <c r="B1760" t="s">
        <v>10476</v>
      </c>
      <c r="C1760" t="s">
        <v>10477</v>
      </c>
      <c r="D1760" t="s">
        <v>10478</v>
      </c>
      <c r="E1760" t="s">
        <v>10479</v>
      </c>
      <c r="G1760" t="s">
        <v>10218</v>
      </c>
      <c r="H1760" t="s">
        <v>517</v>
      </c>
      <c r="J1760" t="s">
        <v>518</v>
      </c>
      <c r="K1760" t="s">
        <v>519</v>
      </c>
      <c r="M1760" t="s">
        <v>1297</v>
      </c>
      <c r="N1760" t="s">
        <v>521</v>
      </c>
      <c r="O1760" t="s">
        <v>1470</v>
      </c>
      <c r="P1760" t="s">
        <v>540</v>
      </c>
      <c r="Q1760" t="s">
        <v>1471</v>
      </c>
      <c r="R1760" t="s">
        <v>1472</v>
      </c>
      <c r="S1760" t="s">
        <v>1473</v>
      </c>
      <c r="T1760" t="s">
        <v>1474</v>
      </c>
      <c r="U1760">
        <v>202000</v>
      </c>
      <c r="V1760" t="s">
        <v>10219</v>
      </c>
      <c r="W1760" t="s">
        <v>1514</v>
      </c>
      <c r="X1760" t="s">
        <v>1477</v>
      </c>
      <c r="Y1760" t="s">
        <v>1441</v>
      </c>
      <c r="AA1760" t="s">
        <v>1442</v>
      </c>
      <c r="AB1760" t="s">
        <v>1478</v>
      </c>
      <c r="AC1760">
        <v>99038</v>
      </c>
      <c r="AD1760" t="s">
        <v>1515</v>
      </c>
      <c r="AE1760">
        <v>-37.892995399999997</v>
      </c>
      <c r="AF1760">
        <v>176.75895743999999</v>
      </c>
      <c r="AG1760">
        <v>30</v>
      </c>
      <c r="AH1760">
        <v>10</v>
      </c>
      <c r="AI1760">
        <v>0</v>
      </c>
      <c r="AJ1760">
        <v>2</v>
      </c>
      <c r="AK1760">
        <v>8</v>
      </c>
      <c r="AL1760">
        <v>4</v>
      </c>
      <c r="AM1760">
        <v>9</v>
      </c>
      <c r="AN1760">
        <v>0</v>
      </c>
      <c r="AO1760">
        <v>23</v>
      </c>
      <c r="AP1760">
        <v>16</v>
      </c>
      <c r="AQ1760">
        <v>10</v>
      </c>
      <c r="AR1760">
        <v>2</v>
      </c>
      <c r="AS1760">
        <v>4</v>
      </c>
      <c r="AT1760">
        <v>0</v>
      </c>
    </row>
    <row r="1761" spans="1:46">
      <c r="A1761">
        <v>40274</v>
      </c>
      <c r="B1761" t="s">
        <v>10480</v>
      </c>
      <c r="C1761" t="s">
        <v>10481</v>
      </c>
      <c r="E1761" t="s">
        <v>10482</v>
      </c>
      <c r="F1761" t="s">
        <v>1691</v>
      </c>
      <c r="G1761" t="s">
        <v>1521</v>
      </c>
      <c r="H1761" t="s">
        <v>3942</v>
      </c>
      <c r="J1761" t="s">
        <v>3962</v>
      </c>
      <c r="K1761" t="s">
        <v>519</v>
      </c>
      <c r="M1761" t="s">
        <v>1297</v>
      </c>
      <c r="N1761" t="s">
        <v>521</v>
      </c>
      <c r="O1761" t="s">
        <v>1522</v>
      </c>
      <c r="P1761" t="s">
        <v>584</v>
      </c>
      <c r="Q1761" t="s">
        <v>1471</v>
      </c>
      <c r="R1761" t="s">
        <v>1472</v>
      </c>
      <c r="S1761" t="s">
        <v>1521</v>
      </c>
      <c r="T1761" t="s">
        <v>1474</v>
      </c>
      <c r="U1761">
        <v>198600</v>
      </c>
      <c r="V1761" t="s">
        <v>8610</v>
      </c>
      <c r="W1761" t="s">
        <v>1523</v>
      </c>
      <c r="X1761" t="s">
        <v>10483</v>
      </c>
      <c r="Y1761" t="s">
        <v>3981</v>
      </c>
      <c r="AA1761" t="s">
        <v>3982</v>
      </c>
      <c r="AB1761" t="s">
        <v>10481</v>
      </c>
      <c r="AC1761">
        <v>99107</v>
      </c>
      <c r="AD1761" t="s">
        <v>1526</v>
      </c>
      <c r="AE1761">
        <v>-38.130470320000001</v>
      </c>
      <c r="AF1761">
        <v>176.21413368</v>
      </c>
      <c r="AG1761">
        <v>42</v>
      </c>
      <c r="AH1761">
        <v>15</v>
      </c>
      <c r="AI1761">
        <v>0</v>
      </c>
      <c r="AJ1761">
        <v>8</v>
      </c>
      <c r="AK1761">
        <v>8</v>
      </c>
      <c r="AL1761">
        <v>8</v>
      </c>
      <c r="AM1761">
        <v>10</v>
      </c>
      <c r="AN1761">
        <v>0</v>
      </c>
      <c r="AO1761">
        <v>34</v>
      </c>
      <c r="AP1761">
        <v>19</v>
      </c>
      <c r="AQ1761">
        <v>16</v>
      </c>
      <c r="AR1761">
        <v>3</v>
      </c>
      <c r="AS1761">
        <v>3</v>
      </c>
      <c r="AT1761">
        <v>1</v>
      </c>
    </row>
    <row r="1762" spans="1:46">
      <c r="A1762">
        <v>40277</v>
      </c>
      <c r="B1762" t="s">
        <v>10484</v>
      </c>
      <c r="C1762" t="s">
        <v>10485</v>
      </c>
      <c r="E1762" t="s">
        <v>10486</v>
      </c>
      <c r="G1762" t="s">
        <v>1545</v>
      </c>
      <c r="H1762" t="s">
        <v>3942</v>
      </c>
      <c r="J1762" t="s">
        <v>518</v>
      </c>
      <c r="K1762" t="s">
        <v>519</v>
      </c>
      <c r="M1762" t="s">
        <v>1297</v>
      </c>
      <c r="N1762" t="s">
        <v>571</v>
      </c>
      <c r="O1762" t="s">
        <v>1546</v>
      </c>
      <c r="P1762" t="s">
        <v>1262</v>
      </c>
      <c r="Q1762" t="s">
        <v>1299</v>
      </c>
      <c r="R1762" t="s">
        <v>1472</v>
      </c>
      <c r="S1762" t="s">
        <v>1320</v>
      </c>
      <c r="T1762" t="s">
        <v>1474</v>
      </c>
      <c r="U1762">
        <v>188900</v>
      </c>
      <c r="V1762" t="s">
        <v>1547</v>
      </c>
      <c r="W1762" t="s">
        <v>1548</v>
      </c>
      <c r="X1762" t="s">
        <v>10487</v>
      </c>
      <c r="Y1762" t="s">
        <v>3944</v>
      </c>
      <c r="Z1762" t="s">
        <v>3945</v>
      </c>
      <c r="AA1762" t="s">
        <v>3946</v>
      </c>
      <c r="AB1762" t="s">
        <v>10488</v>
      </c>
      <c r="AC1762">
        <v>99020</v>
      </c>
      <c r="AD1762" t="s">
        <v>1550</v>
      </c>
      <c r="AE1762">
        <v>-38.68197164</v>
      </c>
      <c r="AF1762">
        <v>176.08783500000001</v>
      </c>
      <c r="AG1762">
        <v>80</v>
      </c>
      <c r="AH1762">
        <v>18</v>
      </c>
      <c r="AI1762">
        <v>4</v>
      </c>
      <c r="AJ1762">
        <v>15</v>
      </c>
      <c r="AK1762">
        <v>18</v>
      </c>
      <c r="AL1762">
        <v>18</v>
      </c>
      <c r="AM1762">
        <v>27</v>
      </c>
      <c r="AN1762">
        <v>2</v>
      </c>
      <c r="AO1762">
        <v>84</v>
      </c>
      <c r="AP1762">
        <v>46</v>
      </c>
      <c r="AQ1762">
        <v>33</v>
      </c>
      <c r="AR1762">
        <v>6</v>
      </c>
      <c r="AS1762">
        <v>10</v>
      </c>
      <c r="AT1762">
        <v>18</v>
      </c>
    </row>
    <row r="1763" spans="1:46">
      <c r="A1763">
        <v>40278</v>
      </c>
      <c r="B1763" t="s">
        <v>10489</v>
      </c>
      <c r="C1763" t="s">
        <v>10490</v>
      </c>
      <c r="E1763" t="s">
        <v>10491</v>
      </c>
      <c r="F1763" t="s">
        <v>10239</v>
      </c>
      <c r="G1763" t="s">
        <v>1469</v>
      </c>
      <c r="H1763" t="s">
        <v>3942</v>
      </c>
      <c r="J1763" t="s">
        <v>3962</v>
      </c>
      <c r="K1763" t="s">
        <v>519</v>
      </c>
      <c r="M1763" t="s">
        <v>1297</v>
      </c>
      <c r="N1763" t="s">
        <v>571</v>
      </c>
      <c r="O1763" t="s">
        <v>1470</v>
      </c>
      <c r="P1763" t="s">
        <v>1262</v>
      </c>
      <c r="Q1763" t="s">
        <v>1471</v>
      </c>
      <c r="R1763" t="s">
        <v>1472</v>
      </c>
      <c r="S1763" t="s">
        <v>1473</v>
      </c>
      <c r="T1763" t="s">
        <v>1474</v>
      </c>
      <c r="U1763">
        <v>202500</v>
      </c>
      <c r="V1763" t="s">
        <v>10239</v>
      </c>
      <c r="W1763" t="s">
        <v>1476</v>
      </c>
      <c r="X1763" t="s">
        <v>10492</v>
      </c>
      <c r="Y1763" t="s">
        <v>10491</v>
      </c>
      <c r="Z1763" t="s">
        <v>10239</v>
      </c>
      <c r="AA1763" t="s">
        <v>10493</v>
      </c>
      <c r="AB1763" t="s">
        <v>10494</v>
      </c>
      <c r="AC1763">
        <v>99016</v>
      </c>
      <c r="AD1763" t="s">
        <v>1479</v>
      </c>
      <c r="AE1763">
        <v>-37.933261170000002</v>
      </c>
      <c r="AF1763">
        <v>176.97174838999999</v>
      </c>
      <c r="AG1763">
        <v>125</v>
      </c>
      <c r="AH1763">
        <v>25</v>
      </c>
      <c r="AI1763">
        <v>4</v>
      </c>
      <c r="AJ1763">
        <v>30</v>
      </c>
      <c r="AK1763">
        <v>25</v>
      </c>
      <c r="AL1763">
        <v>36</v>
      </c>
      <c r="AM1763">
        <v>30</v>
      </c>
      <c r="AN1763">
        <v>1</v>
      </c>
      <c r="AO1763">
        <v>126</v>
      </c>
      <c r="AP1763">
        <v>105</v>
      </c>
      <c r="AQ1763">
        <v>37</v>
      </c>
      <c r="AR1763">
        <v>3</v>
      </c>
      <c r="AS1763">
        <v>11</v>
      </c>
      <c r="AT1763">
        <v>2</v>
      </c>
    </row>
    <row r="1764" spans="1:46">
      <c r="A1764">
        <v>40281</v>
      </c>
      <c r="B1764" t="s">
        <v>10495</v>
      </c>
      <c r="C1764" t="s">
        <v>10496</v>
      </c>
      <c r="D1764" t="s">
        <v>10497</v>
      </c>
      <c r="E1764" t="s">
        <v>10498</v>
      </c>
      <c r="F1764" t="s">
        <v>8491</v>
      </c>
      <c r="G1764" t="s">
        <v>1521</v>
      </c>
      <c r="H1764" t="s">
        <v>3942</v>
      </c>
      <c r="J1764" t="s">
        <v>3962</v>
      </c>
      <c r="K1764" t="s">
        <v>519</v>
      </c>
      <c r="M1764" t="s">
        <v>1297</v>
      </c>
      <c r="N1764" t="s">
        <v>571</v>
      </c>
      <c r="O1764" t="s">
        <v>1522</v>
      </c>
      <c r="P1764" t="s">
        <v>584</v>
      </c>
      <c r="Q1764" t="s">
        <v>1471</v>
      </c>
      <c r="R1764" t="s">
        <v>1472</v>
      </c>
      <c r="S1764" t="s">
        <v>1521</v>
      </c>
      <c r="T1764" t="s">
        <v>1474</v>
      </c>
      <c r="U1764">
        <v>200300</v>
      </c>
      <c r="V1764" t="s">
        <v>9806</v>
      </c>
      <c r="W1764" t="s">
        <v>1523</v>
      </c>
      <c r="X1764" t="s">
        <v>10499</v>
      </c>
      <c r="Y1764" t="s">
        <v>10500</v>
      </c>
      <c r="Z1764" t="s">
        <v>8564</v>
      </c>
      <c r="AA1764" t="s">
        <v>8565</v>
      </c>
      <c r="AB1764" t="s">
        <v>10501</v>
      </c>
      <c r="AC1764">
        <v>99019</v>
      </c>
      <c r="AD1764" t="s">
        <v>1565</v>
      </c>
      <c r="AE1764">
        <v>-38.141044569999998</v>
      </c>
      <c r="AF1764">
        <v>176.23755636000001</v>
      </c>
      <c r="AG1764">
        <v>30</v>
      </c>
      <c r="AH1764">
        <v>8</v>
      </c>
      <c r="AI1764">
        <v>1</v>
      </c>
      <c r="AJ1764">
        <v>1</v>
      </c>
      <c r="AK1764">
        <v>9</v>
      </c>
      <c r="AL1764">
        <v>7</v>
      </c>
      <c r="AM1764">
        <v>2</v>
      </c>
      <c r="AN1764">
        <v>0</v>
      </c>
      <c r="AO1764">
        <v>20</v>
      </c>
      <c r="AP1764">
        <v>7</v>
      </c>
      <c r="AQ1764">
        <v>13</v>
      </c>
      <c r="AR1764">
        <v>2</v>
      </c>
      <c r="AS1764">
        <v>1</v>
      </c>
      <c r="AT1764">
        <v>0</v>
      </c>
    </row>
    <row r="1765" spans="1:46">
      <c r="A1765">
        <v>40282</v>
      </c>
      <c r="B1765" t="s">
        <v>10502</v>
      </c>
      <c r="C1765" t="s">
        <v>10503</v>
      </c>
      <c r="E1765" t="s">
        <v>10504</v>
      </c>
      <c r="G1765" t="s">
        <v>1469</v>
      </c>
      <c r="H1765" t="s">
        <v>4716</v>
      </c>
      <c r="J1765" t="s">
        <v>3962</v>
      </c>
      <c r="K1765" t="s">
        <v>519</v>
      </c>
      <c r="M1765" t="s">
        <v>1297</v>
      </c>
      <c r="N1765" t="s">
        <v>539</v>
      </c>
      <c r="O1765" t="s">
        <v>1470</v>
      </c>
      <c r="P1765" t="s">
        <v>1262</v>
      </c>
      <c r="Q1765" t="s">
        <v>1471</v>
      </c>
      <c r="R1765" t="s">
        <v>1472</v>
      </c>
      <c r="S1765" t="s">
        <v>1473</v>
      </c>
      <c r="T1765" t="s">
        <v>1474</v>
      </c>
      <c r="U1765">
        <v>202900</v>
      </c>
      <c r="V1765" t="s">
        <v>8872</v>
      </c>
      <c r="W1765" t="s">
        <v>1476</v>
      </c>
      <c r="X1765" t="s">
        <v>10505</v>
      </c>
      <c r="Y1765" t="s">
        <v>10506</v>
      </c>
      <c r="AA1765" t="s">
        <v>10507</v>
      </c>
      <c r="AB1765" t="s">
        <v>10508</v>
      </c>
      <c r="AC1765">
        <v>99016</v>
      </c>
      <c r="AD1765" t="s">
        <v>1479</v>
      </c>
      <c r="AE1765">
        <v>-37.967075610000002</v>
      </c>
      <c r="AF1765">
        <v>176.98292180999999</v>
      </c>
      <c r="AG1765">
        <v>50</v>
      </c>
      <c r="AH1765">
        <v>50</v>
      </c>
      <c r="AI1765">
        <v>2</v>
      </c>
      <c r="AJ1765">
        <v>4</v>
      </c>
      <c r="AK1765">
        <v>11</v>
      </c>
      <c r="AL1765">
        <v>4</v>
      </c>
      <c r="AM1765">
        <v>10</v>
      </c>
      <c r="AN1765">
        <v>1</v>
      </c>
      <c r="AO1765">
        <v>32</v>
      </c>
      <c r="AP1765">
        <v>22</v>
      </c>
      <c r="AQ1765">
        <v>22</v>
      </c>
      <c r="AR1765">
        <v>2</v>
      </c>
      <c r="AS1765">
        <v>1</v>
      </c>
      <c r="AT1765">
        <v>1</v>
      </c>
    </row>
    <row r="1766" spans="1:46">
      <c r="A1766">
        <v>40283</v>
      </c>
      <c r="B1766" t="s">
        <v>10509</v>
      </c>
      <c r="C1766" t="s">
        <v>10510</v>
      </c>
      <c r="D1766" t="s">
        <v>10511</v>
      </c>
      <c r="E1766" t="s">
        <v>10512</v>
      </c>
      <c r="F1766" t="s">
        <v>1521</v>
      </c>
      <c r="G1766" t="s">
        <v>1521</v>
      </c>
      <c r="H1766" t="s">
        <v>3942</v>
      </c>
      <c r="J1766" t="s">
        <v>518</v>
      </c>
      <c r="K1766" t="s">
        <v>519</v>
      </c>
      <c r="M1766" t="s">
        <v>1297</v>
      </c>
      <c r="N1766" t="s">
        <v>521</v>
      </c>
      <c r="O1766" t="s">
        <v>1522</v>
      </c>
      <c r="P1766" t="s">
        <v>584</v>
      </c>
      <c r="Q1766" t="s">
        <v>1471</v>
      </c>
      <c r="R1766" t="s">
        <v>1472</v>
      </c>
      <c r="S1766" t="s">
        <v>1521</v>
      </c>
      <c r="T1766" t="s">
        <v>1474</v>
      </c>
      <c r="U1766">
        <v>199300</v>
      </c>
      <c r="V1766" t="s">
        <v>10277</v>
      </c>
      <c r="W1766" t="s">
        <v>1523</v>
      </c>
      <c r="X1766" t="s">
        <v>8377</v>
      </c>
      <c r="Y1766" t="s">
        <v>3944</v>
      </c>
      <c r="Z1766" t="s">
        <v>3945</v>
      </c>
      <c r="AA1766" t="s">
        <v>3946</v>
      </c>
      <c r="AB1766" t="s">
        <v>8378</v>
      </c>
      <c r="AC1766">
        <v>99107</v>
      </c>
      <c r="AD1766" t="s">
        <v>1526</v>
      </c>
      <c r="AE1766">
        <v>-38.124645370000003</v>
      </c>
      <c r="AF1766">
        <v>176.23483302</v>
      </c>
      <c r="AG1766">
        <v>50</v>
      </c>
      <c r="AH1766">
        <v>14</v>
      </c>
      <c r="AI1766">
        <v>0</v>
      </c>
      <c r="AJ1766">
        <v>16</v>
      </c>
      <c r="AK1766">
        <v>10</v>
      </c>
      <c r="AL1766">
        <v>6</v>
      </c>
      <c r="AM1766">
        <v>18</v>
      </c>
      <c r="AN1766">
        <v>0</v>
      </c>
      <c r="AO1766">
        <v>50</v>
      </c>
      <c r="AP1766">
        <v>17</v>
      </c>
      <c r="AQ1766">
        <v>28</v>
      </c>
      <c r="AR1766">
        <v>5</v>
      </c>
      <c r="AS1766">
        <v>16</v>
      </c>
      <c r="AT1766">
        <v>2</v>
      </c>
    </row>
    <row r="1767" spans="1:46">
      <c r="A1767">
        <v>40286</v>
      </c>
      <c r="B1767" t="s">
        <v>10513</v>
      </c>
      <c r="C1767" t="s">
        <v>10514</v>
      </c>
      <c r="E1767" t="s">
        <v>10515</v>
      </c>
      <c r="G1767" t="s">
        <v>10516</v>
      </c>
      <c r="H1767" t="s">
        <v>3942</v>
      </c>
      <c r="J1767" t="s">
        <v>3962</v>
      </c>
      <c r="K1767" t="s">
        <v>519</v>
      </c>
      <c r="M1767" t="s">
        <v>1297</v>
      </c>
      <c r="N1767" t="s">
        <v>571</v>
      </c>
      <c r="O1767" t="s">
        <v>1743</v>
      </c>
      <c r="P1767" t="s">
        <v>572</v>
      </c>
      <c r="Q1767" t="s">
        <v>1471</v>
      </c>
      <c r="R1767" t="s">
        <v>1472</v>
      </c>
      <c r="S1767" t="s">
        <v>1438</v>
      </c>
      <c r="T1767" t="s">
        <v>1474</v>
      </c>
      <c r="U1767">
        <v>190501</v>
      </c>
      <c r="V1767" t="s">
        <v>10516</v>
      </c>
      <c r="W1767" t="s">
        <v>3789</v>
      </c>
      <c r="X1767" t="s">
        <v>10517</v>
      </c>
      <c r="Y1767" t="s">
        <v>10518</v>
      </c>
      <c r="AA1767" t="s">
        <v>10519</v>
      </c>
      <c r="AB1767" t="s">
        <v>10520</v>
      </c>
      <c r="AE1767">
        <v>-37.617594789999998</v>
      </c>
      <c r="AF1767">
        <v>175.95040796999999</v>
      </c>
      <c r="AG1767">
        <v>25</v>
      </c>
      <c r="AH1767">
        <v>0</v>
      </c>
      <c r="AI1767">
        <v>0</v>
      </c>
      <c r="AJ1767">
        <v>0</v>
      </c>
      <c r="AK1767">
        <v>9</v>
      </c>
      <c r="AL1767">
        <v>8</v>
      </c>
      <c r="AM1767">
        <v>12</v>
      </c>
      <c r="AN1767">
        <v>1</v>
      </c>
      <c r="AO1767">
        <v>30</v>
      </c>
      <c r="AP1767">
        <v>26</v>
      </c>
      <c r="AQ1767">
        <v>4</v>
      </c>
      <c r="AR1767">
        <v>0</v>
      </c>
      <c r="AS1767">
        <v>0</v>
      </c>
      <c r="AT1767">
        <v>3</v>
      </c>
    </row>
    <row r="1768" spans="1:46">
      <c r="A1768">
        <v>40290</v>
      </c>
      <c r="B1768" t="s">
        <v>10521</v>
      </c>
      <c r="C1768" t="s">
        <v>10522</v>
      </c>
      <c r="E1768" t="s">
        <v>10523</v>
      </c>
      <c r="F1768" t="s">
        <v>1715</v>
      </c>
      <c r="G1768" t="s">
        <v>1598</v>
      </c>
      <c r="H1768" t="s">
        <v>3942</v>
      </c>
      <c r="J1768" t="s">
        <v>3962</v>
      </c>
      <c r="K1768" t="s">
        <v>519</v>
      </c>
      <c r="M1768" t="s">
        <v>1297</v>
      </c>
      <c r="N1768" t="s">
        <v>557</v>
      </c>
      <c r="O1768" t="s">
        <v>1698</v>
      </c>
      <c r="P1768" t="s">
        <v>654</v>
      </c>
      <c r="Q1768" t="s">
        <v>1471</v>
      </c>
      <c r="R1768" t="s">
        <v>1472</v>
      </c>
      <c r="S1768" t="s">
        <v>1598</v>
      </c>
      <c r="T1768" t="s">
        <v>1474</v>
      </c>
      <c r="U1768">
        <v>195200</v>
      </c>
      <c r="V1768" t="s">
        <v>8882</v>
      </c>
      <c r="W1768" t="s">
        <v>3724</v>
      </c>
      <c r="X1768" t="s">
        <v>10524</v>
      </c>
      <c r="Y1768" t="s">
        <v>10525</v>
      </c>
      <c r="Z1768" t="s">
        <v>9738</v>
      </c>
      <c r="AA1768" t="s">
        <v>10526</v>
      </c>
      <c r="AB1768" t="s">
        <v>10527</v>
      </c>
      <c r="AC1768">
        <v>99085</v>
      </c>
      <c r="AD1768" t="s">
        <v>1718</v>
      </c>
      <c r="AE1768">
        <v>-37.729677379999998</v>
      </c>
      <c r="AF1768">
        <v>176.14028175999999</v>
      </c>
      <c r="AG1768">
        <v>25</v>
      </c>
      <c r="AH1768">
        <v>10</v>
      </c>
      <c r="AI1768">
        <v>1</v>
      </c>
      <c r="AJ1768">
        <v>5</v>
      </c>
      <c r="AK1768">
        <v>8</v>
      </c>
      <c r="AL1768">
        <v>5</v>
      </c>
      <c r="AM1768">
        <v>12</v>
      </c>
      <c r="AN1768">
        <v>0</v>
      </c>
      <c r="AO1768">
        <v>31</v>
      </c>
      <c r="AP1768">
        <v>15</v>
      </c>
      <c r="AQ1768">
        <v>17</v>
      </c>
      <c r="AR1768">
        <v>1</v>
      </c>
      <c r="AS1768">
        <v>5</v>
      </c>
      <c r="AT1768">
        <v>0</v>
      </c>
    </row>
    <row r="1769" spans="1:46">
      <c r="A1769">
        <v>40293</v>
      </c>
      <c r="B1769" t="s">
        <v>10528</v>
      </c>
      <c r="C1769" t="s">
        <v>10529</v>
      </c>
      <c r="D1769" t="s">
        <v>10530</v>
      </c>
      <c r="E1769" t="s">
        <v>10531</v>
      </c>
      <c r="F1769" t="s">
        <v>10532</v>
      </c>
      <c r="G1769" t="s">
        <v>1598</v>
      </c>
      <c r="H1769" t="s">
        <v>4716</v>
      </c>
      <c r="J1769" t="s">
        <v>518</v>
      </c>
      <c r="K1769" t="s">
        <v>519</v>
      </c>
      <c r="M1769" t="s">
        <v>1297</v>
      </c>
      <c r="N1769" t="s">
        <v>571</v>
      </c>
      <c r="O1769" t="s">
        <v>1698</v>
      </c>
      <c r="P1769" t="s">
        <v>654</v>
      </c>
      <c r="Q1769" t="s">
        <v>1471</v>
      </c>
      <c r="R1769" t="s">
        <v>1472</v>
      </c>
      <c r="S1769" t="s">
        <v>1598</v>
      </c>
      <c r="T1769" t="s">
        <v>1474</v>
      </c>
      <c r="U1769">
        <v>193800</v>
      </c>
      <c r="V1769" t="s">
        <v>8402</v>
      </c>
      <c r="W1769" t="s">
        <v>3724</v>
      </c>
      <c r="X1769" t="s">
        <v>1596</v>
      </c>
      <c r="Y1769" t="s">
        <v>1597</v>
      </c>
      <c r="Z1769" t="s">
        <v>1598</v>
      </c>
      <c r="AA1769" t="s">
        <v>1599</v>
      </c>
      <c r="AB1769" t="s">
        <v>1600</v>
      </c>
      <c r="AE1769">
        <v>-37.676468929999999</v>
      </c>
      <c r="AF1769">
        <v>176.16617405</v>
      </c>
      <c r="AG1769">
        <v>70</v>
      </c>
      <c r="AH1769">
        <v>70</v>
      </c>
      <c r="AI1769">
        <v>2</v>
      </c>
      <c r="AJ1769">
        <v>11</v>
      </c>
      <c r="AK1769">
        <v>15</v>
      </c>
      <c r="AL1769">
        <v>11</v>
      </c>
      <c r="AM1769">
        <v>4</v>
      </c>
      <c r="AN1769">
        <v>0</v>
      </c>
      <c r="AO1769">
        <v>43</v>
      </c>
      <c r="AP1769">
        <v>39</v>
      </c>
      <c r="AQ1769">
        <v>7</v>
      </c>
      <c r="AR1769">
        <v>2</v>
      </c>
      <c r="AS1769">
        <v>2</v>
      </c>
      <c r="AT1769">
        <v>1</v>
      </c>
    </row>
    <row r="1770" spans="1:46">
      <c r="A1770">
        <v>40294</v>
      </c>
      <c r="B1770" t="s">
        <v>10533</v>
      </c>
      <c r="C1770" t="s">
        <v>10534</v>
      </c>
      <c r="D1770" t="s">
        <v>10535</v>
      </c>
      <c r="E1770" t="s">
        <v>10536</v>
      </c>
      <c r="G1770" t="s">
        <v>9193</v>
      </c>
      <c r="H1770" t="s">
        <v>517</v>
      </c>
      <c r="J1770" t="s">
        <v>518</v>
      </c>
      <c r="K1770" t="s">
        <v>519</v>
      </c>
      <c r="M1770" t="s">
        <v>1297</v>
      </c>
      <c r="N1770" t="s">
        <v>557</v>
      </c>
      <c r="O1770" t="s">
        <v>1461</v>
      </c>
      <c r="P1770" t="s">
        <v>523</v>
      </c>
      <c r="Q1770" t="s">
        <v>1299</v>
      </c>
      <c r="R1770" t="s">
        <v>1300</v>
      </c>
      <c r="S1770" t="s">
        <v>1438</v>
      </c>
      <c r="T1770" t="s">
        <v>1235</v>
      </c>
      <c r="U1770">
        <v>168502</v>
      </c>
      <c r="V1770" t="s">
        <v>9194</v>
      </c>
      <c r="W1770" t="s">
        <v>8606</v>
      </c>
      <c r="X1770" t="s">
        <v>1596</v>
      </c>
      <c r="Y1770" t="s">
        <v>1597</v>
      </c>
      <c r="Z1770" t="s">
        <v>1598</v>
      </c>
      <c r="AA1770" t="s">
        <v>1599</v>
      </c>
      <c r="AB1770" t="s">
        <v>1600</v>
      </c>
      <c r="AE1770">
        <v>-37.215967540000001</v>
      </c>
      <c r="AF1770">
        <v>175.86636554</v>
      </c>
      <c r="AG1770">
        <v>40</v>
      </c>
      <c r="AH1770">
        <v>0</v>
      </c>
      <c r="AI1770">
        <v>0</v>
      </c>
      <c r="AJ1770">
        <v>0</v>
      </c>
      <c r="AK1770">
        <v>1</v>
      </c>
      <c r="AL1770">
        <v>13</v>
      </c>
      <c r="AM1770">
        <v>23</v>
      </c>
      <c r="AN1770">
        <v>2</v>
      </c>
      <c r="AO1770">
        <v>39</v>
      </c>
      <c r="AP1770">
        <v>38</v>
      </c>
      <c r="AQ1770">
        <v>10</v>
      </c>
      <c r="AR1770">
        <v>3</v>
      </c>
      <c r="AS1770">
        <v>2</v>
      </c>
      <c r="AT1770">
        <v>1</v>
      </c>
    </row>
    <row r="1771" spans="1:46">
      <c r="A1771">
        <v>40295</v>
      </c>
      <c r="B1771" t="s">
        <v>10537</v>
      </c>
      <c r="C1771" t="s">
        <v>10538</v>
      </c>
      <c r="D1771" t="s">
        <v>10539</v>
      </c>
      <c r="E1771" t="s">
        <v>10540</v>
      </c>
      <c r="F1771" t="s">
        <v>3770</v>
      </c>
      <c r="G1771" t="s">
        <v>1598</v>
      </c>
      <c r="H1771" t="s">
        <v>3942</v>
      </c>
      <c r="J1771" t="s">
        <v>3962</v>
      </c>
      <c r="K1771" t="s">
        <v>519</v>
      </c>
      <c r="M1771" t="s">
        <v>1297</v>
      </c>
      <c r="N1771" t="s">
        <v>571</v>
      </c>
      <c r="O1771" t="s">
        <v>1698</v>
      </c>
      <c r="P1771" t="s">
        <v>654</v>
      </c>
      <c r="Q1771" t="s">
        <v>1471</v>
      </c>
      <c r="R1771" t="s">
        <v>1472</v>
      </c>
      <c r="S1771" t="s">
        <v>1699</v>
      </c>
      <c r="T1771" t="s">
        <v>1474</v>
      </c>
      <c r="U1771">
        <v>197300</v>
      </c>
      <c r="V1771" t="s">
        <v>3771</v>
      </c>
      <c r="W1771" t="s">
        <v>3772</v>
      </c>
      <c r="X1771" t="s">
        <v>10541</v>
      </c>
      <c r="Y1771" t="s">
        <v>4658</v>
      </c>
      <c r="Z1771" t="s">
        <v>958</v>
      </c>
      <c r="AA1771" t="s">
        <v>4659</v>
      </c>
      <c r="AB1771" t="s">
        <v>10542</v>
      </c>
      <c r="AE1771">
        <v>-37.708368040000003</v>
      </c>
      <c r="AF1771">
        <v>176.28507200999999</v>
      </c>
      <c r="AG1771">
        <v>50</v>
      </c>
      <c r="AH1771">
        <v>8</v>
      </c>
      <c r="AI1771">
        <v>2</v>
      </c>
      <c r="AJ1771">
        <v>6</v>
      </c>
      <c r="AK1771">
        <v>10</v>
      </c>
      <c r="AL1771">
        <v>11</v>
      </c>
      <c r="AM1771">
        <v>9</v>
      </c>
      <c r="AN1771">
        <v>0</v>
      </c>
      <c r="AO1771">
        <v>38</v>
      </c>
      <c r="AP1771">
        <v>18</v>
      </c>
      <c r="AQ1771">
        <v>20</v>
      </c>
      <c r="AR1771">
        <v>3</v>
      </c>
      <c r="AS1771">
        <v>6</v>
      </c>
      <c r="AT1771">
        <v>2</v>
      </c>
    </row>
    <row r="1772" spans="1:46">
      <c r="A1772">
        <v>40296</v>
      </c>
      <c r="B1772" t="s">
        <v>10543</v>
      </c>
      <c r="C1772" t="s">
        <v>10544</v>
      </c>
      <c r="E1772" t="s">
        <v>10545</v>
      </c>
      <c r="F1772" t="s">
        <v>1628</v>
      </c>
      <c r="G1772" t="s">
        <v>1521</v>
      </c>
      <c r="H1772" t="s">
        <v>3942</v>
      </c>
      <c r="J1772" t="s">
        <v>3962</v>
      </c>
      <c r="K1772" t="s">
        <v>519</v>
      </c>
      <c r="M1772" t="s">
        <v>1297</v>
      </c>
      <c r="N1772" t="s">
        <v>539</v>
      </c>
      <c r="O1772" t="s">
        <v>1522</v>
      </c>
      <c r="P1772" t="s">
        <v>584</v>
      </c>
      <c r="Q1772" t="s">
        <v>1471</v>
      </c>
      <c r="R1772" t="s">
        <v>1472</v>
      </c>
      <c r="S1772" t="s">
        <v>1521</v>
      </c>
      <c r="T1772" t="s">
        <v>1474</v>
      </c>
      <c r="U1772">
        <v>201401</v>
      </c>
      <c r="V1772" t="s">
        <v>1629</v>
      </c>
      <c r="W1772" t="s">
        <v>1523</v>
      </c>
      <c r="X1772" t="s">
        <v>10278</v>
      </c>
      <c r="Y1772" t="s">
        <v>10279</v>
      </c>
      <c r="Z1772" t="s">
        <v>8564</v>
      </c>
      <c r="AA1772" t="s">
        <v>10280</v>
      </c>
      <c r="AB1772" t="s">
        <v>10281</v>
      </c>
      <c r="AE1772">
        <v>-38.136543160000002</v>
      </c>
      <c r="AF1772">
        <v>176.29764445000001</v>
      </c>
      <c r="AG1772">
        <v>43</v>
      </c>
      <c r="AH1772">
        <v>18</v>
      </c>
      <c r="AI1772">
        <v>3</v>
      </c>
      <c r="AJ1772">
        <v>1</v>
      </c>
      <c r="AK1772">
        <v>11</v>
      </c>
      <c r="AL1772">
        <v>3</v>
      </c>
      <c r="AM1772">
        <v>5</v>
      </c>
      <c r="AN1772">
        <v>1</v>
      </c>
      <c r="AO1772">
        <v>24</v>
      </c>
      <c r="AP1772">
        <v>10</v>
      </c>
      <c r="AQ1772">
        <v>15</v>
      </c>
      <c r="AR1772">
        <v>2</v>
      </c>
      <c r="AS1772">
        <v>6</v>
      </c>
      <c r="AT1772">
        <v>0</v>
      </c>
    </row>
    <row r="1773" spans="1:46">
      <c r="A1773">
        <v>40300</v>
      </c>
      <c r="B1773" t="s">
        <v>10546</v>
      </c>
      <c r="C1773" t="s">
        <v>10547</v>
      </c>
      <c r="D1773" t="s">
        <v>10548</v>
      </c>
      <c r="E1773" t="s">
        <v>10549</v>
      </c>
      <c r="G1773" t="s">
        <v>1742</v>
      </c>
      <c r="H1773" t="s">
        <v>3942</v>
      </c>
      <c r="J1773" t="s">
        <v>518</v>
      </c>
      <c r="K1773" t="s">
        <v>519</v>
      </c>
      <c r="M1773" t="s">
        <v>1297</v>
      </c>
      <c r="N1773" t="s">
        <v>571</v>
      </c>
      <c r="O1773" t="s">
        <v>1743</v>
      </c>
      <c r="P1773" t="s">
        <v>523</v>
      </c>
      <c r="Q1773" t="s">
        <v>1471</v>
      </c>
      <c r="R1773" t="s">
        <v>1472</v>
      </c>
      <c r="S1773" t="s">
        <v>1521</v>
      </c>
      <c r="T1773" t="s">
        <v>1474</v>
      </c>
      <c r="U1773">
        <v>192101</v>
      </c>
      <c r="V1773" t="s">
        <v>1744</v>
      </c>
      <c r="W1773" t="s">
        <v>1745</v>
      </c>
      <c r="X1773" t="s">
        <v>8706</v>
      </c>
      <c r="Y1773" t="s">
        <v>8707</v>
      </c>
      <c r="AA1773" t="s">
        <v>8708</v>
      </c>
      <c r="AB1773" t="s">
        <v>8709</v>
      </c>
      <c r="AE1773">
        <v>-37.7870293</v>
      </c>
      <c r="AF1773">
        <v>176.32657742000001</v>
      </c>
      <c r="AG1773">
        <v>40</v>
      </c>
      <c r="AH1773">
        <v>0</v>
      </c>
      <c r="AI1773">
        <v>0</v>
      </c>
      <c r="AJ1773">
        <v>0</v>
      </c>
      <c r="AK1773">
        <v>4</v>
      </c>
      <c r="AL1773">
        <v>17</v>
      </c>
      <c r="AM1773">
        <v>21</v>
      </c>
      <c r="AN1773">
        <v>0</v>
      </c>
      <c r="AO1773">
        <v>42</v>
      </c>
      <c r="AP1773">
        <v>19</v>
      </c>
      <c r="AQ1773">
        <v>4</v>
      </c>
      <c r="AR1773">
        <v>3</v>
      </c>
      <c r="AS1773">
        <v>23</v>
      </c>
      <c r="AT1773">
        <v>2</v>
      </c>
    </row>
    <row r="1774" spans="1:46">
      <c r="A1774">
        <v>40301</v>
      </c>
      <c r="B1774" t="s">
        <v>10550</v>
      </c>
      <c r="C1774" t="s">
        <v>10551</v>
      </c>
      <c r="D1774" t="s">
        <v>10552</v>
      </c>
      <c r="E1774" t="s">
        <v>10553</v>
      </c>
      <c r="F1774" t="s">
        <v>8472</v>
      </c>
      <c r="G1774" t="s">
        <v>1598</v>
      </c>
      <c r="H1774" t="s">
        <v>343</v>
      </c>
      <c r="J1774" t="s">
        <v>518</v>
      </c>
      <c r="K1774" t="s">
        <v>519</v>
      </c>
      <c r="L1774" t="s">
        <v>4205</v>
      </c>
      <c r="M1774" t="s">
        <v>1297</v>
      </c>
      <c r="N1774" t="s">
        <v>539</v>
      </c>
      <c r="O1774" t="s">
        <v>1698</v>
      </c>
      <c r="P1774" t="s">
        <v>654</v>
      </c>
      <c r="Q1774" t="s">
        <v>1471</v>
      </c>
      <c r="R1774" t="s">
        <v>1472</v>
      </c>
      <c r="S1774" t="s">
        <v>1598</v>
      </c>
      <c r="T1774" t="s">
        <v>1474</v>
      </c>
      <c r="U1774">
        <v>193000</v>
      </c>
      <c r="V1774" t="s">
        <v>10130</v>
      </c>
      <c r="W1774" t="s">
        <v>1709</v>
      </c>
      <c r="X1774" t="s">
        <v>10125</v>
      </c>
      <c r="Y1774" t="s">
        <v>4208</v>
      </c>
      <c r="Z1774" t="s">
        <v>4209</v>
      </c>
      <c r="AA1774" t="s">
        <v>4210</v>
      </c>
      <c r="AB1774" t="s">
        <v>10126</v>
      </c>
      <c r="AE1774">
        <v>-37.6904526</v>
      </c>
      <c r="AF1774">
        <v>176.10765610000001</v>
      </c>
      <c r="AG1774">
        <v>30</v>
      </c>
      <c r="AH1774">
        <v>8</v>
      </c>
      <c r="AI1774">
        <v>0</v>
      </c>
      <c r="AJ1774">
        <v>1</v>
      </c>
      <c r="AK1774">
        <v>6</v>
      </c>
      <c r="AL1774">
        <v>5</v>
      </c>
      <c r="AM1774">
        <v>3</v>
      </c>
      <c r="AN1774">
        <v>0</v>
      </c>
      <c r="AO1774">
        <v>15</v>
      </c>
      <c r="AP1774">
        <v>0</v>
      </c>
      <c r="AQ1774">
        <v>14</v>
      </c>
      <c r="AR1774">
        <v>0</v>
      </c>
      <c r="AS1774">
        <v>0</v>
      </c>
      <c r="AT1774">
        <v>1</v>
      </c>
    </row>
    <row r="1775" spans="1:46">
      <c r="A1775">
        <v>40302</v>
      </c>
      <c r="B1775" t="s">
        <v>10554</v>
      </c>
      <c r="C1775" t="s">
        <v>10555</v>
      </c>
      <c r="E1775" t="s">
        <v>10556</v>
      </c>
      <c r="F1775" t="s">
        <v>3873</v>
      </c>
      <c r="G1775" t="s">
        <v>1598</v>
      </c>
      <c r="H1775" t="s">
        <v>3942</v>
      </c>
      <c r="J1775" t="s">
        <v>3962</v>
      </c>
      <c r="K1775" t="s">
        <v>519</v>
      </c>
      <c r="M1775" t="s">
        <v>1297</v>
      </c>
      <c r="N1775" t="s">
        <v>557</v>
      </c>
      <c r="O1775" t="s">
        <v>1698</v>
      </c>
      <c r="P1775" t="s">
        <v>654</v>
      </c>
      <c r="Q1775" t="s">
        <v>1471</v>
      </c>
      <c r="R1775" t="s">
        <v>1472</v>
      </c>
      <c r="S1775" t="s">
        <v>1699</v>
      </c>
      <c r="T1775" t="s">
        <v>1474</v>
      </c>
      <c r="U1775">
        <v>196600</v>
      </c>
      <c r="V1775" t="s">
        <v>3874</v>
      </c>
      <c r="W1775" t="s">
        <v>1731</v>
      </c>
      <c r="X1775" t="s">
        <v>10557</v>
      </c>
      <c r="Y1775" t="s">
        <v>10558</v>
      </c>
      <c r="Z1775" t="s">
        <v>9369</v>
      </c>
      <c r="AA1775" t="s">
        <v>10559</v>
      </c>
      <c r="AB1775" t="s">
        <v>10560</v>
      </c>
      <c r="AC1775">
        <v>99085</v>
      </c>
      <c r="AD1775" t="s">
        <v>1718</v>
      </c>
      <c r="AE1775">
        <v>-37.732106700000003</v>
      </c>
      <c r="AF1775">
        <v>176.18020243999999</v>
      </c>
      <c r="AG1775">
        <v>25</v>
      </c>
      <c r="AH1775">
        <v>10</v>
      </c>
      <c r="AI1775">
        <v>1</v>
      </c>
      <c r="AJ1775">
        <v>12</v>
      </c>
      <c r="AK1775">
        <v>13</v>
      </c>
      <c r="AL1775">
        <v>3</v>
      </c>
      <c r="AM1775">
        <v>10</v>
      </c>
      <c r="AN1775">
        <v>1</v>
      </c>
      <c r="AO1775">
        <v>40</v>
      </c>
      <c r="AP1775">
        <v>33</v>
      </c>
      <c r="AQ1775">
        <v>13</v>
      </c>
      <c r="AR1775">
        <v>3</v>
      </c>
      <c r="AS1775">
        <v>0</v>
      </c>
      <c r="AT1775">
        <v>0</v>
      </c>
    </row>
    <row r="1776" spans="1:46">
      <c r="A1776">
        <v>40303</v>
      </c>
      <c r="B1776" t="s">
        <v>10561</v>
      </c>
      <c r="C1776" t="s">
        <v>10562</v>
      </c>
      <c r="D1776" t="s">
        <v>10563</v>
      </c>
      <c r="E1776" t="s">
        <v>10564</v>
      </c>
      <c r="F1776" t="s">
        <v>1707</v>
      </c>
      <c r="G1776" t="s">
        <v>1598</v>
      </c>
      <c r="H1776" t="s">
        <v>3942</v>
      </c>
      <c r="J1776" t="s">
        <v>3962</v>
      </c>
      <c r="K1776" t="s">
        <v>519</v>
      </c>
      <c r="M1776" t="s">
        <v>1297</v>
      </c>
      <c r="N1776" t="s">
        <v>4519</v>
      </c>
      <c r="O1776" t="s">
        <v>1698</v>
      </c>
      <c r="P1776" t="s">
        <v>654</v>
      </c>
      <c r="Q1776" t="s">
        <v>1471</v>
      </c>
      <c r="R1776" t="s">
        <v>1472</v>
      </c>
      <c r="S1776" t="s">
        <v>1598</v>
      </c>
      <c r="T1776" t="s">
        <v>1474</v>
      </c>
      <c r="U1776">
        <v>193301</v>
      </c>
      <c r="V1776" t="s">
        <v>9858</v>
      </c>
      <c r="W1776" t="s">
        <v>1737</v>
      </c>
      <c r="X1776" t="s">
        <v>10565</v>
      </c>
      <c r="Y1776" t="s">
        <v>10566</v>
      </c>
      <c r="Z1776" t="s">
        <v>891</v>
      </c>
      <c r="AA1776" t="s">
        <v>10567</v>
      </c>
      <c r="AB1776" t="s">
        <v>10562</v>
      </c>
      <c r="AC1776">
        <v>99036</v>
      </c>
      <c r="AD1776" t="s">
        <v>1710</v>
      </c>
      <c r="AE1776">
        <v>-37.672756800000002</v>
      </c>
      <c r="AF1776">
        <v>176.1380824</v>
      </c>
      <c r="AG1776">
        <v>50</v>
      </c>
      <c r="AH1776">
        <v>12</v>
      </c>
      <c r="AI1776">
        <v>2</v>
      </c>
      <c r="AJ1776">
        <v>15</v>
      </c>
      <c r="AK1776">
        <v>18</v>
      </c>
      <c r="AL1776">
        <v>13</v>
      </c>
      <c r="AM1776">
        <v>12</v>
      </c>
      <c r="AN1776">
        <v>1</v>
      </c>
      <c r="AO1776">
        <v>61</v>
      </c>
      <c r="AP1776">
        <v>56</v>
      </c>
      <c r="AQ1776">
        <v>8</v>
      </c>
      <c r="AR1776">
        <v>1</v>
      </c>
      <c r="AS1776">
        <v>5</v>
      </c>
      <c r="AT1776">
        <v>1</v>
      </c>
    </row>
    <row r="1777" spans="1:46">
      <c r="A1777">
        <v>40304</v>
      </c>
      <c r="B1777" t="s">
        <v>10568</v>
      </c>
      <c r="C1777" t="s">
        <v>10569</v>
      </c>
      <c r="D1777" t="s">
        <v>10570</v>
      </c>
      <c r="E1777" t="s">
        <v>10571</v>
      </c>
      <c r="F1777" t="s">
        <v>1691</v>
      </c>
      <c r="G1777" t="s">
        <v>1521</v>
      </c>
      <c r="H1777" t="s">
        <v>3942</v>
      </c>
      <c r="J1777" t="s">
        <v>518</v>
      </c>
      <c r="K1777" t="s">
        <v>519</v>
      </c>
      <c r="M1777" t="s">
        <v>1297</v>
      </c>
      <c r="N1777" t="s">
        <v>521</v>
      </c>
      <c r="O1777" t="s">
        <v>1522</v>
      </c>
      <c r="P1777" t="s">
        <v>584</v>
      </c>
      <c r="Q1777" t="s">
        <v>1471</v>
      </c>
      <c r="R1777" t="s">
        <v>1472</v>
      </c>
      <c r="S1777" t="s">
        <v>1521</v>
      </c>
      <c r="T1777" t="s">
        <v>1474</v>
      </c>
      <c r="U1777">
        <v>198600</v>
      </c>
      <c r="V1777" t="s">
        <v>8610</v>
      </c>
      <c r="W1777" t="s">
        <v>1523</v>
      </c>
      <c r="X1777" t="s">
        <v>10572</v>
      </c>
      <c r="Y1777" t="s">
        <v>10573</v>
      </c>
      <c r="Z1777" t="s">
        <v>1691</v>
      </c>
      <c r="AA1777" t="s">
        <v>10574</v>
      </c>
      <c r="AB1777" t="s">
        <v>10575</v>
      </c>
      <c r="AE1777">
        <v>-38.129685510000002</v>
      </c>
      <c r="AF1777">
        <v>176.21911856</v>
      </c>
      <c r="AG1777">
        <v>60</v>
      </c>
      <c r="AH1777">
        <v>20</v>
      </c>
      <c r="AI1777">
        <v>5</v>
      </c>
      <c r="AJ1777">
        <v>12</v>
      </c>
      <c r="AK1777">
        <v>15</v>
      </c>
      <c r="AL1777">
        <v>16</v>
      </c>
      <c r="AM1777">
        <v>20</v>
      </c>
      <c r="AN1777">
        <v>0</v>
      </c>
      <c r="AO1777">
        <v>68</v>
      </c>
      <c r="AP1777">
        <v>47</v>
      </c>
      <c r="AQ1777">
        <v>21</v>
      </c>
      <c r="AR1777">
        <v>5</v>
      </c>
      <c r="AS1777">
        <v>18</v>
      </c>
      <c r="AT1777">
        <v>1</v>
      </c>
    </row>
    <row r="1778" spans="1:46">
      <c r="A1778">
        <v>40305</v>
      </c>
      <c r="B1778" t="s">
        <v>10576</v>
      </c>
      <c r="C1778" t="s">
        <v>10577</v>
      </c>
      <c r="D1778" t="s">
        <v>10578</v>
      </c>
      <c r="E1778" t="s">
        <v>10579</v>
      </c>
      <c r="F1778" t="s">
        <v>8375</v>
      </c>
      <c r="G1778" t="s">
        <v>1598</v>
      </c>
      <c r="H1778" t="s">
        <v>3942</v>
      </c>
      <c r="I1778" t="s">
        <v>4065</v>
      </c>
      <c r="J1778" t="s">
        <v>3962</v>
      </c>
      <c r="K1778" t="s">
        <v>519</v>
      </c>
      <c r="M1778" t="s">
        <v>1297</v>
      </c>
      <c r="N1778" t="s">
        <v>571</v>
      </c>
      <c r="O1778" t="s">
        <v>1698</v>
      </c>
      <c r="P1778" t="s">
        <v>654</v>
      </c>
      <c r="Q1778" t="s">
        <v>1471</v>
      </c>
      <c r="R1778" t="s">
        <v>1472</v>
      </c>
      <c r="S1778" t="s">
        <v>1699</v>
      </c>
      <c r="T1778" t="s">
        <v>1474</v>
      </c>
      <c r="U1778">
        <v>195500</v>
      </c>
      <c r="V1778" t="s">
        <v>9870</v>
      </c>
      <c r="W1778" t="s">
        <v>1701</v>
      </c>
      <c r="X1778" t="s">
        <v>10580</v>
      </c>
      <c r="Y1778" t="s">
        <v>10581</v>
      </c>
      <c r="AA1778" t="s">
        <v>8928</v>
      </c>
      <c r="AC1778">
        <v>99064</v>
      </c>
      <c r="AD1778" t="s">
        <v>1702</v>
      </c>
      <c r="AE1778">
        <v>-37.678564919999999</v>
      </c>
      <c r="AF1778">
        <v>176.22655096</v>
      </c>
      <c r="AG1778">
        <v>33</v>
      </c>
      <c r="AH1778">
        <v>0</v>
      </c>
      <c r="AI1778">
        <v>0</v>
      </c>
      <c r="AJ1778">
        <v>0</v>
      </c>
      <c r="AK1778">
        <v>10</v>
      </c>
      <c r="AL1778">
        <v>13</v>
      </c>
      <c r="AM1778">
        <v>11</v>
      </c>
      <c r="AN1778">
        <v>7</v>
      </c>
      <c r="AO1778">
        <v>41</v>
      </c>
      <c r="AP1778">
        <v>37</v>
      </c>
      <c r="AQ1778">
        <v>6</v>
      </c>
      <c r="AR1778">
        <v>1</v>
      </c>
      <c r="AS1778">
        <v>2</v>
      </c>
      <c r="AT1778">
        <v>5</v>
      </c>
    </row>
    <row r="1779" spans="1:46">
      <c r="A1779">
        <v>40306</v>
      </c>
      <c r="B1779" t="s">
        <v>10582</v>
      </c>
      <c r="C1779" t="s">
        <v>10583</v>
      </c>
      <c r="D1779" t="s">
        <v>10584</v>
      </c>
      <c r="E1779" t="s">
        <v>10585</v>
      </c>
      <c r="G1779" t="s">
        <v>3787</v>
      </c>
      <c r="H1779" t="s">
        <v>3942</v>
      </c>
      <c r="J1779" t="s">
        <v>3962</v>
      </c>
      <c r="K1779" t="s">
        <v>519</v>
      </c>
      <c r="M1779" t="s">
        <v>1297</v>
      </c>
      <c r="N1779" t="s">
        <v>571</v>
      </c>
      <c r="O1779" t="s">
        <v>1743</v>
      </c>
      <c r="P1779" t="s">
        <v>523</v>
      </c>
      <c r="Q1779" t="s">
        <v>1471</v>
      </c>
      <c r="R1779" t="s">
        <v>1472</v>
      </c>
      <c r="S1779" t="s">
        <v>1438</v>
      </c>
      <c r="T1779" t="s">
        <v>1474</v>
      </c>
      <c r="U1779">
        <v>190601</v>
      </c>
      <c r="V1779" t="s">
        <v>9768</v>
      </c>
      <c r="W1779" t="s">
        <v>3789</v>
      </c>
      <c r="X1779" t="s">
        <v>10586</v>
      </c>
      <c r="Y1779" t="s">
        <v>10587</v>
      </c>
      <c r="AA1779" t="s">
        <v>10588</v>
      </c>
      <c r="AE1779">
        <v>-37.551851880000001</v>
      </c>
      <c r="AF1779">
        <v>175.92532765999999</v>
      </c>
      <c r="AG1779">
        <v>25</v>
      </c>
      <c r="AH1779">
        <v>5</v>
      </c>
      <c r="AI1779">
        <v>1</v>
      </c>
      <c r="AJ1779">
        <v>5</v>
      </c>
      <c r="AK1779">
        <v>7</v>
      </c>
      <c r="AL1779">
        <v>11</v>
      </c>
      <c r="AM1779">
        <v>6</v>
      </c>
      <c r="AN1779">
        <v>1</v>
      </c>
      <c r="AO1779">
        <v>31</v>
      </c>
      <c r="AP1779">
        <v>29</v>
      </c>
      <c r="AQ1779">
        <v>6</v>
      </c>
      <c r="AR1779">
        <v>1</v>
      </c>
      <c r="AS1779">
        <v>3</v>
      </c>
      <c r="AT1779">
        <v>0</v>
      </c>
    </row>
    <row r="1780" spans="1:46">
      <c r="A1780">
        <v>40309</v>
      </c>
      <c r="B1780" t="s">
        <v>10589</v>
      </c>
      <c r="C1780" t="s">
        <v>10590</v>
      </c>
      <c r="E1780" t="s">
        <v>10591</v>
      </c>
      <c r="F1780" t="s">
        <v>3770</v>
      </c>
      <c r="G1780" t="s">
        <v>1598</v>
      </c>
      <c r="H1780" t="s">
        <v>3942</v>
      </c>
      <c r="J1780" t="s">
        <v>518</v>
      </c>
      <c r="K1780" t="s">
        <v>519</v>
      </c>
      <c r="M1780" t="s">
        <v>1297</v>
      </c>
      <c r="N1780" t="s">
        <v>571</v>
      </c>
      <c r="O1780" t="s">
        <v>1698</v>
      </c>
      <c r="P1780" t="s">
        <v>654</v>
      </c>
      <c r="Q1780" t="s">
        <v>1471</v>
      </c>
      <c r="R1780" t="s">
        <v>1472</v>
      </c>
      <c r="S1780" t="s">
        <v>1699</v>
      </c>
      <c r="T1780" t="s">
        <v>1474</v>
      </c>
      <c r="U1780">
        <v>197400</v>
      </c>
      <c r="V1780" t="s">
        <v>8571</v>
      </c>
      <c r="W1780" t="s">
        <v>3772</v>
      </c>
      <c r="X1780" t="s">
        <v>8377</v>
      </c>
      <c r="Y1780" t="s">
        <v>3944</v>
      </c>
      <c r="Z1780" t="s">
        <v>3945</v>
      </c>
      <c r="AA1780" t="s">
        <v>3946</v>
      </c>
      <c r="AB1780" t="s">
        <v>8378</v>
      </c>
      <c r="AE1780">
        <v>-37.714027180000002</v>
      </c>
      <c r="AF1780">
        <v>176.33106681000001</v>
      </c>
      <c r="AG1780">
        <v>70</v>
      </c>
      <c r="AH1780">
        <v>12</v>
      </c>
      <c r="AI1780">
        <v>1</v>
      </c>
      <c r="AJ1780">
        <v>9</v>
      </c>
      <c r="AK1780">
        <v>15</v>
      </c>
      <c r="AL1780">
        <v>19</v>
      </c>
      <c r="AM1780">
        <v>19</v>
      </c>
      <c r="AN1780">
        <v>0</v>
      </c>
      <c r="AO1780">
        <v>63</v>
      </c>
      <c r="AP1780">
        <v>34</v>
      </c>
      <c r="AQ1780">
        <v>19</v>
      </c>
      <c r="AR1780">
        <v>4</v>
      </c>
      <c r="AS1780">
        <v>12</v>
      </c>
      <c r="AT1780">
        <v>10</v>
      </c>
    </row>
    <row r="1781" spans="1:46">
      <c r="A1781">
        <v>40310</v>
      </c>
      <c r="B1781" t="s">
        <v>10592</v>
      </c>
      <c r="C1781" t="s">
        <v>10503</v>
      </c>
      <c r="D1781" t="s">
        <v>10593</v>
      </c>
      <c r="E1781" t="s">
        <v>10504</v>
      </c>
      <c r="G1781" t="s">
        <v>1469</v>
      </c>
      <c r="H1781" t="s">
        <v>4716</v>
      </c>
      <c r="J1781" t="s">
        <v>3962</v>
      </c>
      <c r="K1781" t="s">
        <v>519</v>
      </c>
      <c r="M1781" t="s">
        <v>1297</v>
      </c>
      <c r="N1781" t="s">
        <v>539</v>
      </c>
      <c r="O1781" t="s">
        <v>1470</v>
      </c>
      <c r="P1781" t="s">
        <v>1262</v>
      </c>
      <c r="Q1781" t="s">
        <v>1471</v>
      </c>
      <c r="R1781" t="s">
        <v>1472</v>
      </c>
      <c r="S1781" t="s">
        <v>1473</v>
      </c>
      <c r="T1781" t="s">
        <v>1474</v>
      </c>
      <c r="U1781">
        <v>202900</v>
      </c>
      <c r="V1781" t="s">
        <v>8872</v>
      </c>
      <c r="W1781" t="s">
        <v>1476</v>
      </c>
      <c r="X1781" t="s">
        <v>10505</v>
      </c>
      <c r="Y1781" t="s">
        <v>10506</v>
      </c>
      <c r="AA1781" t="s">
        <v>10507</v>
      </c>
      <c r="AB1781" t="s">
        <v>10508</v>
      </c>
      <c r="AE1781">
        <v>-37.967078600000001</v>
      </c>
      <c r="AF1781">
        <v>176.98296099999999</v>
      </c>
      <c r="AG1781">
        <v>80</v>
      </c>
      <c r="AH1781">
        <v>80</v>
      </c>
      <c r="AI1781">
        <v>4</v>
      </c>
      <c r="AJ1781">
        <v>4</v>
      </c>
      <c r="AK1781">
        <v>10</v>
      </c>
      <c r="AL1781">
        <v>11</v>
      </c>
      <c r="AM1781">
        <v>7</v>
      </c>
      <c r="AN1781">
        <v>2</v>
      </c>
      <c r="AO1781">
        <v>38</v>
      </c>
      <c r="AP1781">
        <v>19</v>
      </c>
      <c r="AQ1781">
        <v>31</v>
      </c>
      <c r="AR1781">
        <v>1</v>
      </c>
      <c r="AS1781">
        <v>4</v>
      </c>
      <c r="AT1781">
        <v>0</v>
      </c>
    </row>
    <row r="1782" spans="1:46">
      <c r="A1782">
        <v>40311</v>
      </c>
      <c r="B1782" t="s">
        <v>10594</v>
      </c>
      <c r="C1782" t="s">
        <v>10595</v>
      </c>
      <c r="D1782" t="s">
        <v>10596</v>
      </c>
      <c r="E1782" t="s">
        <v>10597</v>
      </c>
      <c r="F1782" t="s">
        <v>8483</v>
      </c>
      <c r="G1782" t="s">
        <v>1598</v>
      </c>
      <c r="H1782" t="s">
        <v>3942</v>
      </c>
      <c r="J1782" t="s">
        <v>3962</v>
      </c>
      <c r="K1782" t="s">
        <v>519</v>
      </c>
      <c r="M1782" t="s">
        <v>1297</v>
      </c>
      <c r="N1782" t="s">
        <v>571</v>
      </c>
      <c r="O1782" t="s">
        <v>1698</v>
      </c>
      <c r="P1782" t="s">
        <v>654</v>
      </c>
      <c r="Q1782" t="s">
        <v>1471</v>
      </c>
      <c r="R1782" t="s">
        <v>1472</v>
      </c>
      <c r="S1782" t="s">
        <v>1598</v>
      </c>
      <c r="T1782" t="s">
        <v>1474</v>
      </c>
      <c r="U1782">
        <v>194601</v>
      </c>
      <c r="V1782" t="s">
        <v>8483</v>
      </c>
      <c r="W1782" t="s">
        <v>3724</v>
      </c>
      <c r="X1782" t="s">
        <v>10598</v>
      </c>
      <c r="Y1782" t="s">
        <v>10597</v>
      </c>
      <c r="Z1782" t="s">
        <v>8483</v>
      </c>
      <c r="AA1782" t="s">
        <v>8884</v>
      </c>
      <c r="AC1782">
        <v>99085</v>
      </c>
      <c r="AD1782" t="s">
        <v>1718</v>
      </c>
      <c r="AE1782">
        <v>-37.713995789999998</v>
      </c>
      <c r="AF1782">
        <v>176.14111577</v>
      </c>
      <c r="AG1782">
        <v>25</v>
      </c>
      <c r="AH1782">
        <v>5</v>
      </c>
      <c r="AI1782">
        <v>1</v>
      </c>
      <c r="AJ1782">
        <v>6</v>
      </c>
      <c r="AK1782">
        <v>5</v>
      </c>
      <c r="AL1782">
        <v>10</v>
      </c>
      <c r="AM1782">
        <v>8</v>
      </c>
      <c r="AN1782">
        <v>1</v>
      </c>
      <c r="AO1782">
        <v>31</v>
      </c>
      <c r="AP1782">
        <v>21</v>
      </c>
      <c r="AQ1782">
        <v>9</v>
      </c>
      <c r="AR1782">
        <v>3</v>
      </c>
      <c r="AS1782">
        <v>4</v>
      </c>
      <c r="AT1782">
        <v>4</v>
      </c>
    </row>
    <row r="1783" spans="1:46">
      <c r="A1783">
        <v>40312</v>
      </c>
      <c r="B1783" t="s">
        <v>10599</v>
      </c>
      <c r="C1783" t="s">
        <v>10600</v>
      </c>
      <c r="D1783" t="s">
        <v>9868</v>
      </c>
      <c r="E1783" t="s">
        <v>10601</v>
      </c>
      <c r="F1783" t="s">
        <v>10145</v>
      </c>
      <c r="G1783" t="s">
        <v>1598</v>
      </c>
      <c r="H1783" t="s">
        <v>3942</v>
      </c>
      <c r="J1783" t="s">
        <v>518</v>
      </c>
      <c r="K1783" t="s">
        <v>519</v>
      </c>
      <c r="M1783" t="s">
        <v>1297</v>
      </c>
      <c r="N1783" t="s">
        <v>521</v>
      </c>
      <c r="O1783" t="s">
        <v>1698</v>
      </c>
      <c r="P1783" t="s">
        <v>654</v>
      </c>
      <c r="Q1783" t="s">
        <v>1471</v>
      </c>
      <c r="R1783" t="s">
        <v>1472</v>
      </c>
      <c r="S1783" t="s">
        <v>1598</v>
      </c>
      <c r="T1783" t="s">
        <v>1474</v>
      </c>
      <c r="U1783">
        <v>195300</v>
      </c>
      <c r="V1783" t="s">
        <v>10146</v>
      </c>
      <c r="W1783" t="s">
        <v>3724</v>
      </c>
      <c r="X1783" t="s">
        <v>8611</v>
      </c>
      <c r="Y1783" t="s">
        <v>8367</v>
      </c>
      <c r="AA1783" t="s">
        <v>8368</v>
      </c>
      <c r="AB1783" t="s">
        <v>8608</v>
      </c>
      <c r="AC1783">
        <v>99085</v>
      </c>
      <c r="AD1783" t="s">
        <v>1718</v>
      </c>
      <c r="AE1783">
        <v>-37.722045479999998</v>
      </c>
      <c r="AF1783">
        <v>176.14285849999999</v>
      </c>
      <c r="AG1783">
        <v>43</v>
      </c>
      <c r="AH1783">
        <v>10</v>
      </c>
      <c r="AI1783">
        <v>0</v>
      </c>
      <c r="AJ1783">
        <v>8</v>
      </c>
      <c r="AK1783">
        <v>8</v>
      </c>
      <c r="AL1783">
        <v>13</v>
      </c>
      <c r="AM1783">
        <v>12</v>
      </c>
      <c r="AN1783">
        <v>0</v>
      </c>
      <c r="AO1783">
        <v>41</v>
      </c>
      <c r="AP1783">
        <v>13</v>
      </c>
      <c r="AQ1783">
        <v>36</v>
      </c>
      <c r="AR1783">
        <v>2</v>
      </c>
      <c r="AS1783">
        <v>4</v>
      </c>
      <c r="AT1783">
        <v>0</v>
      </c>
    </row>
    <row r="1784" spans="1:46">
      <c r="A1784">
        <v>40316</v>
      </c>
      <c r="B1784" t="s">
        <v>10602</v>
      </c>
      <c r="C1784" t="s">
        <v>10603</v>
      </c>
      <c r="D1784" t="s">
        <v>10275</v>
      </c>
      <c r="E1784" t="s">
        <v>10604</v>
      </c>
      <c r="F1784" t="s">
        <v>9877</v>
      </c>
      <c r="G1784" t="s">
        <v>1521</v>
      </c>
      <c r="H1784" t="s">
        <v>3942</v>
      </c>
      <c r="J1784" t="s">
        <v>3962</v>
      </c>
      <c r="K1784" t="s">
        <v>519</v>
      </c>
      <c r="M1784" t="s">
        <v>1297</v>
      </c>
      <c r="N1784" t="s">
        <v>557</v>
      </c>
      <c r="O1784" t="s">
        <v>1522</v>
      </c>
      <c r="P1784" t="s">
        <v>584</v>
      </c>
      <c r="Q1784" t="s">
        <v>1471</v>
      </c>
      <c r="R1784" t="s">
        <v>1472</v>
      </c>
      <c r="S1784" t="s">
        <v>1521</v>
      </c>
      <c r="T1784" t="s">
        <v>1474</v>
      </c>
      <c r="U1784">
        <v>199900</v>
      </c>
      <c r="V1784" t="s">
        <v>9877</v>
      </c>
      <c r="W1784" t="s">
        <v>1523</v>
      </c>
      <c r="X1784" t="s">
        <v>10278</v>
      </c>
      <c r="Y1784" t="s">
        <v>10279</v>
      </c>
      <c r="Z1784" t="s">
        <v>8564</v>
      </c>
      <c r="AA1784" t="s">
        <v>10280</v>
      </c>
      <c r="AB1784" t="s">
        <v>10281</v>
      </c>
      <c r="AC1784">
        <v>99019</v>
      </c>
      <c r="AD1784" t="s">
        <v>1565</v>
      </c>
      <c r="AE1784">
        <v>-38.143650890000004</v>
      </c>
      <c r="AF1784">
        <v>176.23604354</v>
      </c>
      <c r="AG1784">
        <v>72</v>
      </c>
      <c r="AH1784">
        <v>16</v>
      </c>
      <c r="AI1784">
        <v>2</v>
      </c>
      <c r="AJ1784">
        <v>11</v>
      </c>
      <c r="AK1784">
        <v>10</v>
      </c>
      <c r="AL1784">
        <v>19</v>
      </c>
      <c r="AM1784">
        <v>12</v>
      </c>
      <c r="AN1784">
        <v>0</v>
      </c>
      <c r="AO1784">
        <v>54</v>
      </c>
      <c r="AP1784">
        <v>13</v>
      </c>
      <c r="AQ1784">
        <v>19</v>
      </c>
      <c r="AR1784">
        <v>8</v>
      </c>
      <c r="AS1784">
        <v>28</v>
      </c>
      <c r="AT1784">
        <v>0</v>
      </c>
    </row>
    <row r="1785" spans="1:46">
      <c r="A1785">
        <v>40319</v>
      </c>
      <c r="B1785" t="s">
        <v>10605</v>
      </c>
      <c r="C1785" t="s">
        <v>10606</v>
      </c>
      <c r="D1785" t="s">
        <v>10607</v>
      </c>
      <c r="E1785" t="s">
        <v>10608</v>
      </c>
      <c r="F1785" t="s">
        <v>10153</v>
      </c>
      <c r="G1785" t="s">
        <v>1598</v>
      </c>
      <c r="H1785" t="s">
        <v>3942</v>
      </c>
      <c r="J1785" t="s">
        <v>3962</v>
      </c>
      <c r="K1785" t="s">
        <v>519</v>
      </c>
      <c r="M1785" t="s">
        <v>1297</v>
      </c>
      <c r="N1785" t="s">
        <v>539</v>
      </c>
      <c r="O1785" t="s">
        <v>1698</v>
      </c>
      <c r="P1785" t="s">
        <v>654</v>
      </c>
      <c r="Q1785" t="s">
        <v>1471</v>
      </c>
      <c r="R1785" t="s">
        <v>1472</v>
      </c>
      <c r="S1785" t="s">
        <v>1598</v>
      </c>
      <c r="T1785" t="s">
        <v>1474</v>
      </c>
      <c r="U1785">
        <v>193400</v>
      </c>
      <c r="V1785" t="s">
        <v>10609</v>
      </c>
      <c r="W1785" t="s">
        <v>1709</v>
      </c>
      <c r="X1785" t="s">
        <v>10610</v>
      </c>
      <c r="Y1785" t="s">
        <v>10611</v>
      </c>
      <c r="Z1785" t="s">
        <v>10612</v>
      </c>
      <c r="AA1785" t="s">
        <v>8884</v>
      </c>
      <c r="AB1785" t="s">
        <v>10613</v>
      </c>
      <c r="AC1785">
        <v>99036</v>
      </c>
      <c r="AD1785" t="s">
        <v>1710</v>
      </c>
      <c r="AE1785">
        <v>-37.690874110000003</v>
      </c>
      <c r="AF1785">
        <v>176.13190969999999</v>
      </c>
      <c r="AG1785">
        <v>50</v>
      </c>
      <c r="AH1785">
        <v>20</v>
      </c>
      <c r="AI1785">
        <v>1</v>
      </c>
      <c r="AJ1785">
        <v>11</v>
      </c>
      <c r="AK1785">
        <v>19</v>
      </c>
      <c r="AL1785">
        <v>15</v>
      </c>
      <c r="AM1785">
        <v>7</v>
      </c>
      <c r="AN1785">
        <v>1</v>
      </c>
      <c r="AO1785">
        <v>54</v>
      </c>
      <c r="AP1785">
        <v>49</v>
      </c>
      <c r="AQ1785">
        <v>16</v>
      </c>
      <c r="AR1785">
        <v>5</v>
      </c>
      <c r="AS1785">
        <v>5</v>
      </c>
      <c r="AT1785">
        <v>0</v>
      </c>
    </row>
    <row r="1786" spans="1:46">
      <c r="A1786">
        <v>40320</v>
      </c>
      <c r="B1786" t="s">
        <v>10614</v>
      </c>
      <c r="C1786" t="s">
        <v>10615</v>
      </c>
      <c r="E1786" t="s">
        <v>10616</v>
      </c>
      <c r="F1786" t="s">
        <v>1521</v>
      </c>
      <c r="G1786" t="s">
        <v>1521</v>
      </c>
      <c r="H1786" t="s">
        <v>3942</v>
      </c>
      <c r="J1786" t="s">
        <v>518</v>
      </c>
      <c r="K1786" t="s">
        <v>519</v>
      </c>
      <c r="M1786" t="s">
        <v>1297</v>
      </c>
      <c r="N1786" t="s">
        <v>571</v>
      </c>
      <c r="O1786" t="s">
        <v>1522</v>
      </c>
      <c r="P1786" t="s">
        <v>584</v>
      </c>
      <c r="Q1786" t="s">
        <v>1471</v>
      </c>
      <c r="R1786" t="s">
        <v>1472</v>
      </c>
      <c r="S1786" t="s">
        <v>1521</v>
      </c>
      <c r="T1786" t="s">
        <v>1474</v>
      </c>
      <c r="U1786">
        <v>199800</v>
      </c>
      <c r="V1786" t="s">
        <v>8561</v>
      </c>
      <c r="W1786" t="s">
        <v>1523</v>
      </c>
      <c r="X1786" t="s">
        <v>8377</v>
      </c>
      <c r="Y1786" t="s">
        <v>3944</v>
      </c>
      <c r="Z1786" t="s">
        <v>3945</v>
      </c>
      <c r="AA1786" t="s">
        <v>3946</v>
      </c>
      <c r="AB1786" t="s">
        <v>8378</v>
      </c>
      <c r="AC1786">
        <v>99019</v>
      </c>
      <c r="AD1786" t="s">
        <v>1565</v>
      </c>
      <c r="AE1786">
        <v>-38.136506199999999</v>
      </c>
      <c r="AF1786">
        <v>176.23967210000001</v>
      </c>
      <c r="AG1786">
        <v>112</v>
      </c>
      <c r="AH1786">
        <v>25</v>
      </c>
      <c r="AI1786">
        <v>3</v>
      </c>
      <c r="AJ1786">
        <v>18</v>
      </c>
      <c r="AK1786">
        <v>23</v>
      </c>
      <c r="AL1786">
        <v>24</v>
      </c>
      <c r="AM1786">
        <v>35</v>
      </c>
      <c r="AN1786">
        <v>1</v>
      </c>
      <c r="AO1786">
        <v>104</v>
      </c>
      <c r="AP1786">
        <v>26</v>
      </c>
      <c r="AQ1786">
        <v>58</v>
      </c>
      <c r="AR1786">
        <v>12</v>
      </c>
      <c r="AS1786">
        <v>31</v>
      </c>
      <c r="AT1786">
        <v>4</v>
      </c>
    </row>
    <row r="1787" spans="1:46">
      <c r="A1787">
        <v>40324</v>
      </c>
      <c r="B1787" t="s">
        <v>10617</v>
      </c>
      <c r="C1787" t="s">
        <v>10618</v>
      </c>
      <c r="D1787" t="s">
        <v>10619</v>
      </c>
      <c r="E1787" t="s">
        <v>10620</v>
      </c>
      <c r="F1787" t="s">
        <v>1628</v>
      </c>
      <c r="G1787" t="s">
        <v>1521</v>
      </c>
      <c r="H1787" t="s">
        <v>3942</v>
      </c>
      <c r="J1787" t="s">
        <v>3962</v>
      </c>
      <c r="K1787" t="s">
        <v>519</v>
      </c>
      <c r="M1787" t="s">
        <v>1297</v>
      </c>
      <c r="N1787" t="s">
        <v>557</v>
      </c>
      <c r="O1787" t="s">
        <v>1522</v>
      </c>
      <c r="P1787" t="s">
        <v>584</v>
      </c>
      <c r="Q1787" t="s">
        <v>1471</v>
      </c>
      <c r="R1787" t="s">
        <v>1472</v>
      </c>
      <c r="S1787" t="s">
        <v>1521</v>
      </c>
      <c r="T1787" t="s">
        <v>1474</v>
      </c>
      <c r="U1787">
        <v>200900</v>
      </c>
      <c r="V1787" t="s">
        <v>10028</v>
      </c>
      <c r="W1787" t="s">
        <v>1523</v>
      </c>
      <c r="X1787" t="s">
        <v>10621</v>
      </c>
      <c r="Y1787" t="s">
        <v>10620</v>
      </c>
      <c r="AA1787" t="s">
        <v>8520</v>
      </c>
      <c r="AE1787">
        <v>-38.133749250000001</v>
      </c>
      <c r="AF1787">
        <v>176.28957130000001</v>
      </c>
      <c r="AG1787">
        <v>36</v>
      </c>
      <c r="AH1787">
        <v>10</v>
      </c>
      <c r="AI1787">
        <v>2</v>
      </c>
      <c r="AJ1787">
        <v>6</v>
      </c>
      <c r="AK1787">
        <v>9</v>
      </c>
      <c r="AL1787">
        <v>11</v>
      </c>
      <c r="AM1787">
        <v>9</v>
      </c>
      <c r="AN1787">
        <v>0</v>
      </c>
      <c r="AO1787">
        <v>37</v>
      </c>
      <c r="AP1787">
        <v>20</v>
      </c>
      <c r="AQ1787">
        <v>11</v>
      </c>
      <c r="AR1787">
        <v>3</v>
      </c>
      <c r="AS1787">
        <v>14</v>
      </c>
      <c r="AT1787">
        <v>0</v>
      </c>
    </row>
    <row r="1788" spans="1:46">
      <c r="A1788">
        <v>40331</v>
      </c>
      <c r="B1788" t="s">
        <v>10622</v>
      </c>
      <c r="C1788" t="s">
        <v>10623</v>
      </c>
      <c r="D1788" t="s">
        <v>10624</v>
      </c>
      <c r="E1788" t="s">
        <v>10625</v>
      </c>
      <c r="F1788" t="s">
        <v>1628</v>
      </c>
      <c r="G1788" t="s">
        <v>1521</v>
      </c>
      <c r="H1788" t="s">
        <v>3942</v>
      </c>
      <c r="J1788" t="s">
        <v>3962</v>
      </c>
      <c r="K1788" t="s">
        <v>519</v>
      </c>
      <c r="M1788" t="s">
        <v>1297</v>
      </c>
      <c r="N1788" t="s">
        <v>571</v>
      </c>
      <c r="O1788" t="s">
        <v>1522</v>
      </c>
      <c r="P1788" t="s">
        <v>584</v>
      </c>
      <c r="Q1788" t="s">
        <v>1471</v>
      </c>
      <c r="R1788" t="s">
        <v>1472</v>
      </c>
      <c r="S1788" t="s">
        <v>1521</v>
      </c>
      <c r="T1788" t="s">
        <v>1474</v>
      </c>
      <c r="U1788">
        <v>200900</v>
      </c>
      <c r="V1788" t="s">
        <v>10028</v>
      </c>
      <c r="W1788" t="s">
        <v>1523</v>
      </c>
      <c r="X1788" t="s">
        <v>10626</v>
      </c>
      <c r="Y1788" t="s">
        <v>10627</v>
      </c>
      <c r="Z1788" t="s">
        <v>1366</v>
      </c>
      <c r="AA1788" t="s">
        <v>8520</v>
      </c>
      <c r="AB1788" t="s">
        <v>10628</v>
      </c>
      <c r="AC1788">
        <v>99017</v>
      </c>
      <c r="AD1788" t="s">
        <v>1630</v>
      </c>
      <c r="AE1788">
        <v>-38.121864960000003</v>
      </c>
      <c r="AF1788">
        <v>176.29370882000001</v>
      </c>
      <c r="AG1788">
        <v>24</v>
      </c>
      <c r="AH1788">
        <v>5</v>
      </c>
      <c r="AI1788">
        <v>0</v>
      </c>
      <c r="AJ1788">
        <v>0</v>
      </c>
      <c r="AK1788">
        <v>4</v>
      </c>
      <c r="AL1788">
        <v>4</v>
      </c>
      <c r="AM1788">
        <v>5</v>
      </c>
      <c r="AN1788">
        <v>0</v>
      </c>
      <c r="AO1788">
        <v>13</v>
      </c>
      <c r="AP1788">
        <v>8</v>
      </c>
      <c r="AQ1788">
        <v>4</v>
      </c>
      <c r="AR1788">
        <v>2</v>
      </c>
      <c r="AS1788">
        <v>0</v>
      </c>
      <c r="AT1788">
        <v>0</v>
      </c>
    </row>
    <row r="1789" spans="1:46">
      <c r="A1789">
        <v>40332</v>
      </c>
      <c r="B1789" t="s">
        <v>10629</v>
      </c>
      <c r="C1789" t="s">
        <v>8869</v>
      </c>
      <c r="D1789" t="s">
        <v>10630</v>
      </c>
      <c r="E1789" t="s">
        <v>8871</v>
      </c>
      <c r="G1789" t="s">
        <v>1469</v>
      </c>
      <c r="H1789" t="s">
        <v>3942</v>
      </c>
      <c r="I1789" t="s">
        <v>4065</v>
      </c>
      <c r="J1789" t="s">
        <v>3962</v>
      </c>
      <c r="K1789" t="s">
        <v>519</v>
      </c>
      <c r="M1789" t="s">
        <v>1297</v>
      </c>
      <c r="N1789" t="s">
        <v>557</v>
      </c>
      <c r="O1789" t="s">
        <v>1470</v>
      </c>
      <c r="P1789" t="s">
        <v>1262</v>
      </c>
      <c r="Q1789" t="s">
        <v>1471</v>
      </c>
      <c r="R1789" t="s">
        <v>1472</v>
      </c>
      <c r="S1789" t="s">
        <v>1473</v>
      </c>
      <c r="T1789" t="s">
        <v>1474</v>
      </c>
      <c r="U1789">
        <v>202900</v>
      </c>
      <c r="V1789" t="s">
        <v>8872</v>
      </c>
      <c r="W1789" t="s">
        <v>1476</v>
      </c>
      <c r="X1789" t="s">
        <v>8873</v>
      </c>
      <c r="Y1789" t="s">
        <v>4107</v>
      </c>
      <c r="AA1789" t="s">
        <v>3982</v>
      </c>
      <c r="AB1789" t="s">
        <v>8445</v>
      </c>
      <c r="AC1789">
        <v>99016</v>
      </c>
      <c r="AD1789" t="s">
        <v>1479</v>
      </c>
      <c r="AE1789">
        <v>-37.967361150000002</v>
      </c>
      <c r="AF1789">
        <v>176.98836317000001</v>
      </c>
      <c r="AG1789">
        <v>45</v>
      </c>
      <c r="AH1789">
        <v>15</v>
      </c>
      <c r="AI1789">
        <v>0</v>
      </c>
      <c r="AJ1789">
        <v>0</v>
      </c>
      <c r="AK1789">
        <v>9</v>
      </c>
      <c r="AL1789">
        <v>20</v>
      </c>
      <c r="AM1789">
        <v>16</v>
      </c>
      <c r="AN1789">
        <v>0</v>
      </c>
      <c r="AO1789">
        <v>45</v>
      </c>
      <c r="AP1789">
        <v>27</v>
      </c>
      <c r="AQ1789">
        <v>18</v>
      </c>
      <c r="AR1789">
        <v>1</v>
      </c>
      <c r="AS1789">
        <v>14</v>
      </c>
      <c r="AT1789">
        <v>0</v>
      </c>
    </row>
    <row r="1790" spans="1:46">
      <c r="A1790">
        <v>40334</v>
      </c>
      <c r="B1790" t="s">
        <v>10631</v>
      </c>
      <c r="C1790" t="s">
        <v>10632</v>
      </c>
      <c r="E1790" t="s">
        <v>10633</v>
      </c>
      <c r="F1790" t="s">
        <v>1598</v>
      </c>
      <c r="G1790" t="s">
        <v>1598</v>
      </c>
      <c r="H1790" t="s">
        <v>3942</v>
      </c>
      <c r="I1790" t="s">
        <v>4065</v>
      </c>
      <c r="J1790" t="s">
        <v>3962</v>
      </c>
      <c r="K1790" t="s">
        <v>519</v>
      </c>
      <c r="M1790" t="s">
        <v>1297</v>
      </c>
      <c r="N1790" t="s">
        <v>539</v>
      </c>
      <c r="O1790" t="s">
        <v>1698</v>
      </c>
      <c r="P1790" t="s">
        <v>654</v>
      </c>
      <c r="Q1790" t="s">
        <v>1471</v>
      </c>
      <c r="R1790" t="s">
        <v>1472</v>
      </c>
      <c r="S1790" t="s">
        <v>1598</v>
      </c>
      <c r="T1790" t="s">
        <v>1474</v>
      </c>
      <c r="U1790">
        <v>194801</v>
      </c>
      <c r="V1790" t="s">
        <v>3722</v>
      </c>
      <c r="W1790" t="s">
        <v>3724</v>
      </c>
      <c r="X1790" t="s">
        <v>10634</v>
      </c>
      <c r="Y1790" t="s">
        <v>10635</v>
      </c>
      <c r="AA1790" t="s">
        <v>10636</v>
      </c>
      <c r="AB1790" t="s">
        <v>10637</v>
      </c>
      <c r="AE1790">
        <v>-37.705264</v>
      </c>
      <c r="AF1790">
        <v>176.1556424</v>
      </c>
      <c r="AG1790">
        <v>47</v>
      </c>
      <c r="AH1790">
        <v>9</v>
      </c>
      <c r="AI1790">
        <v>0</v>
      </c>
      <c r="AJ1790">
        <v>0</v>
      </c>
      <c r="AK1790">
        <v>3</v>
      </c>
      <c r="AL1790">
        <v>18</v>
      </c>
      <c r="AM1790">
        <v>17</v>
      </c>
      <c r="AN1790">
        <v>2</v>
      </c>
      <c r="AO1790">
        <v>40</v>
      </c>
      <c r="AP1790">
        <v>32</v>
      </c>
      <c r="AQ1790">
        <v>3</v>
      </c>
      <c r="AR1790">
        <v>1</v>
      </c>
      <c r="AS1790">
        <v>12</v>
      </c>
      <c r="AT1790">
        <v>0</v>
      </c>
    </row>
    <row r="1791" spans="1:46">
      <c r="A1791">
        <v>40336</v>
      </c>
      <c r="B1791" t="s">
        <v>10638</v>
      </c>
      <c r="C1791" t="s">
        <v>10639</v>
      </c>
      <c r="E1791" t="s">
        <v>10640</v>
      </c>
      <c r="F1791" t="s">
        <v>10010</v>
      </c>
      <c r="G1791" t="s">
        <v>1521</v>
      </c>
      <c r="H1791" t="s">
        <v>3942</v>
      </c>
      <c r="J1791" t="s">
        <v>3962</v>
      </c>
      <c r="K1791" t="s">
        <v>519</v>
      </c>
      <c r="M1791" t="s">
        <v>1297</v>
      </c>
      <c r="N1791" t="s">
        <v>557</v>
      </c>
      <c r="O1791" t="s">
        <v>1522</v>
      </c>
      <c r="P1791" t="s">
        <v>584</v>
      </c>
      <c r="Q1791" t="s">
        <v>1471</v>
      </c>
      <c r="R1791" t="s">
        <v>1472</v>
      </c>
      <c r="S1791" t="s">
        <v>1521</v>
      </c>
      <c r="T1791" t="s">
        <v>1474</v>
      </c>
      <c r="U1791">
        <v>201300</v>
      </c>
      <c r="V1791" t="s">
        <v>8518</v>
      </c>
      <c r="W1791" t="s">
        <v>1523</v>
      </c>
      <c r="X1791" t="s">
        <v>10641</v>
      </c>
      <c r="Y1791" t="s">
        <v>4658</v>
      </c>
      <c r="Z1791" t="s">
        <v>958</v>
      </c>
      <c r="AA1791" t="s">
        <v>4659</v>
      </c>
      <c r="AB1791" t="s">
        <v>10639</v>
      </c>
      <c r="AC1791">
        <v>99019</v>
      </c>
      <c r="AD1791" t="s">
        <v>1565</v>
      </c>
      <c r="AE1791">
        <v>-38.159472219999998</v>
      </c>
      <c r="AF1791">
        <v>176.25679811000001</v>
      </c>
      <c r="AG1791">
        <v>100</v>
      </c>
      <c r="AH1791">
        <v>25</v>
      </c>
      <c r="AI1791">
        <v>2</v>
      </c>
      <c r="AJ1791">
        <v>20</v>
      </c>
      <c r="AK1791">
        <v>18</v>
      </c>
      <c r="AL1791">
        <v>28</v>
      </c>
      <c r="AM1791">
        <v>22</v>
      </c>
      <c r="AN1791">
        <v>4</v>
      </c>
      <c r="AO1791">
        <v>94</v>
      </c>
      <c r="AP1791">
        <v>47</v>
      </c>
      <c r="AQ1791">
        <v>43</v>
      </c>
      <c r="AR1791">
        <v>7</v>
      </c>
      <c r="AS1791">
        <v>23</v>
      </c>
      <c r="AT1791">
        <v>1</v>
      </c>
    </row>
    <row r="1792" spans="1:46">
      <c r="A1792">
        <v>40338</v>
      </c>
      <c r="B1792" t="s">
        <v>10642</v>
      </c>
      <c r="C1792" t="s">
        <v>10643</v>
      </c>
      <c r="D1792" t="s">
        <v>10644</v>
      </c>
      <c r="E1792" t="s">
        <v>10645</v>
      </c>
      <c r="F1792" t="s">
        <v>8483</v>
      </c>
      <c r="G1792" t="s">
        <v>1598</v>
      </c>
      <c r="H1792" t="s">
        <v>3942</v>
      </c>
      <c r="J1792" t="s">
        <v>3962</v>
      </c>
      <c r="K1792" t="s">
        <v>519</v>
      </c>
      <c r="M1792" t="s">
        <v>1297</v>
      </c>
      <c r="N1792" t="s">
        <v>557</v>
      </c>
      <c r="O1792" t="s">
        <v>1698</v>
      </c>
      <c r="P1792" t="s">
        <v>654</v>
      </c>
      <c r="Q1792" t="s">
        <v>1471</v>
      </c>
      <c r="R1792" t="s">
        <v>1472</v>
      </c>
      <c r="S1792" t="s">
        <v>1598</v>
      </c>
      <c r="T1792" t="s">
        <v>1474</v>
      </c>
      <c r="U1792">
        <v>194601</v>
      </c>
      <c r="V1792" t="s">
        <v>8483</v>
      </c>
      <c r="W1792" t="s">
        <v>3724</v>
      </c>
      <c r="X1792" t="s">
        <v>10646</v>
      </c>
      <c r="Y1792" t="s">
        <v>10647</v>
      </c>
      <c r="Z1792" t="s">
        <v>9750</v>
      </c>
      <c r="AA1792" t="s">
        <v>10648</v>
      </c>
      <c r="AB1792" t="s">
        <v>10649</v>
      </c>
      <c r="AC1792">
        <v>99085</v>
      </c>
      <c r="AD1792" t="s">
        <v>1718</v>
      </c>
      <c r="AE1792">
        <v>-37.712565779999998</v>
      </c>
      <c r="AF1792">
        <v>176.14138874</v>
      </c>
      <c r="AG1792">
        <v>50</v>
      </c>
      <c r="AH1792">
        <v>15</v>
      </c>
      <c r="AI1792">
        <v>1</v>
      </c>
      <c r="AJ1792">
        <v>15</v>
      </c>
      <c r="AK1792">
        <v>9</v>
      </c>
      <c r="AL1792">
        <v>13</v>
      </c>
      <c r="AM1792">
        <v>14</v>
      </c>
      <c r="AN1792">
        <v>1</v>
      </c>
      <c r="AO1792">
        <v>53</v>
      </c>
      <c r="AP1792">
        <v>36</v>
      </c>
      <c r="AQ1792">
        <v>20</v>
      </c>
      <c r="AR1792">
        <v>5</v>
      </c>
      <c r="AS1792">
        <v>5</v>
      </c>
      <c r="AT1792">
        <v>1</v>
      </c>
    </row>
    <row r="1793" spans="1:46">
      <c r="A1793">
        <v>40339</v>
      </c>
      <c r="B1793" t="s">
        <v>10650</v>
      </c>
      <c r="C1793" t="s">
        <v>8399</v>
      </c>
      <c r="D1793" t="s">
        <v>8400</v>
      </c>
      <c r="E1793" t="s">
        <v>8401</v>
      </c>
      <c r="F1793" t="s">
        <v>8402</v>
      </c>
      <c r="G1793" t="s">
        <v>1598</v>
      </c>
      <c r="H1793" t="s">
        <v>4716</v>
      </c>
      <c r="J1793" t="s">
        <v>3962</v>
      </c>
      <c r="K1793" t="s">
        <v>519</v>
      </c>
      <c r="M1793" t="s">
        <v>1297</v>
      </c>
      <c r="N1793" t="s">
        <v>571</v>
      </c>
      <c r="O1793" t="s">
        <v>1698</v>
      </c>
      <c r="P1793" t="s">
        <v>654</v>
      </c>
      <c r="Q1793" t="s">
        <v>1471</v>
      </c>
      <c r="R1793" t="s">
        <v>1472</v>
      </c>
      <c r="S1793" t="s">
        <v>1598</v>
      </c>
      <c r="T1793" t="s">
        <v>1474</v>
      </c>
      <c r="U1793">
        <v>193800</v>
      </c>
      <c r="V1793" t="s">
        <v>8402</v>
      </c>
      <c r="W1793" t="s">
        <v>3724</v>
      </c>
      <c r="X1793" t="s">
        <v>10651</v>
      </c>
      <c r="Y1793" t="s">
        <v>8401</v>
      </c>
      <c r="AA1793" t="s">
        <v>8404</v>
      </c>
      <c r="AB1793" t="s">
        <v>8469</v>
      </c>
      <c r="AE1793">
        <v>-37.684237209999999</v>
      </c>
      <c r="AF1793">
        <v>176.16808368</v>
      </c>
      <c r="AG1793">
        <v>50</v>
      </c>
      <c r="AH1793">
        <v>50</v>
      </c>
      <c r="AI1793">
        <v>6</v>
      </c>
      <c r="AJ1793">
        <v>11</v>
      </c>
      <c r="AK1793">
        <v>7</v>
      </c>
      <c r="AL1793">
        <v>9</v>
      </c>
      <c r="AM1793">
        <v>4</v>
      </c>
      <c r="AN1793">
        <v>0</v>
      </c>
      <c r="AO1793">
        <v>37</v>
      </c>
      <c r="AP1793">
        <v>28</v>
      </c>
      <c r="AQ1793">
        <v>9</v>
      </c>
      <c r="AR1793">
        <v>2</v>
      </c>
      <c r="AS1793">
        <v>2</v>
      </c>
      <c r="AT1793">
        <v>6</v>
      </c>
    </row>
    <row r="1794" spans="1:46">
      <c r="A1794">
        <v>40340</v>
      </c>
      <c r="B1794" t="s">
        <v>10652</v>
      </c>
      <c r="C1794" t="s">
        <v>10653</v>
      </c>
      <c r="E1794" t="s">
        <v>10654</v>
      </c>
      <c r="G1794" t="s">
        <v>1742</v>
      </c>
      <c r="H1794" t="s">
        <v>3942</v>
      </c>
      <c r="J1794" t="s">
        <v>3962</v>
      </c>
      <c r="K1794" t="s">
        <v>519</v>
      </c>
      <c r="M1794" t="s">
        <v>1297</v>
      </c>
      <c r="N1794" t="s">
        <v>557</v>
      </c>
      <c r="O1794" t="s">
        <v>1743</v>
      </c>
      <c r="P1794" t="s">
        <v>523</v>
      </c>
      <c r="Q1794" t="s">
        <v>1471</v>
      </c>
      <c r="R1794" t="s">
        <v>1472</v>
      </c>
      <c r="S1794" t="s">
        <v>1521</v>
      </c>
      <c r="T1794" t="s">
        <v>1474</v>
      </c>
      <c r="U1794">
        <v>192101</v>
      </c>
      <c r="V1794" t="s">
        <v>1744</v>
      </c>
      <c r="W1794" t="s">
        <v>1745</v>
      </c>
      <c r="X1794" t="s">
        <v>10655</v>
      </c>
      <c r="Y1794" t="s">
        <v>4658</v>
      </c>
      <c r="Z1794" t="s">
        <v>958</v>
      </c>
      <c r="AA1794" t="s">
        <v>4659</v>
      </c>
      <c r="AB1794" t="s">
        <v>10653</v>
      </c>
      <c r="AC1794">
        <v>99086</v>
      </c>
      <c r="AD1794" t="s">
        <v>1746</v>
      </c>
      <c r="AE1794">
        <v>-37.783095109999998</v>
      </c>
      <c r="AF1794">
        <v>176.31906174</v>
      </c>
      <c r="AG1794">
        <v>75</v>
      </c>
      <c r="AH1794">
        <v>15</v>
      </c>
      <c r="AI1794">
        <v>2</v>
      </c>
      <c r="AJ1794">
        <v>15</v>
      </c>
      <c r="AK1794">
        <v>13</v>
      </c>
      <c r="AL1794">
        <v>23</v>
      </c>
      <c r="AM1794">
        <v>25</v>
      </c>
      <c r="AN1794">
        <v>1</v>
      </c>
      <c r="AO1794">
        <v>79</v>
      </c>
      <c r="AP1794">
        <v>43</v>
      </c>
      <c r="AQ1794">
        <v>34</v>
      </c>
      <c r="AR1794">
        <v>4</v>
      </c>
      <c r="AS1794">
        <v>26</v>
      </c>
      <c r="AT1794">
        <v>1</v>
      </c>
    </row>
    <row r="1795" spans="1:46">
      <c r="A1795">
        <v>40344</v>
      </c>
      <c r="B1795" t="s">
        <v>10656</v>
      </c>
      <c r="C1795" t="s">
        <v>10657</v>
      </c>
      <c r="E1795" t="s">
        <v>10658</v>
      </c>
      <c r="F1795" t="s">
        <v>1605</v>
      </c>
      <c r="G1795" t="s">
        <v>1521</v>
      </c>
      <c r="H1795" t="s">
        <v>3942</v>
      </c>
      <c r="J1795" t="s">
        <v>3962</v>
      </c>
      <c r="K1795" t="s">
        <v>519</v>
      </c>
      <c r="M1795" t="s">
        <v>1297</v>
      </c>
      <c r="N1795" t="s">
        <v>571</v>
      </c>
      <c r="O1795" t="s">
        <v>1522</v>
      </c>
      <c r="P1795" t="s">
        <v>523</v>
      </c>
      <c r="Q1795" t="s">
        <v>1471</v>
      </c>
      <c r="R1795" t="s">
        <v>1472</v>
      </c>
      <c r="S1795" t="s">
        <v>1521</v>
      </c>
      <c r="T1795" t="s">
        <v>1474</v>
      </c>
      <c r="U1795">
        <v>198200</v>
      </c>
      <c r="V1795" t="s">
        <v>1606</v>
      </c>
      <c r="W1795" t="s">
        <v>1523</v>
      </c>
      <c r="X1795" t="s">
        <v>10659</v>
      </c>
      <c r="Y1795" t="s">
        <v>10660</v>
      </c>
      <c r="Z1795" t="s">
        <v>1605</v>
      </c>
      <c r="AA1795" t="s">
        <v>10661</v>
      </c>
      <c r="AB1795" t="s">
        <v>10662</v>
      </c>
      <c r="AC1795">
        <v>99107</v>
      </c>
      <c r="AD1795" t="s">
        <v>1526</v>
      </c>
      <c r="AE1795">
        <v>-38.081497489999997</v>
      </c>
      <c r="AF1795">
        <v>176.21108798</v>
      </c>
      <c r="AG1795">
        <v>60</v>
      </c>
      <c r="AH1795">
        <v>20</v>
      </c>
      <c r="AI1795">
        <v>3</v>
      </c>
      <c r="AJ1795">
        <v>8</v>
      </c>
      <c r="AK1795">
        <v>10</v>
      </c>
      <c r="AL1795">
        <v>11</v>
      </c>
      <c r="AM1795">
        <v>16</v>
      </c>
      <c r="AN1795">
        <v>0</v>
      </c>
      <c r="AO1795">
        <v>48</v>
      </c>
      <c r="AP1795">
        <v>44</v>
      </c>
      <c r="AQ1795">
        <v>21</v>
      </c>
      <c r="AR1795">
        <v>1</v>
      </c>
      <c r="AS1795">
        <v>4</v>
      </c>
      <c r="AT1795">
        <v>2</v>
      </c>
    </row>
    <row r="1796" spans="1:46">
      <c r="A1796">
        <v>41001</v>
      </c>
      <c r="B1796" t="s">
        <v>10663</v>
      </c>
      <c r="C1796" t="s">
        <v>10664</v>
      </c>
      <c r="E1796" t="s">
        <v>10665</v>
      </c>
      <c r="G1796" t="s">
        <v>1611</v>
      </c>
      <c r="H1796" t="s">
        <v>343</v>
      </c>
      <c r="J1796" t="s">
        <v>518</v>
      </c>
      <c r="K1796" t="s">
        <v>519</v>
      </c>
      <c r="L1796" t="s">
        <v>4205</v>
      </c>
      <c r="M1796" t="s">
        <v>1297</v>
      </c>
      <c r="N1796" t="s">
        <v>727</v>
      </c>
      <c r="O1796" t="s">
        <v>1612</v>
      </c>
      <c r="P1796" t="s">
        <v>572</v>
      </c>
      <c r="Q1796" t="s">
        <v>1471</v>
      </c>
      <c r="R1796" t="s">
        <v>1472</v>
      </c>
      <c r="S1796" t="s">
        <v>1473</v>
      </c>
      <c r="T1796" t="s">
        <v>1474</v>
      </c>
      <c r="U1796">
        <v>204600</v>
      </c>
      <c r="V1796" t="s">
        <v>10666</v>
      </c>
      <c r="W1796" t="s">
        <v>10318</v>
      </c>
      <c r="X1796" t="s">
        <v>10125</v>
      </c>
      <c r="Y1796" t="s">
        <v>4208</v>
      </c>
      <c r="Z1796" t="s">
        <v>4209</v>
      </c>
      <c r="AA1796" t="s">
        <v>4210</v>
      </c>
      <c r="AB1796" t="s">
        <v>10126</v>
      </c>
      <c r="AE1796">
        <v>-38.084031899999999</v>
      </c>
      <c r="AF1796">
        <v>177.29431564000001</v>
      </c>
      <c r="AG1796">
        <v>36</v>
      </c>
      <c r="AH1796">
        <v>12</v>
      </c>
      <c r="AI1796">
        <v>0</v>
      </c>
      <c r="AJ1796">
        <v>5</v>
      </c>
      <c r="AK1796">
        <v>8</v>
      </c>
      <c r="AL1796">
        <v>11</v>
      </c>
      <c r="AM1796">
        <v>5</v>
      </c>
      <c r="AN1796">
        <v>0</v>
      </c>
      <c r="AO1796">
        <v>29</v>
      </c>
      <c r="AP1796">
        <v>0</v>
      </c>
      <c r="AQ1796">
        <v>29</v>
      </c>
      <c r="AR1796">
        <v>0</v>
      </c>
      <c r="AS1796">
        <v>0</v>
      </c>
      <c r="AT1796">
        <v>0</v>
      </c>
    </row>
    <row r="1797" spans="1:46">
      <c r="A1797">
        <v>41002</v>
      </c>
      <c r="B1797" t="s">
        <v>10667</v>
      </c>
      <c r="C1797" t="s">
        <v>10668</v>
      </c>
      <c r="E1797" t="s">
        <v>10669</v>
      </c>
      <c r="G1797" t="s">
        <v>9953</v>
      </c>
      <c r="H1797" t="s">
        <v>343</v>
      </c>
      <c r="J1797" t="s">
        <v>518</v>
      </c>
      <c r="K1797" t="s">
        <v>519</v>
      </c>
      <c r="L1797" t="s">
        <v>4205</v>
      </c>
      <c r="M1797" t="s">
        <v>1297</v>
      </c>
      <c r="N1797" t="s">
        <v>727</v>
      </c>
      <c r="O1797" t="s">
        <v>1470</v>
      </c>
      <c r="P1797" t="s">
        <v>572</v>
      </c>
      <c r="Q1797" t="s">
        <v>1471</v>
      </c>
      <c r="R1797" t="s">
        <v>1472</v>
      </c>
      <c r="S1797" t="s">
        <v>1473</v>
      </c>
      <c r="T1797" t="s">
        <v>1474</v>
      </c>
      <c r="U1797">
        <v>203500</v>
      </c>
      <c r="V1797" t="s">
        <v>9954</v>
      </c>
      <c r="W1797" t="s">
        <v>1595</v>
      </c>
      <c r="X1797" t="s">
        <v>10125</v>
      </c>
      <c r="Y1797" t="s">
        <v>4208</v>
      </c>
      <c r="Z1797" t="s">
        <v>4209</v>
      </c>
      <c r="AA1797" t="s">
        <v>4210</v>
      </c>
      <c r="AB1797" t="s">
        <v>10126</v>
      </c>
      <c r="AE1797">
        <v>-38.14737092</v>
      </c>
      <c r="AF1797">
        <v>177.00893282000001</v>
      </c>
      <c r="AG1797">
        <v>30</v>
      </c>
      <c r="AH1797">
        <v>10</v>
      </c>
      <c r="AI1797">
        <v>3</v>
      </c>
      <c r="AJ1797">
        <v>5</v>
      </c>
      <c r="AK1797">
        <v>5</v>
      </c>
      <c r="AL1797">
        <v>4</v>
      </c>
      <c r="AM1797">
        <v>3</v>
      </c>
      <c r="AN1797">
        <v>0</v>
      </c>
      <c r="AO1797">
        <v>20</v>
      </c>
      <c r="AP1797">
        <v>0</v>
      </c>
      <c r="AQ1797">
        <v>20</v>
      </c>
      <c r="AR1797">
        <v>0</v>
      </c>
      <c r="AS1797">
        <v>0</v>
      </c>
      <c r="AT1797">
        <v>0</v>
      </c>
    </row>
    <row r="1798" spans="1:46">
      <c r="A1798">
        <v>41003</v>
      </c>
      <c r="B1798" t="s">
        <v>10670</v>
      </c>
      <c r="C1798" t="s">
        <v>10671</v>
      </c>
      <c r="E1798" t="s">
        <v>10672</v>
      </c>
      <c r="G1798" t="s">
        <v>10673</v>
      </c>
      <c r="H1798" t="s">
        <v>343</v>
      </c>
      <c r="J1798" t="s">
        <v>518</v>
      </c>
      <c r="K1798" t="s">
        <v>519</v>
      </c>
      <c r="L1798" t="s">
        <v>4205</v>
      </c>
      <c r="M1798" t="s">
        <v>1297</v>
      </c>
      <c r="N1798" t="s">
        <v>539</v>
      </c>
      <c r="O1798" t="s">
        <v>1470</v>
      </c>
      <c r="P1798" t="s">
        <v>572</v>
      </c>
      <c r="Q1798" t="s">
        <v>1471</v>
      </c>
      <c r="R1798" t="s">
        <v>1472</v>
      </c>
      <c r="S1798" t="s">
        <v>1473</v>
      </c>
      <c r="T1798" t="s">
        <v>1474</v>
      </c>
      <c r="U1798">
        <v>203400</v>
      </c>
      <c r="V1798" t="s">
        <v>9795</v>
      </c>
      <c r="W1798" t="s">
        <v>1595</v>
      </c>
      <c r="X1798" t="s">
        <v>10125</v>
      </c>
      <c r="Y1798" t="s">
        <v>4208</v>
      </c>
      <c r="Z1798" t="s">
        <v>4209</v>
      </c>
      <c r="AA1798" t="s">
        <v>4210</v>
      </c>
      <c r="AB1798" t="s">
        <v>10126</v>
      </c>
      <c r="AE1798">
        <v>-38.616213520000002</v>
      </c>
      <c r="AF1798">
        <v>176.94662589999999</v>
      </c>
      <c r="AG1798">
        <v>20</v>
      </c>
      <c r="AH1798">
        <v>5</v>
      </c>
      <c r="AI1798">
        <v>1</v>
      </c>
      <c r="AJ1798">
        <v>3</v>
      </c>
      <c r="AK1798">
        <v>7</v>
      </c>
      <c r="AL1798">
        <v>2</v>
      </c>
      <c r="AM1798">
        <v>1</v>
      </c>
      <c r="AN1798">
        <v>0</v>
      </c>
      <c r="AO1798">
        <v>14</v>
      </c>
      <c r="AP1798">
        <v>0</v>
      </c>
      <c r="AQ1798">
        <v>14</v>
      </c>
      <c r="AR1798">
        <v>0</v>
      </c>
      <c r="AS1798">
        <v>0</v>
      </c>
      <c r="AT1798">
        <v>0</v>
      </c>
    </row>
    <row r="1799" spans="1:46">
      <c r="A1799">
        <v>41004</v>
      </c>
      <c r="B1799" t="s">
        <v>10674</v>
      </c>
      <c r="C1799" t="s">
        <v>10675</v>
      </c>
      <c r="E1799" t="s">
        <v>10676</v>
      </c>
      <c r="G1799" t="s">
        <v>1649</v>
      </c>
      <c r="H1799" t="s">
        <v>343</v>
      </c>
      <c r="J1799" t="s">
        <v>518</v>
      </c>
      <c r="K1799" t="s">
        <v>519</v>
      </c>
      <c r="L1799" t="s">
        <v>4205</v>
      </c>
      <c r="M1799" t="s">
        <v>1297</v>
      </c>
      <c r="N1799" t="s">
        <v>521</v>
      </c>
      <c r="O1799" t="s">
        <v>1650</v>
      </c>
      <c r="P1799" t="s">
        <v>523</v>
      </c>
      <c r="Q1799" t="s">
        <v>1471</v>
      </c>
      <c r="R1799" t="s">
        <v>1472</v>
      </c>
      <c r="S1799" t="s">
        <v>1473</v>
      </c>
      <c r="T1799" t="s">
        <v>1474</v>
      </c>
      <c r="U1799">
        <v>203901</v>
      </c>
      <c r="V1799" t="s">
        <v>10172</v>
      </c>
      <c r="W1799" t="s">
        <v>1652</v>
      </c>
      <c r="X1799" t="s">
        <v>10125</v>
      </c>
      <c r="Y1799" t="s">
        <v>4208</v>
      </c>
      <c r="Z1799" t="s">
        <v>4209</v>
      </c>
      <c r="AA1799" t="s">
        <v>4210</v>
      </c>
      <c r="AB1799" t="s">
        <v>10126</v>
      </c>
      <c r="AE1799">
        <v>-38.090497419999998</v>
      </c>
      <c r="AF1799">
        <v>176.70018157000001</v>
      </c>
      <c r="AG1799">
        <v>20</v>
      </c>
      <c r="AH1799">
        <v>10</v>
      </c>
      <c r="AI1799">
        <v>0</v>
      </c>
      <c r="AJ1799">
        <v>0</v>
      </c>
      <c r="AK1799">
        <v>2</v>
      </c>
      <c r="AL1799">
        <v>1</v>
      </c>
      <c r="AM1799">
        <v>4</v>
      </c>
      <c r="AN1799">
        <v>0</v>
      </c>
      <c r="AO1799">
        <v>7</v>
      </c>
      <c r="AP1799">
        <v>0</v>
      </c>
      <c r="AQ1799">
        <v>6</v>
      </c>
      <c r="AR1799">
        <v>1</v>
      </c>
      <c r="AS1799">
        <v>0</v>
      </c>
      <c r="AT1799">
        <v>0</v>
      </c>
    </row>
    <row r="1800" spans="1:46">
      <c r="A1800">
        <v>41005</v>
      </c>
      <c r="B1800" t="s">
        <v>10677</v>
      </c>
      <c r="C1800" t="s">
        <v>10678</v>
      </c>
      <c r="E1800" t="s">
        <v>10679</v>
      </c>
      <c r="G1800" t="s">
        <v>1649</v>
      </c>
      <c r="H1800" t="s">
        <v>343</v>
      </c>
      <c r="J1800" t="s">
        <v>518</v>
      </c>
      <c r="K1800" t="s">
        <v>519</v>
      </c>
      <c r="L1800" t="s">
        <v>4205</v>
      </c>
      <c r="M1800" t="s">
        <v>1297</v>
      </c>
      <c r="N1800" t="s">
        <v>521</v>
      </c>
      <c r="O1800" t="s">
        <v>1650</v>
      </c>
      <c r="P1800" t="s">
        <v>523</v>
      </c>
      <c r="Q1800" t="s">
        <v>1471</v>
      </c>
      <c r="R1800" t="s">
        <v>1472</v>
      </c>
      <c r="S1800" t="s">
        <v>1473</v>
      </c>
      <c r="T1800" t="s">
        <v>1474</v>
      </c>
      <c r="U1800">
        <v>203700</v>
      </c>
      <c r="V1800" t="s">
        <v>1651</v>
      </c>
      <c r="W1800" t="s">
        <v>1652</v>
      </c>
      <c r="X1800" t="s">
        <v>10125</v>
      </c>
      <c r="Y1800" t="s">
        <v>4208</v>
      </c>
      <c r="Z1800" t="s">
        <v>4209</v>
      </c>
      <c r="AA1800" t="s">
        <v>4210</v>
      </c>
      <c r="AB1800" t="s">
        <v>10126</v>
      </c>
      <c r="AE1800">
        <v>-38.091204259999998</v>
      </c>
      <c r="AF1800">
        <v>176.68063459999999</v>
      </c>
      <c r="AG1800">
        <v>30</v>
      </c>
      <c r="AH1800">
        <v>9</v>
      </c>
    </row>
    <row r="1801" spans="1:46">
      <c r="A1801">
        <v>41008</v>
      </c>
      <c r="B1801" t="s">
        <v>10680</v>
      </c>
      <c r="C1801" t="s">
        <v>10681</v>
      </c>
      <c r="E1801" t="s">
        <v>10682</v>
      </c>
      <c r="G1801" t="s">
        <v>1469</v>
      </c>
      <c r="H1801" t="s">
        <v>343</v>
      </c>
      <c r="J1801" t="s">
        <v>518</v>
      </c>
      <c r="K1801" t="s">
        <v>519</v>
      </c>
      <c r="L1801" t="s">
        <v>4205</v>
      </c>
      <c r="M1801" t="s">
        <v>1297</v>
      </c>
      <c r="N1801" t="s">
        <v>727</v>
      </c>
      <c r="O1801" t="s">
        <v>1470</v>
      </c>
      <c r="P1801" t="s">
        <v>1262</v>
      </c>
      <c r="Q1801" t="s">
        <v>1471</v>
      </c>
      <c r="R1801" t="s">
        <v>1472</v>
      </c>
      <c r="S1801" t="s">
        <v>1473</v>
      </c>
      <c r="T1801" t="s">
        <v>1474</v>
      </c>
      <c r="U1801">
        <v>202600</v>
      </c>
      <c r="V1801" t="s">
        <v>9798</v>
      </c>
      <c r="W1801" t="s">
        <v>1476</v>
      </c>
      <c r="X1801" t="s">
        <v>10125</v>
      </c>
      <c r="Y1801" t="s">
        <v>4208</v>
      </c>
      <c r="Z1801" t="s">
        <v>4209</v>
      </c>
      <c r="AA1801" t="s">
        <v>4210</v>
      </c>
      <c r="AB1801" t="s">
        <v>10126</v>
      </c>
      <c r="AE1801">
        <v>-37.966604009999998</v>
      </c>
      <c r="AF1801">
        <v>176.9667661</v>
      </c>
      <c r="AG1801">
        <v>30</v>
      </c>
      <c r="AH1801">
        <v>7</v>
      </c>
      <c r="AI1801">
        <v>3</v>
      </c>
      <c r="AJ1801">
        <v>4</v>
      </c>
      <c r="AK1801">
        <v>5</v>
      </c>
      <c r="AL1801">
        <v>5</v>
      </c>
      <c r="AM1801">
        <v>3</v>
      </c>
      <c r="AN1801">
        <v>0</v>
      </c>
      <c r="AO1801">
        <v>20</v>
      </c>
      <c r="AP1801">
        <v>0</v>
      </c>
      <c r="AQ1801">
        <v>20</v>
      </c>
      <c r="AR1801">
        <v>0</v>
      </c>
      <c r="AS1801">
        <v>0</v>
      </c>
      <c r="AT1801">
        <v>0</v>
      </c>
    </row>
    <row r="1802" spans="1:46">
      <c r="A1802">
        <v>41009</v>
      </c>
      <c r="B1802" t="s">
        <v>10683</v>
      </c>
      <c r="C1802" t="s">
        <v>10684</v>
      </c>
      <c r="E1802" t="s">
        <v>10685</v>
      </c>
      <c r="G1802" t="s">
        <v>1611</v>
      </c>
      <c r="H1802" t="s">
        <v>343</v>
      </c>
      <c r="J1802" t="s">
        <v>518</v>
      </c>
      <c r="K1802" t="s">
        <v>519</v>
      </c>
      <c r="L1802" t="s">
        <v>4205</v>
      </c>
      <c r="M1802" t="s">
        <v>1297</v>
      </c>
      <c r="N1802" t="s">
        <v>727</v>
      </c>
      <c r="O1802" t="s">
        <v>1612</v>
      </c>
      <c r="P1802" t="s">
        <v>572</v>
      </c>
      <c r="Q1802" t="s">
        <v>1471</v>
      </c>
      <c r="R1802" t="s">
        <v>1472</v>
      </c>
      <c r="S1802" t="s">
        <v>1473</v>
      </c>
      <c r="T1802" t="s">
        <v>1474</v>
      </c>
      <c r="U1802">
        <v>204500</v>
      </c>
      <c r="V1802" t="s">
        <v>10317</v>
      </c>
      <c r="W1802" t="s">
        <v>10318</v>
      </c>
      <c r="X1802" t="s">
        <v>10125</v>
      </c>
      <c r="Y1802" t="s">
        <v>4208</v>
      </c>
      <c r="Z1802" t="s">
        <v>4209</v>
      </c>
      <c r="AA1802" t="s">
        <v>4210</v>
      </c>
      <c r="AB1802" t="s">
        <v>10126</v>
      </c>
      <c r="AE1802">
        <v>-37.98698297</v>
      </c>
      <c r="AF1802">
        <v>177.39966713999999</v>
      </c>
      <c r="AG1802">
        <v>27</v>
      </c>
      <c r="AH1802">
        <v>8</v>
      </c>
      <c r="AI1802">
        <v>2</v>
      </c>
      <c r="AJ1802">
        <v>1</v>
      </c>
      <c r="AK1802">
        <v>4</v>
      </c>
      <c r="AL1802">
        <v>7</v>
      </c>
      <c r="AM1802">
        <v>4</v>
      </c>
      <c r="AN1802">
        <v>0</v>
      </c>
      <c r="AO1802">
        <v>18</v>
      </c>
      <c r="AP1802">
        <v>0</v>
      </c>
      <c r="AQ1802">
        <v>18</v>
      </c>
      <c r="AR1802">
        <v>0</v>
      </c>
      <c r="AS1802">
        <v>0</v>
      </c>
      <c r="AT1802">
        <v>0</v>
      </c>
    </row>
    <row r="1803" spans="1:46">
      <c r="A1803">
        <v>41010</v>
      </c>
      <c r="B1803" t="s">
        <v>10686</v>
      </c>
      <c r="C1803" t="s">
        <v>10687</v>
      </c>
      <c r="E1803" t="s">
        <v>10688</v>
      </c>
      <c r="G1803" t="s">
        <v>1594</v>
      </c>
      <c r="H1803" t="s">
        <v>343</v>
      </c>
      <c r="J1803" t="s">
        <v>518</v>
      </c>
      <c r="K1803" t="s">
        <v>519</v>
      </c>
      <c r="L1803" t="s">
        <v>4205</v>
      </c>
      <c r="M1803" t="s">
        <v>1297</v>
      </c>
      <c r="N1803" t="s">
        <v>727</v>
      </c>
      <c r="O1803" t="s">
        <v>1470</v>
      </c>
      <c r="P1803" t="s">
        <v>523</v>
      </c>
      <c r="Q1803" t="s">
        <v>1471</v>
      </c>
      <c r="R1803" t="s">
        <v>1472</v>
      </c>
      <c r="S1803" t="s">
        <v>1473</v>
      </c>
      <c r="T1803" t="s">
        <v>1474</v>
      </c>
      <c r="U1803">
        <v>203600</v>
      </c>
      <c r="V1803" t="s">
        <v>1594</v>
      </c>
      <c r="W1803" t="s">
        <v>1595</v>
      </c>
      <c r="X1803" t="s">
        <v>10125</v>
      </c>
      <c r="Y1803" t="s">
        <v>4208</v>
      </c>
      <c r="Z1803" t="s">
        <v>4209</v>
      </c>
      <c r="AA1803" t="s">
        <v>4210</v>
      </c>
      <c r="AB1803" t="s">
        <v>10126</v>
      </c>
      <c r="AE1803">
        <v>-38.460766069999998</v>
      </c>
      <c r="AF1803">
        <v>176.71575272999999</v>
      </c>
      <c r="AG1803">
        <v>36</v>
      </c>
      <c r="AH1803">
        <v>8</v>
      </c>
      <c r="AI1803">
        <v>0</v>
      </c>
      <c r="AJ1803">
        <v>4</v>
      </c>
      <c r="AK1803">
        <v>2</v>
      </c>
      <c r="AL1803">
        <v>8</v>
      </c>
      <c r="AM1803">
        <v>2</v>
      </c>
      <c r="AN1803">
        <v>0</v>
      </c>
      <c r="AO1803">
        <v>16</v>
      </c>
      <c r="AP1803">
        <v>0</v>
      </c>
      <c r="AQ1803">
        <v>15</v>
      </c>
      <c r="AR1803">
        <v>1</v>
      </c>
      <c r="AS1803">
        <v>0</v>
      </c>
      <c r="AT1803">
        <v>0</v>
      </c>
    </row>
    <row r="1804" spans="1:46">
      <c r="A1804">
        <v>41011</v>
      </c>
      <c r="B1804" t="s">
        <v>10689</v>
      </c>
      <c r="C1804" t="s">
        <v>10690</v>
      </c>
      <c r="E1804" t="s">
        <v>10304</v>
      </c>
      <c r="G1804" t="s">
        <v>10691</v>
      </c>
      <c r="H1804" t="s">
        <v>343</v>
      </c>
      <c r="J1804" t="s">
        <v>518</v>
      </c>
      <c r="K1804" t="s">
        <v>519</v>
      </c>
      <c r="L1804" t="s">
        <v>4205</v>
      </c>
      <c r="M1804" t="s">
        <v>1297</v>
      </c>
      <c r="N1804" t="s">
        <v>727</v>
      </c>
      <c r="O1804" t="s">
        <v>1470</v>
      </c>
      <c r="P1804" t="s">
        <v>572</v>
      </c>
      <c r="Q1804" t="s">
        <v>1471</v>
      </c>
      <c r="R1804" t="s">
        <v>1472</v>
      </c>
      <c r="S1804" t="s">
        <v>1473</v>
      </c>
      <c r="T1804" t="s">
        <v>1474</v>
      </c>
      <c r="U1804">
        <v>203500</v>
      </c>
      <c r="V1804" t="s">
        <v>9954</v>
      </c>
      <c r="W1804" t="s">
        <v>1595</v>
      </c>
      <c r="X1804" t="s">
        <v>10125</v>
      </c>
      <c r="Y1804" t="s">
        <v>4208</v>
      </c>
      <c r="Z1804" t="s">
        <v>4209</v>
      </c>
      <c r="AA1804" t="s">
        <v>4210</v>
      </c>
      <c r="AB1804" t="s">
        <v>10126</v>
      </c>
      <c r="AE1804">
        <v>-38.340739769999999</v>
      </c>
      <c r="AF1804">
        <v>177.11844379999999</v>
      </c>
      <c r="AG1804">
        <v>38</v>
      </c>
      <c r="AH1804">
        <v>10</v>
      </c>
      <c r="AI1804">
        <v>0</v>
      </c>
      <c r="AJ1804">
        <v>3</v>
      </c>
      <c r="AK1804">
        <v>2</v>
      </c>
      <c r="AL1804">
        <v>3</v>
      </c>
      <c r="AM1804">
        <v>3</v>
      </c>
      <c r="AN1804">
        <v>0</v>
      </c>
      <c r="AO1804">
        <v>11</v>
      </c>
      <c r="AP1804">
        <v>0</v>
      </c>
      <c r="AQ1804">
        <v>11</v>
      </c>
      <c r="AR1804">
        <v>0</v>
      </c>
      <c r="AS1804">
        <v>0</v>
      </c>
      <c r="AT1804">
        <v>0</v>
      </c>
    </row>
    <row r="1805" spans="1:46">
      <c r="A1805">
        <v>41014</v>
      </c>
      <c r="B1805" t="s">
        <v>10692</v>
      </c>
      <c r="C1805" t="s">
        <v>10693</v>
      </c>
      <c r="E1805" t="s">
        <v>10694</v>
      </c>
      <c r="G1805" t="s">
        <v>1594</v>
      </c>
      <c r="H1805" t="s">
        <v>343</v>
      </c>
      <c r="J1805" t="s">
        <v>518</v>
      </c>
      <c r="K1805" t="s">
        <v>519</v>
      </c>
      <c r="L1805" t="s">
        <v>4205</v>
      </c>
      <c r="M1805" t="s">
        <v>1297</v>
      </c>
      <c r="N1805" t="s">
        <v>727</v>
      </c>
      <c r="O1805" t="s">
        <v>1470</v>
      </c>
      <c r="P1805" t="s">
        <v>523</v>
      </c>
      <c r="Q1805" t="s">
        <v>1471</v>
      </c>
      <c r="R1805" t="s">
        <v>1472</v>
      </c>
      <c r="S1805" t="s">
        <v>1473</v>
      </c>
      <c r="T1805" t="s">
        <v>1474</v>
      </c>
      <c r="U1805">
        <v>203600</v>
      </c>
      <c r="V1805" t="s">
        <v>1594</v>
      </c>
      <c r="W1805" t="s">
        <v>1595</v>
      </c>
      <c r="X1805" t="s">
        <v>10125</v>
      </c>
      <c r="Y1805" t="s">
        <v>4208</v>
      </c>
      <c r="Z1805" t="s">
        <v>4209</v>
      </c>
      <c r="AA1805" t="s">
        <v>4210</v>
      </c>
      <c r="AB1805" t="s">
        <v>10126</v>
      </c>
      <c r="AE1805">
        <v>-38.450778620000001</v>
      </c>
      <c r="AF1805">
        <v>176.70315771</v>
      </c>
      <c r="AG1805">
        <v>34</v>
      </c>
      <c r="AH1805">
        <v>12</v>
      </c>
      <c r="AI1805">
        <v>1</v>
      </c>
      <c r="AJ1805">
        <v>6</v>
      </c>
      <c r="AK1805">
        <v>10</v>
      </c>
      <c r="AL1805">
        <v>9</v>
      </c>
      <c r="AM1805">
        <v>6</v>
      </c>
      <c r="AN1805">
        <v>0</v>
      </c>
      <c r="AO1805">
        <v>32</v>
      </c>
      <c r="AP1805">
        <v>0</v>
      </c>
      <c r="AQ1805">
        <v>32</v>
      </c>
      <c r="AR1805">
        <v>0</v>
      </c>
      <c r="AS1805">
        <v>0</v>
      </c>
      <c r="AT1805">
        <v>0</v>
      </c>
    </row>
    <row r="1806" spans="1:46">
      <c r="A1806">
        <v>41016</v>
      </c>
      <c r="B1806" t="s">
        <v>10695</v>
      </c>
      <c r="C1806" t="s">
        <v>10696</v>
      </c>
      <c r="E1806" t="s">
        <v>10697</v>
      </c>
      <c r="F1806" t="s">
        <v>10698</v>
      </c>
      <c r="G1806" t="s">
        <v>1521</v>
      </c>
      <c r="H1806" t="s">
        <v>343</v>
      </c>
      <c r="J1806" t="s">
        <v>518</v>
      </c>
      <c r="K1806" t="s">
        <v>519</v>
      </c>
      <c r="L1806" t="s">
        <v>4205</v>
      </c>
      <c r="M1806" t="s">
        <v>1297</v>
      </c>
      <c r="N1806" t="s">
        <v>727</v>
      </c>
      <c r="O1806" t="s">
        <v>1522</v>
      </c>
      <c r="P1806" t="s">
        <v>572</v>
      </c>
      <c r="Q1806" t="s">
        <v>1299</v>
      </c>
      <c r="R1806" t="s">
        <v>1472</v>
      </c>
      <c r="S1806" t="s">
        <v>1521</v>
      </c>
      <c r="T1806" t="s">
        <v>1474</v>
      </c>
      <c r="U1806">
        <v>201600</v>
      </c>
      <c r="V1806" t="s">
        <v>9982</v>
      </c>
      <c r="W1806" t="s">
        <v>9827</v>
      </c>
      <c r="X1806" t="s">
        <v>8447</v>
      </c>
      <c r="Y1806" t="s">
        <v>4208</v>
      </c>
      <c r="Z1806" t="s">
        <v>4209</v>
      </c>
      <c r="AA1806" t="s">
        <v>4210</v>
      </c>
      <c r="AB1806" t="s">
        <v>8448</v>
      </c>
      <c r="AE1806">
        <v>-38.23832505</v>
      </c>
      <c r="AF1806">
        <v>176.17248085</v>
      </c>
      <c r="AG1806">
        <v>44</v>
      </c>
      <c r="AH1806">
        <v>20</v>
      </c>
      <c r="AI1806">
        <v>4</v>
      </c>
      <c r="AJ1806">
        <v>5</v>
      </c>
      <c r="AK1806">
        <v>6</v>
      </c>
      <c r="AL1806">
        <v>5</v>
      </c>
      <c r="AM1806">
        <v>7</v>
      </c>
      <c r="AN1806">
        <v>0</v>
      </c>
      <c r="AO1806">
        <v>27</v>
      </c>
      <c r="AP1806">
        <v>0</v>
      </c>
      <c r="AQ1806">
        <v>27</v>
      </c>
      <c r="AR1806">
        <v>0</v>
      </c>
      <c r="AS1806">
        <v>0</v>
      </c>
      <c r="AT1806">
        <v>0</v>
      </c>
    </row>
    <row r="1807" spans="1:46">
      <c r="A1807">
        <v>42000</v>
      </c>
      <c r="B1807" t="s">
        <v>10699</v>
      </c>
      <c r="C1807" t="s">
        <v>10700</v>
      </c>
      <c r="E1807" t="s">
        <v>10701</v>
      </c>
      <c r="G1807" t="s">
        <v>10702</v>
      </c>
      <c r="H1807" t="s">
        <v>343</v>
      </c>
      <c r="J1807" t="s">
        <v>518</v>
      </c>
      <c r="K1807" t="s">
        <v>519</v>
      </c>
      <c r="L1807" t="s">
        <v>4205</v>
      </c>
      <c r="M1807" t="s">
        <v>1297</v>
      </c>
      <c r="N1807" t="s">
        <v>557</v>
      </c>
      <c r="O1807" t="s">
        <v>1743</v>
      </c>
      <c r="P1807" t="s">
        <v>523</v>
      </c>
      <c r="Q1807" t="s">
        <v>1471</v>
      </c>
      <c r="R1807" t="s">
        <v>1300</v>
      </c>
      <c r="S1807" t="s">
        <v>1438</v>
      </c>
      <c r="T1807" t="s">
        <v>1474</v>
      </c>
      <c r="U1807">
        <v>190200</v>
      </c>
      <c r="V1807" t="s">
        <v>9190</v>
      </c>
      <c r="W1807" t="s">
        <v>3789</v>
      </c>
      <c r="X1807" t="s">
        <v>10125</v>
      </c>
      <c r="Y1807" t="s">
        <v>4208</v>
      </c>
      <c r="Z1807" t="s">
        <v>4209</v>
      </c>
      <c r="AA1807" t="s">
        <v>4210</v>
      </c>
      <c r="AB1807" t="s">
        <v>10126</v>
      </c>
      <c r="AE1807">
        <v>-37.447993889999999</v>
      </c>
      <c r="AF1807">
        <v>175.9728653</v>
      </c>
      <c r="AG1807">
        <v>30</v>
      </c>
      <c r="AH1807">
        <v>10</v>
      </c>
      <c r="AI1807">
        <v>1</v>
      </c>
      <c r="AJ1807">
        <v>1</v>
      </c>
      <c r="AK1807">
        <v>5</v>
      </c>
      <c r="AL1807">
        <v>3</v>
      </c>
      <c r="AM1807">
        <v>3</v>
      </c>
      <c r="AN1807">
        <v>0</v>
      </c>
      <c r="AO1807">
        <v>13</v>
      </c>
      <c r="AP1807">
        <v>0</v>
      </c>
      <c r="AQ1807">
        <v>13</v>
      </c>
      <c r="AR1807">
        <v>0</v>
      </c>
      <c r="AS1807">
        <v>0</v>
      </c>
      <c r="AT1807">
        <v>0</v>
      </c>
    </row>
    <row r="1808" spans="1:46">
      <c r="A1808">
        <v>42001</v>
      </c>
      <c r="B1808" t="s">
        <v>10703</v>
      </c>
      <c r="C1808" t="s">
        <v>10704</v>
      </c>
      <c r="E1808" t="s">
        <v>10705</v>
      </c>
      <c r="F1808" t="s">
        <v>8375</v>
      </c>
      <c r="G1808" t="s">
        <v>1598</v>
      </c>
      <c r="H1808" t="s">
        <v>343</v>
      </c>
      <c r="J1808" t="s">
        <v>518</v>
      </c>
      <c r="K1808" t="s">
        <v>519</v>
      </c>
      <c r="L1808" t="s">
        <v>4205</v>
      </c>
      <c r="M1808" t="s">
        <v>1297</v>
      </c>
      <c r="N1808" t="s">
        <v>521</v>
      </c>
      <c r="O1808" t="s">
        <v>1698</v>
      </c>
      <c r="P1808" t="s">
        <v>654</v>
      </c>
      <c r="Q1808" t="s">
        <v>1471</v>
      </c>
      <c r="R1808" t="s">
        <v>1472</v>
      </c>
      <c r="S1808" t="s">
        <v>1598</v>
      </c>
      <c r="T1808" t="s">
        <v>1474</v>
      </c>
      <c r="U1808">
        <v>193900</v>
      </c>
      <c r="V1808" t="s">
        <v>8376</v>
      </c>
      <c r="W1808" t="s">
        <v>1724</v>
      </c>
      <c r="X1808" t="s">
        <v>10125</v>
      </c>
      <c r="Y1808" t="s">
        <v>4208</v>
      </c>
      <c r="Z1808" t="s">
        <v>4209</v>
      </c>
      <c r="AA1808" t="s">
        <v>4210</v>
      </c>
      <c r="AB1808" t="s">
        <v>10126</v>
      </c>
      <c r="AE1808">
        <v>-37.66955257</v>
      </c>
      <c r="AF1808">
        <v>176.18358079999999</v>
      </c>
      <c r="AG1808">
        <v>20</v>
      </c>
      <c r="AH1808">
        <v>10</v>
      </c>
      <c r="AI1808">
        <v>0</v>
      </c>
      <c r="AJ1808">
        <v>4</v>
      </c>
      <c r="AK1808">
        <v>5</v>
      </c>
      <c r="AL1808">
        <v>4</v>
      </c>
      <c r="AM1808">
        <v>2</v>
      </c>
      <c r="AN1808">
        <v>0</v>
      </c>
      <c r="AO1808">
        <v>15</v>
      </c>
      <c r="AP1808">
        <v>0</v>
      </c>
      <c r="AQ1808">
        <v>14</v>
      </c>
      <c r="AR1808">
        <v>0</v>
      </c>
      <c r="AS1808">
        <v>0</v>
      </c>
      <c r="AT1808">
        <v>1</v>
      </c>
    </row>
    <row r="1809" spans="1:46">
      <c r="A1809">
        <v>43001</v>
      </c>
      <c r="B1809" t="s">
        <v>10706</v>
      </c>
      <c r="C1809" t="s">
        <v>10707</v>
      </c>
      <c r="E1809" t="s">
        <v>10708</v>
      </c>
      <c r="G1809" t="s">
        <v>1679</v>
      </c>
      <c r="H1809" t="s">
        <v>343</v>
      </c>
      <c r="J1809" t="s">
        <v>518</v>
      </c>
      <c r="K1809" t="s">
        <v>519</v>
      </c>
      <c r="L1809" t="s">
        <v>4205</v>
      </c>
      <c r="M1809" t="s">
        <v>1297</v>
      </c>
      <c r="N1809" t="s">
        <v>727</v>
      </c>
      <c r="O1809" t="s">
        <v>1546</v>
      </c>
      <c r="P1809" t="s">
        <v>523</v>
      </c>
      <c r="Q1809" t="s">
        <v>1299</v>
      </c>
      <c r="R1809" t="s">
        <v>1472</v>
      </c>
      <c r="S1809" t="s">
        <v>1320</v>
      </c>
      <c r="T1809" t="s">
        <v>1474</v>
      </c>
      <c r="U1809">
        <v>189700</v>
      </c>
      <c r="V1809" t="s">
        <v>1680</v>
      </c>
      <c r="W1809" t="s">
        <v>1681</v>
      </c>
      <c r="X1809" t="s">
        <v>8447</v>
      </c>
      <c r="Y1809" t="s">
        <v>4208</v>
      </c>
      <c r="Z1809" t="s">
        <v>4209</v>
      </c>
      <c r="AA1809" t="s">
        <v>4210</v>
      </c>
      <c r="AB1809" t="s">
        <v>8448</v>
      </c>
      <c r="AE1809">
        <v>-38.987883369999999</v>
      </c>
      <c r="AF1809">
        <v>175.80374950999999</v>
      </c>
      <c r="AG1809">
        <v>18</v>
      </c>
      <c r="AH1809">
        <v>0</v>
      </c>
      <c r="AI1809">
        <v>0</v>
      </c>
      <c r="AJ1809">
        <v>0</v>
      </c>
      <c r="AK1809">
        <v>7</v>
      </c>
      <c r="AL1809">
        <v>5</v>
      </c>
      <c r="AM1809">
        <v>5</v>
      </c>
      <c r="AN1809">
        <v>0</v>
      </c>
      <c r="AO1809">
        <v>17</v>
      </c>
      <c r="AP1809">
        <v>0</v>
      </c>
      <c r="AQ1809">
        <v>17</v>
      </c>
      <c r="AR1809">
        <v>0</v>
      </c>
      <c r="AS1809">
        <v>0</v>
      </c>
      <c r="AT1809">
        <v>0</v>
      </c>
    </row>
    <row r="1810" spans="1:46">
      <c r="A1810">
        <v>43002</v>
      </c>
      <c r="B1810" t="s">
        <v>10709</v>
      </c>
      <c r="C1810" t="s">
        <v>10710</v>
      </c>
      <c r="E1810" t="s">
        <v>10711</v>
      </c>
      <c r="G1810" t="s">
        <v>1545</v>
      </c>
      <c r="H1810" t="s">
        <v>343</v>
      </c>
      <c r="J1810" t="s">
        <v>518</v>
      </c>
      <c r="K1810" t="s">
        <v>519</v>
      </c>
      <c r="L1810" t="s">
        <v>4205</v>
      </c>
      <c r="M1810" t="s">
        <v>1297</v>
      </c>
      <c r="N1810" t="s">
        <v>521</v>
      </c>
      <c r="O1810" t="s">
        <v>1546</v>
      </c>
      <c r="P1810" t="s">
        <v>1262</v>
      </c>
      <c r="Q1810" t="s">
        <v>1299</v>
      </c>
      <c r="R1810" t="s">
        <v>1472</v>
      </c>
      <c r="S1810" t="s">
        <v>1320</v>
      </c>
      <c r="T1810" t="s">
        <v>1474</v>
      </c>
      <c r="U1810">
        <v>188701</v>
      </c>
      <c r="V1810" t="s">
        <v>10712</v>
      </c>
      <c r="W1810" t="s">
        <v>1548</v>
      </c>
      <c r="X1810" t="s">
        <v>8447</v>
      </c>
      <c r="Y1810" t="s">
        <v>4208</v>
      </c>
      <c r="Z1810" t="s">
        <v>4209</v>
      </c>
      <c r="AA1810" t="s">
        <v>4210</v>
      </c>
      <c r="AB1810" t="s">
        <v>8448</v>
      </c>
      <c r="AE1810">
        <v>-38.685148910000002</v>
      </c>
      <c r="AF1810">
        <v>176.09975378999999</v>
      </c>
      <c r="AG1810">
        <v>18</v>
      </c>
      <c r="AH1810">
        <v>6</v>
      </c>
      <c r="AI1810">
        <v>1</v>
      </c>
      <c r="AJ1810">
        <v>1</v>
      </c>
      <c r="AK1810">
        <v>6</v>
      </c>
      <c r="AL1810">
        <v>6</v>
      </c>
      <c r="AM1810">
        <v>3</v>
      </c>
      <c r="AN1810">
        <v>0</v>
      </c>
      <c r="AO1810">
        <v>17</v>
      </c>
      <c r="AP1810">
        <v>0</v>
      </c>
      <c r="AQ1810">
        <v>16</v>
      </c>
      <c r="AR1810">
        <v>1</v>
      </c>
      <c r="AS1810">
        <v>0</v>
      </c>
      <c r="AT1810">
        <v>0</v>
      </c>
    </row>
    <row r="1811" spans="1:46">
      <c r="A1811">
        <v>44000</v>
      </c>
      <c r="B1811" t="s">
        <v>10713</v>
      </c>
      <c r="C1811" t="s">
        <v>10714</v>
      </c>
      <c r="E1811" t="s">
        <v>10715</v>
      </c>
      <c r="G1811" t="s">
        <v>1742</v>
      </c>
      <c r="H1811" t="s">
        <v>343</v>
      </c>
      <c r="J1811" t="s">
        <v>518</v>
      </c>
      <c r="K1811" t="s">
        <v>519</v>
      </c>
      <c r="L1811" t="s">
        <v>4205</v>
      </c>
      <c r="M1811" t="s">
        <v>1297</v>
      </c>
      <c r="N1811" t="s">
        <v>521</v>
      </c>
      <c r="O1811" t="s">
        <v>1743</v>
      </c>
      <c r="P1811" t="s">
        <v>523</v>
      </c>
      <c r="Q1811" t="s">
        <v>1471</v>
      </c>
      <c r="R1811" t="s">
        <v>1472</v>
      </c>
      <c r="S1811" t="s">
        <v>1521</v>
      </c>
      <c r="T1811" t="s">
        <v>1474</v>
      </c>
      <c r="U1811">
        <v>191901</v>
      </c>
      <c r="V1811" t="s">
        <v>10199</v>
      </c>
      <c r="W1811" t="s">
        <v>1745</v>
      </c>
      <c r="X1811" t="s">
        <v>8447</v>
      </c>
      <c r="Y1811" t="s">
        <v>4208</v>
      </c>
      <c r="Z1811" t="s">
        <v>4209</v>
      </c>
      <c r="AA1811" t="s">
        <v>4210</v>
      </c>
      <c r="AB1811" t="s">
        <v>8448</v>
      </c>
      <c r="AE1811">
        <v>-37.781693060000002</v>
      </c>
      <c r="AF1811">
        <v>176.31427409</v>
      </c>
      <c r="AG1811">
        <v>20</v>
      </c>
      <c r="AH1811">
        <v>10</v>
      </c>
      <c r="AI1811">
        <v>0</v>
      </c>
      <c r="AJ1811">
        <v>6</v>
      </c>
      <c r="AK1811">
        <v>8</v>
      </c>
      <c r="AL1811">
        <v>3</v>
      </c>
      <c r="AM1811">
        <v>3</v>
      </c>
      <c r="AN1811">
        <v>0</v>
      </c>
      <c r="AO1811">
        <v>20</v>
      </c>
      <c r="AP1811">
        <v>0</v>
      </c>
      <c r="AQ1811">
        <v>20</v>
      </c>
      <c r="AR1811">
        <v>0</v>
      </c>
      <c r="AS1811">
        <v>0</v>
      </c>
      <c r="AT1811">
        <v>0</v>
      </c>
    </row>
    <row r="1812" spans="1:46">
      <c r="A1812">
        <v>44003</v>
      </c>
      <c r="B1812" t="s">
        <v>10716</v>
      </c>
      <c r="C1812" t="s">
        <v>10717</v>
      </c>
      <c r="E1812" t="s">
        <v>10718</v>
      </c>
      <c r="F1812" t="s">
        <v>1605</v>
      </c>
      <c r="G1812" t="s">
        <v>1521</v>
      </c>
      <c r="H1812" t="s">
        <v>343</v>
      </c>
      <c r="J1812" t="s">
        <v>518</v>
      </c>
      <c r="K1812" t="s">
        <v>519</v>
      </c>
      <c r="L1812" t="s">
        <v>4205</v>
      </c>
      <c r="M1812" t="s">
        <v>1297</v>
      </c>
      <c r="N1812" t="s">
        <v>557</v>
      </c>
      <c r="O1812" t="s">
        <v>1522</v>
      </c>
      <c r="P1812" t="s">
        <v>523</v>
      </c>
      <c r="Q1812" t="s">
        <v>1471</v>
      </c>
      <c r="R1812" t="s">
        <v>1472</v>
      </c>
      <c r="S1812" t="s">
        <v>1521</v>
      </c>
      <c r="T1812" t="s">
        <v>1474</v>
      </c>
      <c r="U1812">
        <v>198100</v>
      </c>
      <c r="V1812" t="s">
        <v>9887</v>
      </c>
      <c r="W1812" t="s">
        <v>1523</v>
      </c>
      <c r="X1812" t="s">
        <v>8447</v>
      </c>
      <c r="Y1812" t="s">
        <v>4208</v>
      </c>
      <c r="Z1812" t="s">
        <v>4209</v>
      </c>
      <c r="AA1812" t="s">
        <v>4210</v>
      </c>
      <c r="AB1812" t="s">
        <v>8448</v>
      </c>
      <c r="AE1812">
        <v>-38.074578440000003</v>
      </c>
      <c r="AF1812">
        <v>176.21256292999999</v>
      </c>
      <c r="AG1812">
        <v>25</v>
      </c>
      <c r="AH1812">
        <v>6</v>
      </c>
      <c r="AI1812">
        <v>0</v>
      </c>
      <c r="AJ1812">
        <v>5</v>
      </c>
      <c r="AK1812">
        <v>7</v>
      </c>
      <c r="AL1812">
        <v>3</v>
      </c>
      <c r="AM1812">
        <v>4</v>
      </c>
      <c r="AN1812">
        <v>0</v>
      </c>
      <c r="AO1812">
        <v>19</v>
      </c>
      <c r="AP1812">
        <v>0</v>
      </c>
      <c r="AQ1812">
        <v>19</v>
      </c>
      <c r="AR1812">
        <v>0</v>
      </c>
      <c r="AS1812">
        <v>0</v>
      </c>
      <c r="AT1812">
        <v>0</v>
      </c>
    </row>
    <row r="1813" spans="1:46">
      <c r="A1813">
        <v>44004</v>
      </c>
      <c r="B1813" t="s">
        <v>10719</v>
      </c>
      <c r="C1813" t="s">
        <v>10720</v>
      </c>
      <c r="E1813" t="s">
        <v>10721</v>
      </c>
      <c r="G1813" t="s">
        <v>1742</v>
      </c>
      <c r="H1813" t="s">
        <v>343</v>
      </c>
      <c r="J1813" t="s">
        <v>518</v>
      </c>
      <c r="K1813" t="s">
        <v>519</v>
      </c>
      <c r="L1813" t="s">
        <v>4205</v>
      </c>
      <c r="M1813" t="s">
        <v>1297</v>
      </c>
      <c r="N1813" t="s">
        <v>727</v>
      </c>
      <c r="O1813" t="s">
        <v>1743</v>
      </c>
      <c r="P1813" t="s">
        <v>572</v>
      </c>
      <c r="Q1813" t="s">
        <v>1471</v>
      </c>
      <c r="R1813" t="s">
        <v>1472</v>
      </c>
      <c r="S1813" t="s">
        <v>1521</v>
      </c>
      <c r="T1813" t="s">
        <v>1474</v>
      </c>
      <c r="U1813">
        <v>192000</v>
      </c>
      <c r="V1813" t="s">
        <v>10722</v>
      </c>
      <c r="W1813" t="s">
        <v>1745</v>
      </c>
      <c r="X1813" t="s">
        <v>8447</v>
      </c>
      <c r="Y1813" t="s">
        <v>4208</v>
      </c>
      <c r="Z1813" t="s">
        <v>4209</v>
      </c>
      <c r="AA1813" t="s">
        <v>4210</v>
      </c>
      <c r="AB1813" t="s">
        <v>8448</v>
      </c>
      <c r="AE1813">
        <v>-37.792042420000001</v>
      </c>
      <c r="AF1813">
        <v>176.35979327000001</v>
      </c>
      <c r="AG1813">
        <v>30</v>
      </c>
      <c r="AH1813">
        <v>10</v>
      </c>
      <c r="AI1813">
        <v>2</v>
      </c>
      <c r="AJ1813">
        <v>2</v>
      </c>
      <c r="AK1813">
        <v>4</v>
      </c>
      <c r="AL1813">
        <v>3</v>
      </c>
      <c r="AM1813">
        <v>4</v>
      </c>
      <c r="AN1813">
        <v>0</v>
      </c>
      <c r="AO1813">
        <v>15</v>
      </c>
      <c r="AP1813">
        <v>0</v>
      </c>
      <c r="AQ1813">
        <v>15</v>
      </c>
      <c r="AR1813">
        <v>0</v>
      </c>
      <c r="AS1813">
        <v>0</v>
      </c>
      <c r="AT1813">
        <v>0</v>
      </c>
    </row>
    <row r="1814" spans="1:46">
      <c r="A1814">
        <v>45004</v>
      </c>
      <c r="B1814" t="s">
        <v>10723</v>
      </c>
      <c r="C1814" t="s">
        <v>10724</v>
      </c>
      <c r="D1814" t="s">
        <v>10725</v>
      </c>
      <c r="E1814" t="s">
        <v>10726</v>
      </c>
      <c r="F1814" t="s">
        <v>8472</v>
      </c>
      <c r="G1814" t="s">
        <v>1598</v>
      </c>
      <c r="H1814" t="s">
        <v>3942</v>
      </c>
      <c r="J1814" t="s">
        <v>518</v>
      </c>
      <c r="K1814" t="s">
        <v>519</v>
      </c>
      <c r="M1814" t="s">
        <v>1297</v>
      </c>
      <c r="N1814" t="s">
        <v>571</v>
      </c>
      <c r="O1814" t="s">
        <v>1698</v>
      </c>
      <c r="P1814" t="s">
        <v>654</v>
      </c>
      <c r="Q1814" t="s">
        <v>1471</v>
      </c>
      <c r="R1814" t="s">
        <v>1472</v>
      </c>
      <c r="S1814" t="s">
        <v>1598</v>
      </c>
      <c r="T1814" t="s">
        <v>1474</v>
      </c>
      <c r="U1814">
        <v>193000</v>
      </c>
      <c r="V1814" t="s">
        <v>10130</v>
      </c>
      <c r="W1814" t="s">
        <v>1709</v>
      </c>
      <c r="X1814" t="s">
        <v>10727</v>
      </c>
      <c r="Y1814" t="s">
        <v>10728</v>
      </c>
      <c r="Z1814" t="s">
        <v>8472</v>
      </c>
      <c r="AA1814" t="s">
        <v>10729</v>
      </c>
      <c r="AB1814" t="s">
        <v>10730</v>
      </c>
      <c r="AC1814">
        <v>99036</v>
      </c>
      <c r="AD1814" t="s">
        <v>1710</v>
      </c>
      <c r="AE1814">
        <v>-37.691018669999998</v>
      </c>
      <c r="AF1814">
        <v>176.10898800000001</v>
      </c>
      <c r="AG1814">
        <v>35</v>
      </c>
      <c r="AH1814">
        <v>0</v>
      </c>
      <c r="AI1814">
        <v>0</v>
      </c>
      <c r="AJ1814">
        <v>0</v>
      </c>
      <c r="AK1814">
        <v>1</v>
      </c>
      <c r="AL1814">
        <v>11</v>
      </c>
      <c r="AM1814">
        <v>17</v>
      </c>
      <c r="AN1814">
        <v>1</v>
      </c>
      <c r="AO1814">
        <v>30</v>
      </c>
      <c r="AP1814">
        <v>21</v>
      </c>
      <c r="AQ1814">
        <v>9</v>
      </c>
      <c r="AR1814">
        <v>2</v>
      </c>
      <c r="AS1814">
        <v>3</v>
      </c>
      <c r="AT1814">
        <v>8</v>
      </c>
    </row>
    <row r="1815" spans="1:46">
      <c r="A1815">
        <v>45006</v>
      </c>
      <c r="B1815" t="s">
        <v>10731</v>
      </c>
      <c r="C1815" t="s">
        <v>10732</v>
      </c>
      <c r="E1815" t="s">
        <v>10733</v>
      </c>
      <c r="F1815" t="s">
        <v>3873</v>
      </c>
      <c r="G1815" t="s">
        <v>1598</v>
      </c>
      <c r="H1815" t="s">
        <v>3942</v>
      </c>
      <c r="I1815" t="s">
        <v>3953</v>
      </c>
      <c r="J1815" t="s">
        <v>3962</v>
      </c>
      <c r="K1815" t="s">
        <v>519</v>
      </c>
      <c r="M1815" t="s">
        <v>1297</v>
      </c>
      <c r="N1815" t="s">
        <v>557</v>
      </c>
      <c r="O1815" t="s">
        <v>1698</v>
      </c>
      <c r="P1815" t="s">
        <v>654</v>
      </c>
      <c r="Q1815" t="s">
        <v>1471</v>
      </c>
      <c r="R1815" t="s">
        <v>1472</v>
      </c>
      <c r="S1815" t="s">
        <v>1699</v>
      </c>
      <c r="T1815" t="s">
        <v>1474</v>
      </c>
      <c r="U1815">
        <v>196600</v>
      </c>
      <c r="V1815" t="s">
        <v>3874</v>
      </c>
      <c r="W1815" t="s">
        <v>1731</v>
      </c>
      <c r="X1815" t="s">
        <v>10557</v>
      </c>
      <c r="Y1815" t="s">
        <v>10558</v>
      </c>
      <c r="Z1815" t="s">
        <v>9369</v>
      </c>
      <c r="AA1815" t="s">
        <v>10559</v>
      </c>
      <c r="AB1815" t="s">
        <v>10560</v>
      </c>
      <c r="AE1815">
        <v>-37.731657149999997</v>
      </c>
      <c r="AF1815">
        <v>176.18079824</v>
      </c>
      <c r="AG1815">
        <v>33</v>
      </c>
      <c r="AH1815">
        <v>0</v>
      </c>
      <c r="AI1815">
        <v>0</v>
      </c>
      <c r="AJ1815">
        <v>0</v>
      </c>
      <c r="AK1815">
        <v>0</v>
      </c>
      <c r="AL1815">
        <v>14</v>
      </c>
      <c r="AM1815">
        <v>19</v>
      </c>
      <c r="AN1815">
        <v>1</v>
      </c>
      <c r="AO1815">
        <v>34</v>
      </c>
      <c r="AP1815">
        <v>29</v>
      </c>
      <c r="AQ1815">
        <v>12</v>
      </c>
      <c r="AR1815">
        <v>4</v>
      </c>
      <c r="AS1815">
        <v>0</v>
      </c>
      <c r="AT1815">
        <v>0</v>
      </c>
    </row>
    <row r="1816" spans="1:46">
      <c r="A1816">
        <v>45013</v>
      </c>
      <c r="B1816" t="s">
        <v>10734</v>
      </c>
      <c r="C1816" t="s">
        <v>10735</v>
      </c>
      <c r="D1816" t="s">
        <v>10736</v>
      </c>
      <c r="E1816" t="s">
        <v>10737</v>
      </c>
      <c r="F1816" t="s">
        <v>10075</v>
      </c>
      <c r="G1816" t="s">
        <v>1521</v>
      </c>
      <c r="H1816" t="s">
        <v>3942</v>
      </c>
      <c r="J1816" t="s">
        <v>518</v>
      </c>
      <c r="K1816" t="s">
        <v>519</v>
      </c>
      <c r="M1816" t="s">
        <v>1297</v>
      </c>
      <c r="N1816" t="s">
        <v>521</v>
      </c>
      <c r="O1816" t="s">
        <v>1522</v>
      </c>
      <c r="P1816" t="s">
        <v>584</v>
      </c>
      <c r="Q1816" t="s">
        <v>1471</v>
      </c>
      <c r="R1816" t="s">
        <v>1472</v>
      </c>
      <c r="S1816" t="s">
        <v>1521</v>
      </c>
      <c r="T1816" t="s">
        <v>1474</v>
      </c>
      <c r="U1816">
        <v>199500</v>
      </c>
      <c r="V1816" t="s">
        <v>8705</v>
      </c>
      <c r="W1816" t="s">
        <v>1523</v>
      </c>
      <c r="X1816" t="s">
        <v>8377</v>
      </c>
      <c r="Y1816" t="s">
        <v>3944</v>
      </c>
      <c r="Z1816" t="s">
        <v>3945</v>
      </c>
      <c r="AA1816" t="s">
        <v>3946</v>
      </c>
      <c r="AB1816" t="s">
        <v>8378</v>
      </c>
      <c r="AC1816">
        <v>99107</v>
      </c>
      <c r="AD1816" t="s">
        <v>1526</v>
      </c>
      <c r="AE1816">
        <v>-38.139932440000003</v>
      </c>
      <c r="AF1816">
        <v>176.22033146000001</v>
      </c>
      <c r="AG1816">
        <v>70</v>
      </c>
      <c r="AH1816">
        <v>12</v>
      </c>
      <c r="AI1816">
        <v>1</v>
      </c>
      <c r="AJ1816">
        <v>13</v>
      </c>
      <c r="AK1816">
        <v>17</v>
      </c>
      <c r="AL1816">
        <v>16</v>
      </c>
      <c r="AM1816">
        <v>20</v>
      </c>
      <c r="AN1816">
        <v>0</v>
      </c>
      <c r="AO1816">
        <v>67</v>
      </c>
      <c r="AP1816">
        <v>17</v>
      </c>
      <c r="AQ1816">
        <v>41</v>
      </c>
      <c r="AR1816">
        <v>8</v>
      </c>
      <c r="AS1816">
        <v>12</v>
      </c>
      <c r="AT1816">
        <v>9</v>
      </c>
    </row>
    <row r="1817" spans="1:46">
      <c r="A1817">
        <v>45014</v>
      </c>
      <c r="B1817" t="s">
        <v>10738</v>
      </c>
      <c r="C1817" t="s">
        <v>10739</v>
      </c>
      <c r="D1817" t="s">
        <v>10740</v>
      </c>
      <c r="E1817" t="s">
        <v>10741</v>
      </c>
      <c r="G1817" t="s">
        <v>1469</v>
      </c>
      <c r="H1817" t="s">
        <v>3942</v>
      </c>
      <c r="I1817" t="s">
        <v>4065</v>
      </c>
      <c r="J1817" t="s">
        <v>3962</v>
      </c>
      <c r="K1817" t="s">
        <v>519</v>
      </c>
      <c r="M1817" t="s">
        <v>1297</v>
      </c>
      <c r="N1817" t="s">
        <v>571</v>
      </c>
      <c r="O1817" t="s">
        <v>1470</v>
      </c>
      <c r="P1817" t="s">
        <v>1262</v>
      </c>
      <c r="Q1817" t="s">
        <v>1471</v>
      </c>
      <c r="R1817" t="s">
        <v>1472</v>
      </c>
      <c r="S1817" t="s">
        <v>1473</v>
      </c>
      <c r="T1817" t="s">
        <v>1474</v>
      </c>
      <c r="U1817">
        <v>202700</v>
      </c>
      <c r="V1817" t="s">
        <v>1475</v>
      </c>
      <c r="W1817" t="s">
        <v>1476</v>
      </c>
      <c r="X1817" t="s">
        <v>10742</v>
      </c>
      <c r="Y1817" t="s">
        <v>10743</v>
      </c>
      <c r="AA1817" t="s">
        <v>10507</v>
      </c>
      <c r="AB1817" t="s">
        <v>10744</v>
      </c>
      <c r="AC1817">
        <v>99016</v>
      </c>
      <c r="AD1817" t="s">
        <v>1479</v>
      </c>
      <c r="AE1817">
        <v>-37.958290040000001</v>
      </c>
      <c r="AF1817">
        <v>176.98555457000001</v>
      </c>
      <c r="AG1817">
        <v>40</v>
      </c>
      <c r="AH1817">
        <v>8</v>
      </c>
      <c r="AI1817">
        <v>0</v>
      </c>
      <c r="AJ1817">
        <v>4</v>
      </c>
      <c r="AK1817">
        <v>13</v>
      </c>
      <c r="AL1817">
        <v>8</v>
      </c>
      <c r="AM1817">
        <v>14</v>
      </c>
      <c r="AN1817">
        <v>0</v>
      </c>
      <c r="AO1817">
        <v>39</v>
      </c>
      <c r="AP1817">
        <v>27</v>
      </c>
      <c r="AQ1817">
        <v>15</v>
      </c>
      <c r="AR1817">
        <v>1</v>
      </c>
      <c r="AS1817">
        <v>4</v>
      </c>
      <c r="AT1817">
        <v>6</v>
      </c>
    </row>
    <row r="1818" spans="1:46">
      <c r="A1818">
        <v>45015</v>
      </c>
      <c r="B1818" t="s">
        <v>10745</v>
      </c>
      <c r="C1818" t="s">
        <v>10746</v>
      </c>
      <c r="E1818" t="s">
        <v>10747</v>
      </c>
      <c r="F1818" t="s">
        <v>1628</v>
      </c>
      <c r="G1818" t="s">
        <v>1521</v>
      </c>
      <c r="H1818" t="s">
        <v>3942</v>
      </c>
      <c r="J1818" t="s">
        <v>3962</v>
      </c>
      <c r="K1818" t="s">
        <v>519</v>
      </c>
      <c r="M1818" t="s">
        <v>1297</v>
      </c>
      <c r="N1818" t="s">
        <v>557</v>
      </c>
      <c r="O1818" t="s">
        <v>1522</v>
      </c>
      <c r="P1818" t="s">
        <v>584</v>
      </c>
      <c r="Q1818" t="s">
        <v>1471</v>
      </c>
      <c r="R1818" t="s">
        <v>1472</v>
      </c>
      <c r="S1818" t="s">
        <v>1521</v>
      </c>
      <c r="T1818" t="s">
        <v>1474</v>
      </c>
      <c r="U1818">
        <v>200900</v>
      </c>
      <c r="V1818" t="s">
        <v>10028</v>
      </c>
      <c r="W1818" t="s">
        <v>1523</v>
      </c>
      <c r="X1818" t="s">
        <v>10748</v>
      </c>
      <c r="Y1818" t="s">
        <v>10747</v>
      </c>
      <c r="Z1818" t="s">
        <v>1628</v>
      </c>
      <c r="AA1818" t="s">
        <v>8520</v>
      </c>
      <c r="AB1818" t="s">
        <v>10746</v>
      </c>
      <c r="AC1818">
        <v>99017</v>
      </c>
      <c r="AD1818" t="s">
        <v>1630</v>
      </c>
      <c r="AE1818">
        <v>-38.136170790000001</v>
      </c>
      <c r="AF1818">
        <v>176.28899267</v>
      </c>
      <c r="AG1818">
        <v>36</v>
      </c>
      <c r="AH1818">
        <v>10</v>
      </c>
      <c r="AI1818">
        <v>0</v>
      </c>
      <c r="AJ1818">
        <v>8</v>
      </c>
      <c r="AK1818">
        <v>12</v>
      </c>
      <c r="AL1818">
        <v>4</v>
      </c>
      <c r="AM1818">
        <v>11</v>
      </c>
      <c r="AN1818">
        <v>1</v>
      </c>
      <c r="AO1818">
        <v>36</v>
      </c>
      <c r="AP1818">
        <v>28</v>
      </c>
      <c r="AQ1818">
        <v>21</v>
      </c>
      <c r="AR1818">
        <v>4</v>
      </c>
      <c r="AS1818">
        <v>0</v>
      </c>
      <c r="AT1818">
        <v>1</v>
      </c>
    </row>
    <row r="1819" spans="1:46">
      <c r="A1819">
        <v>45018</v>
      </c>
      <c r="B1819" t="s">
        <v>10749</v>
      </c>
      <c r="C1819" t="s">
        <v>10750</v>
      </c>
      <c r="D1819" t="s">
        <v>10751</v>
      </c>
      <c r="E1819" t="s">
        <v>10752</v>
      </c>
      <c r="G1819" t="s">
        <v>3787</v>
      </c>
      <c r="H1819" t="s">
        <v>3942</v>
      </c>
      <c r="J1819" t="s">
        <v>3962</v>
      </c>
      <c r="K1819" t="s">
        <v>519</v>
      </c>
      <c r="M1819" t="s">
        <v>1297</v>
      </c>
      <c r="N1819" t="s">
        <v>557</v>
      </c>
      <c r="O1819" t="s">
        <v>1743</v>
      </c>
      <c r="P1819" t="s">
        <v>523</v>
      </c>
      <c r="Q1819" t="s">
        <v>1471</v>
      </c>
      <c r="R1819" t="s">
        <v>1472</v>
      </c>
      <c r="S1819" t="s">
        <v>1438</v>
      </c>
      <c r="T1819" t="s">
        <v>1474</v>
      </c>
      <c r="U1819">
        <v>190602</v>
      </c>
      <c r="V1819" t="s">
        <v>3788</v>
      </c>
      <c r="W1819" t="s">
        <v>3789</v>
      </c>
      <c r="X1819" t="s">
        <v>10753</v>
      </c>
      <c r="Y1819" t="s">
        <v>3981</v>
      </c>
      <c r="AA1819" t="s">
        <v>3982</v>
      </c>
      <c r="AE1819">
        <v>-37.558561699999998</v>
      </c>
      <c r="AF1819">
        <v>175.91652450000001</v>
      </c>
      <c r="AG1819">
        <v>75</v>
      </c>
      <c r="AH1819">
        <v>25</v>
      </c>
      <c r="AI1819">
        <v>1</v>
      </c>
      <c r="AJ1819">
        <v>14</v>
      </c>
      <c r="AK1819">
        <v>18</v>
      </c>
      <c r="AL1819">
        <v>24</v>
      </c>
      <c r="AM1819">
        <v>20</v>
      </c>
      <c r="AN1819">
        <v>0</v>
      </c>
      <c r="AO1819">
        <v>77</v>
      </c>
      <c r="AP1819">
        <v>34</v>
      </c>
      <c r="AQ1819">
        <v>31</v>
      </c>
      <c r="AR1819">
        <v>8</v>
      </c>
      <c r="AS1819">
        <v>15</v>
      </c>
      <c r="AT1819">
        <v>11</v>
      </c>
    </row>
    <row r="1820" spans="1:46">
      <c r="A1820">
        <v>45021</v>
      </c>
      <c r="B1820" t="s">
        <v>8527</v>
      </c>
      <c r="C1820" t="s">
        <v>10754</v>
      </c>
      <c r="E1820" t="s">
        <v>10755</v>
      </c>
      <c r="G1820" t="s">
        <v>1545</v>
      </c>
      <c r="H1820" t="s">
        <v>3942</v>
      </c>
      <c r="J1820" t="s">
        <v>3962</v>
      </c>
      <c r="K1820" t="s">
        <v>519</v>
      </c>
      <c r="M1820" t="s">
        <v>1297</v>
      </c>
      <c r="N1820" t="s">
        <v>571</v>
      </c>
      <c r="O1820" t="s">
        <v>1546</v>
      </c>
      <c r="P1820" t="s">
        <v>1262</v>
      </c>
      <c r="Q1820" t="s">
        <v>1299</v>
      </c>
      <c r="R1820" t="s">
        <v>1472</v>
      </c>
      <c r="S1820" t="s">
        <v>1320</v>
      </c>
      <c r="T1820" t="s">
        <v>1474</v>
      </c>
      <c r="U1820">
        <v>188800</v>
      </c>
      <c r="V1820" t="s">
        <v>1575</v>
      </c>
      <c r="W1820" t="s">
        <v>1548</v>
      </c>
      <c r="X1820" t="s">
        <v>8531</v>
      </c>
      <c r="Y1820" t="s">
        <v>8532</v>
      </c>
      <c r="Z1820" t="s">
        <v>1545</v>
      </c>
      <c r="AA1820" t="s">
        <v>8533</v>
      </c>
      <c r="AB1820" t="s">
        <v>8534</v>
      </c>
      <c r="AE1820">
        <v>-38.68826601</v>
      </c>
      <c r="AF1820">
        <v>176.08577532999999</v>
      </c>
      <c r="AG1820">
        <v>73</v>
      </c>
      <c r="AH1820">
        <v>16</v>
      </c>
      <c r="AI1820">
        <v>0</v>
      </c>
      <c r="AJ1820">
        <v>15</v>
      </c>
      <c r="AK1820">
        <v>22</v>
      </c>
      <c r="AL1820">
        <v>20</v>
      </c>
      <c r="AM1820">
        <v>19</v>
      </c>
      <c r="AN1820">
        <v>1</v>
      </c>
      <c r="AO1820">
        <v>77</v>
      </c>
      <c r="AP1820">
        <v>66</v>
      </c>
      <c r="AQ1820">
        <v>27</v>
      </c>
      <c r="AR1820">
        <v>3</v>
      </c>
      <c r="AS1820">
        <v>6</v>
      </c>
      <c r="AT1820">
        <v>1</v>
      </c>
    </row>
    <row r="1821" spans="1:46">
      <c r="A1821">
        <v>45024</v>
      </c>
      <c r="B1821" t="s">
        <v>10756</v>
      </c>
      <c r="C1821" t="s">
        <v>10757</v>
      </c>
      <c r="D1821" t="s">
        <v>10758</v>
      </c>
      <c r="E1821" t="s">
        <v>10759</v>
      </c>
      <c r="F1821" t="s">
        <v>8472</v>
      </c>
      <c r="G1821" t="s">
        <v>1598</v>
      </c>
      <c r="H1821" t="s">
        <v>3942</v>
      </c>
      <c r="I1821" t="s">
        <v>3953</v>
      </c>
      <c r="J1821" t="s">
        <v>518</v>
      </c>
      <c r="K1821" t="s">
        <v>519</v>
      </c>
      <c r="M1821" t="s">
        <v>1297</v>
      </c>
      <c r="N1821" t="s">
        <v>4519</v>
      </c>
      <c r="O1821" t="s">
        <v>1698</v>
      </c>
      <c r="P1821" t="s">
        <v>654</v>
      </c>
      <c r="Q1821" t="s">
        <v>1471</v>
      </c>
      <c r="R1821" t="s">
        <v>1472</v>
      </c>
      <c r="S1821" t="s">
        <v>1598</v>
      </c>
      <c r="T1821" t="s">
        <v>1474</v>
      </c>
      <c r="U1821">
        <v>193500</v>
      </c>
      <c r="V1821" t="s">
        <v>8473</v>
      </c>
      <c r="W1821" t="s">
        <v>1709</v>
      </c>
      <c r="X1821" t="s">
        <v>8706</v>
      </c>
      <c r="Y1821" t="s">
        <v>8707</v>
      </c>
      <c r="AA1821" t="s">
        <v>8708</v>
      </c>
      <c r="AB1821" t="s">
        <v>8709</v>
      </c>
      <c r="AC1821">
        <v>99157</v>
      </c>
      <c r="AD1821" t="s">
        <v>8710</v>
      </c>
      <c r="AE1821">
        <v>-37.703119229999999</v>
      </c>
      <c r="AF1821">
        <v>176.11401176999999</v>
      </c>
      <c r="AG1821">
        <v>50</v>
      </c>
      <c r="AH1821">
        <v>15</v>
      </c>
      <c r="AI1821">
        <v>0</v>
      </c>
      <c r="AJ1821">
        <v>6</v>
      </c>
      <c r="AK1821">
        <v>16</v>
      </c>
      <c r="AL1821">
        <v>22</v>
      </c>
      <c r="AM1821">
        <v>15</v>
      </c>
      <c r="AN1821">
        <v>3</v>
      </c>
      <c r="AO1821">
        <v>62</v>
      </c>
      <c r="AP1821">
        <v>53</v>
      </c>
      <c r="AQ1821">
        <v>4</v>
      </c>
      <c r="AR1821">
        <v>1</v>
      </c>
      <c r="AS1821">
        <v>7</v>
      </c>
      <c r="AT1821">
        <v>1</v>
      </c>
    </row>
    <row r="1822" spans="1:46">
      <c r="A1822">
        <v>45025</v>
      </c>
      <c r="B1822" t="s">
        <v>10760</v>
      </c>
      <c r="C1822" t="s">
        <v>10761</v>
      </c>
      <c r="D1822" t="s">
        <v>10762</v>
      </c>
      <c r="E1822" t="s">
        <v>10763</v>
      </c>
      <c r="F1822" t="s">
        <v>8472</v>
      </c>
      <c r="G1822" t="s">
        <v>1598</v>
      </c>
      <c r="H1822" t="s">
        <v>3942</v>
      </c>
      <c r="J1822" t="s">
        <v>3962</v>
      </c>
      <c r="K1822" t="s">
        <v>519</v>
      </c>
      <c r="M1822" t="s">
        <v>1297</v>
      </c>
      <c r="N1822" t="s">
        <v>571</v>
      </c>
      <c r="O1822" t="s">
        <v>1698</v>
      </c>
      <c r="P1822" t="s">
        <v>654</v>
      </c>
      <c r="Q1822" t="s">
        <v>1471</v>
      </c>
      <c r="R1822" t="s">
        <v>1472</v>
      </c>
      <c r="S1822" t="s">
        <v>1598</v>
      </c>
      <c r="T1822" t="s">
        <v>1474</v>
      </c>
      <c r="U1822">
        <v>193500</v>
      </c>
      <c r="V1822" t="s">
        <v>8473</v>
      </c>
      <c r="W1822" t="s">
        <v>1709</v>
      </c>
      <c r="X1822" t="s">
        <v>10764</v>
      </c>
      <c r="Y1822" t="s">
        <v>10765</v>
      </c>
      <c r="Z1822" t="s">
        <v>8472</v>
      </c>
      <c r="AA1822" t="s">
        <v>8404</v>
      </c>
      <c r="AB1822" t="s">
        <v>10761</v>
      </c>
      <c r="AC1822">
        <v>99036</v>
      </c>
      <c r="AD1822" t="s">
        <v>1710</v>
      </c>
      <c r="AE1822">
        <v>-37.698986980000001</v>
      </c>
      <c r="AF1822">
        <v>176.1124451</v>
      </c>
      <c r="AG1822">
        <v>87</v>
      </c>
      <c r="AH1822">
        <v>25</v>
      </c>
      <c r="AI1822">
        <v>2</v>
      </c>
      <c r="AJ1822">
        <v>6</v>
      </c>
      <c r="AK1822">
        <v>17</v>
      </c>
      <c r="AL1822">
        <v>8</v>
      </c>
      <c r="AM1822">
        <v>23</v>
      </c>
      <c r="AN1822">
        <v>0</v>
      </c>
      <c r="AO1822">
        <v>56</v>
      </c>
      <c r="AP1822">
        <v>44</v>
      </c>
      <c r="AQ1822">
        <v>12</v>
      </c>
      <c r="AR1822">
        <v>4</v>
      </c>
      <c r="AS1822">
        <v>7</v>
      </c>
      <c r="AT1822">
        <v>4</v>
      </c>
    </row>
    <row r="1823" spans="1:46">
      <c r="A1823">
        <v>45030</v>
      </c>
      <c r="B1823" t="s">
        <v>10766</v>
      </c>
      <c r="C1823" t="s">
        <v>10767</v>
      </c>
      <c r="E1823" t="s">
        <v>10768</v>
      </c>
      <c r="F1823" t="s">
        <v>8491</v>
      </c>
      <c r="G1823" t="s">
        <v>1521</v>
      </c>
      <c r="H1823" t="s">
        <v>4032</v>
      </c>
      <c r="I1823" t="s">
        <v>4033</v>
      </c>
      <c r="J1823" t="s">
        <v>518</v>
      </c>
      <c r="K1823" t="s">
        <v>519</v>
      </c>
      <c r="M1823" t="s">
        <v>1297</v>
      </c>
      <c r="N1823" t="s">
        <v>727</v>
      </c>
      <c r="O1823" t="s">
        <v>1522</v>
      </c>
      <c r="P1823" t="s">
        <v>584</v>
      </c>
      <c r="Q1823" t="s">
        <v>1471</v>
      </c>
      <c r="R1823" t="s">
        <v>1472</v>
      </c>
      <c r="S1823" t="s">
        <v>1521</v>
      </c>
      <c r="T1823" t="s">
        <v>1474</v>
      </c>
      <c r="U1823">
        <v>200100</v>
      </c>
      <c r="V1823" t="s">
        <v>8491</v>
      </c>
      <c r="W1823" t="s">
        <v>1523</v>
      </c>
      <c r="X1823" t="s">
        <v>10769</v>
      </c>
      <c r="Y1823" t="s">
        <v>10770</v>
      </c>
      <c r="AA1823" t="s">
        <v>10771</v>
      </c>
      <c r="AB1823" t="s">
        <v>10772</v>
      </c>
      <c r="AC1823">
        <v>99019</v>
      </c>
      <c r="AD1823" t="s">
        <v>1565</v>
      </c>
      <c r="AE1823">
        <v>-38.134588030000003</v>
      </c>
      <c r="AF1823">
        <v>176.24828663</v>
      </c>
      <c r="AG1823">
        <v>7</v>
      </c>
      <c r="AH1823">
        <v>6</v>
      </c>
    </row>
    <row r="1824" spans="1:46">
      <c r="A1824">
        <v>45034</v>
      </c>
      <c r="B1824" t="s">
        <v>10773</v>
      </c>
      <c r="C1824" t="s">
        <v>10774</v>
      </c>
      <c r="E1824" t="s">
        <v>10775</v>
      </c>
      <c r="F1824" t="s">
        <v>3770</v>
      </c>
      <c r="G1824" t="s">
        <v>1598</v>
      </c>
      <c r="H1824" t="s">
        <v>3942</v>
      </c>
      <c r="J1824" t="s">
        <v>3962</v>
      </c>
      <c r="K1824" t="s">
        <v>519</v>
      </c>
      <c r="M1824" t="s">
        <v>1297</v>
      </c>
      <c r="N1824" t="s">
        <v>571</v>
      </c>
      <c r="O1824" t="s">
        <v>1698</v>
      </c>
      <c r="P1824" t="s">
        <v>654</v>
      </c>
      <c r="Q1824" t="s">
        <v>1471</v>
      </c>
      <c r="R1824" t="s">
        <v>1472</v>
      </c>
      <c r="S1824" t="s">
        <v>1699</v>
      </c>
      <c r="T1824" t="s">
        <v>1474</v>
      </c>
      <c r="U1824">
        <v>197000</v>
      </c>
      <c r="V1824" t="s">
        <v>4717</v>
      </c>
      <c r="W1824" t="s">
        <v>1701</v>
      </c>
      <c r="X1824" t="s">
        <v>10776</v>
      </c>
      <c r="Y1824" t="s">
        <v>10777</v>
      </c>
      <c r="Z1824" t="s">
        <v>3770</v>
      </c>
      <c r="AA1824" t="s">
        <v>4719</v>
      </c>
      <c r="AC1824">
        <v>99064</v>
      </c>
      <c r="AD1824" t="s">
        <v>1702</v>
      </c>
      <c r="AE1824">
        <v>-37.693718500000003</v>
      </c>
      <c r="AF1824">
        <v>176.26518720000001</v>
      </c>
      <c r="AG1824">
        <v>40</v>
      </c>
      <c r="AH1824">
        <v>10</v>
      </c>
      <c r="AI1824">
        <v>1</v>
      </c>
      <c r="AJ1824">
        <v>12</v>
      </c>
      <c r="AK1824">
        <v>9</v>
      </c>
      <c r="AL1824">
        <v>17</v>
      </c>
      <c r="AM1824">
        <v>13</v>
      </c>
      <c r="AN1824">
        <v>0</v>
      </c>
      <c r="AO1824">
        <v>52</v>
      </c>
      <c r="AP1824">
        <v>50</v>
      </c>
      <c r="AQ1824">
        <v>4</v>
      </c>
      <c r="AR1824">
        <v>1</v>
      </c>
      <c r="AS1824">
        <v>0</v>
      </c>
      <c r="AT1824">
        <v>1</v>
      </c>
    </row>
    <row r="1825" spans="1:46">
      <c r="A1825">
        <v>45037</v>
      </c>
      <c r="B1825" t="s">
        <v>10778</v>
      </c>
      <c r="C1825" t="s">
        <v>10779</v>
      </c>
      <c r="E1825" t="s">
        <v>10780</v>
      </c>
      <c r="G1825" t="s">
        <v>1545</v>
      </c>
      <c r="H1825" t="s">
        <v>3942</v>
      </c>
      <c r="J1825" t="s">
        <v>518</v>
      </c>
      <c r="K1825" t="s">
        <v>519</v>
      </c>
      <c r="M1825" t="s">
        <v>1297</v>
      </c>
      <c r="N1825" t="s">
        <v>571</v>
      </c>
      <c r="O1825" t="s">
        <v>1546</v>
      </c>
      <c r="P1825" t="s">
        <v>1262</v>
      </c>
      <c r="Q1825" t="s">
        <v>1299</v>
      </c>
      <c r="R1825" t="s">
        <v>1472</v>
      </c>
      <c r="S1825" t="s">
        <v>1320</v>
      </c>
      <c r="T1825" t="s">
        <v>1474</v>
      </c>
      <c r="U1825">
        <v>188900</v>
      </c>
      <c r="V1825" t="s">
        <v>1547</v>
      </c>
      <c r="W1825" t="s">
        <v>1548</v>
      </c>
      <c r="X1825" t="s">
        <v>10487</v>
      </c>
      <c r="Y1825" t="s">
        <v>3944</v>
      </c>
      <c r="Z1825" t="s">
        <v>3945</v>
      </c>
      <c r="AA1825" t="s">
        <v>3946</v>
      </c>
      <c r="AB1825" t="s">
        <v>10488</v>
      </c>
      <c r="AC1825">
        <v>99020</v>
      </c>
      <c r="AD1825" t="s">
        <v>1550</v>
      </c>
      <c r="AE1825">
        <v>-38.680740999999998</v>
      </c>
      <c r="AF1825">
        <v>176.08651399999999</v>
      </c>
      <c r="AG1825">
        <v>37</v>
      </c>
      <c r="AH1825">
        <v>10</v>
      </c>
      <c r="AI1825">
        <v>1</v>
      </c>
      <c r="AJ1825">
        <v>7</v>
      </c>
      <c r="AK1825">
        <v>9</v>
      </c>
      <c r="AL1825">
        <v>7</v>
      </c>
      <c r="AM1825">
        <v>16</v>
      </c>
      <c r="AN1825">
        <v>0</v>
      </c>
      <c r="AO1825">
        <v>40</v>
      </c>
      <c r="AP1825">
        <v>36</v>
      </c>
      <c r="AQ1825">
        <v>11</v>
      </c>
      <c r="AR1825">
        <v>2</v>
      </c>
      <c r="AS1825">
        <v>4</v>
      </c>
      <c r="AT1825">
        <v>2</v>
      </c>
    </row>
    <row r="1826" spans="1:46">
      <c r="A1826">
        <v>45038</v>
      </c>
      <c r="B1826" t="s">
        <v>10781</v>
      </c>
      <c r="C1826" t="s">
        <v>10782</v>
      </c>
      <c r="E1826" t="s">
        <v>10783</v>
      </c>
      <c r="F1826" t="s">
        <v>1707</v>
      </c>
      <c r="G1826" t="s">
        <v>1598</v>
      </c>
      <c r="H1826" t="s">
        <v>3942</v>
      </c>
      <c r="J1826" t="s">
        <v>518</v>
      </c>
      <c r="K1826" t="s">
        <v>519</v>
      </c>
      <c r="M1826" t="s">
        <v>1297</v>
      </c>
      <c r="N1826" t="s">
        <v>571</v>
      </c>
      <c r="O1826" t="s">
        <v>1698</v>
      </c>
      <c r="P1826" t="s">
        <v>654</v>
      </c>
      <c r="Q1826" t="s">
        <v>1471</v>
      </c>
      <c r="R1826" t="s">
        <v>1472</v>
      </c>
      <c r="S1826" t="s">
        <v>1598</v>
      </c>
      <c r="T1826" t="s">
        <v>1474</v>
      </c>
      <c r="U1826">
        <v>193201</v>
      </c>
      <c r="V1826" t="s">
        <v>10784</v>
      </c>
      <c r="W1826" t="s">
        <v>1737</v>
      </c>
      <c r="X1826" t="s">
        <v>8377</v>
      </c>
      <c r="Y1826" t="s">
        <v>3944</v>
      </c>
      <c r="Z1826" t="s">
        <v>3945</v>
      </c>
      <c r="AA1826" t="s">
        <v>3946</v>
      </c>
      <c r="AB1826" t="s">
        <v>8378</v>
      </c>
      <c r="AC1826">
        <v>99036</v>
      </c>
      <c r="AD1826" t="s">
        <v>1710</v>
      </c>
      <c r="AE1826">
        <v>-37.66683896</v>
      </c>
      <c r="AF1826">
        <v>176.1468347</v>
      </c>
      <c r="AG1826">
        <v>50</v>
      </c>
      <c r="AH1826">
        <v>15</v>
      </c>
      <c r="AI1826">
        <v>1</v>
      </c>
      <c r="AJ1826">
        <v>13</v>
      </c>
      <c r="AK1826">
        <v>13</v>
      </c>
      <c r="AL1826">
        <v>17</v>
      </c>
      <c r="AM1826">
        <v>10</v>
      </c>
      <c r="AN1826">
        <v>1</v>
      </c>
      <c r="AO1826">
        <v>55</v>
      </c>
      <c r="AP1826">
        <v>32</v>
      </c>
      <c r="AQ1826">
        <v>12</v>
      </c>
      <c r="AR1826">
        <v>1</v>
      </c>
      <c r="AS1826">
        <v>15</v>
      </c>
      <c r="AT1826">
        <v>4</v>
      </c>
    </row>
    <row r="1827" spans="1:46">
      <c r="A1827">
        <v>45040</v>
      </c>
      <c r="B1827" t="s">
        <v>10785</v>
      </c>
      <c r="C1827" t="s">
        <v>10786</v>
      </c>
      <c r="D1827" t="s">
        <v>10787</v>
      </c>
      <c r="E1827" t="s">
        <v>10788</v>
      </c>
      <c r="F1827" t="s">
        <v>3722</v>
      </c>
      <c r="G1827" t="s">
        <v>1598</v>
      </c>
      <c r="H1827" t="s">
        <v>3942</v>
      </c>
      <c r="I1827" t="s">
        <v>3953</v>
      </c>
      <c r="J1827" t="s">
        <v>518</v>
      </c>
      <c r="K1827" t="s">
        <v>519</v>
      </c>
      <c r="M1827" t="s">
        <v>1297</v>
      </c>
      <c r="N1827" t="s">
        <v>571</v>
      </c>
      <c r="O1827" t="s">
        <v>1698</v>
      </c>
      <c r="P1827" t="s">
        <v>654</v>
      </c>
      <c r="Q1827" t="s">
        <v>1471</v>
      </c>
      <c r="R1827" t="s">
        <v>1472</v>
      </c>
      <c r="S1827" t="s">
        <v>1598</v>
      </c>
      <c r="T1827" t="s">
        <v>1474</v>
      </c>
      <c r="U1827">
        <v>194801</v>
      </c>
      <c r="V1827" t="s">
        <v>3722</v>
      </c>
      <c r="W1827" t="s">
        <v>3724</v>
      </c>
      <c r="X1827" t="s">
        <v>8377</v>
      </c>
      <c r="Y1827" t="s">
        <v>3944</v>
      </c>
      <c r="Z1827" t="s">
        <v>3945</v>
      </c>
      <c r="AA1827" t="s">
        <v>3946</v>
      </c>
      <c r="AB1827" t="s">
        <v>8378</v>
      </c>
      <c r="AC1827">
        <v>99085</v>
      </c>
      <c r="AD1827" t="s">
        <v>1718</v>
      </c>
      <c r="AE1827">
        <v>-37.704549389999997</v>
      </c>
      <c r="AF1827">
        <v>176.16175865</v>
      </c>
      <c r="AG1827">
        <v>44</v>
      </c>
      <c r="AH1827">
        <v>14</v>
      </c>
      <c r="AI1827">
        <v>3</v>
      </c>
      <c r="AJ1827">
        <v>8</v>
      </c>
      <c r="AK1827">
        <v>13</v>
      </c>
      <c r="AL1827">
        <v>17</v>
      </c>
      <c r="AM1827">
        <v>12</v>
      </c>
      <c r="AN1827">
        <v>0</v>
      </c>
      <c r="AO1827">
        <v>53</v>
      </c>
      <c r="AP1827">
        <v>37</v>
      </c>
      <c r="AQ1827">
        <v>14</v>
      </c>
      <c r="AR1827">
        <v>4</v>
      </c>
      <c r="AS1827">
        <v>7</v>
      </c>
      <c r="AT1827">
        <v>7</v>
      </c>
    </row>
    <row r="1828" spans="1:46">
      <c r="A1828">
        <v>45041</v>
      </c>
      <c r="B1828" t="s">
        <v>10789</v>
      </c>
      <c r="C1828" t="s">
        <v>10790</v>
      </c>
      <c r="D1828" t="s">
        <v>10791</v>
      </c>
      <c r="E1828" t="s">
        <v>10792</v>
      </c>
      <c r="F1828" t="s">
        <v>1691</v>
      </c>
      <c r="G1828" t="s">
        <v>1521</v>
      </c>
      <c r="H1828" t="s">
        <v>3942</v>
      </c>
      <c r="I1828" t="s">
        <v>3953</v>
      </c>
      <c r="J1828" t="s">
        <v>3962</v>
      </c>
      <c r="K1828" t="s">
        <v>519</v>
      </c>
      <c r="M1828" t="s">
        <v>1297</v>
      </c>
      <c r="N1828" t="s">
        <v>557</v>
      </c>
      <c r="O1828" t="s">
        <v>1522</v>
      </c>
      <c r="P1828" t="s">
        <v>584</v>
      </c>
      <c r="Q1828" t="s">
        <v>1471</v>
      </c>
      <c r="R1828" t="s">
        <v>1472</v>
      </c>
      <c r="S1828" t="s">
        <v>1521</v>
      </c>
      <c r="T1828" t="s">
        <v>1474</v>
      </c>
      <c r="U1828">
        <v>198600</v>
      </c>
      <c r="V1828" t="s">
        <v>8610</v>
      </c>
      <c r="W1828" t="s">
        <v>1523</v>
      </c>
      <c r="X1828" t="s">
        <v>10793</v>
      </c>
      <c r="Y1828" t="s">
        <v>4658</v>
      </c>
      <c r="Z1828" t="s">
        <v>958</v>
      </c>
      <c r="AA1828" t="s">
        <v>4659</v>
      </c>
      <c r="AB1828" t="s">
        <v>10790</v>
      </c>
      <c r="AC1828">
        <v>99107</v>
      </c>
      <c r="AD1828" t="s">
        <v>1526</v>
      </c>
      <c r="AE1828">
        <v>-38.127494769999998</v>
      </c>
      <c r="AF1828">
        <v>176.20259951</v>
      </c>
      <c r="AG1828">
        <v>50</v>
      </c>
      <c r="AH1828">
        <v>16</v>
      </c>
      <c r="AI1828">
        <v>0</v>
      </c>
      <c r="AJ1828">
        <v>11</v>
      </c>
      <c r="AK1828">
        <v>9</v>
      </c>
      <c r="AL1828">
        <v>18</v>
      </c>
      <c r="AM1828">
        <v>14</v>
      </c>
      <c r="AN1828">
        <v>0</v>
      </c>
      <c r="AO1828">
        <v>52</v>
      </c>
      <c r="AP1828">
        <v>39</v>
      </c>
      <c r="AQ1828">
        <v>22</v>
      </c>
      <c r="AR1828">
        <v>4</v>
      </c>
      <c r="AS1828">
        <v>4</v>
      </c>
      <c r="AT1828">
        <v>1</v>
      </c>
    </row>
    <row r="1829" spans="1:46">
      <c r="A1829">
        <v>45045</v>
      </c>
      <c r="B1829" t="s">
        <v>10794</v>
      </c>
      <c r="C1829" t="s">
        <v>10795</v>
      </c>
      <c r="E1829" t="s">
        <v>10796</v>
      </c>
      <c r="F1829" t="s">
        <v>3873</v>
      </c>
      <c r="G1829" t="s">
        <v>1598</v>
      </c>
      <c r="H1829" t="s">
        <v>3942</v>
      </c>
      <c r="J1829" t="s">
        <v>518</v>
      </c>
      <c r="K1829" t="s">
        <v>519</v>
      </c>
      <c r="M1829" t="s">
        <v>1297</v>
      </c>
      <c r="N1829" t="s">
        <v>571</v>
      </c>
      <c r="O1829" t="s">
        <v>1698</v>
      </c>
      <c r="P1829" t="s">
        <v>654</v>
      </c>
      <c r="Q1829" t="s">
        <v>1471</v>
      </c>
      <c r="R1829" t="s">
        <v>1472</v>
      </c>
      <c r="S1829" t="s">
        <v>1699</v>
      </c>
      <c r="T1829" t="s">
        <v>1474</v>
      </c>
      <c r="U1829">
        <v>196301</v>
      </c>
      <c r="V1829" t="s">
        <v>10797</v>
      </c>
      <c r="W1829" t="s">
        <v>1731</v>
      </c>
      <c r="X1829" t="s">
        <v>8377</v>
      </c>
      <c r="Y1829" t="s">
        <v>3944</v>
      </c>
      <c r="Z1829" t="s">
        <v>3945</v>
      </c>
      <c r="AA1829" t="s">
        <v>3946</v>
      </c>
      <c r="AB1829" t="s">
        <v>8378</v>
      </c>
      <c r="AC1829">
        <v>99085</v>
      </c>
      <c r="AD1829" t="s">
        <v>1718</v>
      </c>
      <c r="AE1829">
        <v>-37.725707679999999</v>
      </c>
      <c r="AF1829">
        <v>176.18312097</v>
      </c>
      <c r="AG1829">
        <v>50</v>
      </c>
      <c r="AH1829">
        <v>14</v>
      </c>
      <c r="AI1829">
        <v>1</v>
      </c>
      <c r="AJ1829">
        <v>15</v>
      </c>
      <c r="AK1829">
        <v>15</v>
      </c>
      <c r="AL1829">
        <v>13</v>
      </c>
      <c r="AM1829">
        <v>15</v>
      </c>
      <c r="AN1829">
        <v>2</v>
      </c>
      <c r="AO1829">
        <v>61</v>
      </c>
      <c r="AP1829">
        <v>40</v>
      </c>
      <c r="AQ1829">
        <v>7</v>
      </c>
      <c r="AR1829">
        <v>0</v>
      </c>
      <c r="AS1829">
        <v>15</v>
      </c>
      <c r="AT1829">
        <v>4</v>
      </c>
    </row>
    <row r="1830" spans="1:46">
      <c r="A1830">
        <v>45051</v>
      </c>
      <c r="B1830" t="s">
        <v>10798</v>
      </c>
      <c r="C1830" t="s">
        <v>10799</v>
      </c>
      <c r="E1830" t="s">
        <v>10800</v>
      </c>
      <c r="F1830" t="s">
        <v>3194</v>
      </c>
      <c r="G1830" t="s">
        <v>2941</v>
      </c>
      <c r="H1830" t="s">
        <v>3942</v>
      </c>
      <c r="J1830" t="s">
        <v>518</v>
      </c>
      <c r="K1830" t="s">
        <v>519</v>
      </c>
      <c r="M1830" t="s">
        <v>2287</v>
      </c>
      <c r="N1830" t="s">
        <v>571</v>
      </c>
      <c r="O1830" t="s">
        <v>2942</v>
      </c>
      <c r="P1830" t="s">
        <v>654</v>
      </c>
      <c r="Q1830" t="s">
        <v>2943</v>
      </c>
      <c r="R1830" t="s">
        <v>2944</v>
      </c>
      <c r="S1830" t="s">
        <v>2979</v>
      </c>
      <c r="T1830" t="s">
        <v>2448</v>
      </c>
      <c r="U1830">
        <v>326301</v>
      </c>
      <c r="V1830" t="s">
        <v>3195</v>
      </c>
      <c r="W1830" t="s">
        <v>3196</v>
      </c>
      <c r="X1830" t="s">
        <v>10801</v>
      </c>
      <c r="Y1830" t="s">
        <v>3944</v>
      </c>
      <c r="Z1830" t="s">
        <v>3945</v>
      </c>
      <c r="AA1830" t="s">
        <v>3946</v>
      </c>
      <c r="AE1830">
        <v>-43.575361219999998</v>
      </c>
      <c r="AF1830">
        <v>172.56855952999999</v>
      </c>
      <c r="AG1830">
        <v>75</v>
      </c>
      <c r="AH1830">
        <v>25</v>
      </c>
      <c r="AI1830">
        <v>4</v>
      </c>
      <c r="AJ1830">
        <v>16</v>
      </c>
      <c r="AK1830">
        <v>17</v>
      </c>
      <c r="AL1830">
        <v>20</v>
      </c>
      <c r="AM1830">
        <v>16</v>
      </c>
      <c r="AN1830">
        <v>0</v>
      </c>
      <c r="AO1830">
        <v>73</v>
      </c>
      <c r="AP1830">
        <v>51</v>
      </c>
      <c r="AQ1830">
        <v>4</v>
      </c>
      <c r="AR1830">
        <v>2</v>
      </c>
      <c r="AS1830">
        <v>22</v>
      </c>
      <c r="AT1830">
        <v>9</v>
      </c>
    </row>
    <row r="1831" spans="1:46">
      <c r="A1831">
        <v>45054</v>
      </c>
      <c r="B1831" t="s">
        <v>10802</v>
      </c>
      <c r="C1831" t="s">
        <v>10803</v>
      </c>
      <c r="D1831" t="s">
        <v>10804</v>
      </c>
      <c r="E1831" t="s">
        <v>10805</v>
      </c>
      <c r="F1831" t="s">
        <v>2984</v>
      </c>
      <c r="G1831" t="s">
        <v>2941</v>
      </c>
      <c r="H1831" t="s">
        <v>3942</v>
      </c>
      <c r="J1831" t="s">
        <v>3962</v>
      </c>
      <c r="K1831" t="s">
        <v>519</v>
      </c>
      <c r="M1831" t="s">
        <v>2287</v>
      </c>
      <c r="N1831" t="s">
        <v>571</v>
      </c>
      <c r="O1831" t="s">
        <v>2942</v>
      </c>
      <c r="P1831" t="s">
        <v>654</v>
      </c>
      <c r="Q1831" t="s">
        <v>2943</v>
      </c>
      <c r="R1831" t="s">
        <v>2944</v>
      </c>
      <c r="S1831" t="s">
        <v>2945</v>
      </c>
      <c r="T1831" t="s">
        <v>2448</v>
      </c>
      <c r="U1831">
        <v>317800</v>
      </c>
      <c r="V1831" t="s">
        <v>2985</v>
      </c>
      <c r="W1831" t="s">
        <v>2986</v>
      </c>
      <c r="X1831" t="s">
        <v>10806</v>
      </c>
      <c r="Y1831" t="s">
        <v>4097</v>
      </c>
      <c r="Z1831" t="s">
        <v>4098</v>
      </c>
      <c r="AA1831" t="s">
        <v>4099</v>
      </c>
      <c r="AB1831" t="s">
        <v>10807</v>
      </c>
      <c r="AC1831">
        <v>99039</v>
      </c>
      <c r="AD1831" t="s">
        <v>2987</v>
      </c>
      <c r="AE1831">
        <v>-43.478531859999997</v>
      </c>
      <c r="AF1831">
        <v>172.58508947000001</v>
      </c>
      <c r="AG1831">
        <v>80</v>
      </c>
      <c r="AH1831">
        <v>25</v>
      </c>
      <c r="AI1831">
        <v>3</v>
      </c>
      <c r="AJ1831">
        <v>16</v>
      </c>
      <c r="AK1831">
        <v>24</v>
      </c>
      <c r="AL1831">
        <v>26</v>
      </c>
      <c r="AM1831">
        <v>24</v>
      </c>
      <c r="AN1831">
        <v>0</v>
      </c>
      <c r="AO1831">
        <v>93</v>
      </c>
      <c r="AP1831">
        <v>67</v>
      </c>
      <c r="AQ1831">
        <v>15</v>
      </c>
      <c r="AR1831">
        <v>11</v>
      </c>
      <c r="AS1831">
        <v>20</v>
      </c>
      <c r="AT1831">
        <v>3</v>
      </c>
    </row>
    <row r="1832" spans="1:46">
      <c r="A1832">
        <v>45055</v>
      </c>
      <c r="B1832" t="s">
        <v>10808</v>
      </c>
      <c r="C1832" t="s">
        <v>10809</v>
      </c>
      <c r="D1832" t="s">
        <v>10810</v>
      </c>
      <c r="E1832" t="s">
        <v>10811</v>
      </c>
      <c r="F1832" t="s">
        <v>10812</v>
      </c>
      <c r="G1832" t="s">
        <v>2941</v>
      </c>
      <c r="H1832" t="s">
        <v>3942</v>
      </c>
      <c r="J1832" t="s">
        <v>518</v>
      </c>
      <c r="K1832" t="s">
        <v>519</v>
      </c>
      <c r="M1832" t="s">
        <v>2287</v>
      </c>
      <c r="N1832" t="s">
        <v>571</v>
      </c>
      <c r="O1832" t="s">
        <v>2942</v>
      </c>
      <c r="P1832" t="s">
        <v>654</v>
      </c>
      <c r="Q1832" t="s">
        <v>2943</v>
      </c>
      <c r="R1832" t="s">
        <v>2944</v>
      </c>
      <c r="S1832" t="s">
        <v>2979</v>
      </c>
      <c r="T1832" t="s">
        <v>2448</v>
      </c>
      <c r="U1832">
        <v>330800</v>
      </c>
      <c r="V1832" t="s">
        <v>10812</v>
      </c>
      <c r="W1832" t="s">
        <v>2958</v>
      </c>
      <c r="X1832" t="s">
        <v>10813</v>
      </c>
      <c r="Y1832" t="s">
        <v>10811</v>
      </c>
      <c r="AA1832" t="s">
        <v>10814</v>
      </c>
      <c r="AE1832">
        <v>-43.556723669999997</v>
      </c>
      <c r="AF1832">
        <v>172.65338617</v>
      </c>
      <c r="AG1832">
        <v>50</v>
      </c>
      <c r="AH1832">
        <v>0</v>
      </c>
      <c r="AI1832">
        <v>0</v>
      </c>
      <c r="AJ1832">
        <v>0</v>
      </c>
      <c r="AK1832">
        <v>13</v>
      </c>
      <c r="AL1832">
        <v>20</v>
      </c>
      <c r="AM1832">
        <v>28</v>
      </c>
      <c r="AN1832">
        <v>1</v>
      </c>
      <c r="AO1832">
        <v>62</v>
      </c>
      <c r="AP1832">
        <v>43</v>
      </c>
      <c r="AQ1832">
        <v>8</v>
      </c>
      <c r="AR1832">
        <v>9</v>
      </c>
      <c r="AS1832">
        <v>9</v>
      </c>
      <c r="AT1832">
        <v>6</v>
      </c>
    </row>
    <row r="1833" spans="1:46">
      <c r="A1833">
        <v>45057</v>
      </c>
      <c r="B1833" t="s">
        <v>10815</v>
      </c>
      <c r="C1833" t="s">
        <v>10816</v>
      </c>
      <c r="E1833" t="s">
        <v>10817</v>
      </c>
      <c r="G1833" t="s">
        <v>2332</v>
      </c>
      <c r="H1833" t="s">
        <v>3942</v>
      </c>
      <c r="J1833" t="s">
        <v>3962</v>
      </c>
      <c r="K1833" t="s">
        <v>519</v>
      </c>
      <c r="M1833" t="s">
        <v>2287</v>
      </c>
      <c r="N1833" t="s">
        <v>571</v>
      </c>
      <c r="O1833" t="s">
        <v>2333</v>
      </c>
      <c r="P1833" t="s">
        <v>523</v>
      </c>
      <c r="Q1833" t="s">
        <v>2319</v>
      </c>
      <c r="R1833" t="s">
        <v>2289</v>
      </c>
      <c r="S1833" t="s">
        <v>2269</v>
      </c>
      <c r="T1833" t="s">
        <v>2085</v>
      </c>
      <c r="U1833">
        <v>257500</v>
      </c>
      <c r="V1833" t="s">
        <v>2332</v>
      </c>
      <c r="W1833" t="s">
        <v>2334</v>
      </c>
      <c r="X1833" t="s">
        <v>10818</v>
      </c>
      <c r="Y1833" t="s">
        <v>10817</v>
      </c>
      <c r="AA1833" t="s">
        <v>10819</v>
      </c>
      <c r="AB1833" t="s">
        <v>10820</v>
      </c>
      <c r="AC1833">
        <v>99109</v>
      </c>
      <c r="AD1833" t="s">
        <v>2335</v>
      </c>
      <c r="AE1833">
        <v>-41.116369900000002</v>
      </c>
      <c r="AF1833">
        <v>175.32989597</v>
      </c>
      <c r="AG1833">
        <v>23</v>
      </c>
      <c r="AH1833">
        <v>8</v>
      </c>
      <c r="AI1833">
        <v>3</v>
      </c>
      <c r="AJ1833">
        <v>6</v>
      </c>
      <c r="AK1833">
        <v>8</v>
      </c>
      <c r="AL1833">
        <v>6</v>
      </c>
      <c r="AM1833">
        <v>9</v>
      </c>
      <c r="AN1833">
        <v>0</v>
      </c>
      <c r="AO1833">
        <v>32</v>
      </c>
      <c r="AP1833">
        <v>31</v>
      </c>
      <c r="AQ1833">
        <v>6</v>
      </c>
      <c r="AR1833">
        <v>2</v>
      </c>
      <c r="AS1833">
        <v>2</v>
      </c>
      <c r="AT1833">
        <v>0</v>
      </c>
    </row>
    <row r="1834" spans="1:46">
      <c r="A1834">
        <v>45059</v>
      </c>
      <c r="B1834" t="s">
        <v>10821</v>
      </c>
      <c r="C1834" t="s">
        <v>10822</v>
      </c>
      <c r="D1834" t="s">
        <v>10823</v>
      </c>
      <c r="E1834" t="s">
        <v>10824</v>
      </c>
      <c r="F1834" t="s">
        <v>2528</v>
      </c>
      <c r="G1834" t="s">
        <v>2526</v>
      </c>
      <c r="H1834" t="s">
        <v>3942</v>
      </c>
      <c r="J1834" t="s">
        <v>3962</v>
      </c>
      <c r="K1834" t="s">
        <v>519</v>
      </c>
      <c r="M1834" t="s">
        <v>2287</v>
      </c>
      <c r="N1834" t="s">
        <v>571</v>
      </c>
      <c r="O1834" t="s">
        <v>2527</v>
      </c>
      <c r="P1834" t="s">
        <v>584</v>
      </c>
      <c r="Q1834" t="s">
        <v>2319</v>
      </c>
      <c r="R1834" t="s">
        <v>2289</v>
      </c>
      <c r="S1834" t="s">
        <v>2528</v>
      </c>
      <c r="T1834" t="s">
        <v>1485</v>
      </c>
      <c r="U1834">
        <v>239801</v>
      </c>
      <c r="V1834" t="s">
        <v>2720</v>
      </c>
      <c r="W1834" t="s">
        <v>2579</v>
      </c>
      <c r="X1834" t="s">
        <v>10825</v>
      </c>
      <c r="Y1834" t="s">
        <v>4658</v>
      </c>
      <c r="Z1834" t="s">
        <v>958</v>
      </c>
      <c r="AA1834" t="s">
        <v>4659</v>
      </c>
      <c r="AC1834">
        <v>99068</v>
      </c>
      <c r="AD1834" t="s">
        <v>2530</v>
      </c>
      <c r="AE1834">
        <v>-41.101475999999998</v>
      </c>
      <c r="AF1834">
        <v>174.86918661000001</v>
      </c>
      <c r="AG1834">
        <v>77</v>
      </c>
      <c r="AH1834">
        <v>25</v>
      </c>
      <c r="AI1834">
        <v>6</v>
      </c>
      <c r="AJ1834">
        <v>20</v>
      </c>
      <c r="AK1834">
        <v>18</v>
      </c>
      <c r="AL1834">
        <v>13</v>
      </c>
      <c r="AM1834">
        <v>10</v>
      </c>
      <c r="AN1834">
        <v>0</v>
      </c>
      <c r="AO1834">
        <v>67</v>
      </c>
      <c r="AP1834">
        <v>57</v>
      </c>
      <c r="AQ1834">
        <v>9</v>
      </c>
      <c r="AR1834">
        <v>6</v>
      </c>
      <c r="AS1834">
        <v>8</v>
      </c>
      <c r="AT1834">
        <v>6</v>
      </c>
    </row>
    <row r="1835" spans="1:46">
      <c r="A1835">
        <v>45065</v>
      </c>
      <c r="B1835" t="s">
        <v>10826</v>
      </c>
      <c r="C1835" t="s">
        <v>10827</v>
      </c>
      <c r="D1835" t="s">
        <v>10828</v>
      </c>
      <c r="E1835" t="s">
        <v>10829</v>
      </c>
      <c r="G1835" t="s">
        <v>4459</v>
      </c>
      <c r="H1835" t="s">
        <v>3942</v>
      </c>
      <c r="I1835" t="s">
        <v>4065</v>
      </c>
      <c r="J1835" t="s">
        <v>3962</v>
      </c>
      <c r="K1835" t="s">
        <v>519</v>
      </c>
      <c r="M1835" t="s">
        <v>520</v>
      </c>
      <c r="N1835" t="s">
        <v>571</v>
      </c>
      <c r="O1835" t="s">
        <v>653</v>
      </c>
      <c r="P1835" t="s">
        <v>584</v>
      </c>
      <c r="Q1835" t="s">
        <v>638</v>
      </c>
      <c r="R1835" t="s">
        <v>639</v>
      </c>
      <c r="S1835" t="s">
        <v>668</v>
      </c>
      <c r="T1835" t="s">
        <v>527</v>
      </c>
      <c r="U1835">
        <v>114600</v>
      </c>
      <c r="V1835" t="s">
        <v>700</v>
      </c>
      <c r="W1835" t="s">
        <v>657</v>
      </c>
      <c r="X1835" t="s">
        <v>10830</v>
      </c>
      <c r="Y1835" t="s">
        <v>10829</v>
      </c>
      <c r="Z1835" t="s">
        <v>699</v>
      </c>
      <c r="AA1835" t="s">
        <v>7883</v>
      </c>
      <c r="AB1835" t="s">
        <v>10831</v>
      </c>
      <c r="AC1835">
        <v>99095</v>
      </c>
      <c r="AD1835" t="s">
        <v>701</v>
      </c>
      <c r="AE1835">
        <v>-36.625901839999997</v>
      </c>
      <c r="AF1835">
        <v>174.72857583000001</v>
      </c>
      <c r="AG1835">
        <v>30</v>
      </c>
      <c r="AH1835">
        <v>0</v>
      </c>
      <c r="AI1835">
        <v>0</v>
      </c>
      <c r="AJ1835">
        <v>0</v>
      </c>
      <c r="AK1835">
        <v>8</v>
      </c>
      <c r="AL1835">
        <v>9</v>
      </c>
      <c r="AM1835">
        <v>12</v>
      </c>
      <c r="AN1835">
        <v>3</v>
      </c>
      <c r="AO1835">
        <v>32</v>
      </c>
      <c r="AP1835">
        <v>30</v>
      </c>
      <c r="AQ1835">
        <v>4</v>
      </c>
      <c r="AR1835">
        <v>5</v>
      </c>
      <c r="AS1835">
        <v>4</v>
      </c>
      <c r="AT1835">
        <v>2</v>
      </c>
    </row>
    <row r="1836" spans="1:46">
      <c r="A1836">
        <v>45068</v>
      </c>
      <c r="B1836" t="s">
        <v>10832</v>
      </c>
      <c r="C1836" t="s">
        <v>10833</v>
      </c>
      <c r="D1836" t="s">
        <v>10834</v>
      </c>
      <c r="E1836" t="s">
        <v>10835</v>
      </c>
      <c r="F1836" t="s">
        <v>8510</v>
      </c>
      <c r="G1836" t="s">
        <v>1296</v>
      </c>
      <c r="H1836" t="s">
        <v>3942</v>
      </c>
      <c r="J1836" t="s">
        <v>3962</v>
      </c>
      <c r="K1836" t="s">
        <v>519</v>
      </c>
      <c r="M1836" t="s">
        <v>1297</v>
      </c>
      <c r="N1836" t="s">
        <v>571</v>
      </c>
      <c r="O1836" t="s">
        <v>1298</v>
      </c>
      <c r="P1836" t="s">
        <v>654</v>
      </c>
      <c r="Q1836" t="s">
        <v>1299</v>
      </c>
      <c r="R1836" t="s">
        <v>1300</v>
      </c>
      <c r="S1836" t="s">
        <v>1312</v>
      </c>
      <c r="T1836" t="s">
        <v>1235</v>
      </c>
      <c r="U1836">
        <v>176700</v>
      </c>
      <c r="V1836" t="s">
        <v>10836</v>
      </c>
      <c r="W1836" t="s">
        <v>1314</v>
      </c>
      <c r="X1836" t="s">
        <v>10837</v>
      </c>
      <c r="Y1836" t="s">
        <v>4097</v>
      </c>
      <c r="Z1836" t="s">
        <v>4098</v>
      </c>
      <c r="AA1836" t="s">
        <v>4099</v>
      </c>
      <c r="AC1836">
        <v>99132</v>
      </c>
      <c r="AD1836" t="s">
        <v>8513</v>
      </c>
      <c r="AE1836">
        <v>-37.731003970000003</v>
      </c>
      <c r="AF1836">
        <v>175.2761592</v>
      </c>
      <c r="AG1836">
        <v>100</v>
      </c>
      <c r="AH1836">
        <v>25</v>
      </c>
      <c r="AI1836">
        <v>0</v>
      </c>
      <c r="AJ1836">
        <v>9</v>
      </c>
      <c r="AK1836">
        <v>28</v>
      </c>
      <c r="AL1836">
        <v>28</v>
      </c>
      <c r="AM1836">
        <v>30</v>
      </c>
      <c r="AN1836">
        <v>1</v>
      </c>
      <c r="AO1836">
        <v>96</v>
      </c>
      <c r="AP1836">
        <v>49</v>
      </c>
      <c r="AQ1836">
        <v>9</v>
      </c>
      <c r="AR1836">
        <v>1</v>
      </c>
      <c r="AS1836">
        <v>44</v>
      </c>
      <c r="AT1836">
        <v>7</v>
      </c>
    </row>
    <row r="1837" spans="1:46">
      <c r="A1837">
        <v>45071</v>
      </c>
      <c r="B1837" t="s">
        <v>10838</v>
      </c>
      <c r="C1837" t="s">
        <v>8399</v>
      </c>
      <c r="D1837" t="s">
        <v>8400</v>
      </c>
      <c r="E1837" t="s">
        <v>8401</v>
      </c>
      <c r="F1837" t="s">
        <v>8402</v>
      </c>
      <c r="G1837" t="s">
        <v>1598</v>
      </c>
      <c r="H1837" t="s">
        <v>4716</v>
      </c>
      <c r="J1837" t="s">
        <v>3962</v>
      </c>
      <c r="K1837" t="s">
        <v>519</v>
      </c>
      <c r="M1837" t="s">
        <v>1297</v>
      </c>
      <c r="N1837" t="s">
        <v>571</v>
      </c>
      <c r="O1837" t="s">
        <v>1698</v>
      </c>
      <c r="P1837" t="s">
        <v>654</v>
      </c>
      <c r="Q1837" t="s">
        <v>1471</v>
      </c>
      <c r="R1837" t="s">
        <v>1472</v>
      </c>
      <c r="S1837" t="s">
        <v>1598</v>
      </c>
      <c r="T1837" t="s">
        <v>1474</v>
      </c>
      <c r="U1837">
        <v>193800</v>
      </c>
      <c r="V1837" t="s">
        <v>8402</v>
      </c>
      <c r="W1837" t="s">
        <v>3724</v>
      </c>
      <c r="X1837" t="s">
        <v>10651</v>
      </c>
      <c r="Y1837" t="s">
        <v>8401</v>
      </c>
      <c r="AA1837" t="s">
        <v>8404</v>
      </c>
      <c r="AB1837" t="s">
        <v>8469</v>
      </c>
      <c r="AE1837">
        <v>-37.684282690000003</v>
      </c>
      <c r="AF1837">
        <v>176.16808767000001</v>
      </c>
      <c r="AG1837">
        <v>50</v>
      </c>
      <c r="AH1837">
        <v>50</v>
      </c>
      <c r="AI1837">
        <v>1</v>
      </c>
      <c r="AJ1837">
        <v>5</v>
      </c>
      <c r="AK1837">
        <v>6</v>
      </c>
      <c r="AL1837">
        <v>6</v>
      </c>
      <c r="AM1837">
        <v>8</v>
      </c>
      <c r="AN1837">
        <v>1</v>
      </c>
      <c r="AO1837">
        <v>27</v>
      </c>
      <c r="AP1837">
        <v>19</v>
      </c>
      <c r="AQ1837">
        <v>9</v>
      </c>
      <c r="AR1837">
        <v>2</v>
      </c>
      <c r="AS1837">
        <v>1</v>
      </c>
      <c r="AT1837">
        <v>3</v>
      </c>
    </row>
    <row r="1838" spans="1:46">
      <c r="A1838">
        <v>45075</v>
      </c>
      <c r="B1838" t="s">
        <v>10839</v>
      </c>
      <c r="C1838" t="s">
        <v>10840</v>
      </c>
      <c r="D1838" t="s">
        <v>10841</v>
      </c>
      <c r="E1838" t="s">
        <v>10842</v>
      </c>
      <c r="G1838" t="s">
        <v>8335</v>
      </c>
      <c r="H1838" t="s">
        <v>3942</v>
      </c>
      <c r="J1838" t="s">
        <v>3962</v>
      </c>
      <c r="K1838" t="s">
        <v>519</v>
      </c>
      <c r="M1838" t="s">
        <v>1297</v>
      </c>
      <c r="N1838" t="s">
        <v>557</v>
      </c>
      <c r="O1838" t="s">
        <v>1484</v>
      </c>
      <c r="P1838" t="s">
        <v>540</v>
      </c>
      <c r="Q1838" t="s">
        <v>1299</v>
      </c>
      <c r="R1838" t="s">
        <v>1300</v>
      </c>
      <c r="S1838" t="s">
        <v>1320</v>
      </c>
      <c r="T1838" t="s">
        <v>1485</v>
      </c>
      <c r="U1838">
        <v>185800</v>
      </c>
      <c r="V1838" t="s">
        <v>8336</v>
      </c>
      <c r="W1838" t="s">
        <v>8337</v>
      </c>
      <c r="X1838" t="s">
        <v>10843</v>
      </c>
      <c r="Y1838" t="s">
        <v>10844</v>
      </c>
      <c r="AA1838" t="s">
        <v>10845</v>
      </c>
      <c r="AB1838" t="s">
        <v>10840</v>
      </c>
      <c r="AE1838">
        <v>-37.974256850000003</v>
      </c>
      <c r="AF1838">
        <v>175.75481049999999</v>
      </c>
      <c r="AG1838">
        <v>50</v>
      </c>
      <c r="AH1838">
        <v>15</v>
      </c>
      <c r="AI1838">
        <v>2</v>
      </c>
      <c r="AJ1838">
        <v>3</v>
      </c>
      <c r="AK1838">
        <v>8</v>
      </c>
      <c r="AL1838">
        <v>10</v>
      </c>
      <c r="AM1838">
        <v>20</v>
      </c>
      <c r="AN1838">
        <v>1</v>
      </c>
      <c r="AO1838">
        <v>44</v>
      </c>
      <c r="AP1838">
        <v>33</v>
      </c>
      <c r="AQ1838">
        <v>24</v>
      </c>
      <c r="AR1838">
        <v>1</v>
      </c>
      <c r="AS1838">
        <v>3</v>
      </c>
      <c r="AT1838">
        <v>1</v>
      </c>
    </row>
    <row r="1839" spans="1:46">
      <c r="A1839">
        <v>45079</v>
      </c>
      <c r="B1839" t="s">
        <v>10846</v>
      </c>
      <c r="C1839" t="s">
        <v>10847</v>
      </c>
      <c r="D1839" t="s">
        <v>10848</v>
      </c>
      <c r="E1839" t="s">
        <v>10849</v>
      </c>
      <c r="G1839" t="s">
        <v>3187</v>
      </c>
      <c r="H1839" t="s">
        <v>8824</v>
      </c>
      <c r="I1839" t="s">
        <v>4951</v>
      </c>
      <c r="J1839" t="s">
        <v>3962</v>
      </c>
      <c r="K1839" t="s">
        <v>519</v>
      </c>
      <c r="M1839" t="s">
        <v>2287</v>
      </c>
      <c r="N1839" t="s">
        <v>521</v>
      </c>
      <c r="O1839" t="s">
        <v>2964</v>
      </c>
      <c r="P1839" t="s">
        <v>1262</v>
      </c>
      <c r="Q1839" t="s">
        <v>2943</v>
      </c>
      <c r="R1839" t="s">
        <v>2944</v>
      </c>
      <c r="S1839" t="s">
        <v>2965</v>
      </c>
      <c r="T1839" t="s">
        <v>2448</v>
      </c>
      <c r="U1839">
        <v>315700</v>
      </c>
      <c r="V1839" t="s">
        <v>10850</v>
      </c>
      <c r="W1839" t="s">
        <v>3189</v>
      </c>
      <c r="X1839" t="s">
        <v>10851</v>
      </c>
      <c r="Y1839" t="s">
        <v>10852</v>
      </c>
      <c r="AA1839" t="s">
        <v>10853</v>
      </c>
      <c r="AC1839">
        <v>99061</v>
      </c>
      <c r="AD1839" t="s">
        <v>3190</v>
      </c>
      <c r="AE1839">
        <v>-43.380640399999997</v>
      </c>
      <c r="AF1839">
        <v>172.66126876999999</v>
      </c>
      <c r="AG1839">
        <v>35</v>
      </c>
      <c r="AH1839">
        <v>7</v>
      </c>
      <c r="AI1839">
        <v>2</v>
      </c>
      <c r="AJ1839">
        <v>5</v>
      </c>
      <c r="AK1839">
        <v>13</v>
      </c>
      <c r="AL1839">
        <v>10</v>
      </c>
      <c r="AM1839">
        <v>11</v>
      </c>
      <c r="AN1839">
        <v>0</v>
      </c>
      <c r="AO1839">
        <v>41</v>
      </c>
      <c r="AP1839">
        <v>11</v>
      </c>
      <c r="AQ1839">
        <v>32</v>
      </c>
      <c r="AR1839">
        <v>4</v>
      </c>
      <c r="AS1839">
        <v>2</v>
      </c>
      <c r="AT1839">
        <v>1</v>
      </c>
    </row>
    <row r="1840" spans="1:46">
      <c r="A1840">
        <v>45083</v>
      </c>
      <c r="B1840" t="s">
        <v>10854</v>
      </c>
      <c r="C1840" t="s">
        <v>10855</v>
      </c>
      <c r="D1840" t="s">
        <v>10856</v>
      </c>
      <c r="E1840" t="s">
        <v>10857</v>
      </c>
      <c r="F1840" t="s">
        <v>1183</v>
      </c>
      <c r="G1840" t="s">
        <v>652</v>
      </c>
      <c r="H1840" t="s">
        <v>3942</v>
      </c>
      <c r="J1840" t="s">
        <v>518</v>
      </c>
      <c r="K1840" t="s">
        <v>519</v>
      </c>
      <c r="M1840" t="s">
        <v>520</v>
      </c>
      <c r="N1840" t="s">
        <v>571</v>
      </c>
      <c r="O1840" t="s">
        <v>813</v>
      </c>
      <c r="P1840" t="s">
        <v>654</v>
      </c>
      <c r="Q1840" t="s">
        <v>638</v>
      </c>
      <c r="R1840" t="s">
        <v>639</v>
      </c>
      <c r="S1840" t="s">
        <v>899</v>
      </c>
      <c r="T1840" t="s">
        <v>527</v>
      </c>
      <c r="U1840">
        <v>124500</v>
      </c>
      <c r="V1840" t="s">
        <v>1184</v>
      </c>
      <c r="W1840" t="s">
        <v>815</v>
      </c>
      <c r="X1840" t="s">
        <v>3943</v>
      </c>
      <c r="Y1840" t="s">
        <v>3944</v>
      </c>
      <c r="Z1840" t="s">
        <v>3945</v>
      </c>
      <c r="AA1840" t="s">
        <v>3946</v>
      </c>
      <c r="AB1840" t="s">
        <v>3947</v>
      </c>
      <c r="AE1840">
        <v>-36.839084020000001</v>
      </c>
      <c r="AF1840">
        <v>174.65154165999999</v>
      </c>
      <c r="AG1840">
        <v>63</v>
      </c>
      <c r="AH1840">
        <v>16</v>
      </c>
      <c r="AI1840">
        <v>3</v>
      </c>
      <c r="AJ1840">
        <v>10</v>
      </c>
      <c r="AK1840">
        <v>19</v>
      </c>
      <c r="AL1840">
        <v>19</v>
      </c>
      <c r="AM1840">
        <v>17</v>
      </c>
      <c r="AN1840">
        <v>0</v>
      </c>
      <c r="AO1840">
        <v>68</v>
      </c>
      <c r="AP1840">
        <v>40</v>
      </c>
      <c r="AQ1840">
        <v>17</v>
      </c>
      <c r="AR1840">
        <v>12</v>
      </c>
      <c r="AS1840">
        <v>23</v>
      </c>
      <c r="AT1840">
        <v>3</v>
      </c>
    </row>
    <row r="1841" spans="1:46">
      <c r="A1841">
        <v>45087</v>
      </c>
      <c r="B1841" t="s">
        <v>10858</v>
      </c>
      <c r="C1841" t="s">
        <v>10859</v>
      </c>
      <c r="D1841" t="s">
        <v>10860</v>
      </c>
      <c r="E1841" t="s">
        <v>10861</v>
      </c>
      <c r="F1841" t="s">
        <v>2104</v>
      </c>
      <c r="G1841" t="s">
        <v>2081</v>
      </c>
      <c r="H1841" t="s">
        <v>3942</v>
      </c>
      <c r="I1841" t="s">
        <v>4951</v>
      </c>
      <c r="J1841" t="s">
        <v>518</v>
      </c>
      <c r="K1841" t="s">
        <v>519</v>
      </c>
      <c r="M1841" t="s">
        <v>1297</v>
      </c>
      <c r="N1841" t="s">
        <v>521</v>
      </c>
      <c r="O1841" t="s">
        <v>2082</v>
      </c>
      <c r="P1841" t="s">
        <v>584</v>
      </c>
      <c r="Q1841" t="s">
        <v>2083</v>
      </c>
      <c r="R1841" t="s">
        <v>2084</v>
      </c>
      <c r="S1841" t="s">
        <v>1473</v>
      </c>
      <c r="T1841" t="s">
        <v>2085</v>
      </c>
      <c r="U1841">
        <v>207000</v>
      </c>
      <c r="V1841" t="s">
        <v>3847</v>
      </c>
      <c r="W1841" t="s">
        <v>2087</v>
      </c>
      <c r="X1841" t="s">
        <v>10862</v>
      </c>
      <c r="Y1841" t="s">
        <v>10863</v>
      </c>
      <c r="Z1841" t="s">
        <v>2104</v>
      </c>
      <c r="AA1841" t="s">
        <v>10864</v>
      </c>
      <c r="AB1841" t="s">
        <v>10865</v>
      </c>
      <c r="AE1841">
        <v>-38.67557059</v>
      </c>
      <c r="AF1841">
        <v>178.03701470999999</v>
      </c>
      <c r="AG1841">
        <v>37</v>
      </c>
      <c r="AH1841">
        <v>9</v>
      </c>
      <c r="AI1841">
        <v>1</v>
      </c>
      <c r="AJ1841">
        <v>6</v>
      </c>
      <c r="AK1841">
        <v>4</v>
      </c>
      <c r="AL1841">
        <v>6</v>
      </c>
      <c r="AM1841">
        <v>10</v>
      </c>
      <c r="AN1841">
        <v>1</v>
      </c>
      <c r="AO1841">
        <v>28</v>
      </c>
      <c r="AP1841">
        <v>12</v>
      </c>
      <c r="AQ1841">
        <v>27</v>
      </c>
      <c r="AR1841">
        <v>5</v>
      </c>
      <c r="AS1841">
        <v>0</v>
      </c>
      <c r="AT1841">
        <v>0</v>
      </c>
    </row>
    <row r="1842" spans="1:46">
      <c r="A1842">
        <v>45094</v>
      </c>
      <c r="B1842" t="s">
        <v>7362</v>
      </c>
      <c r="C1842" t="s">
        <v>10866</v>
      </c>
      <c r="D1842" t="s">
        <v>10867</v>
      </c>
      <c r="E1842" t="s">
        <v>10868</v>
      </c>
      <c r="G1842" t="s">
        <v>1469</v>
      </c>
      <c r="H1842" t="s">
        <v>3942</v>
      </c>
      <c r="I1842" t="s">
        <v>4065</v>
      </c>
      <c r="J1842" t="s">
        <v>3962</v>
      </c>
      <c r="K1842" t="s">
        <v>519</v>
      </c>
      <c r="M1842" t="s">
        <v>1297</v>
      </c>
      <c r="N1842" t="s">
        <v>4519</v>
      </c>
      <c r="O1842" t="s">
        <v>1470</v>
      </c>
      <c r="P1842" t="s">
        <v>1262</v>
      </c>
      <c r="Q1842" t="s">
        <v>1471</v>
      </c>
      <c r="R1842" t="s">
        <v>1472</v>
      </c>
      <c r="S1842" t="s">
        <v>1473</v>
      </c>
      <c r="T1842" t="s">
        <v>1474</v>
      </c>
      <c r="U1842">
        <v>202800</v>
      </c>
      <c r="V1842" t="s">
        <v>1531</v>
      </c>
      <c r="W1842" t="s">
        <v>1476</v>
      </c>
      <c r="X1842" t="s">
        <v>10869</v>
      </c>
      <c r="Y1842" t="s">
        <v>10868</v>
      </c>
      <c r="AA1842" t="s">
        <v>10493</v>
      </c>
      <c r="AB1842" t="s">
        <v>10866</v>
      </c>
      <c r="AE1842">
        <v>-37.960172</v>
      </c>
      <c r="AF1842">
        <v>176.97410639</v>
      </c>
      <c r="AG1842">
        <v>47</v>
      </c>
      <c r="AH1842">
        <v>18</v>
      </c>
      <c r="AI1842">
        <v>0</v>
      </c>
      <c r="AJ1842">
        <v>7</v>
      </c>
      <c r="AK1842">
        <v>12</v>
      </c>
      <c r="AL1842">
        <v>4</v>
      </c>
      <c r="AM1842">
        <v>11</v>
      </c>
      <c r="AN1842">
        <v>0</v>
      </c>
      <c r="AO1842">
        <v>34</v>
      </c>
      <c r="AP1842">
        <v>6</v>
      </c>
      <c r="AQ1842">
        <v>31</v>
      </c>
      <c r="AR1842">
        <v>1</v>
      </c>
      <c r="AS1842">
        <v>1</v>
      </c>
      <c r="AT1842">
        <v>0</v>
      </c>
    </row>
    <row r="1843" spans="1:46">
      <c r="A1843">
        <v>45105</v>
      </c>
      <c r="B1843" t="s">
        <v>10870</v>
      </c>
      <c r="C1843" t="s">
        <v>10871</v>
      </c>
      <c r="D1843" t="s">
        <v>10872</v>
      </c>
      <c r="E1843" t="s">
        <v>10873</v>
      </c>
      <c r="F1843" t="s">
        <v>821</v>
      </c>
      <c r="G1843" t="s">
        <v>652</v>
      </c>
      <c r="H1843" t="s">
        <v>3942</v>
      </c>
      <c r="J1843" t="s">
        <v>3962</v>
      </c>
      <c r="K1843" t="s">
        <v>519</v>
      </c>
      <c r="M1843" t="s">
        <v>520</v>
      </c>
      <c r="N1843" t="s">
        <v>4519</v>
      </c>
      <c r="O1843" t="s">
        <v>804</v>
      </c>
      <c r="P1843" t="s">
        <v>654</v>
      </c>
      <c r="Q1843" t="s">
        <v>638</v>
      </c>
      <c r="R1843" t="s">
        <v>708</v>
      </c>
      <c r="S1843" t="s">
        <v>822</v>
      </c>
      <c r="T1843" t="s">
        <v>709</v>
      </c>
      <c r="U1843">
        <v>139400</v>
      </c>
      <c r="V1843" t="s">
        <v>4397</v>
      </c>
      <c r="W1843" t="s">
        <v>824</v>
      </c>
      <c r="X1843" t="s">
        <v>5236</v>
      </c>
      <c r="Y1843" t="s">
        <v>4689</v>
      </c>
      <c r="Z1843" t="s">
        <v>4690</v>
      </c>
      <c r="AA1843" t="s">
        <v>4691</v>
      </c>
      <c r="AB1843" t="s">
        <v>5237</v>
      </c>
      <c r="AE1843">
        <v>-36.87669863</v>
      </c>
      <c r="AF1843">
        <v>174.78259130000001</v>
      </c>
      <c r="AG1843">
        <v>120</v>
      </c>
      <c r="AH1843">
        <v>40</v>
      </c>
      <c r="AI1843">
        <v>7</v>
      </c>
      <c r="AJ1843">
        <v>17</v>
      </c>
      <c r="AK1843">
        <v>28</v>
      </c>
      <c r="AL1843">
        <v>36</v>
      </c>
      <c r="AM1843">
        <v>26</v>
      </c>
      <c r="AN1843">
        <v>1</v>
      </c>
      <c r="AO1843">
        <v>115</v>
      </c>
      <c r="AP1843">
        <v>65</v>
      </c>
      <c r="AQ1843">
        <v>4</v>
      </c>
      <c r="AR1843">
        <v>1</v>
      </c>
      <c r="AS1843">
        <v>60</v>
      </c>
      <c r="AT1843">
        <v>2</v>
      </c>
    </row>
    <row r="1844" spans="1:46">
      <c r="A1844">
        <v>45110</v>
      </c>
      <c r="B1844" t="s">
        <v>10874</v>
      </c>
      <c r="C1844" t="s">
        <v>10875</v>
      </c>
      <c r="D1844" t="s">
        <v>10876</v>
      </c>
      <c r="E1844" t="s">
        <v>10877</v>
      </c>
      <c r="G1844" t="s">
        <v>4064</v>
      </c>
      <c r="H1844" t="s">
        <v>3942</v>
      </c>
      <c r="J1844" t="s">
        <v>3962</v>
      </c>
      <c r="K1844" t="s">
        <v>519</v>
      </c>
      <c r="M1844" t="s">
        <v>520</v>
      </c>
      <c r="N1844" t="s">
        <v>571</v>
      </c>
      <c r="O1844" t="s">
        <v>1233</v>
      </c>
      <c r="P1844" t="s">
        <v>654</v>
      </c>
      <c r="Q1844" t="s">
        <v>638</v>
      </c>
      <c r="R1844" t="s">
        <v>729</v>
      </c>
      <c r="S1844" t="s">
        <v>1234</v>
      </c>
      <c r="T1844" t="s">
        <v>1235</v>
      </c>
      <c r="U1844">
        <v>164302</v>
      </c>
      <c r="V1844" t="s">
        <v>4066</v>
      </c>
      <c r="W1844" t="s">
        <v>1237</v>
      </c>
      <c r="X1844" t="s">
        <v>10878</v>
      </c>
      <c r="Y1844" t="s">
        <v>10879</v>
      </c>
      <c r="AA1844" t="s">
        <v>10880</v>
      </c>
      <c r="AC1844">
        <v>99152</v>
      </c>
      <c r="AD1844" t="s">
        <v>1270</v>
      </c>
      <c r="AE1844">
        <v>-37.110270939999999</v>
      </c>
      <c r="AF1844">
        <v>174.9454073</v>
      </c>
      <c r="AG1844">
        <v>46</v>
      </c>
      <c r="AH1844">
        <v>24</v>
      </c>
      <c r="AI1844">
        <v>0</v>
      </c>
      <c r="AJ1844">
        <v>2</v>
      </c>
      <c r="AK1844">
        <v>5</v>
      </c>
      <c r="AL1844">
        <v>4</v>
      </c>
      <c r="AM1844">
        <v>9</v>
      </c>
      <c r="AN1844">
        <v>0</v>
      </c>
      <c r="AO1844">
        <v>20</v>
      </c>
      <c r="AP1844">
        <v>18</v>
      </c>
      <c r="AQ1844">
        <v>4</v>
      </c>
      <c r="AR1844">
        <v>2</v>
      </c>
      <c r="AS1844">
        <v>4</v>
      </c>
      <c r="AT1844">
        <v>0</v>
      </c>
    </row>
    <row r="1845" spans="1:46">
      <c r="A1845">
        <v>45113</v>
      </c>
      <c r="B1845" t="s">
        <v>10881</v>
      </c>
      <c r="C1845" t="s">
        <v>10882</v>
      </c>
      <c r="D1845" t="s">
        <v>10883</v>
      </c>
      <c r="E1845" t="s">
        <v>10884</v>
      </c>
      <c r="G1845" t="s">
        <v>10885</v>
      </c>
      <c r="H1845" t="s">
        <v>3942</v>
      </c>
      <c r="J1845" t="s">
        <v>518</v>
      </c>
      <c r="K1845" t="s">
        <v>519</v>
      </c>
      <c r="M1845" t="s">
        <v>2287</v>
      </c>
      <c r="N1845" t="s">
        <v>571</v>
      </c>
      <c r="O1845" t="s">
        <v>3218</v>
      </c>
      <c r="P1845" t="s">
        <v>572</v>
      </c>
      <c r="Q1845" t="s">
        <v>2943</v>
      </c>
      <c r="R1845" t="s">
        <v>2944</v>
      </c>
      <c r="S1845" t="s">
        <v>3219</v>
      </c>
      <c r="T1845" t="s">
        <v>2448</v>
      </c>
      <c r="U1845">
        <v>337200</v>
      </c>
      <c r="V1845" t="s">
        <v>10886</v>
      </c>
      <c r="W1845" t="s">
        <v>2455</v>
      </c>
      <c r="X1845" t="s">
        <v>10887</v>
      </c>
      <c r="Y1845" t="s">
        <v>10888</v>
      </c>
      <c r="Z1845" t="s">
        <v>10885</v>
      </c>
      <c r="AA1845" t="s">
        <v>10889</v>
      </c>
      <c r="AC1845">
        <v>99009</v>
      </c>
      <c r="AD1845" t="s">
        <v>10890</v>
      </c>
      <c r="AE1845">
        <v>-43.865318090000002</v>
      </c>
      <c r="AF1845">
        <v>172.11694521999999</v>
      </c>
      <c r="AG1845">
        <v>36</v>
      </c>
      <c r="AH1845">
        <v>10</v>
      </c>
      <c r="AI1845">
        <v>3</v>
      </c>
      <c r="AJ1845">
        <v>5</v>
      </c>
      <c r="AK1845">
        <v>5</v>
      </c>
      <c r="AL1845">
        <v>9</v>
      </c>
      <c r="AM1845">
        <v>7</v>
      </c>
      <c r="AN1845">
        <v>0</v>
      </c>
      <c r="AO1845">
        <v>29</v>
      </c>
      <c r="AP1845">
        <v>20</v>
      </c>
      <c r="AQ1845">
        <v>0</v>
      </c>
      <c r="AR1845">
        <v>0</v>
      </c>
      <c r="AS1845">
        <v>8</v>
      </c>
      <c r="AT1845">
        <v>8</v>
      </c>
    </row>
    <row r="1846" spans="1:46">
      <c r="A1846">
        <v>45117</v>
      </c>
      <c r="B1846" t="s">
        <v>10891</v>
      </c>
      <c r="C1846" t="s">
        <v>10892</v>
      </c>
      <c r="E1846" t="s">
        <v>10893</v>
      </c>
      <c r="F1846" t="s">
        <v>8510</v>
      </c>
      <c r="G1846" t="s">
        <v>1296</v>
      </c>
      <c r="H1846" t="s">
        <v>3942</v>
      </c>
      <c r="I1846" t="s">
        <v>4231</v>
      </c>
      <c r="J1846" t="s">
        <v>518</v>
      </c>
      <c r="K1846" t="s">
        <v>519</v>
      </c>
      <c r="M1846" t="s">
        <v>1297</v>
      </c>
      <c r="N1846" t="s">
        <v>571</v>
      </c>
      <c r="O1846" t="s">
        <v>1298</v>
      </c>
      <c r="P1846" t="s">
        <v>654</v>
      </c>
      <c r="Q1846" t="s">
        <v>1299</v>
      </c>
      <c r="R1846" t="s">
        <v>1300</v>
      </c>
      <c r="S1846" t="s">
        <v>1312</v>
      </c>
      <c r="T1846" t="s">
        <v>1235</v>
      </c>
      <c r="U1846">
        <v>176101</v>
      </c>
      <c r="V1846" t="s">
        <v>8976</v>
      </c>
      <c r="W1846" t="s">
        <v>1314</v>
      </c>
      <c r="X1846" t="s">
        <v>10894</v>
      </c>
      <c r="Y1846" t="s">
        <v>10895</v>
      </c>
      <c r="Z1846" t="s">
        <v>1313</v>
      </c>
      <c r="AA1846" t="s">
        <v>9370</v>
      </c>
      <c r="AB1846" t="s">
        <v>10892</v>
      </c>
      <c r="AE1846">
        <v>-37.7254711</v>
      </c>
      <c r="AF1846">
        <v>175.28171749000001</v>
      </c>
      <c r="AG1846">
        <v>88</v>
      </c>
      <c r="AH1846">
        <v>0</v>
      </c>
      <c r="AI1846">
        <v>0</v>
      </c>
      <c r="AJ1846">
        <v>0</v>
      </c>
      <c r="AK1846">
        <v>0</v>
      </c>
      <c r="AL1846">
        <v>10</v>
      </c>
      <c r="AM1846">
        <v>5</v>
      </c>
      <c r="AN1846">
        <v>20</v>
      </c>
      <c r="AO1846">
        <v>35</v>
      </c>
      <c r="AP1846">
        <v>30</v>
      </c>
      <c r="AQ1846">
        <v>15</v>
      </c>
      <c r="AR1846">
        <v>3</v>
      </c>
      <c r="AS1846">
        <v>5</v>
      </c>
      <c r="AT1846">
        <v>2</v>
      </c>
    </row>
    <row r="1847" spans="1:46">
      <c r="A1847">
        <v>45121</v>
      </c>
      <c r="B1847" t="s">
        <v>10896</v>
      </c>
      <c r="C1847" t="s">
        <v>10897</v>
      </c>
      <c r="D1847" t="s">
        <v>10823</v>
      </c>
      <c r="E1847" t="s">
        <v>10898</v>
      </c>
      <c r="G1847" t="s">
        <v>2674</v>
      </c>
      <c r="H1847" t="s">
        <v>3942</v>
      </c>
      <c r="I1847" t="s">
        <v>4065</v>
      </c>
      <c r="J1847" t="s">
        <v>3962</v>
      </c>
      <c r="K1847" t="s">
        <v>519</v>
      </c>
      <c r="M1847" t="s">
        <v>2287</v>
      </c>
      <c r="N1847" t="s">
        <v>571</v>
      </c>
      <c r="O1847" t="s">
        <v>2675</v>
      </c>
      <c r="P1847" t="s">
        <v>1262</v>
      </c>
      <c r="Q1847" t="s">
        <v>2319</v>
      </c>
      <c r="R1847" t="s">
        <v>2289</v>
      </c>
      <c r="S1847" t="s">
        <v>2528</v>
      </c>
      <c r="T1847" t="s">
        <v>1485</v>
      </c>
      <c r="U1847">
        <v>238400</v>
      </c>
      <c r="V1847" t="s">
        <v>10899</v>
      </c>
      <c r="W1847" t="s">
        <v>2677</v>
      </c>
      <c r="X1847" t="s">
        <v>10900</v>
      </c>
      <c r="Y1847" t="s">
        <v>4658</v>
      </c>
      <c r="Z1847" t="s">
        <v>958</v>
      </c>
      <c r="AA1847" t="s">
        <v>4659</v>
      </c>
      <c r="AB1847" t="s">
        <v>10901</v>
      </c>
      <c r="AE1847">
        <v>-40.910733569999998</v>
      </c>
      <c r="AF1847">
        <v>175.01907840999999</v>
      </c>
      <c r="AG1847">
        <v>46</v>
      </c>
      <c r="AH1847">
        <v>16</v>
      </c>
      <c r="AI1847">
        <v>2</v>
      </c>
      <c r="AJ1847">
        <v>3</v>
      </c>
      <c r="AK1847">
        <v>12</v>
      </c>
      <c r="AL1847">
        <v>10</v>
      </c>
      <c r="AM1847">
        <v>15</v>
      </c>
      <c r="AN1847">
        <v>0</v>
      </c>
      <c r="AO1847">
        <v>42</v>
      </c>
      <c r="AP1847">
        <v>37</v>
      </c>
      <c r="AQ1847">
        <v>7</v>
      </c>
      <c r="AR1847">
        <v>0</v>
      </c>
      <c r="AS1847">
        <v>6</v>
      </c>
      <c r="AT1847">
        <v>3</v>
      </c>
    </row>
    <row r="1848" spans="1:46">
      <c r="A1848">
        <v>45122</v>
      </c>
      <c r="B1848" t="s">
        <v>10902</v>
      </c>
      <c r="C1848" t="s">
        <v>10903</v>
      </c>
      <c r="D1848" t="s">
        <v>8076</v>
      </c>
      <c r="E1848" t="s">
        <v>10904</v>
      </c>
      <c r="F1848" t="s">
        <v>812</v>
      </c>
      <c r="G1848" t="s">
        <v>652</v>
      </c>
      <c r="H1848" t="s">
        <v>3942</v>
      </c>
      <c r="J1848" t="s">
        <v>3962</v>
      </c>
      <c r="K1848" t="s">
        <v>519</v>
      </c>
      <c r="M1848" t="s">
        <v>520</v>
      </c>
      <c r="N1848" t="s">
        <v>571</v>
      </c>
      <c r="O1848" t="s">
        <v>813</v>
      </c>
      <c r="P1848" t="s">
        <v>654</v>
      </c>
      <c r="Q1848" t="s">
        <v>638</v>
      </c>
      <c r="R1848" t="s">
        <v>639</v>
      </c>
      <c r="S1848" t="s">
        <v>640</v>
      </c>
      <c r="T1848" t="s">
        <v>527</v>
      </c>
      <c r="U1848">
        <v>120900</v>
      </c>
      <c r="V1848" t="s">
        <v>10905</v>
      </c>
      <c r="W1848" t="s">
        <v>815</v>
      </c>
      <c r="X1848" t="s">
        <v>8078</v>
      </c>
      <c r="Y1848" t="s">
        <v>10906</v>
      </c>
      <c r="AA1848" t="s">
        <v>4707</v>
      </c>
      <c r="AB1848" t="s">
        <v>8075</v>
      </c>
      <c r="AC1848">
        <v>99125</v>
      </c>
      <c r="AD1848" t="s">
        <v>816</v>
      </c>
      <c r="AE1848">
        <v>-36.834643149999998</v>
      </c>
      <c r="AF1848">
        <v>174.6041534</v>
      </c>
      <c r="AG1848">
        <v>75</v>
      </c>
      <c r="AH1848">
        <v>25</v>
      </c>
      <c r="AI1848">
        <v>2</v>
      </c>
      <c r="AJ1848">
        <v>9</v>
      </c>
      <c r="AK1848">
        <v>16</v>
      </c>
      <c r="AL1848">
        <v>22</v>
      </c>
      <c r="AM1848">
        <v>16</v>
      </c>
      <c r="AN1848">
        <v>3</v>
      </c>
      <c r="AO1848">
        <v>68</v>
      </c>
      <c r="AP1848">
        <v>17</v>
      </c>
      <c r="AQ1848">
        <v>20</v>
      </c>
      <c r="AR1848">
        <v>21</v>
      </c>
      <c r="AS1848">
        <v>32</v>
      </c>
      <c r="AT1848">
        <v>2</v>
      </c>
    </row>
    <row r="1849" spans="1:46">
      <c r="A1849">
        <v>45128</v>
      </c>
      <c r="B1849" t="s">
        <v>10907</v>
      </c>
      <c r="C1849" t="s">
        <v>10908</v>
      </c>
      <c r="D1849" t="s">
        <v>10909</v>
      </c>
      <c r="E1849" t="s">
        <v>10910</v>
      </c>
      <c r="G1849" t="s">
        <v>10911</v>
      </c>
      <c r="H1849" t="s">
        <v>3942</v>
      </c>
      <c r="I1849" t="s">
        <v>10912</v>
      </c>
      <c r="J1849" t="s">
        <v>3962</v>
      </c>
      <c r="K1849" t="s">
        <v>519</v>
      </c>
      <c r="M1849" t="s">
        <v>2287</v>
      </c>
      <c r="N1849" t="s">
        <v>571</v>
      </c>
      <c r="O1849" t="s">
        <v>3208</v>
      </c>
      <c r="P1849" t="s">
        <v>1262</v>
      </c>
      <c r="Q1849" t="s">
        <v>2943</v>
      </c>
      <c r="R1849" t="s">
        <v>2944</v>
      </c>
      <c r="S1849" t="s">
        <v>3179</v>
      </c>
      <c r="T1849" t="s">
        <v>2448</v>
      </c>
      <c r="U1849">
        <v>335201</v>
      </c>
      <c r="V1849" t="s">
        <v>10913</v>
      </c>
      <c r="W1849" t="s">
        <v>10914</v>
      </c>
      <c r="X1849" t="s">
        <v>10915</v>
      </c>
      <c r="Y1849" t="s">
        <v>10916</v>
      </c>
      <c r="AA1849" t="s">
        <v>10917</v>
      </c>
      <c r="AC1849">
        <v>99206</v>
      </c>
      <c r="AD1849" t="s">
        <v>3211</v>
      </c>
      <c r="AE1849">
        <v>-43.586700299999997</v>
      </c>
      <c r="AF1849">
        <v>172.39142849999999</v>
      </c>
      <c r="AG1849">
        <v>115</v>
      </c>
      <c r="AH1849">
        <v>30</v>
      </c>
      <c r="AI1849">
        <v>2</v>
      </c>
      <c r="AJ1849">
        <v>16</v>
      </c>
      <c r="AK1849">
        <v>17</v>
      </c>
      <c r="AL1849">
        <v>24</v>
      </c>
      <c r="AM1849">
        <v>19</v>
      </c>
      <c r="AN1849">
        <v>1</v>
      </c>
      <c r="AO1849">
        <v>79</v>
      </c>
      <c r="AP1849">
        <v>74</v>
      </c>
      <c r="AQ1849">
        <v>5</v>
      </c>
      <c r="AR1849">
        <v>7</v>
      </c>
      <c r="AS1849">
        <v>7</v>
      </c>
      <c r="AT1849">
        <v>2</v>
      </c>
    </row>
    <row r="1850" spans="1:46">
      <c r="A1850">
        <v>45132</v>
      </c>
      <c r="B1850" t="s">
        <v>10918</v>
      </c>
      <c r="C1850" t="s">
        <v>10919</v>
      </c>
      <c r="E1850" t="s">
        <v>10920</v>
      </c>
      <c r="G1850" t="s">
        <v>2941</v>
      </c>
      <c r="H1850" t="s">
        <v>3942</v>
      </c>
      <c r="J1850" t="s">
        <v>518</v>
      </c>
      <c r="K1850" t="s">
        <v>519</v>
      </c>
      <c r="M1850" t="s">
        <v>2287</v>
      </c>
      <c r="N1850" t="s">
        <v>557</v>
      </c>
      <c r="O1850" t="s">
        <v>2942</v>
      </c>
      <c r="P1850" t="s">
        <v>654</v>
      </c>
      <c r="Q1850" t="s">
        <v>2943</v>
      </c>
      <c r="R1850" t="s">
        <v>2944</v>
      </c>
      <c r="S1850" t="s">
        <v>3179</v>
      </c>
      <c r="T1850" t="s">
        <v>2448</v>
      </c>
      <c r="U1850">
        <v>316600</v>
      </c>
      <c r="V1850" t="s">
        <v>10921</v>
      </c>
      <c r="W1850" t="s">
        <v>3020</v>
      </c>
      <c r="X1850" t="s">
        <v>10801</v>
      </c>
      <c r="Y1850" t="s">
        <v>3944</v>
      </c>
      <c r="Z1850" t="s">
        <v>3945</v>
      </c>
      <c r="AA1850" t="s">
        <v>3946</v>
      </c>
      <c r="AC1850">
        <v>99045</v>
      </c>
      <c r="AD1850" t="s">
        <v>3021</v>
      </c>
      <c r="AE1850">
        <v>-43.52606755</v>
      </c>
      <c r="AF1850">
        <v>172.51869402</v>
      </c>
      <c r="AG1850">
        <v>100</v>
      </c>
      <c r="AH1850">
        <v>25</v>
      </c>
      <c r="AI1850">
        <v>5</v>
      </c>
      <c r="AJ1850">
        <v>17</v>
      </c>
      <c r="AK1850">
        <v>26</v>
      </c>
      <c r="AL1850">
        <v>30</v>
      </c>
      <c r="AM1850">
        <v>30</v>
      </c>
      <c r="AN1850">
        <v>0</v>
      </c>
      <c r="AO1850">
        <v>108</v>
      </c>
      <c r="AP1850">
        <v>63</v>
      </c>
      <c r="AQ1850">
        <v>25</v>
      </c>
      <c r="AR1850">
        <v>10</v>
      </c>
      <c r="AS1850">
        <v>30</v>
      </c>
      <c r="AT1850">
        <v>15</v>
      </c>
    </row>
    <row r="1851" spans="1:46">
      <c r="A1851">
        <v>45134</v>
      </c>
      <c r="B1851" t="s">
        <v>10922</v>
      </c>
      <c r="C1851" t="s">
        <v>10923</v>
      </c>
      <c r="E1851" t="s">
        <v>10924</v>
      </c>
      <c r="F1851" t="s">
        <v>3135</v>
      </c>
      <c r="G1851" t="s">
        <v>2941</v>
      </c>
      <c r="H1851" t="s">
        <v>3942</v>
      </c>
      <c r="J1851" t="s">
        <v>518</v>
      </c>
      <c r="K1851" t="s">
        <v>519</v>
      </c>
      <c r="M1851" t="s">
        <v>2287</v>
      </c>
      <c r="N1851" t="s">
        <v>571</v>
      </c>
      <c r="O1851" t="s">
        <v>2942</v>
      </c>
      <c r="P1851" t="s">
        <v>654</v>
      </c>
      <c r="Q1851" t="s">
        <v>2943</v>
      </c>
      <c r="R1851" t="s">
        <v>2944</v>
      </c>
      <c r="S1851" t="s">
        <v>2957</v>
      </c>
      <c r="T1851" t="s">
        <v>2448</v>
      </c>
      <c r="U1851">
        <v>319600</v>
      </c>
      <c r="V1851" t="s">
        <v>10925</v>
      </c>
      <c r="W1851" t="s">
        <v>3098</v>
      </c>
      <c r="X1851" t="s">
        <v>10801</v>
      </c>
      <c r="Y1851" t="s">
        <v>3944</v>
      </c>
      <c r="Z1851" t="s">
        <v>3945</v>
      </c>
      <c r="AA1851" t="s">
        <v>3946</v>
      </c>
      <c r="AC1851">
        <v>99039</v>
      </c>
      <c r="AD1851" t="s">
        <v>2987</v>
      </c>
      <c r="AE1851">
        <v>-43.476581779999997</v>
      </c>
      <c r="AF1851">
        <v>172.61742268</v>
      </c>
      <c r="AG1851">
        <v>75</v>
      </c>
      <c r="AH1851">
        <v>25</v>
      </c>
      <c r="AI1851">
        <v>3</v>
      </c>
      <c r="AJ1851">
        <v>19</v>
      </c>
      <c r="AK1851">
        <v>17</v>
      </c>
      <c r="AL1851">
        <v>22</v>
      </c>
      <c r="AM1851">
        <v>17</v>
      </c>
      <c r="AN1851">
        <v>3</v>
      </c>
      <c r="AO1851">
        <v>81</v>
      </c>
      <c r="AP1851">
        <v>40</v>
      </c>
      <c r="AQ1851">
        <v>16</v>
      </c>
      <c r="AR1851">
        <v>6</v>
      </c>
      <c r="AS1851">
        <v>19</v>
      </c>
      <c r="AT1851">
        <v>14</v>
      </c>
    </row>
    <row r="1852" spans="1:46">
      <c r="A1852">
        <v>45140</v>
      </c>
      <c r="B1852" t="s">
        <v>10926</v>
      </c>
      <c r="C1852" t="s">
        <v>10927</v>
      </c>
      <c r="D1852" t="s">
        <v>10928</v>
      </c>
      <c r="E1852" t="s">
        <v>10929</v>
      </c>
      <c r="F1852" t="s">
        <v>10930</v>
      </c>
      <c r="G1852" t="s">
        <v>2853</v>
      </c>
      <c r="H1852" t="s">
        <v>3942</v>
      </c>
      <c r="J1852" t="s">
        <v>3962</v>
      </c>
      <c r="K1852" t="s">
        <v>519</v>
      </c>
      <c r="M1852" t="s">
        <v>2287</v>
      </c>
      <c r="N1852" t="s">
        <v>571</v>
      </c>
      <c r="O1852" t="s">
        <v>2854</v>
      </c>
      <c r="P1852" t="s">
        <v>584</v>
      </c>
      <c r="Q1852" t="s">
        <v>2855</v>
      </c>
      <c r="R1852" t="s">
        <v>2824</v>
      </c>
      <c r="S1852" t="s">
        <v>2853</v>
      </c>
      <c r="T1852" t="s">
        <v>2448</v>
      </c>
      <c r="U1852">
        <v>305500</v>
      </c>
      <c r="V1852" t="s">
        <v>10931</v>
      </c>
      <c r="W1852" t="s">
        <v>2033</v>
      </c>
      <c r="X1852" t="s">
        <v>10932</v>
      </c>
      <c r="Y1852" t="s">
        <v>4107</v>
      </c>
      <c r="AA1852" t="s">
        <v>3982</v>
      </c>
      <c r="AB1852" t="s">
        <v>10927</v>
      </c>
      <c r="AC1852">
        <v>99005</v>
      </c>
      <c r="AD1852" t="s">
        <v>2878</v>
      </c>
      <c r="AE1852">
        <v>-41.274921730000003</v>
      </c>
      <c r="AF1852">
        <v>173.29667724999999</v>
      </c>
      <c r="AG1852">
        <v>115</v>
      </c>
      <c r="AH1852">
        <v>40</v>
      </c>
      <c r="AI1852">
        <v>3</v>
      </c>
      <c r="AJ1852">
        <v>30</v>
      </c>
      <c r="AK1852">
        <v>34</v>
      </c>
      <c r="AL1852">
        <v>32</v>
      </c>
      <c r="AM1852">
        <v>25</v>
      </c>
      <c r="AN1852">
        <v>1</v>
      </c>
      <c r="AO1852">
        <v>125</v>
      </c>
      <c r="AP1852">
        <v>105</v>
      </c>
      <c r="AQ1852">
        <v>17</v>
      </c>
      <c r="AR1852">
        <v>0</v>
      </c>
      <c r="AS1852">
        <v>18</v>
      </c>
      <c r="AT1852">
        <v>8</v>
      </c>
    </row>
    <row r="1853" spans="1:46">
      <c r="A1853">
        <v>45147</v>
      </c>
      <c r="B1853" t="s">
        <v>10933</v>
      </c>
      <c r="C1853" t="s">
        <v>10934</v>
      </c>
      <c r="D1853" t="s">
        <v>10935</v>
      </c>
      <c r="E1853" t="s">
        <v>10936</v>
      </c>
      <c r="G1853" t="s">
        <v>2867</v>
      </c>
      <c r="H1853" t="s">
        <v>3942</v>
      </c>
      <c r="J1853" t="s">
        <v>3962</v>
      </c>
      <c r="K1853" t="s">
        <v>519</v>
      </c>
      <c r="M1853" t="s">
        <v>2287</v>
      </c>
      <c r="N1853" t="s">
        <v>557</v>
      </c>
      <c r="O1853" t="s">
        <v>2868</v>
      </c>
      <c r="P1853" t="s">
        <v>523</v>
      </c>
      <c r="Q1853" t="s">
        <v>2869</v>
      </c>
      <c r="R1853" t="s">
        <v>2824</v>
      </c>
      <c r="S1853" t="s">
        <v>2870</v>
      </c>
      <c r="T1853" t="s">
        <v>2448</v>
      </c>
      <c r="U1853">
        <v>301101</v>
      </c>
      <c r="V1853" t="s">
        <v>10937</v>
      </c>
      <c r="W1853" t="s">
        <v>2872</v>
      </c>
      <c r="X1853" t="s">
        <v>10938</v>
      </c>
      <c r="Y1853" t="s">
        <v>10939</v>
      </c>
      <c r="AA1853" t="s">
        <v>10940</v>
      </c>
      <c r="AB1853" t="s">
        <v>10941</v>
      </c>
      <c r="AC1853">
        <v>99115</v>
      </c>
      <c r="AD1853" t="s">
        <v>2873</v>
      </c>
      <c r="AE1853">
        <v>-41.109271229999997</v>
      </c>
      <c r="AF1853">
        <v>173.01440878</v>
      </c>
      <c r="AG1853">
        <v>30</v>
      </c>
      <c r="AH1853">
        <v>16</v>
      </c>
      <c r="AI1853">
        <v>1</v>
      </c>
      <c r="AJ1853">
        <v>11</v>
      </c>
      <c r="AK1853">
        <v>8</v>
      </c>
      <c r="AL1853">
        <v>5</v>
      </c>
      <c r="AM1853">
        <v>5</v>
      </c>
      <c r="AN1853">
        <v>0</v>
      </c>
      <c r="AO1853">
        <v>30</v>
      </c>
      <c r="AP1853">
        <v>29</v>
      </c>
      <c r="AQ1853">
        <v>6</v>
      </c>
      <c r="AR1853">
        <v>0</v>
      </c>
      <c r="AS1853">
        <v>2</v>
      </c>
      <c r="AT1853">
        <v>0</v>
      </c>
    </row>
    <row r="1854" spans="1:46">
      <c r="A1854">
        <v>45151</v>
      </c>
      <c r="B1854" t="s">
        <v>10942</v>
      </c>
      <c r="C1854" t="s">
        <v>10943</v>
      </c>
      <c r="D1854" t="s">
        <v>10944</v>
      </c>
      <c r="E1854" t="s">
        <v>10945</v>
      </c>
      <c r="F1854" t="s">
        <v>3086</v>
      </c>
      <c r="G1854" t="s">
        <v>2941</v>
      </c>
      <c r="H1854" t="s">
        <v>3942</v>
      </c>
      <c r="J1854" t="s">
        <v>3962</v>
      </c>
      <c r="K1854" t="s">
        <v>519</v>
      </c>
      <c r="M1854" t="s">
        <v>2287</v>
      </c>
      <c r="N1854" t="s">
        <v>571</v>
      </c>
      <c r="O1854" t="s">
        <v>2942</v>
      </c>
      <c r="P1854" t="s">
        <v>654</v>
      </c>
      <c r="Q1854" t="s">
        <v>2943</v>
      </c>
      <c r="R1854" t="s">
        <v>2944</v>
      </c>
      <c r="S1854" t="s">
        <v>3019</v>
      </c>
      <c r="T1854" t="s">
        <v>2448</v>
      </c>
      <c r="U1854">
        <v>327700</v>
      </c>
      <c r="V1854" t="s">
        <v>10946</v>
      </c>
      <c r="W1854" t="s">
        <v>3088</v>
      </c>
      <c r="X1854" t="s">
        <v>10947</v>
      </c>
      <c r="Y1854" t="s">
        <v>10948</v>
      </c>
      <c r="Z1854" t="s">
        <v>10949</v>
      </c>
      <c r="AA1854" t="s">
        <v>10950</v>
      </c>
      <c r="AB1854" t="s">
        <v>10951</v>
      </c>
      <c r="AE1854">
        <v>-43.562866790000001</v>
      </c>
      <c r="AF1854">
        <v>172.60649133999999</v>
      </c>
      <c r="AG1854">
        <v>45</v>
      </c>
      <c r="AH1854">
        <v>14</v>
      </c>
      <c r="AI1854">
        <v>0</v>
      </c>
      <c r="AJ1854">
        <v>13</v>
      </c>
      <c r="AK1854">
        <v>20</v>
      </c>
      <c r="AL1854">
        <v>14</v>
      </c>
      <c r="AM1854">
        <v>15</v>
      </c>
      <c r="AN1854">
        <v>1</v>
      </c>
      <c r="AO1854">
        <v>63</v>
      </c>
      <c r="AP1854">
        <v>55</v>
      </c>
      <c r="AQ1854">
        <v>3</v>
      </c>
      <c r="AR1854">
        <v>1</v>
      </c>
      <c r="AS1854">
        <v>4</v>
      </c>
      <c r="AT1854">
        <v>11</v>
      </c>
    </row>
    <row r="1855" spans="1:46">
      <c r="A1855">
        <v>45152</v>
      </c>
      <c r="B1855" t="s">
        <v>10952</v>
      </c>
      <c r="C1855" t="s">
        <v>10953</v>
      </c>
      <c r="D1855" t="s">
        <v>10954</v>
      </c>
      <c r="E1855" t="s">
        <v>10955</v>
      </c>
      <c r="F1855" t="s">
        <v>2733</v>
      </c>
      <c r="G1855" t="s">
        <v>2427</v>
      </c>
      <c r="H1855" t="s">
        <v>3942</v>
      </c>
      <c r="J1855" t="s">
        <v>518</v>
      </c>
      <c r="K1855" t="s">
        <v>519</v>
      </c>
      <c r="M1855" t="s">
        <v>2287</v>
      </c>
      <c r="N1855" t="s">
        <v>571</v>
      </c>
      <c r="O1855" t="s">
        <v>2428</v>
      </c>
      <c r="P1855" t="s">
        <v>654</v>
      </c>
      <c r="Q1855" t="s">
        <v>2319</v>
      </c>
      <c r="R1855" t="s">
        <v>2289</v>
      </c>
      <c r="S1855" t="s">
        <v>2429</v>
      </c>
      <c r="T1855" t="s">
        <v>2448</v>
      </c>
      <c r="U1855">
        <v>243700</v>
      </c>
      <c r="V1855" t="s">
        <v>10956</v>
      </c>
      <c r="W1855" t="s">
        <v>2491</v>
      </c>
      <c r="X1855" t="s">
        <v>10434</v>
      </c>
      <c r="Y1855" t="s">
        <v>3944</v>
      </c>
      <c r="Z1855" t="s">
        <v>3945</v>
      </c>
      <c r="AA1855" t="s">
        <v>3946</v>
      </c>
      <c r="AE1855">
        <v>-41.223473650000003</v>
      </c>
      <c r="AF1855">
        <v>174.86798633000001</v>
      </c>
      <c r="AG1855">
        <v>97</v>
      </c>
      <c r="AH1855">
        <v>25</v>
      </c>
      <c r="AI1855">
        <v>7</v>
      </c>
      <c r="AJ1855">
        <v>24</v>
      </c>
      <c r="AK1855">
        <v>20</v>
      </c>
      <c r="AL1855">
        <v>27</v>
      </c>
      <c r="AM1855">
        <v>24</v>
      </c>
      <c r="AN1855">
        <v>0</v>
      </c>
      <c r="AO1855">
        <v>102</v>
      </c>
      <c r="AP1855">
        <v>68</v>
      </c>
      <c r="AQ1855">
        <v>15</v>
      </c>
      <c r="AR1855">
        <v>6</v>
      </c>
      <c r="AS1855">
        <v>34</v>
      </c>
      <c r="AT1855">
        <v>10</v>
      </c>
    </row>
    <row r="1856" spans="1:46">
      <c r="A1856">
        <v>45156</v>
      </c>
      <c r="B1856" t="s">
        <v>10957</v>
      </c>
      <c r="C1856" t="s">
        <v>10958</v>
      </c>
      <c r="D1856" t="s">
        <v>10959</v>
      </c>
      <c r="E1856" t="s">
        <v>10960</v>
      </c>
      <c r="F1856" t="s">
        <v>2920</v>
      </c>
      <c r="G1856" t="s">
        <v>2853</v>
      </c>
      <c r="H1856" t="s">
        <v>3942</v>
      </c>
      <c r="J1856" t="s">
        <v>3962</v>
      </c>
      <c r="K1856" t="s">
        <v>519</v>
      </c>
      <c r="M1856" t="s">
        <v>2287</v>
      </c>
      <c r="N1856" t="s">
        <v>571</v>
      </c>
      <c r="O1856" t="s">
        <v>2854</v>
      </c>
      <c r="P1856" t="s">
        <v>584</v>
      </c>
      <c r="Q1856" t="s">
        <v>2855</v>
      </c>
      <c r="R1856" t="s">
        <v>2824</v>
      </c>
      <c r="S1856" t="s">
        <v>2853</v>
      </c>
      <c r="T1856" t="s">
        <v>2448</v>
      </c>
      <c r="U1856">
        <v>304100</v>
      </c>
      <c r="V1856" t="s">
        <v>2921</v>
      </c>
      <c r="W1856" t="s">
        <v>2857</v>
      </c>
      <c r="X1856" t="s">
        <v>10961</v>
      </c>
      <c r="Y1856" t="s">
        <v>4107</v>
      </c>
      <c r="AA1856" t="s">
        <v>3982</v>
      </c>
      <c r="AB1856" t="s">
        <v>10962</v>
      </c>
      <c r="AC1856">
        <v>99042</v>
      </c>
      <c r="AD1856" t="s">
        <v>2862</v>
      </c>
      <c r="AE1856">
        <v>-41.289778859999998</v>
      </c>
      <c r="AF1856">
        <v>173.24566589</v>
      </c>
      <c r="AG1856">
        <v>76</v>
      </c>
      <c r="AH1856">
        <v>20</v>
      </c>
    </row>
    <row r="1857" spans="1:46">
      <c r="A1857">
        <v>45157</v>
      </c>
      <c r="B1857" t="s">
        <v>10963</v>
      </c>
      <c r="C1857" t="s">
        <v>8761</v>
      </c>
      <c r="D1857" t="s">
        <v>10964</v>
      </c>
      <c r="E1857" t="s">
        <v>8763</v>
      </c>
      <c r="F1857" t="s">
        <v>1313</v>
      </c>
      <c r="G1857" t="s">
        <v>1296</v>
      </c>
      <c r="H1857" t="s">
        <v>4716</v>
      </c>
      <c r="J1857" t="s">
        <v>3962</v>
      </c>
      <c r="K1857" t="s">
        <v>519</v>
      </c>
      <c r="M1857" t="s">
        <v>2287</v>
      </c>
      <c r="N1857" t="s">
        <v>571</v>
      </c>
      <c r="O1857" t="s">
        <v>1298</v>
      </c>
      <c r="P1857" t="s">
        <v>654</v>
      </c>
      <c r="Q1857" t="s">
        <v>1299</v>
      </c>
      <c r="R1857" t="s">
        <v>2289</v>
      </c>
      <c r="S1857" t="s">
        <v>1312</v>
      </c>
      <c r="T1857" t="s">
        <v>1235</v>
      </c>
      <c r="U1857">
        <v>177300</v>
      </c>
      <c r="V1857" t="s">
        <v>1313</v>
      </c>
      <c r="W1857" t="s">
        <v>1314</v>
      </c>
      <c r="X1857" t="s">
        <v>10965</v>
      </c>
      <c r="Y1857" t="s">
        <v>8763</v>
      </c>
      <c r="Z1857" t="s">
        <v>1313</v>
      </c>
      <c r="AA1857" t="s">
        <v>8511</v>
      </c>
      <c r="AE1857">
        <v>-37.749390910000002</v>
      </c>
      <c r="AF1857">
        <v>175.27364802</v>
      </c>
      <c r="AG1857">
        <v>0</v>
      </c>
      <c r="AH1857">
        <v>0</v>
      </c>
      <c r="AI1857">
        <v>2</v>
      </c>
      <c r="AJ1857">
        <v>2</v>
      </c>
      <c r="AK1857">
        <v>9</v>
      </c>
      <c r="AL1857">
        <v>8</v>
      </c>
      <c r="AM1857">
        <v>5</v>
      </c>
      <c r="AN1857">
        <v>0</v>
      </c>
      <c r="AO1857">
        <v>26</v>
      </c>
      <c r="AP1857">
        <v>19</v>
      </c>
      <c r="AQ1857">
        <v>4</v>
      </c>
      <c r="AR1857">
        <v>0</v>
      </c>
      <c r="AS1857">
        <v>6</v>
      </c>
      <c r="AT1857">
        <v>6</v>
      </c>
    </row>
    <row r="1858" spans="1:46">
      <c r="A1858">
        <v>45158</v>
      </c>
      <c r="B1858" t="s">
        <v>10966</v>
      </c>
      <c r="C1858" t="s">
        <v>10967</v>
      </c>
      <c r="E1858" t="s">
        <v>10968</v>
      </c>
      <c r="F1858" t="s">
        <v>2941</v>
      </c>
      <c r="G1858" t="s">
        <v>2941</v>
      </c>
      <c r="H1858" t="s">
        <v>3942</v>
      </c>
      <c r="J1858" t="s">
        <v>3962</v>
      </c>
      <c r="K1858" t="s">
        <v>519</v>
      </c>
      <c r="M1858" t="s">
        <v>2287</v>
      </c>
      <c r="N1858" t="s">
        <v>557</v>
      </c>
      <c r="O1858" t="s">
        <v>2942</v>
      </c>
      <c r="P1858" t="s">
        <v>654</v>
      </c>
      <c r="Q1858" t="s">
        <v>2943</v>
      </c>
      <c r="R1858" t="s">
        <v>2944</v>
      </c>
      <c r="S1858" t="s">
        <v>2957</v>
      </c>
      <c r="T1858" t="s">
        <v>2448</v>
      </c>
      <c r="U1858">
        <v>324800</v>
      </c>
      <c r="V1858" t="s">
        <v>10969</v>
      </c>
      <c r="W1858" t="s">
        <v>3070</v>
      </c>
      <c r="X1858" t="s">
        <v>10970</v>
      </c>
      <c r="Y1858" t="s">
        <v>4658</v>
      </c>
      <c r="Z1858" t="s">
        <v>958</v>
      </c>
      <c r="AA1858" t="s">
        <v>4659</v>
      </c>
      <c r="AB1858" t="s">
        <v>10971</v>
      </c>
      <c r="AC1858">
        <v>99215</v>
      </c>
      <c r="AD1858" t="s">
        <v>10972</v>
      </c>
      <c r="AE1858">
        <v>-43.519334489999999</v>
      </c>
      <c r="AF1858">
        <v>172.63999440000001</v>
      </c>
      <c r="AG1858">
        <v>67</v>
      </c>
      <c r="AH1858">
        <v>22</v>
      </c>
      <c r="AI1858">
        <v>1</v>
      </c>
      <c r="AJ1858">
        <v>0</v>
      </c>
      <c r="AK1858">
        <v>9</v>
      </c>
      <c r="AL1858">
        <v>5</v>
      </c>
      <c r="AM1858">
        <v>7</v>
      </c>
      <c r="AN1858">
        <v>1</v>
      </c>
      <c r="AO1858">
        <v>23</v>
      </c>
      <c r="AP1858">
        <v>12</v>
      </c>
      <c r="AQ1858">
        <v>1</v>
      </c>
      <c r="AR1858">
        <v>0</v>
      </c>
      <c r="AS1858">
        <v>9</v>
      </c>
      <c r="AT1858">
        <v>4</v>
      </c>
    </row>
    <row r="1859" spans="1:46">
      <c r="A1859">
        <v>45160</v>
      </c>
      <c r="B1859" t="s">
        <v>10973</v>
      </c>
      <c r="C1859" t="s">
        <v>10974</v>
      </c>
      <c r="D1859" t="s">
        <v>10975</v>
      </c>
      <c r="E1859" t="s">
        <v>10976</v>
      </c>
      <c r="G1859" t="s">
        <v>1857</v>
      </c>
      <c r="H1859" t="s">
        <v>3942</v>
      </c>
      <c r="I1859" t="s">
        <v>4951</v>
      </c>
      <c r="J1859" t="s">
        <v>518</v>
      </c>
      <c r="K1859" t="s">
        <v>519</v>
      </c>
      <c r="M1859" t="s">
        <v>1297</v>
      </c>
      <c r="N1859" t="s">
        <v>557</v>
      </c>
      <c r="O1859" t="s">
        <v>1851</v>
      </c>
      <c r="P1859" t="s">
        <v>523</v>
      </c>
      <c r="Q1859" t="s">
        <v>1759</v>
      </c>
      <c r="R1859" t="s">
        <v>1760</v>
      </c>
      <c r="S1859" t="s">
        <v>1842</v>
      </c>
      <c r="T1859" t="s">
        <v>1485</v>
      </c>
      <c r="U1859">
        <v>221700</v>
      </c>
      <c r="V1859" t="s">
        <v>10977</v>
      </c>
      <c r="W1859" t="s">
        <v>1859</v>
      </c>
      <c r="X1859" t="s">
        <v>10978</v>
      </c>
      <c r="Y1859" t="s">
        <v>10979</v>
      </c>
      <c r="AA1859" t="s">
        <v>10980</v>
      </c>
      <c r="AB1859" t="s">
        <v>10981</v>
      </c>
      <c r="AE1859">
        <v>-39.57881072</v>
      </c>
      <c r="AF1859">
        <v>174.27666840000001</v>
      </c>
      <c r="AG1859">
        <v>40</v>
      </c>
      <c r="AH1859">
        <v>10</v>
      </c>
      <c r="AI1859">
        <v>1</v>
      </c>
      <c r="AJ1859">
        <v>9</v>
      </c>
      <c r="AK1859">
        <v>10</v>
      </c>
      <c r="AL1859">
        <v>13</v>
      </c>
      <c r="AM1859">
        <v>11</v>
      </c>
      <c r="AN1859">
        <v>0</v>
      </c>
      <c r="AO1859">
        <v>44</v>
      </c>
      <c r="AP1859">
        <v>26</v>
      </c>
      <c r="AQ1859">
        <v>36</v>
      </c>
      <c r="AR1859">
        <v>2</v>
      </c>
      <c r="AS1859">
        <v>1</v>
      </c>
      <c r="AT1859">
        <v>1</v>
      </c>
    </row>
    <row r="1860" spans="1:46">
      <c r="A1860">
        <v>45174</v>
      </c>
      <c r="B1860" t="s">
        <v>10982</v>
      </c>
      <c r="C1860" t="s">
        <v>10983</v>
      </c>
      <c r="D1860" t="s">
        <v>10984</v>
      </c>
      <c r="E1860" t="s">
        <v>10985</v>
      </c>
      <c r="F1860" t="s">
        <v>4841</v>
      </c>
      <c r="G1860" t="s">
        <v>652</v>
      </c>
      <c r="H1860" t="s">
        <v>3942</v>
      </c>
      <c r="J1860" t="s">
        <v>3962</v>
      </c>
      <c r="K1860" t="s">
        <v>519</v>
      </c>
      <c r="M1860" t="s">
        <v>520</v>
      </c>
      <c r="N1860" t="s">
        <v>571</v>
      </c>
      <c r="O1860" t="s">
        <v>707</v>
      </c>
      <c r="P1860" t="s">
        <v>654</v>
      </c>
      <c r="Q1860" t="s">
        <v>638</v>
      </c>
      <c r="R1860" t="s">
        <v>708</v>
      </c>
      <c r="S1860" t="s">
        <v>706</v>
      </c>
      <c r="T1860" t="s">
        <v>709</v>
      </c>
      <c r="U1860">
        <v>147800</v>
      </c>
      <c r="V1860" t="s">
        <v>10986</v>
      </c>
      <c r="W1860" t="s">
        <v>711</v>
      </c>
      <c r="X1860" t="s">
        <v>10987</v>
      </c>
      <c r="Y1860" t="s">
        <v>10988</v>
      </c>
      <c r="Z1860" t="s">
        <v>5760</v>
      </c>
      <c r="AA1860" t="s">
        <v>10989</v>
      </c>
      <c r="AB1860" t="s">
        <v>10983</v>
      </c>
      <c r="AE1860">
        <v>-36.882177710000001</v>
      </c>
      <c r="AF1860">
        <v>174.89982230000001</v>
      </c>
      <c r="AG1860">
        <v>100</v>
      </c>
      <c r="AH1860">
        <v>44</v>
      </c>
      <c r="AI1860">
        <v>5</v>
      </c>
      <c r="AJ1860">
        <v>14</v>
      </c>
      <c r="AK1860">
        <v>23</v>
      </c>
      <c r="AL1860">
        <v>29</v>
      </c>
      <c r="AM1860">
        <v>28</v>
      </c>
      <c r="AN1860">
        <v>0</v>
      </c>
      <c r="AO1860">
        <v>99</v>
      </c>
      <c r="AP1860">
        <v>49</v>
      </c>
      <c r="AQ1860">
        <v>3</v>
      </c>
      <c r="AR1860">
        <v>1</v>
      </c>
      <c r="AS1860">
        <v>59</v>
      </c>
      <c r="AT1860">
        <v>0</v>
      </c>
    </row>
    <row r="1861" spans="1:46">
      <c r="A1861">
        <v>45176</v>
      </c>
      <c r="B1861" t="s">
        <v>10990</v>
      </c>
      <c r="C1861" t="s">
        <v>10991</v>
      </c>
      <c r="E1861" t="s">
        <v>10992</v>
      </c>
      <c r="F1861" t="s">
        <v>898</v>
      </c>
      <c r="G1861" t="s">
        <v>652</v>
      </c>
      <c r="H1861" t="s">
        <v>3942</v>
      </c>
      <c r="J1861" t="s">
        <v>3962</v>
      </c>
      <c r="K1861" t="s">
        <v>519</v>
      </c>
      <c r="M1861" t="s">
        <v>520</v>
      </c>
      <c r="N1861" t="s">
        <v>539</v>
      </c>
      <c r="O1861" t="s">
        <v>813</v>
      </c>
      <c r="P1861" t="s">
        <v>654</v>
      </c>
      <c r="Q1861" t="s">
        <v>638</v>
      </c>
      <c r="R1861" t="s">
        <v>639</v>
      </c>
      <c r="S1861" t="s">
        <v>899</v>
      </c>
      <c r="T1861" t="s">
        <v>527</v>
      </c>
      <c r="U1861">
        <v>127500</v>
      </c>
      <c r="V1861" t="s">
        <v>4552</v>
      </c>
      <c r="W1861" t="s">
        <v>815</v>
      </c>
      <c r="X1861" t="s">
        <v>10993</v>
      </c>
      <c r="Y1861" t="s">
        <v>4491</v>
      </c>
      <c r="Z1861" t="s">
        <v>821</v>
      </c>
      <c r="AA1861" t="s">
        <v>4069</v>
      </c>
      <c r="AC1861">
        <v>99029</v>
      </c>
      <c r="AD1861" t="s">
        <v>901</v>
      </c>
      <c r="AE1861">
        <v>-36.88667015</v>
      </c>
      <c r="AF1861">
        <v>174.62851269999999</v>
      </c>
      <c r="AG1861">
        <v>50</v>
      </c>
      <c r="AH1861">
        <v>0</v>
      </c>
      <c r="AI1861">
        <v>0</v>
      </c>
      <c r="AJ1861">
        <v>0</v>
      </c>
      <c r="AK1861">
        <v>14</v>
      </c>
      <c r="AL1861">
        <v>6</v>
      </c>
      <c r="AM1861">
        <v>10</v>
      </c>
      <c r="AN1861">
        <v>2</v>
      </c>
      <c r="AO1861">
        <v>32</v>
      </c>
      <c r="AP1861">
        <v>6</v>
      </c>
      <c r="AQ1861">
        <v>7</v>
      </c>
      <c r="AR1861">
        <v>8</v>
      </c>
      <c r="AS1861">
        <v>14</v>
      </c>
      <c r="AT1861">
        <v>4</v>
      </c>
    </row>
    <row r="1862" spans="1:46">
      <c r="A1862">
        <v>45180</v>
      </c>
      <c r="B1862" t="s">
        <v>10994</v>
      </c>
      <c r="C1862" t="s">
        <v>10995</v>
      </c>
      <c r="D1862" t="s">
        <v>10996</v>
      </c>
      <c r="E1862" t="s">
        <v>10997</v>
      </c>
      <c r="F1862" t="s">
        <v>1691</v>
      </c>
      <c r="G1862" t="s">
        <v>1521</v>
      </c>
      <c r="H1862" t="s">
        <v>3942</v>
      </c>
      <c r="J1862" t="s">
        <v>3962</v>
      </c>
      <c r="K1862" t="s">
        <v>519</v>
      </c>
      <c r="M1862" t="s">
        <v>1297</v>
      </c>
      <c r="N1862" t="s">
        <v>727</v>
      </c>
      <c r="O1862" t="s">
        <v>1522</v>
      </c>
      <c r="P1862" t="s">
        <v>584</v>
      </c>
      <c r="Q1862" t="s">
        <v>1471</v>
      </c>
      <c r="R1862" t="s">
        <v>1472</v>
      </c>
      <c r="S1862" t="s">
        <v>1521</v>
      </c>
      <c r="T1862" t="s">
        <v>1474</v>
      </c>
      <c r="U1862">
        <v>198600</v>
      </c>
      <c r="V1862" t="s">
        <v>8610</v>
      </c>
      <c r="W1862" t="s">
        <v>1523</v>
      </c>
      <c r="X1862" t="s">
        <v>10998</v>
      </c>
      <c r="Y1862" t="s">
        <v>10999</v>
      </c>
      <c r="AA1862" t="s">
        <v>4513</v>
      </c>
      <c r="AC1862">
        <v>99107</v>
      </c>
      <c r="AD1862" t="s">
        <v>1526</v>
      </c>
      <c r="AE1862">
        <v>-38.130757559999999</v>
      </c>
      <c r="AF1862">
        <v>176.21222585999999</v>
      </c>
      <c r="AG1862">
        <v>115</v>
      </c>
      <c r="AH1862">
        <v>30</v>
      </c>
      <c r="AI1862">
        <v>2</v>
      </c>
      <c r="AJ1862">
        <v>20</v>
      </c>
      <c r="AK1862">
        <v>22</v>
      </c>
      <c r="AL1862">
        <v>16</v>
      </c>
      <c r="AM1862">
        <v>25</v>
      </c>
      <c r="AN1862">
        <v>1</v>
      </c>
      <c r="AO1862">
        <v>86</v>
      </c>
      <c r="AP1862">
        <v>24</v>
      </c>
      <c r="AQ1862">
        <v>67</v>
      </c>
      <c r="AR1862">
        <v>10</v>
      </c>
      <c r="AS1862">
        <v>7</v>
      </c>
      <c r="AT1862">
        <v>1</v>
      </c>
    </row>
    <row r="1863" spans="1:46">
      <c r="A1863">
        <v>45183</v>
      </c>
      <c r="B1863" t="s">
        <v>11000</v>
      </c>
      <c r="E1863" t="s">
        <v>4670</v>
      </c>
      <c r="F1863" t="s">
        <v>4031</v>
      </c>
      <c r="G1863" t="s">
        <v>652</v>
      </c>
      <c r="H1863" t="s">
        <v>4032</v>
      </c>
      <c r="J1863" t="s">
        <v>518</v>
      </c>
      <c r="K1863" t="s">
        <v>519</v>
      </c>
      <c r="M1863" t="s">
        <v>520</v>
      </c>
      <c r="N1863" t="s">
        <v>727</v>
      </c>
      <c r="O1863" t="s">
        <v>957</v>
      </c>
      <c r="P1863" t="s">
        <v>654</v>
      </c>
      <c r="Q1863" t="s">
        <v>638</v>
      </c>
      <c r="R1863" t="s">
        <v>708</v>
      </c>
      <c r="S1863" t="s">
        <v>958</v>
      </c>
      <c r="T1863" t="s">
        <v>709</v>
      </c>
      <c r="U1863">
        <v>136100</v>
      </c>
      <c r="V1863" t="s">
        <v>4031</v>
      </c>
      <c r="W1863" t="s">
        <v>824</v>
      </c>
      <c r="X1863" t="s">
        <v>4034</v>
      </c>
      <c r="Y1863" t="s">
        <v>4035</v>
      </c>
      <c r="Z1863" t="s">
        <v>4036</v>
      </c>
      <c r="AA1863" t="s">
        <v>4037</v>
      </c>
      <c r="AB1863" t="s">
        <v>4038</v>
      </c>
      <c r="AE1863">
        <v>-36.860655860000001</v>
      </c>
      <c r="AF1863">
        <v>174.76952199999999</v>
      </c>
      <c r="AG1863">
        <v>25</v>
      </c>
      <c r="AH1863">
        <v>25</v>
      </c>
    </row>
    <row r="1864" spans="1:46">
      <c r="A1864">
        <v>45185</v>
      </c>
      <c r="B1864" t="s">
        <v>11001</v>
      </c>
      <c r="C1864" t="s">
        <v>11002</v>
      </c>
      <c r="E1864" t="s">
        <v>11003</v>
      </c>
      <c r="G1864" t="s">
        <v>1545</v>
      </c>
      <c r="H1864" t="s">
        <v>3942</v>
      </c>
      <c r="J1864" t="s">
        <v>518</v>
      </c>
      <c r="K1864" t="s">
        <v>519</v>
      </c>
      <c r="M1864" t="s">
        <v>1297</v>
      </c>
      <c r="N1864" t="s">
        <v>571</v>
      </c>
      <c r="O1864" t="s">
        <v>1546</v>
      </c>
      <c r="P1864" t="s">
        <v>1262</v>
      </c>
      <c r="Q1864" t="s">
        <v>1299</v>
      </c>
      <c r="R1864" t="s">
        <v>1472</v>
      </c>
      <c r="S1864" t="s">
        <v>1320</v>
      </c>
      <c r="T1864" t="s">
        <v>1474</v>
      </c>
      <c r="U1864">
        <v>188600</v>
      </c>
      <c r="V1864" t="s">
        <v>9836</v>
      </c>
      <c r="W1864" t="s">
        <v>1548</v>
      </c>
      <c r="X1864" t="s">
        <v>10487</v>
      </c>
      <c r="Y1864" t="s">
        <v>3944</v>
      </c>
      <c r="Z1864" t="s">
        <v>3945</v>
      </c>
      <c r="AA1864" t="s">
        <v>3946</v>
      </c>
      <c r="AB1864" t="s">
        <v>10488</v>
      </c>
      <c r="AC1864">
        <v>99020</v>
      </c>
      <c r="AD1864" t="s">
        <v>1550</v>
      </c>
      <c r="AE1864">
        <v>-38.6861812</v>
      </c>
      <c r="AF1864">
        <v>176.0771513</v>
      </c>
      <c r="AG1864">
        <v>61</v>
      </c>
      <c r="AH1864">
        <v>16</v>
      </c>
      <c r="AI1864">
        <v>3</v>
      </c>
      <c r="AJ1864">
        <v>15</v>
      </c>
      <c r="AK1864">
        <v>12</v>
      </c>
      <c r="AL1864">
        <v>13</v>
      </c>
      <c r="AM1864">
        <v>19</v>
      </c>
      <c r="AN1864">
        <v>1</v>
      </c>
      <c r="AO1864">
        <v>63</v>
      </c>
      <c r="AP1864">
        <v>39</v>
      </c>
      <c r="AQ1864">
        <v>13</v>
      </c>
      <c r="AR1864">
        <v>0</v>
      </c>
      <c r="AS1864">
        <v>10</v>
      </c>
      <c r="AT1864">
        <v>8</v>
      </c>
    </row>
    <row r="1865" spans="1:46">
      <c r="A1865">
        <v>45192</v>
      </c>
      <c r="B1865" t="s">
        <v>11004</v>
      </c>
      <c r="C1865" t="s">
        <v>11005</v>
      </c>
      <c r="D1865" t="s">
        <v>11006</v>
      </c>
      <c r="E1865" t="s">
        <v>11007</v>
      </c>
      <c r="G1865" t="s">
        <v>1842</v>
      </c>
      <c r="H1865" t="s">
        <v>3942</v>
      </c>
      <c r="J1865" t="s">
        <v>518</v>
      </c>
      <c r="K1865" t="s">
        <v>519</v>
      </c>
      <c r="M1865" t="s">
        <v>1297</v>
      </c>
      <c r="N1865" t="s">
        <v>539</v>
      </c>
      <c r="O1865" t="s">
        <v>1887</v>
      </c>
      <c r="P1865" t="s">
        <v>584</v>
      </c>
      <c r="Q1865" t="s">
        <v>1636</v>
      </c>
      <c r="R1865" t="s">
        <v>1760</v>
      </c>
      <c r="S1865" t="s">
        <v>1842</v>
      </c>
      <c r="T1865" t="s">
        <v>1485</v>
      </c>
      <c r="U1865">
        <v>225700</v>
      </c>
      <c r="V1865" t="s">
        <v>10264</v>
      </c>
      <c r="W1865" t="s">
        <v>1652</v>
      </c>
      <c r="X1865" t="s">
        <v>10400</v>
      </c>
      <c r="Y1865" t="s">
        <v>3944</v>
      </c>
      <c r="Z1865" t="s">
        <v>3945</v>
      </c>
      <c r="AA1865" t="s">
        <v>3946</v>
      </c>
      <c r="AB1865" t="s">
        <v>10401</v>
      </c>
      <c r="AC1865">
        <v>99219</v>
      </c>
      <c r="AD1865" t="s">
        <v>1900</v>
      </c>
      <c r="AE1865">
        <v>-39.925074410000001</v>
      </c>
      <c r="AF1865">
        <v>175.03758113999999</v>
      </c>
      <c r="AG1865">
        <v>110</v>
      </c>
      <c r="AH1865">
        <v>25</v>
      </c>
      <c r="AI1865">
        <v>9</v>
      </c>
      <c r="AJ1865">
        <v>19</v>
      </c>
      <c r="AK1865">
        <v>27</v>
      </c>
      <c r="AL1865">
        <v>22</v>
      </c>
      <c r="AM1865">
        <v>28</v>
      </c>
      <c r="AN1865">
        <v>4</v>
      </c>
      <c r="AO1865">
        <v>109</v>
      </c>
      <c r="AP1865">
        <v>68</v>
      </c>
      <c r="AQ1865">
        <v>32</v>
      </c>
      <c r="AR1865">
        <v>3</v>
      </c>
      <c r="AS1865">
        <v>30</v>
      </c>
      <c r="AT1865">
        <v>3</v>
      </c>
    </row>
    <row r="1866" spans="1:46">
      <c r="A1866">
        <v>45200</v>
      </c>
      <c r="B1866" t="s">
        <v>11008</v>
      </c>
      <c r="C1866" t="s">
        <v>11009</v>
      </c>
      <c r="D1866" t="s">
        <v>8132</v>
      </c>
      <c r="E1866" t="s">
        <v>11010</v>
      </c>
      <c r="G1866" t="s">
        <v>682</v>
      </c>
      <c r="H1866" t="s">
        <v>3942</v>
      </c>
      <c r="J1866" t="s">
        <v>3962</v>
      </c>
      <c r="K1866" t="s">
        <v>519</v>
      </c>
      <c r="M1866" t="s">
        <v>520</v>
      </c>
      <c r="N1866" t="s">
        <v>571</v>
      </c>
      <c r="O1866" t="s">
        <v>1168</v>
      </c>
      <c r="P1866" t="s">
        <v>654</v>
      </c>
      <c r="Q1866" t="s">
        <v>638</v>
      </c>
      <c r="R1866" t="s">
        <v>639</v>
      </c>
      <c r="S1866" t="s">
        <v>655</v>
      </c>
      <c r="T1866" t="s">
        <v>527</v>
      </c>
      <c r="U1866">
        <v>118600</v>
      </c>
      <c r="V1866" t="s">
        <v>4012</v>
      </c>
      <c r="W1866" t="s">
        <v>657</v>
      </c>
      <c r="X1866" t="s">
        <v>4839</v>
      </c>
      <c r="Y1866" t="s">
        <v>4840</v>
      </c>
      <c r="Z1866" t="s">
        <v>4841</v>
      </c>
      <c r="AA1866" t="s">
        <v>4484</v>
      </c>
      <c r="AE1866">
        <v>-36.741930959999998</v>
      </c>
      <c r="AF1866">
        <v>174.72371630000001</v>
      </c>
      <c r="AG1866">
        <v>50</v>
      </c>
      <c r="AH1866">
        <v>10</v>
      </c>
      <c r="AI1866">
        <v>1</v>
      </c>
      <c r="AJ1866">
        <v>5</v>
      </c>
      <c r="AK1866">
        <v>8</v>
      </c>
      <c r="AL1866">
        <v>7</v>
      </c>
      <c r="AM1866">
        <v>1</v>
      </c>
      <c r="AN1866">
        <v>1</v>
      </c>
      <c r="AO1866">
        <v>23</v>
      </c>
      <c r="AP1866">
        <v>15</v>
      </c>
      <c r="AQ1866">
        <v>0</v>
      </c>
      <c r="AR1866">
        <v>2</v>
      </c>
      <c r="AS1866">
        <v>17</v>
      </c>
      <c r="AT1866">
        <v>0</v>
      </c>
    </row>
    <row r="1867" spans="1:46">
      <c r="A1867">
        <v>45201</v>
      </c>
      <c r="B1867" t="s">
        <v>11011</v>
      </c>
      <c r="C1867" t="s">
        <v>11012</v>
      </c>
      <c r="E1867" t="s">
        <v>11013</v>
      </c>
      <c r="G1867" t="s">
        <v>11014</v>
      </c>
      <c r="H1867" t="s">
        <v>298</v>
      </c>
      <c r="J1867" t="s">
        <v>518</v>
      </c>
      <c r="K1867" t="s">
        <v>519</v>
      </c>
      <c r="M1867" t="s">
        <v>2287</v>
      </c>
      <c r="N1867" t="s">
        <v>571</v>
      </c>
      <c r="O1867" t="s">
        <v>2822</v>
      </c>
      <c r="P1867" t="s">
        <v>540</v>
      </c>
      <c r="Q1867" t="s">
        <v>2823</v>
      </c>
      <c r="R1867" t="s">
        <v>2824</v>
      </c>
      <c r="S1867" t="s">
        <v>2825</v>
      </c>
      <c r="T1867" t="s">
        <v>2448</v>
      </c>
      <c r="U1867">
        <v>307400</v>
      </c>
      <c r="V1867" t="s">
        <v>11015</v>
      </c>
      <c r="W1867" t="s">
        <v>3868</v>
      </c>
      <c r="X1867" t="s">
        <v>11016</v>
      </c>
      <c r="Y1867" t="s">
        <v>5187</v>
      </c>
      <c r="AA1867" t="s">
        <v>5188</v>
      </c>
      <c r="AB1867" t="s">
        <v>11017</v>
      </c>
      <c r="AE1867">
        <v>-41.458745700000001</v>
      </c>
      <c r="AF1867">
        <v>173.9673043</v>
      </c>
      <c r="AG1867">
        <v>24</v>
      </c>
      <c r="AH1867">
        <v>20</v>
      </c>
      <c r="AI1867">
        <v>2</v>
      </c>
      <c r="AJ1867">
        <v>3</v>
      </c>
      <c r="AK1867">
        <v>6</v>
      </c>
      <c r="AL1867">
        <v>3</v>
      </c>
      <c r="AM1867">
        <v>0</v>
      </c>
      <c r="AN1867">
        <v>0</v>
      </c>
      <c r="AO1867">
        <v>14</v>
      </c>
      <c r="AP1867">
        <v>14</v>
      </c>
      <c r="AQ1867">
        <v>0</v>
      </c>
      <c r="AR1867">
        <v>1</v>
      </c>
      <c r="AS1867">
        <v>0</v>
      </c>
      <c r="AT1867">
        <v>0</v>
      </c>
    </row>
    <row r="1868" spans="1:46">
      <c r="A1868">
        <v>45204</v>
      </c>
      <c r="B1868" t="s">
        <v>11018</v>
      </c>
      <c r="C1868" t="s">
        <v>11019</v>
      </c>
      <c r="D1868" t="s">
        <v>4798</v>
      </c>
      <c r="E1868" t="s">
        <v>4799</v>
      </c>
      <c r="F1868" t="s">
        <v>847</v>
      </c>
      <c r="G1868" t="s">
        <v>652</v>
      </c>
      <c r="H1868" t="s">
        <v>3942</v>
      </c>
      <c r="I1868" t="s">
        <v>4253</v>
      </c>
      <c r="J1868" t="s">
        <v>518</v>
      </c>
      <c r="K1868" t="s">
        <v>519</v>
      </c>
      <c r="M1868" t="s">
        <v>520</v>
      </c>
      <c r="N1868" t="s">
        <v>727</v>
      </c>
      <c r="O1868" t="s">
        <v>848</v>
      </c>
      <c r="P1868" t="s">
        <v>654</v>
      </c>
      <c r="Q1868" t="s">
        <v>638</v>
      </c>
      <c r="R1868" t="s">
        <v>729</v>
      </c>
      <c r="S1868" t="s">
        <v>849</v>
      </c>
      <c r="T1868" t="s">
        <v>709</v>
      </c>
      <c r="U1868">
        <v>150200</v>
      </c>
      <c r="V1868" t="s">
        <v>940</v>
      </c>
      <c r="W1868" t="s">
        <v>732</v>
      </c>
      <c r="X1868" t="s">
        <v>11020</v>
      </c>
      <c r="Y1868" t="s">
        <v>4799</v>
      </c>
      <c r="Z1868" t="s">
        <v>945</v>
      </c>
      <c r="AA1868" t="s">
        <v>4537</v>
      </c>
      <c r="AB1868" t="s">
        <v>11019</v>
      </c>
      <c r="AE1868">
        <v>-36.968861949999997</v>
      </c>
      <c r="AF1868">
        <v>174.79559842</v>
      </c>
      <c r="AG1868">
        <v>25</v>
      </c>
      <c r="AH1868">
        <v>25</v>
      </c>
      <c r="AI1868">
        <v>0</v>
      </c>
      <c r="AJ1868">
        <v>10</v>
      </c>
      <c r="AK1868">
        <v>10</v>
      </c>
      <c r="AL1868">
        <v>0</v>
      </c>
      <c r="AM1868">
        <v>0</v>
      </c>
      <c r="AN1868">
        <v>0</v>
      </c>
      <c r="AO1868">
        <v>20</v>
      </c>
      <c r="AP1868">
        <v>2</v>
      </c>
      <c r="AQ1868">
        <v>2</v>
      </c>
      <c r="AR1868">
        <v>20</v>
      </c>
      <c r="AS1868">
        <v>0</v>
      </c>
      <c r="AT1868">
        <v>0</v>
      </c>
    </row>
    <row r="1869" spans="1:46">
      <c r="A1869">
        <v>45205</v>
      </c>
      <c r="B1869" t="s">
        <v>11021</v>
      </c>
      <c r="C1869" t="s">
        <v>11022</v>
      </c>
      <c r="D1869" t="s">
        <v>11023</v>
      </c>
      <c r="E1869" t="s">
        <v>11024</v>
      </c>
      <c r="F1869" t="s">
        <v>803</v>
      </c>
      <c r="G1869" t="s">
        <v>652</v>
      </c>
      <c r="H1869" t="s">
        <v>3942</v>
      </c>
      <c r="J1869" t="s">
        <v>3962</v>
      </c>
      <c r="K1869" t="s">
        <v>519</v>
      </c>
      <c r="M1869" t="s">
        <v>520</v>
      </c>
      <c r="N1869" t="s">
        <v>571</v>
      </c>
      <c r="O1869" t="s">
        <v>804</v>
      </c>
      <c r="P1869" t="s">
        <v>654</v>
      </c>
      <c r="Q1869" t="s">
        <v>638</v>
      </c>
      <c r="R1869" t="s">
        <v>708</v>
      </c>
      <c r="S1869" t="s">
        <v>805</v>
      </c>
      <c r="T1869" t="s">
        <v>709</v>
      </c>
      <c r="U1869">
        <v>144400</v>
      </c>
      <c r="V1869" t="s">
        <v>806</v>
      </c>
      <c r="W1869" t="s">
        <v>807</v>
      </c>
      <c r="X1869" t="s">
        <v>4633</v>
      </c>
      <c r="Y1869" t="s">
        <v>7465</v>
      </c>
      <c r="Z1869" t="s">
        <v>1234</v>
      </c>
      <c r="AA1869" t="s">
        <v>11025</v>
      </c>
      <c r="AB1869" t="s">
        <v>4636</v>
      </c>
      <c r="AE1869">
        <v>-36.898103749999997</v>
      </c>
      <c r="AF1869">
        <v>174.82217778</v>
      </c>
      <c r="AG1869">
        <v>60</v>
      </c>
      <c r="AH1869">
        <v>30</v>
      </c>
      <c r="AI1869">
        <v>3</v>
      </c>
      <c r="AJ1869">
        <v>14</v>
      </c>
      <c r="AK1869">
        <v>15</v>
      </c>
      <c r="AL1869">
        <v>18</v>
      </c>
      <c r="AM1869">
        <v>14</v>
      </c>
      <c r="AN1869">
        <v>1</v>
      </c>
      <c r="AO1869">
        <v>65</v>
      </c>
      <c r="AP1869">
        <v>18</v>
      </c>
      <c r="AQ1869">
        <v>3</v>
      </c>
      <c r="AR1869">
        <v>4</v>
      </c>
      <c r="AS1869">
        <v>47</v>
      </c>
      <c r="AT1869">
        <v>3</v>
      </c>
    </row>
    <row r="1870" spans="1:46">
      <c r="A1870">
        <v>45207</v>
      </c>
      <c r="B1870" t="s">
        <v>11026</v>
      </c>
      <c r="C1870" t="s">
        <v>11027</v>
      </c>
      <c r="D1870" t="s">
        <v>11028</v>
      </c>
      <c r="E1870" t="s">
        <v>11029</v>
      </c>
      <c r="G1870" t="s">
        <v>1261</v>
      </c>
      <c r="H1870" t="s">
        <v>3942</v>
      </c>
      <c r="J1870" t="s">
        <v>3962</v>
      </c>
      <c r="K1870" t="s">
        <v>519</v>
      </c>
      <c r="M1870" t="s">
        <v>520</v>
      </c>
      <c r="N1870" t="s">
        <v>571</v>
      </c>
      <c r="O1870" t="s">
        <v>1233</v>
      </c>
      <c r="P1870" t="s">
        <v>523</v>
      </c>
      <c r="Q1870" t="s">
        <v>638</v>
      </c>
      <c r="R1870" t="s">
        <v>729</v>
      </c>
      <c r="S1870" t="s">
        <v>1246</v>
      </c>
      <c r="T1870" t="s">
        <v>1235</v>
      </c>
      <c r="U1870">
        <v>163801</v>
      </c>
      <c r="V1870" t="s">
        <v>7786</v>
      </c>
      <c r="W1870" t="s">
        <v>1237</v>
      </c>
      <c r="X1870" t="s">
        <v>11030</v>
      </c>
      <c r="Y1870" t="s">
        <v>11031</v>
      </c>
      <c r="AA1870" t="s">
        <v>11032</v>
      </c>
      <c r="AC1870">
        <v>99075</v>
      </c>
      <c r="AD1870" t="s">
        <v>1264</v>
      </c>
      <c r="AE1870">
        <v>-37.19338071</v>
      </c>
      <c r="AF1870">
        <v>174.82217349999999</v>
      </c>
      <c r="AG1870">
        <v>30</v>
      </c>
      <c r="AH1870">
        <v>1</v>
      </c>
      <c r="AI1870">
        <v>0</v>
      </c>
      <c r="AJ1870">
        <v>0</v>
      </c>
      <c r="AK1870">
        <v>9</v>
      </c>
      <c r="AL1870">
        <v>8</v>
      </c>
      <c r="AM1870">
        <v>13</v>
      </c>
      <c r="AN1870">
        <v>1</v>
      </c>
      <c r="AO1870">
        <v>31</v>
      </c>
      <c r="AP1870">
        <v>31</v>
      </c>
      <c r="AQ1870">
        <v>1</v>
      </c>
      <c r="AR1870">
        <v>5</v>
      </c>
      <c r="AS1870">
        <v>0</v>
      </c>
      <c r="AT1870">
        <v>0</v>
      </c>
    </row>
    <row r="1871" spans="1:46">
      <c r="A1871">
        <v>45210</v>
      </c>
      <c r="B1871" t="s">
        <v>11033</v>
      </c>
      <c r="C1871" t="s">
        <v>8399</v>
      </c>
      <c r="D1871" t="s">
        <v>8400</v>
      </c>
      <c r="E1871" t="s">
        <v>8401</v>
      </c>
      <c r="F1871" t="s">
        <v>8402</v>
      </c>
      <c r="G1871" t="s">
        <v>1598</v>
      </c>
      <c r="H1871" t="s">
        <v>4716</v>
      </c>
      <c r="J1871" t="s">
        <v>3962</v>
      </c>
      <c r="K1871" t="s">
        <v>519</v>
      </c>
      <c r="M1871" t="s">
        <v>1297</v>
      </c>
      <c r="N1871" t="s">
        <v>571</v>
      </c>
      <c r="O1871" t="s">
        <v>1698</v>
      </c>
      <c r="P1871" t="s">
        <v>654</v>
      </c>
      <c r="Q1871" t="s">
        <v>1471</v>
      </c>
      <c r="R1871" t="s">
        <v>1472</v>
      </c>
      <c r="S1871" t="s">
        <v>1598</v>
      </c>
      <c r="T1871" t="s">
        <v>1474</v>
      </c>
      <c r="U1871">
        <v>193800</v>
      </c>
      <c r="V1871" t="s">
        <v>8402</v>
      </c>
      <c r="W1871" t="s">
        <v>3724</v>
      </c>
      <c r="X1871" t="s">
        <v>10651</v>
      </c>
      <c r="Y1871" t="s">
        <v>8401</v>
      </c>
      <c r="AA1871" t="s">
        <v>8404</v>
      </c>
      <c r="AB1871" t="s">
        <v>8469</v>
      </c>
      <c r="AE1871">
        <v>-37.684248050000001</v>
      </c>
      <c r="AF1871">
        <v>176.16808601</v>
      </c>
      <c r="AG1871">
        <v>50</v>
      </c>
      <c r="AH1871">
        <v>50</v>
      </c>
      <c r="AI1871">
        <v>1</v>
      </c>
      <c r="AJ1871">
        <v>6</v>
      </c>
      <c r="AK1871">
        <v>11</v>
      </c>
      <c r="AL1871">
        <v>12</v>
      </c>
      <c r="AM1871">
        <v>6</v>
      </c>
      <c r="AN1871">
        <v>1</v>
      </c>
      <c r="AO1871">
        <v>37</v>
      </c>
      <c r="AP1871">
        <v>28</v>
      </c>
      <c r="AQ1871">
        <v>5</v>
      </c>
      <c r="AR1871">
        <v>2</v>
      </c>
      <c r="AS1871">
        <v>1</v>
      </c>
      <c r="AT1871">
        <v>4</v>
      </c>
    </row>
    <row r="1872" spans="1:46">
      <c r="A1872">
        <v>45217</v>
      </c>
      <c r="B1872" t="s">
        <v>11034</v>
      </c>
      <c r="C1872" t="s">
        <v>11035</v>
      </c>
      <c r="D1872" t="s">
        <v>11036</v>
      </c>
      <c r="E1872" t="s">
        <v>11037</v>
      </c>
      <c r="G1872" t="s">
        <v>3683</v>
      </c>
      <c r="H1872" t="s">
        <v>3942</v>
      </c>
      <c r="J1872" t="s">
        <v>3962</v>
      </c>
      <c r="K1872" t="s">
        <v>519</v>
      </c>
      <c r="M1872" t="s">
        <v>1297</v>
      </c>
      <c r="N1872" t="s">
        <v>539</v>
      </c>
      <c r="O1872" t="s">
        <v>1437</v>
      </c>
      <c r="P1872" t="s">
        <v>523</v>
      </c>
      <c r="Q1872" t="s">
        <v>1299</v>
      </c>
      <c r="R1872" t="s">
        <v>1300</v>
      </c>
      <c r="S1872" t="s">
        <v>1438</v>
      </c>
      <c r="T1872" t="s">
        <v>1235</v>
      </c>
      <c r="U1872">
        <v>169500</v>
      </c>
      <c r="V1872" t="s">
        <v>3684</v>
      </c>
      <c r="W1872" t="s">
        <v>3685</v>
      </c>
      <c r="X1872" t="s">
        <v>11038</v>
      </c>
      <c r="Y1872" t="s">
        <v>11037</v>
      </c>
      <c r="Z1872" t="s">
        <v>3683</v>
      </c>
      <c r="AA1872" t="s">
        <v>11039</v>
      </c>
      <c r="AB1872" t="s">
        <v>11040</v>
      </c>
      <c r="AC1872">
        <v>99089</v>
      </c>
      <c r="AD1872" t="s">
        <v>3686</v>
      </c>
      <c r="AE1872">
        <v>-37.379724000000003</v>
      </c>
      <c r="AF1872">
        <v>175.8541414</v>
      </c>
      <c r="AG1872">
        <v>23</v>
      </c>
      <c r="AH1872">
        <v>8</v>
      </c>
      <c r="AI1872">
        <v>2</v>
      </c>
      <c r="AJ1872">
        <v>0</v>
      </c>
      <c r="AK1872">
        <v>6</v>
      </c>
      <c r="AL1872">
        <v>6</v>
      </c>
      <c r="AM1872">
        <v>5</v>
      </c>
      <c r="AN1872">
        <v>1</v>
      </c>
      <c r="AO1872">
        <v>20</v>
      </c>
      <c r="AP1872">
        <v>14</v>
      </c>
      <c r="AQ1872">
        <v>8</v>
      </c>
      <c r="AR1872">
        <v>1</v>
      </c>
      <c r="AS1872">
        <v>5</v>
      </c>
      <c r="AT1872">
        <v>0</v>
      </c>
    </row>
    <row r="1873" spans="1:46">
      <c r="A1873">
        <v>45226</v>
      </c>
      <c r="B1873" t="s">
        <v>11041</v>
      </c>
      <c r="C1873" t="s">
        <v>11042</v>
      </c>
      <c r="D1873" t="s">
        <v>11043</v>
      </c>
      <c r="E1873" t="s">
        <v>11044</v>
      </c>
      <c r="F1873" t="s">
        <v>5033</v>
      </c>
      <c r="G1873" t="s">
        <v>582</v>
      </c>
      <c r="H1873" t="s">
        <v>3942</v>
      </c>
      <c r="J1873" t="s">
        <v>3962</v>
      </c>
      <c r="K1873" t="s">
        <v>519</v>
      </c>
      <c r="M1873" t="s">
        <v>520</v>
      </c>
      <c r="N1873" t="s">
        <v>557</v>
      </c>
      <c r="O1873" t="s">
        <v>583</v>
      </c>
      <c r="P1873" t="s">
        <v>584</v>
      </c>
      <c r="Q1873" t="s">
        <v>524</v>
      </c>
      <c r="R1873" t="s">
        <v>525</v>
      </c>
      <c r="S1873" t="s">
        <v>585</v>
      </c>
      <c r="T1873" t="s">
        <v>527</v>
      </c>
      <c r="U1873">
        <v>106800</v>
      </c>
      <c r="V1873" t="s">
        <v>602</v>
      </c>
      <c r="W1873" t="s">
        <v>587</v>
      </c>
      <c r="X1873" t="s">
        <v>11045</v>
      </c>
      <c r="Y1873" t="s">
        <v>11046</v>
      </c>
      <c r="Z1873" t="s">
        <v>532</v>
      </c>
      <c r="AA1873" t="s">
        <v>4529</v>
      </c>
      <c r="AB1873" t="s">
        <v>11047</v>
      </c>
      <c r="AC1873">
        <v>99181</v>
      </c>
      <c r="AD1873" t="s">
        <v>594</v>
      </c>
      <c r="AE1873">
        <v>-35.702677829999999</v>
      </c>
      <c r="AF1873">
        <v>174.32529482000001</v>
      </c>
      <c r="AG1873">
        <v>33</v>
      </c>
      <c r="AH1873">
        <v>20</v>
      </c>
      <c r="AI1873">
        <v>2</v>
      </c>
      <c r="AJ1873">
        <v>7</v>
      </c>
      <c r="AK1873">
        <v>6</v>
      </c>
      <c r="AL1873">
        <v>8</v>
      </c>
      <c r="AM1873">
        <v>7</v>
      </c>
      <c r="AN1873">
        <v>1</v>
      </c>
      <c r="AO1873">
        <v>31</v>
      </c>
      <c r="AP1873">
        <v>12</v>
      </c>
      <c r="AQ1873">
        <v>30</v>
      </c>
      <c r="AR1873">
        <v>4</v>
      </c>
      <c r="AS1873">
        <v>3</v>
      </c>
      <c r="AT1873">
        <v>1</v>
      </c>
    </row>
    <row r="1874" spans="1:46">
      <c r="A1874">
        <v>45229</v>
      </c>
      <c r="B1874" t="s">
        <v>11048</v>
      </c>
      <c r="C1874" t="s">
        <v>11049</v>
      </c>
      <c r="D1874" t="s">
        <v>11050</v>
      </c>
      <c r="E1874" t="s">
        <v>11051</v>
      </c>
      <c r="F1874" t="s">
        <v>11052</v>
      </c>
      <c r="G1874" t="s">
        <v>2289</v>
      </c>
      <c r="H1874" t="s">
        <v>517</v>
      </c>
      <c r="J1874" t="s">
        <v>518</v>
      </c>
      <c r="K1874" t="s">
        <v>519</v>
      </c>
      <c r="M1874" t="s">
        <v>2287</v>
      </c>
      <c r="N1874" t="s">
        <v>571</v>
      </c>
      <c r="O1874" t="s">
        <v>2536</v>
      </c>
      <c r="P1874" t="s">
        <v>654</v>
      </c>
      <c r="Q1874" t="s">
        <v>2319</v>
      </c>
      <c r="R1874" t="s">
        <v>2289</v>
      </c>
      <c r="S1874" t="s">
        <v>2537</v>
      </c>
      <c r="T1874" t="s">
        <v>2448</v>
      </c>
      <c r="U1874">
        <v>252700</v>
      </c>
      <c r="V1874" t="s">
        <v>11053</v>
      </c>
      <c r="W1874" t="s">
        <v>2538</v>
      </c>
      <c r="X1874" t="s">
        <v>1889</v>
      </c>
      <c r="Y1874" t="s">
        <v>1890</v>
      </c>
      <c r="AA1874" t="s">
        <v>1891</v>
      </c>
      <c r="AB1874" t="s">
        <v>1892</v>
      </c>
      <c r="AC1874">
        <v>99171</v>
      </c>
      <c r="AD1874" t="s">
        <v>2539</v>
      </c>
      <c r="AE1874">
        <v>-41.339179049999998</v>
      </c>
      <c r="AF1874">
        <v>174.76029947000001</v>
      </c>
      <c r="AG1874">
        <v>45</v>
      </c>
      <c r="AH1874">
        <v>10</v>
      </c>
      <c r="AI1874">
        <v>0</v>
      </c>
      <c r="AJ1874">
        <v>4</v>
      </c>
      <c r="AK1874">
        <v>13</v>
      </c>
      <c r="AL1874">
        <v>15</v>
      </c>
      <c r="AM1874">
        <v>18</v>
      </c>
      <c r="AN1874">
        <v>1</v>
      </c>
      <c r="AO1874">
        <v>51</v>
      </c>
      <c r="AP1874">
        <v>45</v>
      </c>
      <c r="AQ1874">
        <v>8</v>
      </c>
      <c r="AR1874">
        <v>3</v>
      </c>
      <c r="AS1874">
        <v>4</v>
      </c>
      <c r="AT1874">
        <v>2</v>
      </c>
    </row>
    <row r="1875" spans="1:46">
      <c r="A1875">
        <v>45230</v>
      </c>
      <c r="B1875" t="s">
        <v>11054</v>
      </c>
      <c r="C1875" t="s">
        <v>11055</v>
      </c>
      <c r="E1875" t="s">
        <v>11056</v>
      </c>
      <c r="F1875" t="s">
        <v>3706</v>
      </c>
      <c r="G1875" t="s">
        <v>4326</v>
      </c>
      <c r="H1875" t="s">
        <v>3942</v>
      </c>
      <c r="J1875" t="s">
        <v>3962</v>
      </c>
      <c r="K1875" t="s">
        <v>519</v>
      </c>
      <c r="M1875" t="s">
        <v>520</v>
      </c>
      <c r="N1875" t="s">
        <v>571</v>
      </c>
      <c r="O1875" t="s">
        <v>1168</v>
      </c>
      <c r="P1875" t="s">
        <v>654</v>
      </c>
      <c r="Q1875" t="s">
        <v>638</v>
      </c>
      <c r="R1875" t="s">
        <v>639</v>
      </c>
      <c r="S1875" t="s">
        <v>655</v>
      </c>
      <c r="T1875" t="s">
        <v>527</v>
      </c>
      <c r="U1875">
        <v>118600</v>
      </c>
      <c r="V1875" t="s">
        <v>4012</v>
      </c>
      <c r="W1875" t="s">
        <v>657</v>
      </c>
      <c r="X1875" t="s">
        <v>11057</v>
      </c>
      <c r="Y1875" t="s">
        <v>11058</v>
      </c>
      <c r="Z1875" t="s">
        <v>11059</v>
      </c>
      <c r="AA1875" t="s">
        <v>11060</v>
      </c>
      <c r="AB1875" t="s">
        <v>11061</v>
      </c>
      <c r="AE1875">
        <v>-36.75153718</v>
      </c>
      <c r="AF1875">
        <v>174.69510009999999</v>
      </c>
      <c r="AG1875">
        <v>80</v>
      </c>
      <c r="AH1875">
        <v>25</v>
      </c>
      <c r="AI1875">
        <v>2</v>
      </c>
      <c r="AJ1875">
        <v>10</v>
      </c>
      <c r="AK1875">
        <v>15</v>
      </c>
      <c r="AL1875">
        <v>16</v>
      </c>
      <c r="AM1875">
        <v>12</v>
      </c>
      <c r="AN1875">
        <v>1</v>
      </c>
      <c r="AO1875">
        <v>56</v>
      </c>
      <c r="AP1875">
        <v>38</v>
      </c>
      <c r="AQ1875">
        <v>9</v>
      </c>
      <c r="AR1875">
        <v>6</v>
      </c>
      <c r="AS1875">
        <v>18</v>
      </c>
      <c r="AT1875">
        <v>2</v>
      </c>
    </row>
    <row r="1876" spans="1:46">
      <c r="A1876">
        <v>45233</v>
      </c>
      <c r="B1876" t="s">
        <v>11062</v>
      </c>
      <c r="C1876" t="s">
        <v>11063</v>
      </c>
      <c r="D1876" t="s">
        <v>11064</v>
      </c>
      <c r="E1876" t="s">
        <v>11065</v>
      </c>
      <c r="F1876" t="s">
        <v>1345</v>
      </c>
      <c r="G1876" t="s">
        <v>1296</v>
      </c>
      <c r="H1876" t="s">
        <v>3942</v>
      </c>
      <c r="J1876" t="s">
        <v>3962</v>
      </c>
      <c r="K1876" t="s">
        <v>519</v>
      </c>
      <c r="M1876" t="s">
        <v>1297</v>
      </c>
      <c r="N1876" t="s">
        <v>571</v>
      </c>
      <c r="O1876" t="s">
        <v>1298</v>
      </c>
      <c r="P1876" t="s">
        <v>654</v>
      </c>
      <c r="Q1876" t="s">
        <v>1299</v>
      </c>
      <c r="R1876" t="s">
        <v>1300</v>
      </c>
      <c r="S1876" t="s">
        <v>1301</v>
      </c>
      <c r="T1876" t="s">
        <v>1235</v>
      </c>
      <c r="U1876">
        <v>178701</v>
      </c>
      <c r="V1876" t="s">
        <v>1346</v>
      </c>
      <c r="W1876" t="s">
        <v>1303</v>
      </c>
      <c r="X1876" t="s">
        <v>10837</v>
      </c>
      <c r="Y1876" t="s">
        <v>4097</v>
      </c>
      <c r="Z1876" t="s">
        <v>4098</v>
      </c>
      <c r="AA1876" t="s">
        <v>4099</v>
      </c>
      <c r="AE1876">
        <v>-37.791575829999999</v>
      </c>
      <c r="AF1876">
        <v>175.25342119999999</v>
      </c>
      <c r="AG1876">
        <v>100</v>
      </c>
      <c r="AH1876">
        <v>40</v>
      </c>
      <c r="AI1876">
        <v>5</v>
      </c>
      <c r="AJ1876">
        <v>10</v>
      </c>
      <c r="AK1876">
        <v>25</v>
      </c>
      <c r="AL1876">
        <v>25</v>
      </c>
      <c r="AM1876">
        <v>21</v>
      </c>
      <c r="AN1876">
        <v>3</v>
      </c>
      <c r="AO1876">
        <v>89</v>
      </c>
      <c r="AP1876">
        <v>44</v>
      </c>
      <c r="AQ1876">
        <v>41</v>
      </c>
      <c r="AR1876">
        <v>15</v>
      </c>
      <c r="AS1876">
        <v>22</v>
      </c>
      <c r="AT1876">
        <v>9</v>
      </c>
    </row>
    <row r="1877" spans="1:46">
      <c r="A1877">
        <v>45248</v>
      </c>
      <c r="B1877" t="s">
        <v>11066</v>
      </c>
      <c r="C1877" t="s">
        <v>11067</v>
      </c>
      <c r="D1877" t="s">
        <v>11068</v>
      </c>
      <c r="E1877" t="s">
        <v>11069</v>
      </c>
      <c r="F1877" t="s">
        <v>2940</v>
      </c>
      <c r="G1877" t="s">
        <v>2941</v>
      </c>
      <c r="H1877" t="s">
        <v>3942</v>
      </c>
      <c r="J1877" t="s">
        <v>3962</v>
      </c>
      <c r="K1877" t="s">
        <v>519</v>
      </c>
      <c r="M1877" t="s">
        <v>2287</v>
      </c>
      <c r="N1877" t="s">
        <v>571</v>
      </c>
      <c r="O1877" t="s">
        <v>2942</v>
      </c>
      <c r="P1877" t="s">
        <v>654</v>
      </c>
      <c r="Q1877" t="s">
        <v>2943</v>
      </c>
      <c r="R1877" t="s">
        <v>2944</v>
      </c>
      <c r="S1877" t="s">
        <v>2945</v>
      </c>
      <c r="T1877" t="s">
        <v>2448</v>
      </c>
      <c r="U1877">
        <v>320700</v>
      </c>
      <c r="V1877" t="s">
        <v>11070</v>
      </c>
      <c r="W1877" t="s">
        <v>2947</v>
      </c>
      <c r="X1877" t="s">
        <v>11071</v>
      </c>
      <c r="Y1877" t="s">
        <v>11072</v>
      </c>
      <c r="AA1877" t="s">
        <v>11073</v>
      </c>
      <c r="AE1877">
        <v>-43.523993730000001</v>
      </c>
      <c r="AF1877">
        <v>172.56068110000001</v>
      </c>
      <c r="AG1877">
        <v>75</v>
      </c>
      <c r="AH1877">
        <v>25</v>
      </c>
      <c r="AI1877">
        <v>3</v>
      </c>
      <c r="AJ1877">
        <v>18</v>
      </c>
      <c r="AK1877">
        <v>13</v>
      </c>
      <c r="AL1877">
        <v>12</v>
      </c>
      <c r="AM1877">
        <v>21</v>
      </c>
      <c r="AN1877">
        <v>1</v>
      </c>
      <c r="AO1877">
        <v>68</v>
      </c>
      <c r="AP1877">
        <v>48</v>
      </c>
      <c r="AQ1877">
        <v>8</v>
      </c>
      <c r="AR1877">
        <v>3</v>
      </c>
      <c r="AS1877">
        <v>19</v>
      </c>
      <c r="AT1877">
        <v>2</v>
      </c>
    </row>
    <row r="1878" spans="1:46">
      <c r="A1878">
        <v>45250</v>
      </c>
      <c r="B1878" t="s">
        <v>11074</v>
      </c>
      <c r="D1878" t="s">
        <v>11075</v>
      </c>
      <c r="E1878" t="s">
        <v>11076</v>
      </c>
      <c r="F1878" t="s">
        <v>3522</v>
      </c>
      <c r="G1878" t="s">
        <v>3498</v>
      </c>
      <c r="H1878" t="s">
        <v>298</v>
      </c>
      <c r="J1878" t="s">
        <v>518</v>
      </c>
      <c r="K1878" t="s">
        <v>519</v>
      </c>
      <c r="M1878" t="s">
        <v>2287</v>
      </c>
      <c r="N1878" t="s">
        <v>557</v>
      </c>
      <c r="O1878" t="s">
        <v>3496</v>
      </c>
      <c r="P1878" t="s">
        <v>584</v>
      </c>
      <c r="Q1878" t="s">
        <v>3497</v>
      </c>
      <c r="R1878" t="s">
        <v>3338</v>
      </c>
      <c r="S1878" t="s">
        <v>3498</v>
      </c>
      <c r="T1878" t="s">
        <v>2448</v>
      </c>
      <c r="U1878">
        <v>362601</v>
      </c>
      <c r="V1878" t="s">
        <v>3842</v>
      </c>
      <c r="W1878" t="s">
        <v>1652</v>
      </c>
      <c r="X1878" t="s">
        <v>11077</v>
      </c>
      <c r="Y1878" t="s">
        <v>5187</v>
      </c>
      <c r="AA1878" t="s">
        <v>5188</v>
      </c>
      <c r="AB1878" t="s">
        <v>11078</v>
      </c>
      <c r="AE1878">
        <v>-46.432049499999998</v>
      </c>
      <c r="AF1878">
        <v>168.38380939999999</v>
      </c>
      <c r="AG1878">
        <v>20</v>
      </c>
      <c r="AH1878">
        <v>15</v>
      </c>
      <c r="AI1878">
        <v>45</v>
      </c>
      <c r="AJ1878">
        <v>0</v>
      </c>
      <c r="AK1878">
        <v>0</v>
      </c>
      <c r="AL1878">
        <v>0</v>
      </c>
      <c r="AM1878">
        <v>0</v>
      </c>
      <c r="AN1878">
        <v>0</v>
      </c>
      <c r="AO1878">
        <v>45</v>
      </c>
      <c r="AP1878">
        <v>44</v>
      </c>
      <c r="AQ1878">
        <v>8</v>
      </c>
      <c r="AR1878">
        <v>0</v>
      </c>
      <c r="AS1878">
        <v>4</v>
      </c>
      <c r="AT1878">
        <v>0</v>
      </c>
    </row>
    <row r="1879" spans="1:46">
      <c r="A1879">
        <v>45254</v>
      </c>
      <c r="B1879" t="s">
        <v>11079</v>
      </c>
      <c r="C1879" t="s">
        <v>9267</v>
      </c>
      <c r="D1879" t="s">
        <v>1293</v>
      </c>
      <c r="E1879" t="s">
        <v>11080</v>
      </c>
      <c r="F1879" t="s">
        <v>1312</v>
      </c>
      <c r="G1879" t="s">
        <v>1296</v>
      </c>
      <c r="H1879" t="s">
        <v>3942</v>
      </c>
      <c r="J1879" t="s">
        <v>518</v>
      </c>
      <c r="K1879" t="s">
        <v>519</v>
      </c>
      <c r="M1879" t="s">
        <v>1297</v>
      </c>
      <c r="N1879" t="s">
        <v>571</v>
      </c>
      <c r="O1879" t="s">
        <v>1298</v>
      </c>
      <c r="P1879" t="s">
        <v>654</v>
      </c>
      <c r="Q1879" t="s">
        <v>1299</v>
      </c>
      <c r="R1879" t="s">
        <v>1300</v>
      </c>
      <c r="S1879" t="s">
        <v>1312</v>
      </c>
      <c r="T1879" t="s">
        <v>1235</v>
      </c>
      <c r="U1879">
        <v>180200</v>
      </c>
      <c r="V1879" t="s">
        <v>1312</v>
      </c>
      <c r="W1879" t="s">
        <v>1314</v>
      </c>
      <c r="X1879" t="s">
        <v>1304</v>
      </c>
      <c r="Y1879" t="s">
        <v>1305</v>
      </c>
      <c r="Z1879" t="s">
        <v>1312</v>
      </c>
      <c r="AA1879" t="s">
        <v>1306</v>
      </c>
      <c r="AB1879" t="s">
        <v>1307</v>
      </c>
      <c r="AE1879">
        <v>-37.797151769999999</v>
      </c>
      <c r="AF1879">
        <v>175.30563691</v>
      </c>
      <c r="AG1879">
        <v>82</v>
      </c>
      <c r="AH1879">
        <v>35</v>
      </c>
      <c r="AI1879">
        <v>4</v>
      </c>
      <c r="AJ1879">
        <v>17</v>
      </c>
      <c r="AK1879">
        <v>21</v>
      </c>
      <c r="AL1879">
        <v>23</v>
      </c>
      <c r="AM1879">
        <v>23</v>
      </c>
      <c r="AN1879">
        <v>0</v>
      </c>
      <c r="AO1879">
        <v>88</v>
      </c>
      <c r="AP1879">
        <v>60</v>
      </c>
      <c r="AQ1879">
        <v>15</v>
      </c>
      <c r="AR1879">
        <v>3</v>
      </c>
      <c r="AS1879">
        <v>19</v>
      </c>
      <c r="AT1879">
        <v>5</v>
      </c>
    </row>
    <row r="1880" spans="1:46">
      <c r="A1880">
        <v>45256</v>
      </c>
      <c r="B1880" t="s">
        <v>11081</v>
      </c>
      <c r="C1880" t="s">
        <v>11082</v>
      </c>
      <c r="D1880" t="s">
        <v>11083</v>
      </c>
      <c r="E1880" t="s">
        <v>11084</v>
      </c>
      <c r="G1880" t="s">
        <v>3359</v>
      </c>
      <c r="H1880" t="s">
        <v>3942</v>
      </c>
      <c r="J1880" t="s">
        <v>518</v>
      </c>
      <c r="K1880" t="s">
        <v>519</v>
      </c>
      <c r="M1880" t="s">
        <v>2287</v>
      </c>
      <c r="N1880" t="s">
        <v>727</v>
      </c>
      <c r="O1880" t="s">
        <v>3360</v>
      </c>
      <c r="P1880" t="s">
        <v>523</v>
      </c>
      <c r="Q1880" t="s">
        <v>3337</v>
      </c>
      <c r="R1880" t="s">
        <v>3338</v>
      </c>
      <c r="S1880" t="s">
        <v>3361</v>
      </c>
      <c r="T1880" t="s">
        <v>2448</v>
      </c>
      <c r="U1880">
        <v>345600</v>
      </c>
      <c r="V1880" t="s">
        <v>3362</v>
      </c>
      <c r="W1880" t="s">
        <v>3363</v>
      </c>
      <c r="X1880" t="s">
        <v>11085</v>
      </c>
      <c r="Y1880" t="s">
        <v>3944</v>
      </c>
      <c r="Z1880" t="s">
        <v>3945</v>
      </c>
      <c r="AA1880" t="s">
        <v>3946</v>
      </c>
      <c r="AC1880">
        <v>99049</v>
      </c>
      <c r="AD1880" t="s">
        <v>3364</v>
      </c>
      <c r="AE1880">
        <v>-45.250445800000001</v>
      </c>
      <c r="AF1880">
        <v>169.38583349999999</v>
      </c>
      <c r="AG1880">
        <v>47</v>
      </c>
      <c r="AH1880">
        <v>15</v>
      </c>
      <c r="AI1880">
        <v>0</v>
      </c>
      <c r="AJ1880">
        <v>12</v>
      </c>
      <c r="AK1880">
        <v>12</v>
      </c>
      <c r="AL1880">
        <v>13</v>
      </c>
      <c r="AM1880">
        <v>11</v>
      </c>
      <c r="AN1880">
        <v>0</v>
      </c>
      <c r="AO1880">
        <v>48</v>
      </c>
      <c r="AP1880">
        <v>44</v>
      </c>
      <c r="AQ1880">
        <v>12</v>
      </c>
      <c r="AR1880">
        <v>0</v>
      </c>
      <c r="AS1880">
        <v>1</v>
      </c>
      <c r="AT1880">
        <v>3</v>
      </c>
    </row>
    <row r="1881" spans="1:46">
      <c r="A1881">
        <v>45257</v>
      </c>
      <c r="B1881" t="s">
        <v>11086</v>
      </c>
      <c r="C1881" t="s">
        <v>6266</v>
      </c>
      <c r="D1881" t="s">
        <v>11087</v>
      </c>
      <c r="E1881" t="s">
        <v>6267</v>
      </c>
      <c r="F1881" t="s">
        <v>3706</v>
      </c>
      <c r="G1881" t="s">
        <v>652</v>
      </c>
      <c r="H1881" t="s">
        <v>4716</v>
      </c>
      <c r="J1881" t="s">
        <v>3962</v>
      </c>
      <c r="K1881" t="s">
        <v>519</v>
      </c>
      <c r="M1881" t="s">
        <v>520</v>
      </c>
      <c r="N1881" t="s">
        <v>571</v>
      </c>
      <c r="O1881" t="s">
        <v>1168</v>
      </c>
      <c r="P1881" t="s">
        <v>654</v>
      </c>
      <c r="Q1881" t="s">
        <v>638</v>
      </c>
      <c r="R1881" t="s">
        <v>639</v>
      </c>
      <c r="S1881" t="s">
        <v>655</v>
      </c>
      <c r="T1881" t="s">
        <v>527</v>
      </c>
      <c r="U1881">
        <v>117300</v>
      </c>
      <c r="V1881" t="s">
        <v>5703</v>
      </c>
      <c r="W1881" t="s">
        <v>657</v>
      </c>
      <c r="X1881" t="s">
        <v>6268</v>
      </c>
      <c r="Y1881" t="s">
        <v>6269</v>
      </c>
      <c r="Z1881" t="s">
        <v>3706</v>
      </c>
      <c r="AA1881" t="s">
        <v>6270</v>
      </c>
      <c r="AB1881" t="s">
        <v>6271</v>
      </c>
      <c r="AE1881">
        <v>-36.733572909999999</v>
      </c>
      <c r="AF1881">
        <v>174.71022905000001</v>
      </c>
      <c r="AG1881">
        <v>80</v>
      </c>
      <c r="AH1881">
        <v>80</v>
      </c>
      <c r="AI1881">
        <v>2</v>
      </c>
      <c r="AJ1881">
        <v>11</v>
      </c>
      <c r="AK1881">
        <v>19</v>
      </c>
      <c r="AL1881">
        <v>14</v>
      </c>
      <c r="AM1881">
        <v>13</v>
      </c>
      <c r="AN1881">
        <v>2</v>
      </c>
      <c r="AO1881">
        <v>61</v>
      </c>
      <c r="AP1881">
        <v>34</v>
      </c>
      <c r="AQ1881">
        <v>2</v>
      </c>
      <c r="AR1881">
        <v>19</v>
      </c>
      <c r="AS1881">
        <v>18</v>
      </c>
      <c r="AT1881">
        <v>1</v>
      </c>
    </row>
    <row r="1882" spans="1:46">
      <c r="A1882">
        <v>45259</v>
      </c>
      <c r="B1882" t="s">
        <v>11088</v>
      </c>
      <c r="E1882" t="s">
        <v>11089</v>
      </c>
      <c r="G1882" t="s">
        <v>3683</v>
      </c>
      <c r="H1882" t="s">
        <v>3942</v>
      </c>
      <c r="J1882" t="s">
        <v>3962</v>
      </c>
      <c r="K1882" t="s">
        <v>519</v>
      </c>
      <c r="M1882" t="s">
        <v>1297</v>
      </c>
      <c r="N1882" t="s">
        <v>521</v>
      </c>
      <c r="O1882" t="s">
        <v>1437</v>
      </c>
      <c r="P1882" t="s">
        <v>523</v>
      </c>
      <c r="Q1882" t="s">
        <v>1299</v>
      </c>
      <c r="R1882" t="s">
        <v>1300</v>
      </c>
      <c r="S1882" t="s">
        <v>1438</v>
      </c>
      <c r="T1882" t="s">
        <v>1235</v>
      </c>
      <c r="U1882">
        <v>169600</v>
      </c>
      <c r="V1882" t="s">
        <v>8913</v>
      </c>
      <c r="W1882" t="s">
        <v>3685</v>
      </c>
      <c r="X1882" t="s">
        <v>11090</v>
      </c>
      <c r="Y1882" t="s">
        <v>11091</v>
      </c>
      <c r="AA1882" t="s">
        <v>11092</v>
      </c>
      <c r="AB1882" t="s">
        <v>11093</v>
      </c>
      <c r="AC1882">
        <v>99089</v>
      </c>
      <c r="AD1882" t="s">
        <v>3686</v>
      </c>
      <c r="AE1882">
        <v>-37.394978100000003</v>
      </c>
      <c r="AF1882">
        <v>175.84166325999999</v>
      </c>
      <c r="AG1882">
        <v>34</v>
      </c>
      <c r="AH1882">
        <v>7</v>
      </c>
      <c r="AI1882">
        <v>1</v>
      </c>
      <c r="AJ1882">
        <v>7</v>
      </c>
      <c r="AK1882">
        <v>7</v>
      </c>
      <c r="AL1882">
        <v>15</v>
      </c>
      <c r="AM1882">
        <v>6</v>
      </c>
      <c r="AN1882">
        <v>0</v>
      </c>
      <c r="AO1882">
        <v>36</v>
      </c>
      <c r="AP1882">
        <v>29</v>
      </c>
      <c r="AQ1882">
        <v>9</v>
      </c>
      <c r="AR1882">
        <v>1</v>
      </c>
      <c r="AS1882">
        <v>3</v>
      </c>
      <c r="AT1882">
        <v>3</v>
      </c>
    </row>
    <row r="1883" spans="1:46">
      <c r="A1883">
        <v>45261</v>
      </c>
      <c r="B1883" t="s">
        <v>11094</v>
      </c>
      <c r="C1883" t="s">
        <v>11095</v>
      </c>
      <c r="D1883" t="s">
        <v>11096</v>
      </c>
      <c r="E1883" t="s">
        <v>11097</v>
      </c>
      <c r="F1883" t="s">
        <v>3770</v>
      </c>
      <c r="G1883" t="s">
        <v>1598</v>
      </c>
      <c r="H1883" t="s">
        <v>3942</v>
      </c>
      <c r="J1883" t="s">
        <v>3962</v>
      </c>
      <c r="K1883" t="s">
        <v>519</v>
      </c>
      <c r="M1883" t="s">
        <v>1297</v>
      </c>
      <c r="N1883" t="s">
        <v>571</v>
      </c>
      <c r="O1883" t="s">
        <v>1698</v>
      </c>
      <c r="P1883" t="s">
        <v>654</v>
      </c>
      <c r="Q1883" t="s">
        <v>1471</v>
      </c>
      <c r="R1883" t="s">
        <v>1472</v>
      </c>
      <c r="S1883" t="s">
        <v>1699</v>
      </c>
      <c r="T1883" t="s">
        <v>1474</v>
      </c>
      <c r="U1883">
        <v>197300</v>
      </c>
      <c r="V1883" t="s">
        <v>3771</v>
      </c>
      <c r="W1883" t="s">
        <v>3772</v>
      </c>
      <c r="X1883" t="s">
        <v>11098</v>
      </c>
      <c r="Y1883" t="s">
        <v>11097</v>
      </c>
      <c r="Z1883" t="s">
        <v>11099</v>
      </c>
      <c r="AA1883" t="s">
        <v>11100</v>
      </c>
      <c r="AE1883">
        <v>-37.706828889999997</v>
      </c>
      <c r="AF1883">
        <v>176.28515558000001</v>
      </c>
      <c r="AG1883">
        <v>43</v>
      </c>
      <c r="AH1883">
        <v>15</v>
      </c>
      <c r="AI1883">
        <v>1</v>
      </c>
      <c r="AJ1883">
        <v>8</v>
      </c>
      <c r="AK1883">
        <v>15</v>
      </c>
      <c r="AL1883">
        <v>15</v>
      </c>
      <c r="AM1883">
        <v>10</v>
      </c>
      <c r="AN1883">
        <v>0</v>
      </c>
      <c r="AO1883">
        <v>49</v>
      </c>
      <c r="AP1883">
        <v>46</v>
      </c>
      <c r="AQ1883">
        <v>8</v>
      </c>
      <c r="AR1883">
        <v>3</v>
      </c>
      <c r="AS1883">
        <v>3</v>
      </c>
      <c r="AT1883">
        <v>2</v>
      </c>
    </row>
    <row r="1884" spans="1:46">
      <c r="A1884">
        <v>45265</v>
      </c>
      <c r="B1884" t="s">
        <v>11101</v>
      </c>
      <c r="C1884" t="s">
        <v>11102</v>
      </c>
      <c r="D1884" t="s">
        <v>11103</v>
      </c>
      <c r="E1884" t="s">
        <v>11104</v>
      </c>
      <c r="F1884" t="s">
        <v>3990</v>
      </c>
      <c r="G1884" t="s">
        <v>652</v>
      </c>
      <c r="H1884" t="s">
        <v>3942</v>
      </c>
      <c r="J1884" t="s">
        <v>3962</v>
      </c>
      <c r="K1884" t="s">
        <v>519</v>
      </c>
      <c r="M1884" t="s">
        <v>520</v>
      </c>
      <c r="N1884" t="s">
        <v>571</v>
      </c>
      <c r="O1884" t="s">
        <v>707</v>
      </c>
      <c r="P1884" t="s">
        <v>654</v>
      </c>
      <c r="Q1884" t="s">
        <v>638</v>
      </c>
      <c r="R1884" t="s">
        <v>729</v>
      </c>
      <c r="S1884" t="s">
        <v>778</v>
      </c>
      <c r="T1884" t="s">
        <v>709</v>
      </c>
      <c r="U1884">
        <v>152300</v>
      </c>
      <c r="V1884" t="s">
        <v>3990</v>
      </c>
      <c r="W1884" t="s">
        <v>711</v>
      </c>
      <c r="X1884" t="s">
        <v>11105</v>
      </c>
      <c r="Y1884" t="s">
        <v>11106</v>
      </c>
      <c r="Z1884" t="s">
        <v>5104</v>
      </c>
      <c r="AA1884" t="s">
        <v>3991</v>
      </c>
      <c r="AE1884">
        <v>-36.945651570000003</v>
      </c>
      <c r="AF1884">
        <v>174.89821581000001</v>
      </c>
      <c r="AG1884">
        <v>92</v>
      </c>
      <c r="AH1884">
        <v>15</v>
      </c>
      <c r="AI1884">
        <v>2</v>
      </c>
      <c r="AJ1884">
        <v>7</v>
      </c>
      <c r="AK1884">
        <v>8</v>
      </c>
      <c r="AL1884">
        <v>21</v>
      </c>
      <c r="AM1884">
        <v>30</v>
      </c>
      <c r="AN1884">
        <v>0</v>
      </c>
      <c r="AO1884">
        <v>68</v>
      </c>
      <c r="AP1884">
        <v>6</v>
      </c>
      <c r="AQ1884">
        <v>4</v>
      </c>
      <c r="AR1884">
        <v>5</v>
      </c>
      <c r="AS1884">
        <v>60</v>
      </c>
      <c r="AT1884">
        <v>2</v>
      </c>
    </row>
    <row r="1885" spans="1:46">
      <c r="A1885">
        <v>45266</v>
      </c>
      <c r="B1885" t="s">
        <v>11107</v>
      </c>
      <c r="C1885" t="s">
        <v>11108</v>
      </c>
      <c r="E1885" t="s">
        <v>11109</v>
      </c>
      <c r="F1885" t="s">
        <v>872</v>
      </c>
      <c r="G1885" t="s">
        <v>652</v>
      </c>
      <c r="H1885" t="s">
        <v>343</v>
      </c>
      <c r="J1885" t="s">
        <v>518</v>
      </c>
      <c r="K1885" t="s">
        <v>519</v>
      </c>
      <c r="L1885" t="s">
        <v>4205</v>
      </c>
      <c r="M1885" t="s">
        <v>520</v>
      </c>
      <c r="N1885" t="s">
        <v>557</v>
      </c>
      <c r="O1885" t="s">
        <v>873</v>
      </c>
      <c r="P1885" t="s">
        <v>654</v>
      </c>
      <c r="Q1885" t="s">
        <v>638</v>
      </c>
      <c r="R1885" t="s">
        <v>639</v>
      </c>
      <c r="S1885" t="s">
        <v>719</v>
      </c>
      <c r="T1885" t="s">
        <v>709</v>
      </c>
      <c r="U1885">
        <v>131500</v>
      </c>
      <c r="V1885" t="s">
        <v>6246</v>
      </c>
      <c r="W1885" t="s">
        <v>815</v>
      </c>
      <c r="X1885" t="s">
        <v>4207</v>
      </c>
      <c r="Y1885" t="s">
        <v>4208</v>
      </c>
      <c r="Z1885" t="s">
        <v>4209</v>
      </c>
      <c r="AA1885" t="s">
        <v>4210</v>
      </c>
      <c r="AE1885">
        <v>-36.912821790000002</v>
      </c>
      <c r="AF1885">
        <v>174.65576544000001</v>
      </c>
      <c r="AG1885">
        <v>30</v>
      </c>
      <c r="AH1885">
        <v>8</v>
      </c>
      <c r="AI1885">
        <v>0</v>
      </c>
      <c r="AJ1885">
        <v>5</v>
      </c>
      <c r="AK1885">
        <v>5</v>
      </c>
      <c r="AL1885">
        <v>7</v>
      </c>
      <c r="AM1885">
        <v>6</v>
      </c>
      <c r="AN1885">
        <v>0</v>
      </c>
      <c r="AO1885">
        <v>23</v>
      </c>
      <c r="AP1885">
        <v>0</v>
      </c>
      <c r="AQ1885">
        <v>21</v>
      </c>
      <c r="AR1885">
        <v>0</v>
      </c>
      <c r="AS1885">
        <v>0</v>
      </c>
      <c r="AT1885">
        <v>2</v>
      </c>
    </row>
    <row r="1886" spans="1:46">
      <c r="A1886">
        <v>45274</v>
      </c>
      <c r="B1886" t="s">
        <v>11110</v>
      </c>
      <c r="C1886" t="s">
        <v>11111</v>
      </c>
      <c r="D1886" t="s">
        <v>11112</v>
      </c>
      <c r="E1886" t="s">
        <v>11113</v>
      </c>
      <c r="F1886" t="s">
        <v>11114</v>
      </c>
      <c r="G1886" t="s">
        <v>2119</v>
      </c>
      <c r="H1886" t="s">
        <v>3942</v>
      </c>
      <c r="J1886" t="s">
        <v>3962</v>
      </c>
      <c r="K1886" t="s">
        <v>519</v>
      </c>
      <c r="M1886" t="s">
        <v>1297</v>
      </c>
      <c r="N1886" t="s">
        <v>571</v>
      </c>
      <c r="O1886" t="s">
        <v>2131</v>
      </c>
      <c r="P1886" t="s">
        <v>584</v>
      </c>
      <c r="Q1886" t="s">
        <v>2118</v>
      </c>
      <c r="R1886" t="s">
        <v>2084</v>
      </c>
      <c r="S1886" t="s">
        <v>2119</v>
      </c>
      <c r="T1886" t="s">
        <v>2085</v>
      </c>
      <c r="U1886">
        <v>212900</v>
      </c>
      <c r="V1886" t="s">
        <v>11114</v>
      </c>
      <c r="W1886" t="s">
        <v>3736</v>
      </c>
      <c r="X1886" t="s">
        <v>11115</v>
      </c>
      <c r="Y1886" t="s">
        <v>4658</v>
      </c>
      <c r="Z1886" t="s">
        <v>958</v>
      </c>
      <c r="AA1886" t="s">
        <v>4659</v>
      </c>
      <c r="AB1886" t="s">
        <v>11111</v>
      </c>
      <c r="AE1886">
        <v>-39.485227500000001</v>
      </c>
      <c r="AF1886">
        <v>176.89849609999999</v>
      </c>
      <c r="AG1886">
        <v>70</v>
      </c>
      <c r="AH1886">
        <v>20</v>
      </c>
      <c r="AI1886">
        <v>6</v>
      </c>
      <c r="AJ1886">
        <v>7</v>
      </c>
      <c r="AK1886">
        <v>19</v>
      </c>
      <c r="AL1886">
        <v>14</v>
      </c>
      <c r="AM1886">
        <v>8</v>
      </c>
      <c r="AN1886">
        <v>0</v>
      </c>
      <c r="AO1886">
        <v>54</v>
      </c>
      <c r="AP1886">
        <v>38</v>
      </c>
      <c r="AQ1886">
        <v>10</v>
      </c>
      <c r="AR1886">
        <v>2</v>
      </c>
      <c r="AS1886">
        <v>11</v>
      </c>
      <c r="AT1886">
        <v>3</v>
      </c>
    </row>
    <row r="1887" spans="1:46">
      <c r="A1887">
        <v>45277</v>
      </c>
      <c r="B1887" t="s">
        <v>11116</v>
      </c>
      <c r="C1887" t="s">
        <v>11117</v>
      </c>
      <c r="D1887" t="s">
        <v>11118</v>
      </c>
      <c r="E1887" t="s">
        <v>11119</v>
      </c>
      <c r="F1887" t="s">
        <v>2156</v>
      </c>
      <c r="G1887" t="s">
        <v>2119</v>
      </c>
      <c r="H1887" t="s">
        <v>3942</v>
      </c>
      <c r="J1887" t="s">
        <v>518</v>
      </c>
      <c r="K1887" t="s">
        <v>519</v>
      </c>
      <c r="M1887" t="s">
        <v>1297</v>
      </c>
      <c r="N1887" t="s">
        <v>571</v>
      </c>
      <c r="O1887" t="s">
        <v>2131</v>
      </c>
      <c r="P1887" t="s">
        <v>584</v>
      </c>
      <c r="Q1887" t="s">
        <v>2118</v>
      </c>
      <c r="R1887" t="s">
        <v>2084</v>
      </c>
      <c r="S1887" t="s">
        <v>2119</v>
      </c>
      <c r="T1887" t="s">
        <v>2085</v>
      </c>
      <c r="U1887">
        <v>214100</v>
      </c>
      <c r="V1887" t="s">
        <v>2162</v>
      </c>
      <c r="W1887" t="s">
        <v>2163</v>
      </c>
      <c r="X1887" t="s">
        <v>8899</v>
      </c>
      <c r="Y1887" t="s">
        <v>3944</v>
      </c>
      <c r="Z1887" t="s">
        <v>3945</v>
      </c>
      <c r="AA1887" t="s">
        <v>3946</v>
      </c>
      <c r="AB1887" t="s">
        <v>8900</v>
      </c>
      <c r="AC1887">
        <v>99002</v>
      </c>
      <c r="AD1887" t="s">
        <v>2133</v>
      </c>
      <c r="AE1887">
        <v>-39.50260926</v>
      </c>
      <c r="AF1887">
        <v>176.89350160999999</v>
      </c>
      <c r="AG1887">
        <v>75</v>
      </c>
      <c r="AH1887">
        <v>20</v>
      </c>
      <c r="AI1887">
        <v>2</v>
      </c>
      <c r="AJ1887">
        <v>16</v>
      </c>
      <c r="AK1887">
        <v>16</v>
      </c>
      <c r="AL1887">
        <v>24</v>
      </c>
      <c r="AM1887">
        <v>26</v>
      </c>
      <c r="AN1887">
        <v>1</v>
      </c>
      <c r="AO1887">
        <v>85</v>
      </c>
      <c r="AP1887">
        <v>59</v>
      </c>
      <c r="AQ1887">
        <v>30</v>
      </c>
      <c r="AR1887">
        <v>11</v>
      </c>
      <c r="AS1887">
        <v>8</v>
      </c>
      <c r="AT1887">
        <v>5</v>
      </c>
    </row>
    <row r="1888" spans="1:46">
      <c r="A1888">
        <v>45281</v>
      </c>
      <c r="B1888" t="s">
        <v>11120</v>
      </c>
      <c r="C1888" t="s">
        <v>11121</v>
      </c>
      <c r="D1888" t="s">
        <v>11122</v>
      </c>
      <c r="E1888" t="s">
        <v>11123</v>
      </c>
      <c r="F1888" t="s">
        <v>6954</v>
      </c>
      <c r="G1888" t="s">
        <v>652</v>
      </c>
      <c r="H1888" t="s">
        <v>3942</v>
      </c>
      <c r="I1888" t="s">
        <v>4065</v>
      </c>
      <c r="J1888" t="s">
        <v>3962</v>
      </c>
      <c r="K1888" t="s">
        <v>519</v>
      </c>
      <c r="M1888" t="s">
        <v>520</v>
      </c>
      <c r="N1888" t="s">
        <v>571</v>
      </c>
      <c r="O1888" t="s">
        <v>804</v>
      </c>
      <c r="P1888" t="s">
        <v>654</v>
      </c>
      <c r="Q1888" t="s">
        <v>638</v>
      </c>
      <c r="R1888" t="s">
        <v>708</v>
      </c>
      <c r="S1888" t="s">
        <v>880</v>
      </c>
      <c r="T1888" t="s">
        <v>709</v>
      </c>
      <c r="U1888">
        <v>145400</v>
      </c>
      <c r="V1888" t="s">
        <v>8194</v>
      </c>
      <c r="W1888" t="s">
        <v>807</v>
      </c>
      <c r="X1888" t="s">
        <v>11124</v>
      </c>
      <c r="Y1888" t="s">
        <v>11123</v>
      </c>
      <c r="Z1888" t="s">
        <v>11125</v>
      </c>
      <c r="AA1888" t="s">
        <v>4356</v>
      </c>
      <c r="AB1888" t="s">
        <v>11126</v>
      </c>
      <c r="AE1888">
        <v>-36.88013265</v>
      </c>
      <c r="AF1888">
        <v>174.84812299999999</v>
      </c>
      <c r="AG1888">
        <v>75</v>
      </c>
      <c r="AH1888">
        <v>25</v>
      </c>
      <c r="AI1888">
        <v>2</v>
      </c>
      <c r="AJ1888">
        <v>14</v>
      </c>
      <c r="AK1888">
        <v>15</v>
      </c>
      <c r="AL1888">
        <v>16</v>
      </c>
      <c r="AM1888">
        <v>11</v>
      </c>
      <c r="AN1888">
        <v>0</v>
      </c>
      <c r="AO1888">
        <v>58</v>
      </c>
      <c r="AP1888">
        <v>27</v>
      </c>
      <c r="AQ1888">
        <v>6</v>
      </c>
      <c r="AR1888">
        <v>4</v>
      </c>
      <c r="AS1888">
        <v>37</v>
      </c>
      <c r="AT1888">
        <v>4</v>
      </c>
    </row>
    <row r="1889" spans="1:46">
      <c r="A1889">
        <v>45283</v>
      </c>
      <c r="B1889" t="s">
        <v>11127</v>
      </c>
      <c r="C1889" t="s">
        <v>11128</v>
      </c>
      <c r="D1889" t="s">
        <v>11129</v>
      </c>
      <c r="E1889" t="s">
        <v>11130</v>
      </c>
      <c r="F1889" t="s">
        <v>855</v>
      </c>
      <c r="G1889" t="s">
        <v>652</v>
      </c>
      <c r="H1889" t="s">
        <v>3942</v>
      </c>
      <c r="J1889" t="s">
        <v>3962</v>
      </c>
      <c r="K1889" t="s">
        <v>519</v>
      </c>
      <c r="M1889" t="s">
        <v>520</v>
      </c>
      <c r="N1889" t="s">
        <v>557</v>
      </c>
      <c r="O1889" t="s">
        <v>857</v>
      </c>
      <c r="P1889" t="s">
        <v>654</v>
      </c>
      <c r="Q1889" t="s">
        <v>638</v>
      </c>
      <c r="R1889" t="s">
        <v>708</v>
      </c>
      <c r="S1889" t="s">
        <v>858</v>
      </c>
      <c r="T1889" t="s">
        <v>709</v>
      </c>
      <c r="U1889">
        <v>135500</v>
      </c>
      <c r="V1889" t="s">
        <v>1080</v>
      </c>
      <c r="W1889" t="s">
        <v>860</v>
      </c>
      <c r="X1889" t="s">
        <v>11131</v>
      </c>
      <c r="Y1889" t="s">
        <v>4658</v>
      </c>
      <c r="Z1889" t="s">
        <v>958</v>
      </c>
      <c r="AA1889" t="s">
        <v>4659</v>
      </c>
      <c r="AB1889" t="s">
        <v>11128</v>
      </c>
      <c r="AE1889">
        <v>-36.889912430000003</v>
      </c>
      <c r="AF1889">
        <v>174.70922801</v>
      </c>
      <c r="AG1889">
        <v>60</v>
      </c>
      <c r="AH1889">
        <v>10</v>
      </c>
      <c r="AI1889">
        <v>1</v>
      </c>
      <c r="AJ1889">
        <v>3</v>
      </c>
      <c r="AK1889">
        <v>4</v>
      </c>
      <c r="AL1889">
        <v>13</v>
      </c>
      <c r="AM1889">
        <v>19</v>
      </c>
      <c r="AN1889">
        <v>0</v>
      </c>
      <c r="AO1889">
        <v>40</v>
      </c>
      <c r="AP1889">
        <v>7</v>
      </c>
      <c r="AQ1889">
        <v>2</v>
      </c>
      <c r="AR1889">
        <v>3</v>
      </c>
      <c r="AS1889">
        <v>23</v>
      </c>
      <c r="AT1889">
        <v>12</v>
      </c>
    </row>
    <row r="1890" spans="1:46">
      <c r="A1890">
        <v>45284</v>
      </c>
      <c r="B1890" t="s">
        <v>11132</v>
      </c>
      <c r="C1890" t="s">
        <v>11133</v>
      </c>
      <c r="D1890" t="s">
        <v>11134</v>
      </c>
      <c r="E1890" t="s">
        <v>11135</v>
      </c>
      <c r="F1890" t="s">
        <v>717</v>
      </c>
      <c r="G1890" t="s">
        <v>652</v>
      </c>
      <c r="H1890" t="s">
        <v>3942</v>
      </c>
      <c r="J1890" t="s">
        <v>3962</v>
      </c>
      <c r="K1890" t="s">
        <v>519</v>
      </c>
      <c r="M1890" t="s">
        <v>520</v>
      </c>
      <c r="N1890" t="s">
        <v>571</v>
      </c>
      <c r="O1890" t="s">
        <v>718</v>
      </c>
      <c r="P1890" t="s">
        <v>654</v>
      </c>
      <c r="Q1890" t="s">
        <v>638</v>
      </c>
      <c r="R1890" t="s">
        <v>708</v>
      </c>
      <c r="S1890" t="s">
        <v>770</v>
      </c>
      <c r="T1890" t="s">
        <v>709</v>
      </c>
      <c r="U1890">
        <v>135000</v>
      </c>
      <c r="V1890" t="s">
        <v>5733</v>
      </c>
      <c r="W1890" t="s">
        <v>721</v>
      </c>
      <c r="X1890" t="s">
        <v>11136</v>
      </c>
      <c r="Y1890" t="s">
        <v>4658</v>
      </c>
      <c r="Z1890" t="s">
        <v>958</v>
      </c>
      <c r="AA1890" t="s">
        <v>4659</v>
      </c>
      <c r="AB1890" t="s">
        <v>11137</v>
      </c>
      <c r="AE1890">
        <v>-36.904759220000003</v>
      </c>
      <c r="AF1890">
        <v>174.70190023000001</v>
      </c>
      <c r="AG1890">
        <v>60</v>
      </c>
      <c r="AH1890">
        <v>20</v>
      </c>
      <c r="AI1890">
        <v>1</v>
      </c>
      <c r="AJ1890">
        <v>8</v>
      </c>
      <c r="AK1890">
        <v>9</v>
      </c>
      <c r="AL1890">
        <v>6</v>
      </c>
      <c r="AM1890">
        <v>4</v>
      </c>
      <c r="AN1890">
        <v>0</v>
      </c>
      <c r="AO1890">
        <v>28</v>
      </c>
      <c r="AP1890">
        <v>9</v>
      </c>
      <c r="AQ1890">
        <v>5</v>
      </c>
      <c r="AR1890">
        <v>8</v>
      </c>
      <c r="AS1890">
        <v>10</v>
      </c>
      <c r="AT1890">
        <v>0</v>
      </c>
    </row>
    <row r="1891" spans="1:46">
      <c r="A1891">
        <v>45285</v>
      </c>
      <c r="B1891" t="s">
        <v>11138</v>
      </c>
      <c r="C1891" t="s">
        <v>11139</v>
      </c>
      <c r="D1891" t="s">
        <v>11140</v>
      </c>
      <c r="E1891" t="s">
        <v>11141</v>
      </c>
      <c r="F1891" t="s">
        <v>7156</v>
      </c>
      <c r="G1891" t="s">
        <v>652</v>
      </c>
      <c r="H1891" t="s">
        <v>3942</v>
      </c>
      <c r="J1891" t="s">
        <v>3962</v>
      </c>
      <c r="K1891" t="s">
        <v>519</v>
      </c>
      <c r="M1891" t="s">
        <v>520</v>
      </c>
      <c r="N1891" t="s">
        <v>571</v>
      </c>
      <c r="O1891" t="s">
        <v>857</v>
      </c>
      <c r="P1891" t="s">
        <v>654</v>
      </c>
      <c r="Q1891" t="s">
        <v>638</v>
      </c>
      <c r="R1891" t="s">
        <v>708</v>
      </c>
      <c r="S1891" t="s">
        <v>858</v>
      </c>
      <c r="T1891" t="s">
        <v>709</v>
      </c>
      <c r="U1891">
        <v>133600</v>
      </c>
      <c r="V1891" t="s">
        <v>1012</v>
      </c>
      <c r="W1891" t="s">
        <v>860</v>
      </c>
      <c r="X1891" t="s">
        <v>7510</v>
      </c>
      <c r="Y1891" t="s">
        <v>7511</v>
      </c>
      <c r="Z1891" t="s">
        <v>1023</v>
      </c>
      <c r="AA1891" t="s">
        <v>7512</v>
      </c>
      <c r="AB1891" t="s">
        <v>7506</v>
      </c>
      <c r="AE1891">
        <v>-36.873209299999999</v>
      </c>
      <c r="AF1891">
        <v>174.7367438</v>
      </c>
      <c r="AG1891">
        <v>61</v>
      </c>
      <c r="AH1891">
        <v>14</v>
      </c>
      <c r="AI1891">
        <v>4</v>
      </c>
      <c r="AJ1891">
        <v>14</v>
      </c>
      <c r="AK1891">
        <v>13</v>
      </c>
      <c r="AL1891">
        <v>13</v>
      </c>
      <c r="AM1891">
        <v>11</v>
      </c>
      <c r="AN1891">
        <v>0</v>
      </c>
      <c r="AO1891">
        <v>55</v>
      </c>
      <c r="AP1891">
        <v>37</v>
      </c>
      <c r="AQ1891">
        <v>2</v>
      </c>
      <c r="AR1891">
        <v>8</v>
      </c>
      <c r="AS1891">
        <v>18</v>
      </c>
      <c r="AT1891">
        <v>2</v>
      </c>
    </row>
    <row r="1892" spans="1:46">
      <c r="A1892">
        <v>45287</v>
      </c>
      <c r="B1892" t="s">
        <v>11142</v>
      </c>
      <c r="C1892" t="s">
        <v>11143</v>
      </c>
      <c r="E1892" t="s">
        <v>11144</v>
      </c>
      <c r="F1892" t="s">
        <v>3560</v>
      </c>
      <c r="G1892" t="s">
        <v>3498</v>
      </c>
      <c r="H1892" t="s">
        <v>3942</v>
      </c>
      <c r="J1892" t="s">
        <v>3962</v>
      </c>
      <c r="K1892" t="s">
        <v>519</v>
      </c>
      <c r="M1892" t="s">
        <v>2287</v>
      </c>
      <c r="N1892" t="s">
        <v>571</v>
      </c>
      <c r="O1892" t="s">
        <v>3496</v>
      </c>
      <c r="P1892" t="s">
        <v>584</v>
      </c>
      <c r="Q1892" t="s">
        <v>3497</v>
      </c>
      <c r="R1892" t="s">
        <v>3338</v>
      </c>
      <c r="S1892" t="s">
        <v>3498</v>
      </c>
      <c r="T1892" t="s">
        <v>2448</v>
      </c>
      <c r="U1892">
        <v>360900</v>
      </c>
      <c r="V1892" t="s">
        <v>3560</v>
      </c>
      <c r="W1892" t="s">
        <v>1652</v>
      </c>
      <c r="X1892" t="s">
        <v>11145</v>
      </c>
      <c r="AB1892" t="s">
        <v>11146</v>
      </c>
      <c r="AE1892">
        <v>-46.430383239999998</v>
      </c>
      <c r="AF1892">
        <v>168.30849114</v>
      </c>
      <c r="AG1892">
        <v>65</v>
      </c>
      <c r="AH1892">
        <v>17</v>
      </c>
      <c r="AI1892">
        <v>1</v>
      </c>
      <c r="AJ1892">
        <v>6</v>
      </c>
      <c r="AK1892">
        <v>23</v>
      </c>
      <c r="AL1892">
        <v>12</v>
      </c>
      <c r="AM1892">
        <v>18</v>
      </c>
      <c r="AN1892">
        <v>2</v>
      </c>
      <c r="AO1892">
        <v>62</v>
      </c>
      <c r="AP1892">
        <v>57</v>
      </c>
      <c r="AQ1892">
        <v>14</v>
      </c>
      <c r="AR1892">
        <v>3</v>
      </c>
      <c r="AS1892">
        <v>4</v>
      </c>
      <c r="AT1892">
        <v>1</v>
      </c>
    </row>
    <row r="1893" spans="1:46">
      <c r="A1893">
        <v>45288</v>
      </c>
      <c r="B1893" t="s">
        <v>11147</v>
      </c>
      <c r="C1893" t="s">
        <v>11148</v>
      </c>
      <c r="D1893" t="s">
        <v>11149</v>
      </c>
      <c r="E1893" t="s">
        <v>11150</v>
      </c>
      <c r="F1893" t="s">
        <v>3990</v>
      </c>
      <c r="G1893" t="s">
        <v>652</v>
      </c>
      <c r="H1893" t="s">
        <v>4716</v>
      </c>
      <c r="J1893" t="s">
        <v>3962</v>
      </c>
      <c r="K1893" t="s">
        <v>519</v>
      </c>
      <c r="M1893" t="s">
        <v>520</v>
      </c>
      <c r="N1893" t="s">
        <v>539</v>
      </c>
      <c r="O1893" t="s">
        <v>728</v>
      </c>
      <c r="P1893" t="s">
        <v>654</v>
      </c>
      <c r="Q1893" t="s">
        <v>638</v>
      </c>
      <c r="R1893" t="s">
        <v>729</v>
      </c>
      <c r="S1893" t="s">
        <v>730</v>
      </c>
      <c r="T1893" t="s">
        <v>709</v>
      </c>
      <c r="U1893">
        <v>155100</v>
      </c>
      <c r="V1893" t="s">
        <v>990</v>
      </c>
      <c r="W1893" t="s">
        <v>732</v>
      </c>
      <c r="X1893" t="s">
        <v>11151</v>
      </c>
      <c r="Y1893" t="s">
        <v>11152</v>
      </c>
      <c r="Z1893" t="s">
        <v>6408</v>
      </c>
      <c r="AA1893" t="s">
        <v>6409</v>
      </c>
      <c r="AB1893" t="s">
        <v>11148</v>
      </c>
      <c r="AE1893">
        <v>-36.952235170000002</v>
      </c>
      <c r="AF1893">
        <v>174.89061290999999</v>
      </c>
      <c r="AG1893">
        <v>80</v>
      </c>
      <c r="AH1893">
        <v>80</v>
      </c>
      <c r="AI1893">
        <v>2</v>
      </c>
      <c r="AJ1893">
        <v>8</v>
      </c>
      <c r="AK1893">
        <v>9</v>
      </c>
      <c r="AL1893">
        <v>10</v>
      </c>
      <c r="AM1893">
        <v>10</v>
      </c>
      <c r="AN1893">
        <v>1</v>
      </c>
      <c r="AO1893">
        <v>40</v>
      </c>
      <c r="AP1893">
        <v>2</v>
      </c>
      <c r="AQ1893">
        <v>4</v>
      </c>
      <c r="AR1893">
        <v>29</v>
      </c>
      <c r="AS1893">
        <v>10</v>
      </c>
      <c r="AT1893">
        <v>0</v>
      </c>
    </row>
    <row r="1894" spans="1:46">
      <c r="A1894">
        <v>45289</v>
      </c>
      <c r="B1894" t="s">
        <v>11153</v>
      </c>
      <c r="C1894" t="s">
        <v>11154</v>
      </c>
      <c r="E1894" t="s">
        <v>11155</v>
      </c>
      <c r="G1894" t="s">
        <v>1350</v>
      </c>
      <c r="H1894" t="s">
        <v>3942</v>
      </c>
      <c r="J1894" t="s">
        <v>3962</v>
      </c>
      <c r="K1894" t="s">
        <v>519</v>
      </c>
      <c r="M1894" t="s">
        <v>1297</v>
      </c>
      <c r="N1894" t="s">
        <v>539</v>
      </c>
      <c r="O1894" t="s">
        <v>1351</v>
      </c>
      <c r="P1894" t="s">
        <v>523</v>
      </c>
      <c r="Q1894" t="s">
        <v>1299</v>
      </c>
      <c r="R1894" t="s">
        <v>1300</v>
      </c>
      <c r="S1894" t="s">
        <v>1300</v>
      </c>
      <c r="T1894" t="s">
        <v>1235</v>
      </c>
      <c r="U1894">
        <v>172100</v>
      </c>
      <c r="V1894" t="s">
        <v>1352</v>
      </c>
      <c r="W1894" t="s">
        <v>1353</v>
      </c>
      <c r="X1894" t="s">
        <v>11156</v>
      </c>
      <c r="Y1894" t="s">
        <v>11157</v>
      </c>
      <c r="Z1894" t="s">
        <v>4405</v>
      </c>
      <c r="AA1894" t="s">
        <v>4529</v>
      </c>
      <c r="AC1894">
        <v>99156</v>
      </c>
      <c r="AD1894" t="s">
        <v>1354</v>
      </c>
      <c r="AE1894">
        <v>-37.665440779999997</v>
      </c>
      <c r="AF1894">
        <v>175.14809027999999</v>
      </c>
      <c r="AG1894">
        <v>78</v>
      </c>
      <c r="AH1894">
        <v>20</v>
      </c>
      <c r="AI1894">
        <v>1</v>
      </c>
      <c r="AJ1894">
        <v>14</v>
      </c>
      <c r="AK1894">
        <v>14</v>
      </c>
      <c r="AL1894">
        <v>14</v>
      </c>
      <c r="AM1894">
        <v>16</v>
      </c>
      <c r="AN1894">
        <v>0</v>
      </c>
      <c r="AO1894">
        <v>59</v>
      </c>
      <c r="AP1894">
        <v>40</v>
      </c>
      <c r="AQ1894">
        <v>32</v>
      </c>
      <c r="AR1894">
        <v>3</v>
      </c>
      <c r="AS1894">
        <v>4</v>
      </c>
      <c r="AT1894">
        <v>6</v>
      </c>
    </row>
    <row r="1895" spans="1:46">
      <c r="A1895">
        <v>45290</v>
      </c>
      <c r="B1895" t="s">
        <v>11158</v>
      </c>
      <c r="C1895" t="s">
        <v>11159</v>
      </c>
      <c r="D1895" t="s">
        <v>11160</v>
      </c>
      <c r="E1895" t="s">
        <v>11161</v>
      </c>
      <c r="F1895" t="s">
        <v>1422</v>
      </c>
      <c r="G1895" t="s">
        <v>1296</v>
      </c>
      <c r="H1895" t="s">
        <v>3942</v>
      </c>
      <c r="J1895" t="s">
        <v>3962</v>
      </c>
      <c r="K1895" t="s">
        <v>519</v>
      </c>
      <c r="M1895" t="s">
        <v>1297</v>
      </c>
      <c r="N1895" t="s">
        <v>571</v>
      </c>
      <c r="O1895" t="s">
        <v>1298</v>
      </c>
      <c r="P1895" t="s">
        <v>654</v>
      </c>
      <c r="Q1895" t="s">
        <v>1299</v>
      </c>
      <c r="R1895" t="s">
        <v>1300</v>
      </c>
      <c r="S1895" t="s">
        <v>1301</v>
      </c>
      <c r="T1895" t="s">
        <v>1235</v>
      </c>
      <c r="U1895">
        <v>176301</v>
      </c>
      <c r="V1895" t="s">
        <v>8429</v>
      </c>
      <c r="W1895" t="s">
        <v>1303</v>
      </c>
      <c r="X1895" t="s">
        <v>11162</v>
      </c>
      <c r="Y1895" t="s">
        <v>11163</v>
      </c>
      <c r="Z1895" t="s">
        <v>11164</v>
      </c>
      <c r="AA1895" t="s">
        <v>8511</v>
      </c>
      <c r="AB1895" t="s">
        <v>11165</v>
      </c>
      <c r="AE1895">
        <v>-37.76027303</v>
      </c>
      <c r="AF1895">
        <v>175.2402864</v>
      </c>
      <c r="AG1895">
        <v>126</v>
      </c>
      <c r="AH1895">
        <v>40</v>
      </c>
      <c r="AI1895">
        <v>2</v>
      </c>
      <c r="AJ1895">
        <v>13</v>
      </c>
      <c r="AK1895">
        <v>17</v>
      </c>
      <c r="AL1895">
        <v>22</v>
      </c>
      <c r="AM1895">
        <v>16</v>
      </c>
      <c r="AN1895">
        <v>3</v>
      </c>
      <c r="AO1895">
        <v>73</v>
      </c>
      <c r="AP1895">
        <v>56</v>
      </c>
      <c r="AQ1895">
        <v>21</v>
      </c>
      <c r="AR1895">
        <v>13</v>
      </c>
      <c r="AS1895">
        <v>4</v>
      </c>
      <c r="AT1895">
        <v>6</v>
      </c>
    </row>
    <row r="1896" spans="1:46">
      <c r="A1896">
        <v>45291</v>
      </c>
      <c r="B1896" t="s">
        <v>11166</v>
      </c>
      <c r="C1896" t="s">
        <v>11167</v>
      </c>
      <c r="D1896" t="s">
        <v>11168</v>
      </c>
      <c r="E1896" t="s">
        <v>11169</v>
      </c>
      <c r="F1896" t="s">
        <v>8375</v>
      </c>
      <c r="G1896" t="s">
        <v>1598</v>
      </c>
      <c r="H1896" t="s">
        <v>3942</v>
      </c>
      <c r="J1896" t="s">
        <v>3962</v>
      </c>
      <c r="K1896" t="s">
        <v>519</v>
      </c>
      <c r="M1896" t="s">
        <v>1297</v>
      </c>
      <c r="N1896" t="s">
        <v>557</v>
      </c>
      <c r="O1896" t="s">
        <v>1698</v>
      </c>
      <c r="P1896" t="s">
        <v>654</v>
      </c>
      <c r="Q1896" t="s">
        <v>1471</v>
      </c>
      <c r="R1896" t="s">
        <v>1472</v>
      </c>
      <c r="S1896" t="s">
        <v>1598</v>
      </c>
      <c r="T1896" t="s">
        <v>1474</v>
      </c>
      <c r="U1896">
        <v>193900</v>
      </c>
      <c r="V1896" t="s">
        <v>8376</v>
      </c>
      <c r="W1896" t="s">
        <v>1724</v>
      </c>
      <c r="X1896" t="s">
        <v>11170</v>
      </c>
      <c r="Y1896" t="s">
        <v>11169</v>
      </c>
      <c r="AA1896" t="s">
        <v>11171</v>
      </c>
      <c r="AC1896">
        <v>99064</v>
      </c>
      <c r="AD1896" t="s">
        <v>1702</v>
      </c>
      <c r="AE1896">
        <v>-37.655102300000003</v>
      </c>
      <c r="AF1896">
        <v>176.19890599999999</v>
      </c>
      <c r="AG1896">
        <v>53</v>
      </c>
      <c r="AH1896">
        <v>15</v>
      </c>
      <c r="AI1896">
        <v>3</v>
      </c>
      <c r="AJ1896">
        <v>9</v>
      </c>
      <c r="AK1896">
        <v>17</v>
      </c>
      <c r="AL1896">
        <v>9</v>
      </c>
      <c r="AM1896">
        <v>9</v>
      </c>
      <c r="AN1896">
        <v>1</v>
      </c>
      <c r="AO1896">
        <v>48</v>
      </c>
      <c r="AP1896">
        <v>35</v>
      </c>
      <c r="AQ1896">
        <v>13</v>
      </c>
      <c r="AR1896">
        <v>7</v>
      </c>
      <c r="AS1896">
        <v>2</v>
      </c>
      <c r="AT1896">
        <v>5</v>
      </c>
    </row>
    <row r="1897" spans="1:46">
      <c r="A1897">
        <v>45292</v>
      </c>
      <c r="B1897" t="s">
        <v>11172</v>
      </c>
      <c r="C1897" t="s">
        <v>11173</v>
      </c>
      <c r="E1897" t="s">
        <v>11174</v>
      </c>
      <c r="G1897" t="s">
        <v>3005</v>
      </c>
      <c r="H1897" t="s">
        <v>3942</v>
      </c>
      <c r="J1897" t="s">
        <v>3962</v>
      </c>
      <c r="K1897" t="s">
        <v>519</v>
      </c>
      <c r="M1897" t="s">
        <v>2287</v>
      </c>
      <c r="N1897" t="s">
        <v>571</v>
      </c>
      <c r="O1897" t="s">
        <v>3006</v>
      </c>
      <c r="P1897" t="s">
        <v>523</v>
      </c>
      <c r="Q1897" t="s">
        <v>2928</v>
      </c>
      <c r="R1897" t="s">
        <v>2824</v>
      </c>
      <c r="S1897" t="s">
        <v>2870</v>
      </c>
      <c r="T1897" t="s">
        <v>2448</v>
      </c>
      <c r="U1897">
        <v>310400</v>
      </c>
      <c r="V1897" t="s">
        <v>3007</v>
      </c>
      <c r="W1897" t="s">
        <v>2443</v>
      </c>
      <c r="X1897" t="s">
        <v>11175</v>
      </c>
      <c r="Y1897" t="s">
        <v>4658</v>
      </c>
      <c r="Z1897" t="s">
        <v>958</v>
      </c>
      <c r="AA1897" t="s">
        <v>4659</v>
      </c>
      <c r="AB1897" t="s">
        <v>11176</v>
      </c>
      <c r="AE1897">
        <v>-42.458258190000002</v>
      </c>
      <c r="AF1897">
        <v>171.20726866000001</v>
      </c>
      <c r="AG1897">
        <v>30</v>
      </c>
      <c r="AH1897">
        <v>0</v>
      </c>
      <c r="AI1897">
        <v>0</v>
      </c>
      <c r="AJ1897">
        <v>0</v>
      </c>
      <c r="AK1897">
        <v>6</v>
      </c>
      <c r="AL1897">
        <v>15</v>
      </c>
      <c r="AM1897">
        <v>20</v>
      </c>
      <c r="AN1897">
        <v>0</v>
      </c>
      <c r="AO1897">
        <v>41</v>
      </c>
      <c r="AP1897">
        <v>40</v>
      </c>
      <c r="AQ1897">
        <v>7</v>
      </c>
      <c r="AR1897">
        <v>0</v>
      </c>
      <c r="AS1897">
        <v>1</v>
      </c>
      <c r="AT1897">
        <v>0</v>
      </c>
    </row>
    <row r="1898" spans="1:46">
      <c r="A1898">
        <v>45295</v>
      </c>
      <c r="B1898" t="s">
        <v>11177</v>
      </c>
      <c r="C1898" t="s">
        <v>11178</v>
      </c>
      <c r="D1898" t="s">
        <v>11179</v>
      </c>
      <c r="E1898" t="s">
        <v>11180</v>
      </c>
      <c r="F1898" t="s">
        <v>898</v>
      </c>
      <c r="G1898" t="s">
        <v>652</v>
      </c>
      <c r="H1898" t="s">
        <v>3942</v>
      </c>
      <c r="J1898" t="s">
        <v>518</v>
      </c>
      <c r="K1898" t="s">
        <v>519</v>
      </c>
      <c r="M1898" t="s">
        <v>520</v>
      </c>
      <c r="N1898" t="s">
        <v>557</v>
      </c>
      <c r="O1898" t="s">
        <v>813</v>
      </c>
      <c r="P1898" t="s">
        <v>654</v>
      </c>
      <c r="Q1898" t="s">
        <v>638</v>
      </c>
      <c r="R1898" t="s">
        <v>639</v>
      </c>
      <c r="S1898" t="s">
        <v>899</v>
      </c>
      <c r="T1898" t="s">
        <v>709</v>
      </c>
      <c r="U1898">
        <v>127500</v>
      </c>
      <c r="V1898" t="s">
        <v>4552</v>
      </c>
      <c r="W1898" t="s">
        <v>815</v>
      </c>
      <c r="X1898" t="s">
        <v>3943</v>
      </c>
      <c r="Y1898" t="s">
        <v>3944</v>
      </c>
      <c r="Z1898" t="s">
        <v>3945</v>
      </c>
      <c r="AA1898" t="s">
        <v>3946</v>
      </c>
      <c r="AB1898" t="s">
        <v>3947</v>
      </c>
      <c r="AE1898">
        <v>-36.884048550000003</v>
      </c>
      <c r="AF1898">
        <v>174.63416985000001</v>
      </c>
      <c r="AG1898">
        <v>80</v>
      </c>
      <c r="AH1898">
        <v>20</v>
      </c>
      <c r="AI1898">
        <v>1</v>
      </c>
      <c r="AJ1898">
        <v>12</v>
      </c>
      <c r="AK1898">
        <v>12</v>
      </c>
      <c r="AL1898">
        <v>22</v>
      </c>
      <c r="AM1898">
        <v>21</v>
      </c>
      <c r="AN1898">
        <v>2</v>
      </c>
      <c r="AO1898">
        <v>70</v>
      </c>
      <c r="AP1898">
        <v>23</v>
      </c>
      <c r="AQ1898">
        <v>14</v>
      </c>
      <c r="AR1898">
        <v>8</v>
      </c>
      <c r="AS1898">
        <v>39</v>
      </c>
      <c r="AT1898">
        <v>5</v>
      </c>
    </row>
    <row r="1899" spans="1:46">
      <c r="A1899">
        <v>45296</v>
      </c>
      <c r="B1899" t="s">
        <v>11181</v>
      </c>
      <c r="C1899" t="s">
        <v>11182</v>
      </c>
      <c r="D1899" t="s">
        <v>11183</v>
      </c>
      <c r="E1899" t="s">
        <v>11184</v>
      </c>
      <c r="G1899" t="s">
        <v>5600</v>
      </c>
      <c r="H1899" t="s">
        <v>3942</v>
      </c>
      <c r="J1899" t="s">
        <v>3962</v>
      </c>
      <c r="K1899" t="s">
        <v>519</v>
      </c>
      <c r="M1899" t="s">
        <v>520</v>
      </c>
      <c r="N1899" t="s">
        <v>571</v>
      </c>
      <c r="O1899" t="s">
        <v>583</v>
      </c>
      <c r="P1899" t="s">
        <v>523</v>
      </c>
      <c r="Q1899" t="s">
        <v>524</v>
      </c>
      <c r="R1899" t="s">
        <v>525</v>
      </c>
      <c r="S1899" t="s">
        <v>585</v>
      </c>
      <c r="T1899" t="s">
        <v>527</v>
      </c>
      <c r="U1899">
        <v>107600</v>
      </c>
      <c r="V1899" t="s">
        <v>5600</v>
      </c>
      <c r="W1899" t="s">
        <v>612</v>
      </c>
      <c r="X1899" t="s">
        <v>11185</v>
      </c>
      <c r="Y1899" t="s">
        <v>11186</v>
      </c>
      <c r="AA1899" t="s">
        <v>11187</v>
      </c>
      <c r="AB1899" t="s">
        <v>11182</v>
      </c>
      <c r="AC1899">
        <v>99180</v>
      </c>
      <c r="AD1899" t="s">
        <v>4891</v>
      </c>
      <c r="AE1899">
        <v>-35.635584010000002</v>
      </c>
      <c r="AF1899">
        <v>174.49076984000001</v>
      </c>
      <c r="AG1899">
        <v>47</v>
      </c>
      <c r="AH1899">
        <v>10</v>
      </c>
      <c r="AI1899">
        <v>0</v>
      </c>
      <c r="AJ1899">
        <v>10</v>
      </c>
      <c r="AK1899">
        <v>10</v>
      </c>
      <c r="AL1899">
        <v>13</v>
      </c>
      <c r="AM1899">
        <v>11</v>
      </c>
      <c r="AN1899">
        <v>1</v>
      </c>
      <c r="AO1899">
        <v>45</v>
      </c>
      <c r="AP1899">
        <v>43</v>
      </c>
      <c r="AQ1899">
        <v>13</v>
      </c>
      <c r="AR1899">
        <v>2</v>
      </c>
      <c r="AS1899">
        <v>4</v>
      </c>
      <c r="AT1899">
        <v>2</v>
      </c>
    </row>
    <row r="1900" spans="1:46">
      <c r="A1900">
        <v>45299</v>
      </c>
      <c r="B1900" t="s">
        <v>11188</v>
      </c>
      <c r="C1900" t="s">
        <v>11189</v>
      </c>
      <c r="D1900" t="s">
        <v>11190</v>
      </c>
      <c r="E1900" t="s">
        <v>11191</v>
      </c>
      <c r="G1900" t="s">
        <v>11192</v>
      </c>
      <c r="H1900" t="s">
        <v>3942</v>
      </c>
      <c r="J1900" t="s">
        <v>3962</v>
      </c>
      <c r="K1900" t="s">
        <v>519</v>
      </c>
      <c r="M1900" t="s">
        <v>2287</v>
      </c>
      <c r="N1900" t="s">
        <v>571</v>
      </c>
      <c r="O1900" t="s">
        <v>3835</v>
      </c>
      <c r="P1900" t="s">
        <v>1262</v>
      </c>
      <c r="Q1900" t="s">
        <v>3337</v>
      </c>
      <c r="R1900" t="s">
        <v>3338</v>
      </c>
      <c r="S1900" t="s">
        <v>3250</v>
      </c>
      <c r="T1900" t="s">
        <v>2448</v>
      </c>
      <c r="U1900">
        <v>346901</v>
      </c>
      <c r="V1900" t="s">
        <v>11193</v>
      </c>
      <c r="W1900" t="s">
        <v>11194</v>
      </c>
      <c r="X1900" t="s">
        <v>11195</v>
      </c>
      <c r="Y1900" t="s">
        <v>11191</v>
      </c>
      <c r="Z1900" t="s">
        <v>11193</v>
      </c>
      <c r="AA1900" t="s">
        <v>11196</v>
      </c>
      <c r="AE1900">
        <v>-44.683070579999999</v>
      </c>
      <c r="AF1900">
        <v>169.17815450000001</v>
      </c>
      <c r="AG1900">
        <v>68</v>
      </c>
      <c r="AH1900">
        <v>25</v>
      </c>
      <c r="AI1900">
        <v>6</v>
      </c>
      <c r="AJ1900">
        <v>15</v>
      </c>
      <c r="AK1900">
        <v>18</v>
      </c>
      <c r="AL1900">
        <v>28</v>
      </c>
      <c r="AM1900">
        <v>20</v>
      </c>
      <c r="AN1900">
        <v>1</v>
      </c>
      <c r="AO1900">
        <v>88</v>
      </c>
      <c r="AP1900">
        <v>79</v>
      </c>
      <c r="AQ1900">
        <v>12</v>
      </c>
      <c r="AR1900">
        <v>2</v>
      </c>
      <c r="AS1900">
        <v>2</v>
      </c>
      <c r="AT1900">
        <v>4</v>
      </c>
    </row>
    <row r="1901" spans="1:46">
      <c r="A1901">
        <v>45303</v>
      </c>
      <c r="B1901" t="s">
        <v>11197</v>
      </c>
      <c r="C1901" t="s">
        <v>11198</v>
      </c>
      <c r="D1901" t="s">
        <v>11199</v>
      </c>
      <c r="E1901" t="s">
        <v>11200</v>
      </c>
      <c r="G1901" t="s">
        <v>11201</v>
      </c>
      <c r="H1901" t="s">
        <v>3942</v>
      </c>
      <c r="J1901" t="s">
        <v>3962</v>
      </c>
      <c r="K1901" t="s">
        <v>519</v>
      </c>
      <c r="M1901" t="s">
        <v>2287</v>
      </c>
      <c r="N1901" t="s">
        <v>571</v>
      </c>
      <c r="O1901" t="s">
        <v>2964</v>
      </c>
      <c r="P1901" t="s">
        <v>523</v>
      </c>
      <c r="Q1901" t="s">
        <v>2943</v>
      </c>
      <c r="R1901" t="s">
        <v>2944</v>
      </c>
      <c r="S1901" t="s">
        <v>2965</v>
      </c>
      <c r="T1901" t="s">
        <v>2448</v>
      </c>
      <c r="U1901">
        <v>313200</v>
      </c>
      <c r="V1901" t="s">
        <v>11201</v>
      </c>
      <c r="W1901" t="s">
        <v>11202</v>
      </c>
      <c r="X1901" t="s">
        <v>11203</v>
      </c>
      <c r="Y1901" t="s">
        <v>11204</v>
      </c>
      <c r="AA1901" t="s">
        <v>11205</v>
      </c>
      <c r="AB1901" t="s">
        <v>11206</v>
      </c>
      <c r="AC1901">
        <v>99077</v>
      </c>
      <c r="AD1901" t="s">
        <v>2968</v>
      </c>
      <c r="AE1901">
        <v>-43.29792681</v>
      </c>
      <c r="AF1901">
        <v>172.20388914</v>
      </c>
      <c r="AG1901">
        <v>29</v>
      </c>
      <c r="AH1901">
        <v>0</v>
      </c>
      <c r="AI1901">
        <v>0</v>
      </c>
      <c r="AJ1901">
        <v>0</v>
      </c>
      <c r="AK1901">
        <v>7</v>
      </c>
      <c r="AL1901">
        <v>10</v>
      </c>
      <c r="AM1901">
        <v>19</v>
      </c>
      <c r="AN1901">
        <v>0</v>
      </c>
      <c r="AO1901">
        <v>36</v>
      </c>
      <c r="AP1901">
        <v>35</v>
      </c>
      <c r="AQ1901">
        <v>1</v>
      </c>
      <c r="AR1901">
        <v>2</v>
      </c>
      <c r="AS1901">
        <v>0</v>
      </c>
      <c r="AT1901">
        <v>0</v>
      </c>
    </row>
    <row r="1902" spans="1:46">
      <c r="A1902">
        <v>45304</v>
      </c>
      <c r="B1902" t="s">
        <v>11207</v>
      </c>
      <c r="C1902" t="s">
        <v>11208</v>
      </c>
      <c r="D1902" t="s">
        <v>11209</v>
      </c>
      <c r="E1902" t="s">
        <v>11210</v>
      </c>
      <c r="G1902" t="s">
        <v>3187</v>
      </c>
      <c r="H1902" t="s">
        <v>3942</v>
      </c>
      <c r="J1902" t="s">
        <v>3962</v>
      </c>
      <c r="K1902" t="s">
        <v>519</v>
      </c>
      <c r="M1902" t="s">
        <v>2287</v>
      </c>
      <c r="N1902" t="s">
        <v>571</v>
      </c>
      <c r="O1902" t="s">
        <v>2964</v>
      </c>
      <c r="P1902" t="s">
        <v>1262</v>
      </c>
      <c r="Q1902" t="s">
        <v>2943</v>
      </c>
      <c r="R1902" t="s">
        <v>2944</v>
      </c>
      <c r="S1902" t="s">
        <v>2965</v>
      </c>
      <c r="T1902" t="s">
        <v>2448</v>
      </c>
      <c r="U1902">
        <v>316000</v>
      </c>
      <c r="V1902" t="s">
        <v>11211</v>
      </c>
      <c r="W1902" t="s">
        <v>3189</v>
      </c>
      <c r="X1902" t="s">
        <v>11212</v>
      </c>
      <c r="Y1902" t="s">
        <v>11213</v>
      </c>
      <c r="AA1902" t="s">
        <v>11214</v>
      </c>
      <c r="AB1902" t="s">
        <v>11215</v>
      </c>
      <c r="AC1902">
        <v>99061</v>
      </c>
      <c r="AD1902" t="s">
        <v>3190</v>
      </c>
      <c r="AE1902">
        <v>-43.381640019999999</v>
      </c>
      <c r="AF1902">
        <v>172.64743752999999</v>
      </c>
      <c r="AG1902">
        <v>69</v>
      </c>
      <c r="AH1902">
        <v>25</v>
      </c>
      <c r="AI1902">
        <v>0</v>
      </c>
      <c r="AJ1902">
        <v>19</v>
      </c>
      <c r="AK1902">
        <v>19</v>
      </c>
      <c r="AL1902">
        <v>27</v>
      </c>
      <c r="AM1902">
        <v>12</v>
      </c>
      <c r="AN1902">
        <v>1</v>
      </c>
      <c r="AO1902">
        <v>78</v>
      </c>
      <c r="AP1902">
        <v>69</v>
      </c>
      <c r="AQ1902">
        <v>19</v>
      </c>
      <c r="AR1902">
        <v>1</v>
      </c>
      <c r="AS1902">
        <v>5</v>
      </c>
      <c r="AT1902">
        <v>2</v>
      </c>
    </row>
    <row r="1903" spans="1:46">
      <c r="A1903">
        <v>45305</v>
      </c>
      <c r="B1903" t="s">
        <v>11216</v>
      </c>
      <c r="C1903" t="s">
        <v>11217</v>
      </c>
      <c r="D1903" t="s">
        <v>11218</v>
      </c>
      <c r="E1903" t="s">
        <v>11219</v>
      </c>
      <c r="G1903" t="s">
        <v>1469</v>
      </c>
      <c r="H1903" t="s">
        <v>3942</v>
      </c>
      <c r="J1903" t="s">
        <v>3962</v>
      </c>
      <c r="K1903" t="s">
        <v>519</v>
      </c>
      <c r="M1903" t="s">
        <v>1297</v>
      </c>
      <c r="N1903" t="s">
        <v>571</v>
      </c>
      <c r="O1903" t="s">
        <v>1470</v>
      </c>
      <c r="P1903" t="s">
        <v>1262</v>
      </c>
      <c r="Q1903" t="s">
        <v>1471</v>
      </c>
      <c r="R1903" t="s">
        <v>1472</v>
      </c>
      <c r="S1903" t="s">
        <v>1473</v>
      </c>
      <c r="T1903" t="s">
        <v>1474</v>
      </c>
      <c r="U1903">
        <v>202700</v>
      </c>
      <c r="V1903" t="s">
        <v>1475</v>
      </c>
      <c r="W1903" t="s">
        <v>1476</v>
      </c>
      <c r="X1903" t="s">
        <v>11220</v>
      </c>
      <c r="Y1903" t="s">
        <v>4107</v>
      </c>
      <c r="AA1903" t="s">
        <v>3982</v>
      </c>
      <c r="AC1903">
        <v>99016</v>
      </c>
      <c r="AD1903" t="s">
        <v>1479</v>
      </c>
      <c r="AE1903">
        <v>-37.95740584</v>
      </c>
      <c r="AF1903">
        <v>176.98704613000001</v>
      </c>
      <c r="AG1903">
        <v>50</v>
      </c>
      <c r="AH1903">
        <v>5</v>
      </c>
      <c r="AI1903">
        <v>0</v>
      </c>
      <c r="AJ1903">
        <v>0</v>
      </c>
      <c r="AK1903">
        <v>14</v>
      </c>
      <c r="AL1903">
        <v>22</v>
      </c>
      <c r="AM1903">
        <v>27</v>
      </c>
      <c r="AN1903">
        <v>0</v>
      </c>
      <c r="AO1903">
        <v>63</v>
      </c>
      <c r="AP1903">
        <v>45</v>
      </c>
      <c r="AQ1903">
        <v>31</v>
      </c>
      <c r="AR1903">
        <v>1</v>
      </c>
      <c r="AS1903">
        <v>4</v>
      </c>
      <c r="AT1903">
        <v>3</v>
      </c>
    </row>
    <row r="1904" spans="1:46">
      <c r="A1904">
        <v>45306</v>
      </c>
      <c r="B1904" t="s">
        <v>11221</v>
      </c>
      <c r="C1904" t="s">
        <v>11217</v>
      </c>
      <c r="D1904" t="s">
        <v>11218</v>
      </c>
      <c r="E1904" t="s">
        <v>11219</v>
      </c>
      <c r="G1904" t="s">
        <v>1469</v>
      </c>
      <c r="H1904" t="s">
        <v>3942</v>
      </c>
      <c r="J1904" t="s">
        <v>3962</v>
      </c>
      <c r="K1904" t="s">
        <v>519</v>
      </c>
      <c r="M1904" t="s">
        <v>1297</v>
      </c>
      <c r="N1904" t="s">
        <v>571</v>
      </c>
      <c r="O1904" t="s">
        <v>1470</v>
      </c>
      <c r="P1904" t="s">
        <v>1262</v>
      </c>
      <c r="Q1904" t="s">
        <v>1471</v>
      </c>
      <c r="R1904" t="s">
        <v>1472</v>
      </c>
      <c r="S1904" t="s">
        <v>1473</v>
      </c>
      <c r="T1904" t="s">
        <v>1474</v>
      </c>
      <c r="U1904">
        <v>202700</v>
      </c>
      <c r="V1904" t="s">
        <v>1475</v>
      </c>
      <c r="W1904" t="s">
        <v>1476</v>
      </c>
      <c r="X1904" t="s">
        <v>11220</v>
      </c>
      <c r="Y1904" t="s">
        <v>4107</v>
      </c>
      <c r="AA1904" t="s">
        <v>3982</v>
      </c>
      <c r="AC1904">
        <v>99016</v>
      </c>
      <c r="AD1904" t="s">
        <v>1479</v>
      </c>
      <c r="AE1904">
        <v>-37.957359179999997</v>
      </c>
      <c r="AF1904">
        <v>176.98705185</v>
      </c>
      <c r="AG1904">
        <v>30</v>
      </c>
      <c r="AH1904">
        <v>25</v>
      </c>
      <c r="AI1904">
        <v>5</v>
      </c>
      <c r="AJ1904">
        <v>23</v>
      </c>
      <c r="AK1904">
        <v>20</v>
      </c>
      <c r="AL1904">
        <v>9</v>
      </c>
      <c r="AM1904">
        <v>3</v>
      </c>
      <c r="AN1904">
        <v>0</v>
      </c>
      <c r="AO1904">
        <v>60</v>
      </c>
      <c r="AP1904">
        <v>46</v>
      </c>
      <c r="AQ1904">
        <v>23</v>
      </c>
      <c r="AR1904">
        <v>1</v>
      </c>
      <c r="AS1904">
        <v>5</v>
      </c>
      <c r="AT1904">
        <v>4</v>
      </c>
    </row>
    <row r="1905" spans="1:46">
      <c r="A1905">
        <v>45307</v>
      </c>
      <c r="B1905" t="s">
        <v>11222</v>
      </c>
      <c r="C1905" t="s">
        <v>11223</v>
      </c>
      <c r="E1905" t="s">
        <v>11224</v>
      </c>
      <c r="F1905" t="s">
        <v>3173</v>
      </c>
      <c r="G1905" t="s">
        <v>2941</v>
      </c>
      <c r="H1905" t="s">
        <v>3942</v>
      </c>
      <c r="I1905" t="s">
        <v>4065</v>
      </c>
      <c r="J1905" t="s">
        <v>518</v>
      </c>
      <c r="K1905" t="s">
        <v>519</v>
      </c>
      <c r="M1905" t="s">
        <v>2287</v>
      </c>
      <c r="N1905" t="s">
        <v>571</v>
      </c>
      <c r="O1905" t="s">
        <v>2942</v>
      </c>
      <c r="P1905" t="s">
        <v>654</v>
      </c>
      <c r="Q1905" t="s">
        <v>2943</v>
      </c>
      <c r="R1905" t="s">
        <v>2944</v>
      </c>
      <c r="S1905" t="s">
        <v>2957</v>
      </c>
      <c r="T1905" t="s">
        <v>2448</v>
      </c>
      <c r="U1905">
        <v>323800</v>
      </c>
      <c r="V1905" t="s">
        <v>3174</v>
      </c>
      <c r="W1905" t="s">
        <v>3070</v>
      </c>
      <c r="X1905" t="s">
        <v>10801</v>
      </c>
      <c r="Y1905" t="s">
        <v>3944</v>
      </c>
      <c r="Z1905" t="s">
        <v>3945</v>
      </c>
      <c r="AA1905" t="s">
        <v>3946</v>
      </c>
      <c r="AE1905">
        <v>-43.509292100000003</v>
      </c>
      <c r="AF1905">
        <v>172.63457747999999</v>
      </c>
      <c r="AG1905">
        <v>48</v>
      </c>
      <c r="AH1905">
        <v>10</v>
      </c>
      <c r="AI1905">
        <v>0</v>
      </c>
      <c r="AJ1905">
        <v>9</v>
      </c>
      <c r="AK1905">
        <v>22</v>
      </c>
      <c r="AL1905">
        <v>11</v>
      </c>
      <c r="AM1905">
        <v>11</v>
      </c>
      <c r="AN1905">
        <v>2</v>
      </c>
      <c r="AO1905">
        <v>55</v>
      </c>
      <c r="AP1905">
        <v>36</v>
      </c>
      <c r="AQ1905">
        <v>2</v>
      </c>
      <c r="AR1905">
        <v>0</v>
      </c>
      <c r="AS1905">
        <v>18</v>
      </c>
      <c r="AT1905">
        <v>7</v>
      </c>
    </row>
    <row r="1906" spans="1:46">
      <c r="A1906">
        <v>45308</v>
      </c>
      <c r="B1906" t="s">
        <v>11225</v>
      </c>
      <c r="C1906" t="s">
        <v>11226</v>
      </c>
      <c r="D1906" t="s">
        <v>11227</v>
      </c>
      <c r="E1906" t="s">
        <v>11228</v>
      </c>
      <c r="G1906" t="s">
        <v>1824</v>
      </c>
      <c r="H1906" t="s">
        <v>3942</v>
      </c>
      <c r="J1906" t="s">
        <v>3962</v>
      </c>
      <c r="K1906" t="s">
        <v>519</v>
      </c>
      <c r="M1906" t="s">
        <v>1297</v>
      </c>
      <c r="N1906" t="s">
        <v>539</v>
      </c>
      <c r="O1906" t="s">
        <v>1758</v>
      </c>
      <c r="P1906" t="s">
        <v>523</v>
      </c>
      <c r="Q1906" t="s">
        <v>1759</v>
      </c>
      <c r="R1906" t="s">
        <v>1760</v>
      </c>
      <c r="S1906" t="s">
        <v>1757</v>
      </c>
      <c r="T1906" t="s">
        <v>1485</v>
      </c>
      <c r="U1906">
        <v>218500</v>
      </c>
      <c r="V1906" t="s">
        <v>1825</v>
      </c>
      <c r="W1906" t="s">
        <v>1826</v>
      </c>
      <c r="X1906" t="s">
        <v>11229</v>
      </c>
      <c r="Y1906" t="s">
        <v>4107</v>
      </c>
      <c r="AA1906" t="s">
        <v>3982</v>
      </c>
      <c r="AB1906" t="s">
        <v>11226</v>
      </c>
      <c r="AE1906">
        <v>-39.003143770000001</v>
      </c>
      <c r="AF1906">
        <v>174.23914748000001</v>
      </c>
      <c r="AG1906">
        <v>60</v>
      </c>
      <c r="AH1906">
        <v>0</v>
      </c>
      <c r="AI1906">
        <v>0</v>
      </c>
      <c r="AJ1906">
        <v>0</v>
      </c>
      <c r="AK1906">
        <v>11</v>
      </c>
      <c r="AL1906">
        <v>17</v>
      </c>
      <c r="AM1906">
        <v>30</v>
      </c>
      <c r="AN1906">
        <v>0</v>
      </c>
      <c r="AO1906">
        <v>58</v>
      </c>
      <c r="AP1906">
        <v>38</v>
      </c>
      <c r="AQ1906">
        <v>37</v>
      </c>
      <c r="AR1906">
        <v>10</v>
      </c>
      <c r="AS1906">
        <v>2</v>
      </c>
      <c r="AT1906">
        <v>2</v>
      </c>
    </row>
    <row r="1907" spans="1:46">
      <c r="A1907">
        <v>45310</v>
      </c>
      <c r="B1907" t="s">
        <v>11230</v>
      </c>
      <c r="C1907" t="s">
        <v>11231</v>
      </c>
      <c r="D1907" t="s">
        <v>11232</v>
      </c>
      <c r="E1907" t="s">
        <v>11233</v>
      </c>
      <c r="F1907" t="s">
        <v>11234</v>
      </c>
      <c r="G1907" t="s">
        <v>1842</v>
      </c>
      <c r="H1907" t="s">
        <v>3942</v>
      </c>
      <c r="J1907" t="s">
        <v>3962</v>
      </c>
      <c r="K1907" t="s">
        <v>519</v>
      </c>
      <c r="M1907" t="s">
        <v>1297</v>
      </c>
      <c r="N1907" t="s">
        <v>571</v>
      </c>
      <c r="O1907" t="s">
        <v>1887</v>
      </c>
      <c r="P1907" t="s">
        <v>584</v>
      </c>
      <c r="Q1907" t="s">
        <v>1636</v>
      </c>
      <c r="R1907" t="s">
        <v>1760</v>
      </c>
      <c r="S1907" t="s">
        <v>1842</v>
      </c>
      <c r="T1907" t="s">
        <v>1485</v>
      </c>
      <c r="U1907">
        <v>224500</v>
      </c>
      <c r="V1907" t="s">
        <v>11235</v>
      </c>
      <c r="W1907" t="s">
        <v>1652</v>
      </c>
      <c r="X1907" t="s">
        <v>11236</v>
      </c>
      <c r="Y1907" t="s">
        <v>11237</v>
      </c>
      <c r="Z1907" t="s">
        <v>1201</v>
      </c>
      <c r="AA1907" t="s">
        <v>11238</v>
      </c>
      <c r="AB1907" t="s">
        <v>11231</v>
      </c>
      <c r="AE1907">
        <v>-39.927715460000002</v>
      </c>
      <c r="AF1907">
        <v>175.02841527999999</v>
      </c>
      <c r="AG1907">
        <v>40</v>
      </c>
      <c r="AH1907">
        <v>11</v>
      </c>
      <c r="AI1907">
        <v>2</v>
      </c>
      <c r="AJ1907">
        <v>5</v>
      </c>
      <c r="AK1907">
        <v>12</v>
      </c>
      <c r="AL1907">
        <v>18</v>
      </c>
      <c r="AM1907">
        <v>10</v>
      </c>
      <c r="AN1907">
        <v>1</v>
      </c>
      <c r="AO1907">
        <v>48</v>
      </c>
      <c r="AP1907">
        <v>46</v>
      </c>
      <c r="AQ1907">
        <v>5</v>
      </c>
      <c r="AR1907">
        <v>0</v>
      </c>
      <c r="AS1907">
        <v>2</v>
      </c>
      <c r="AT1907">
        <v>0</v>
      </c>
    </row>
    <row r="1908" spans="1:46">
      <c r="A1908">
        <v>45313</v>
      </c>
      <c r="B1908" t="s">
        <v>11239</v>
      </c>
      <c r="C1908" t="s">
        <v>11240</v>
      </c>
      <c r="D1908" t="s">
        <v>11241</v>
      </c>
      <c r="E1908" t="s">
        <v>11242</v>
      </c>
      <c r="F1908" t="s">
        <v>2553</v>
      </c>
      <c r="G1908" t="s">
        <v>2289</v>
      </c>
      <c r="H1908" t="s">
        <v>517</v>
      </c>
      <c r="J1908" t="s">
        <v>518</v>
      </c>
      <c r="K1908" t="s">
        <v>519</v>
      </c>
      <c r="M1908" t="s">
        <v>2287</v>
      </c>
      <c r="N1908" t="s">
        <v>571</v>
      </c>
      <c r="O1908" t="s">
        <v>2536</v>
      </c>
      <c r="P1908" t="s">
        <v>654</v>
      </c>
      <c r="Q1908" t="s">
        <v>2319</v>
      </c>
      <c r="R1908" t="s">
        <v>2289</v>
      </c>
      <c r="S1908" t="s">
        <v>2553</v>
      </c>
      <c r="T1908" t="s">
        <v>2448</v>
      </c>
      <c r="U1908">
        <v>251800</v>
      </c>
      <c r="V1908" t="s">
        <v>11243</v>
      </c>
      <c r="W1908" t="s">
        <v>2573</v>
      </c>
      <c r="X1908" t="s">
        <v>1889</v>
      </c>
      <c r="Y1908" t="s">
        <v>1890</v>
      </c>
      <c r="AA1908" t="s">
        <v>1891</v>
      </c>
      <c r="AB1908" t="s">
        <v>1892</v>
      </c>
      <c r="AE1908">
        <v>-41.290879009999998</v>
      </c>
      <c r="AF1908">
        <v>174.78199516999999</v>
      </c>
      <c r="AG1908">
        <v>32</v>
      </c>
      <c r="AH1908">
        <v>9</v>
      </c>
      <c r="AI1908">
        <v>0</v>
      </c>
      <c r="AJ1908">
        <v>3</v>
      </c>
      <c r="AK1908">
        <v>8</v>
      </c>
      <c r="AL1908">
        <v>12</v>
      </c>
      <c r="AM1908">
        <v>9</v>
      </c>
      <c r="AN1908">
        <v>0</v>
      </c>
      <c r="AO1908">
        <v>32</v>
      </c>
      <c r="AP1908">
        <v>26</v>
      </c>
      <c r="AQ1908">
        <v>5</v>
      </c>
      <c r="AR1908">
        <v>7</v>
      </c>
      <c r="AS1908">
        <v>4</v>
      </c>
      <c r="AT1908">
        <v>4</v>
      </c>
    </row>
    <row r="1909" spans="1:46">
      <c r="A1909">
        <v>45314</v>
      </c>
      <c r="B1909" t="s">
        <v>11244</v>
      </c>
      <c r="C1909" t="s">
        <v>11245</v>
      </c>
      <c r="D1909" t="s">
        <v>11246</v>
      </c>
      <c r="E1909" t="s">
        <v>11247</v>
      </c>
      <c r="F1909" t="s">
        <v>872</v>
      </c>
      <c r="G1909" t="s">
        <v>652</v>
      </c>
      <c r="H1909" t="s">
        <v>3942</v>
      </c>
      <c r="J1909" t="s">
        <v>3962</v>
      </c>
      <c r="K1909" t="s">
        <v>519</v>
      </c>
      <c r="M1909" t="s">
        <v>520</v>
      </c>
      <c r="N1909" t="s">
        <v>557</v>
      </c>
      <c r="O1909" t="s">
        <v>873</v>
      </c>
      <c r="P1909" t="s">
        <v>654</v>
      </c>
      <c r="Q1909" t="s">
        <v>638</v>
      </c>
      <c r="R1909" t="s">
        <v>639</v>
      </c>
      <c r="S1909" t="s">
        <v>719</v>
      </c>
      <c r="T1909" t="s">
        <v>709</v>
      </c>
      <c r="U1909">
        <v>130801</v>
      </c>
      <c r="V1909" t="s">
        <v>874</v>
      </c>
      <c r="W1909" t="s">
        <v>815</v>
      </c>
      <c r="X1909" t="s">
        <v>11248</v>
      </c>
      <c r="Y1909" t="s">
        <v>11247</v>
      </c>
      <c r="Z1909" t="s">
        <v>872</v>
      </c>
      <c r="AA1909" t="s">
        <v>4985</v>
      </c>
      <c r="AB1909" t="s">
        <v>11249</v>
      </c>
      <c r="AE1909">
        <v>-36.907360429999997</v>
      </c>
      <c r="AF1909">
        <v>174.65383890999999</v>
      </c>
      <c r="AG1909">
        <v>40</v>
      </c>
      <c r="AH1909">
        <v>12</v>
      </c>
      <c r="AI1909">
        <v>0</v>
      </c>
      <c r="AJ1909">
        <v>5</v>
      </c>
      <c r="AK1909">
        <v>10</v>
      </c>
      <c r="AL1909">
        <v>10</v>
      </c>
      <c r="AM1909">
        <v>15</v>
      </c>
      <c r="AN1909">
        <v>2</v>
      </c>
      <c r="AO1909">
        <v>42</v>
      </c>
      <c r="AP1909">
        <v>21</v>
      </c>
      <c r="AQ1909">
        <v>6</v>
      </c>
      <c r="AR1909">
        <v>9</v>
      </c>
      <c r="AS1909">
        <v>14</v>
      </c>
      <c r="AT1909">
        <v>3</v>
      </c>
    </row>
    <row r="1910" spans="1:46">
      <c r="A1910">
        <v>45315</v>
      </c>
      <c r="B1910" t="s">
        <v>11250</v>
      </c>
      <c r="C1910" t="s">
        <v>11251</v>
      </c>
      <c r="D1910" t="s">
        <v>11252</v>
      </c>
      <c r="E1910" t="s">
        <v>11253</v>
      </c>
      <c r="F1910" t="s">
        <v>11254</v>
      </c>
      <c r="G1910" t="s">
        <v>652</v>
      </c>
      <c r="H1910" t="s">
        <v>3942</v>
      </c>
      <c r="J1910" t="s">
        <v>3962</v>
      </c>
      <c r="K1910" t="s">
        <v>519</v>
      </c>
      <c r="M1910" t="s">
        <v>520</v>
      </c>
      <c r="N1910" t="s">
        <v>571</v>
      </c>
      <c r="O1910" t="s">
        <v>912</v>
      </c>
      <c r="P1910" t="s">
        <v>654</v>
      </c>
      <c r="Q1910" t="s">
        <v>638</v>
      </c>
      <c r="R1910" t="s">
        <v>708</v>
      </c>
      <c r="S1910" t="s">
        <v>913</v>
      </c>
      <c r="T1910" t="s">
        <v>709</v>
      </c>
      <c r="U1910">
        <v>141201</v>
      </c>
      <c r="V1910" t="s">
        <v>11255</v>
      </c>
      <c r="W1910" t="s">
        <v>860</v>
      </c>
      <c r="X1910" t="s">
        <v>11256</v>
      </c>
      <c r="Y1910" t="s">
        <v>11257</v>
      </c>
      <c r="Z1910" t="s">
        <v>11254</v>
      </c>
      <c r="AA1910" t="s">
        <v>5824</v>
      </c>
      <c r="AE1910">
        <v>-36.905669639999999</v>
      </c>
      <c r="AF1910">
        <v>174.75939489999999</v>
      </c>
      <c r="AG1910">
        <v>30</v>
      </c>
      <c r="AH1910">
        <v>8</v>
      </c>
      <c r="AI1910">
        <v>2</v>
      </c>
      <c r="AJ1910">
        <v>1</v>
      </c>
      <c r="AK1910">
        <v>6</v>
      </c>
      <c r="AL1910">
        <v>8</v>
      </c>
      <c r="AM1910">
        <v>10</v>
      </c>
      <c r="AN1910">
        <v>0</v>
      </c>
      <c r="AO1910">
        <v>27</v>
      </c>
      <c r="AP1910">
        <v>4</v>
      </c>
      <c r="AQ1910">
        <v>0</v>
      </c>
      <c r="AR1910">
        <v>1</v>
      </c>
      <c r="AS1910">
        <v>23</v>
      </c>
      <c r="AT1910">
        <v>1</v>
      </c>
    </row>
    <row r="1911" spans="1:46">
      <c r="A1911">
        <v>45316</v>
      </c>
      <c r="B1911" t="s">
        <v>11258</v>
      </c>
      <c r="C1911" t="s">
        <v>11259</v>
      </c>
      <c r="D1911" t="s">
        <v>11260</v>
      </c>
      <c r="E1911" t="s">
        <v>11261</v>
      </c>
      <c r="F1911" t="s">
        <v>1036</v>
      </c>
      <c r="G1911" t="s">
        <v>652</v>
      </c>
      <c r="H1911" t="s">
        <v>3942</v>
      </c>
      <c r="J1911" t="s">
        <v>3962</v>
      </c>
      <c r="K1911" t="s">
        <v>519</v>
      </c>
      <c r="M1911" t="s">
        <v>520</v>
      </c>
      <c r="N1911" t="s">
        <v>727</v>
      </c>
      <c r="O1911" t="s">
        <v>1216</v>
      </c>
      <c r="P1911" t="s">
        <v>654</v>
      </c>
      <c r="Q1911" t="s">
        <v>638</v>
      </c>
      <c r="R1911" t="s">
        <v>729</v>
      </c>
      <c r="S1911" t="s">
        <v>1036</v>
      </c>
      <c r="T1911" t="s">
        <v>709</v>
      </c>
      <c r="U1911">
        <v>160100</v>
      </c>
      <c r="V1911" t="s">
        <v>6877</v>
      </c>
      <c r="W1911" t="s">
        <v>1219</v>
      </c>
      <c r="X1911" t="s">
        <v>11262</v>
      </c>
      <c r="Y1911" t="s">
        <v>7310</v>
      </c>
      <c r="Z1911" t="s">
        <v>763</v>
      </c>
      <c r="AA1911" t="s">
        <v>4365</v>
      </c>
      <c r="AB1911" t="s">
        <v>11263</v>
      </c>
      <c r="AE1911">
        <v>-37.018469949999997</v>
      </c>
      <c r="AF1911">
        <v>174.88924244</v>
      </c>
      <c r="AG1911">
        <v>70</v>
      </c>
      <c r="AH1911">
        <v>20</v>
      </c>
      <c r="AI1911">
        <v>2</v>
      </c>
      <c r="AJ1911">
        <v>11</v>
      </c>
      <c r="AK1911">
        <v>9</v>
      </c>
      <c r="AL1911">
        <v>18</v>
      </c>
      <c r="AM1911">
        <v>17</v>
      </c>
      <c r="AN1911">
        <v>2</v>
      </c>
      <c r="AO1911">
        <v>59</v>
      </c>
      <c r="AP1911">
        <v>4</v>
      </c>
      <c r="AQ1911">
        <v>11</v>
      </c>
      <c r="AR1911">
        <v>25</v>
      </c>
      <c r="AS1911">
        <v>30</v>
      </c>
      <c r="AT1911">
        <v>2</v>
      </c>
    </row>
    <row r="1912" spans="1:46">
      <c r="A1912">
        <v>45321</v>
      </c>
      <c r="B1912" t="s">
        <v>11264</v>
      </c>
      <c r="C1912" t="s">
        <v>11265</v>
      </c>
      <c r="D1912" t="s">
        <v>11266</v>
      </c>
      <c r="E1912" t="s">
        <v>11267</v>
      </c>
      <c r="G1912" t="s">
        <v>2821</v>
      </c>
      <c r="H1912" t="s">
        <v>3942</v>
      </c>
      <c r="J1912" t="s">
        <v>3962</v>
      </c>
      <c r="K1912" t="s">
        <v>519</v>
      </c>
      <c r="M1912" t="s">
        <v>2287</v>
      </c>
      <c r="N1912" t="s">
        <v>557</v>
      </c>
      <c r="O1912" t="s">
        <v>2822</v>
      </c>
      <c r="P1912" t="s">
        <v>1262</v>
      </c>
      <c r="Q1912" t="s">
        <v>2823</v>
      </c>
      <c r="R1912" t="s">
        <v>2824</v>
      </c>
      <c r="S1912" t="s">
        <v>2825</v>
      </c>
      <c r="T1912" t="s">
        <v>2448</v>
      </c>
      <c r="U1912">
        <v>308000</v>
      </c>
      <c r="V1912" t="s">
        <v>11268</v>
      </c>
      <c r="W1912" t="s">
        <v>2826</v>
      </c>
      <c r="X1912" t="s">
        <v>11269</v>
      </c>
      <c r="Y1912" t="s">
        <v>11270</v>
      </c>
      <c r="AA1912" t="s">
        <v>10864</v>
      </c>
      <c r="AE1912">
        <v>-41.503933340000003</v>
      </c>
      <c r="AF1912">
        <v>173.96589265</v>
      </c>
      <c r="AG1912">
        <v>23</v>
      </c>
      <c r="AH1912">
        <v>15</v>
      </c>
      <c r="AI1912">
        <v>2</v>
      </c>
      <c r="AJ1912">
        <v>12</v>
      </c>
      <c r="AK1912">
        <v>5</v>
      </c>
      <c r="AL1912">
        <v>1</v>
      </c>
      <c r="AM1912">
        <v>1</v>
      </c>
      <c r="AN1912">
        <v>0</v>
      </c>
      <c r="AO1912">
        <v>21</v>
      </c>
      <c r="AP1912">
        <v>19</v>
      </c>
      <c r="AQ1912">
        <v>5</v>
      </c>
      <c r="AR1912">
        <v>1</v>
      </c>
      <c r="AS1912">
        <v>2</v>
      </c>
      <c r="AT1912">
        <v>0</v>
      </c>
    </row>
    <row r="1913" spans="1:46">
      <c r="A1913">
        <v>45322</v>
      </c>
      <c r="B1913" t="s">
        <v>11271</v>
      </c>
      <c r="C1913" t="s">
        <v>11272</v>
      </c>
      <c r="D1913" t="s">
        <v>11273</v>
      </c>
      <c r="E1913" t="s">
        <v>11274</v>
      </c>
      <c r="F1913" t="s">
        <v>726</v>
      </c>
      <c r="G1913" t="s">
        <v>652</v>
      </c>
      <c r="H1913" t="s">
        <v>3942</v>
      </c>
      <c r="J1913" t="s">
        <v>518</v>
      </c>
      <c r="K1913" t="s">
        <v>519</v>
      </c>
      <c r="M1913" t="s">
        <v>520</v>
      </c>
      <c r="N1913" t="s">
        <v>727</v>
      </c>
      <c r="O1913" t="s">
        <v>728</v>
      </c>
      <c r="P1913" t="s">
        <v>654</v>
      </c>
      <c r="Q1913" t="s">
        <v>638</v>
      </c>
      <c r="R1913" t="s">
        <v>729</v>
      </c>
      <c r="S1913" t="s">
        <v>730</v>
      </c>
      <c r="T1913" t="s">
        <v>709</v>
      </c>
      <c r="U1913">
        <v>153000</v>
      </c>
      <c r="V1913" t="s">
        <v>7600</v>
      </c>
      <c r="W1913" t="s">
        <v>732</v>
      </c>
      <c r="X1913" t="s">
        <v>11275</v>
      </c>
      <c r="Y1913" t="s">
        <v>11276</v>
      </c>
      <c r="Z1913" t="s">
        <v>726</v>
      </c>
      <c r="AA1913" t="s">
        <v>4523</v>
      </c>
      <c r="AE1913">
        <v>-36.950870989999999</v>
      </c>
      <c r="AF1913">
        <v>174.85622303</v>
      </c>
      <c r="AG1913">
        <v>50</v>
      </c>
      <c r="AH1913">
        <v>10</v>
      </c>
      <c r="AI1913">
        <v>1</v>
      </c>
      <c r="AJ1913">
        <v>5</v>
      </c>
      <c r="AK1913">
        <v>6</v>
      </c>
      <c r="AL1913">
        <v>10</v>
      </c>
      <c r="AM1913">
        <v>3</v>
      </c>
      <c r="AN1913">
        <v>0</v>
      </c>
      <c r="AO1913">
        <v>25</v>
      </c>
      <c r="AP1913">
        <v>3</v>
      </c>
      <c r="AQ1913">
        <v>1</v>
      </c>
      <c r="AR1913">
        <v>18</v>
      </c>
      <c r="AS1913">
        <v>4</v>
      </c>
      <c r="AT1913">
        <v>0</v>
      </c>
    </row>
    <row r="1914" spans="1:46">
      <c r="A1914">
        <v>45324</v>
      </c>
      <c r="B1914" t="s">
        <v>11277</v>
      </c>
      <c r="C1914" t="s">
        <v>9199</v>
      </c>
      <c r="D1914" t="s">
        <v>8911</v>
      </c>
      <c r="E1914" t="s">
        <v>11278</v>
      </c>
      <c r="F1914" t="s">
        <v>11279</v>
      </c>
      <c r="G1914" t="s">
        <v>1296</v>
      </c>
      <c r="H1914" t="s">
        <v>298</v>
      </c>
      <c r="J1914" t="s">
        <v>518</v>
      </c>
      <c r="K1914" t="s">
        <v>519</v>
      </c>
      <c r="M1914" t="s">
        <v>1297</v>
      </c>
      <c r="N1914" t="s">
        <v>4519</v>
      </c>
      <c r="O1914" t="s">
        <v>1298</v>
      </c>
      <c r="P1914" t="s">
        <v>654</v>
      </c>
      <c r="Q1914" t="s">
        <v>1299</v>
      </c>
      <c r="R1914" t="s">
        <v>1300</v>
      </c>
      <c r="S1914" t="s">
        <v>1301</v>
      </c>
      <c r="T1914" t="s">
        <v>1235</v>
      </c>
      <c r="U1914">
        <v>176500</v>
      </c>
      <c r="V1914" t="s">
        <v>1423</v>
      </c>
      <c r="W1914" t="s">
        <v>1303</v>
      </c>
      <c r="X1914" t="s">
        <v>8330</v>
      </c>
      <c r="Y1914" t="s">
        <v>5187</v>
      </c>
      <c r="AA1914" t="s">
        <v>5188</v>
      </c>
      <c r="AB1914" t="s">
        <v>8326</v>
      </c>
      <c r="AE1914">
        <v>-37.758114040000002</v>
      </c>
      <c r="AF1914">
        <v>175.25609129</v>
      </c>
      <c r="AG1914">
        <v>20</v>
      </c>
      <c r="AH1914">
        <v>20</v>
      </c>
      <c r="AI1914">
        <v>99</v>
      </c>
      <c r="AJ1914">
        <v>3</v>
      </c>
      <c r="AK1914">
        <v>0</v>
      </c>
      <c r="AL1914">
        <v>0</v>
      </c>
      <c r="AM1914">
        <v>0</v>
      </c>
      <c r="AN1914">
        <v>0</v>
      </c>
      <c r="AO1914">
        <v>102</v>
      </c>
      <c r="AP1914">
        <v>96</v>
      </c>
      <c r="AQ1914">
        <v>16</v>
      </c>
      <c r="AR1914">
        <v>2</v>
      </c>
      <c r="AS1914">
        <v>8</v>
      </c>
      <c r="AT1914">
        <v>8</v>
      </c>
    </row>
    <row r="1915" spans="1:46">
      <c r="A1915">
        <v>45326</v>
      </c>
      <c r="B1915" t="s">
        <v>11280</v>
      </c>
      <c r="C1915" t="s">
        <v>11281</v>
      </c>
      <c r="E1915" t="s">
        <v>11282</v>
      </c>
      <c r="G1915" t="s">
        <v>3498</v>
      </c>
      <c r="H1915" t="s">
        <v>3942</v>
      </c>
      <c r="J1915" t="s">
        <v>3962</v>
      </c>
      <c r="K1915" t="s">
        <v>519</v>
      </c>
      <c r="M1915" t="s">
        <v>2287</v>
      </c>
      <c r="N1915" t="s">
        <v>571</v>
      </c>
      <c r="O1915" t="s">
        <v>3496</v>
      </c>
      <c r="P1915" t="s">
        <v>584</v>
      </c>
      <c r="Q1915" t="s">
        <v>3497</v>
      </c>
      <c r="R1915" t="s">
        <v>3338</v>
      </c>
      <c r="S1915" t="s">
        <v>3498</v>
      </c>
      <c r="T1915" t="s">
        <v>2448</v>
      </c>
      <c r="U1915">
        <v>361000</v>
      </c>
      <c r="V1915" t="s">
        <v>11283</v>
      </c>
      <c r="W1915" t="s">
        <v>1652</v>
      </c>
      <c r="X1915" t="s">
        <v>11284</v>
      </c>
      <c r="Y1915" t="s">
        <v>4658</v>
      </c>
      <c r="Z1915" t="s">
        <v>958</v>
      </c>
      <c r="AA1915" t="s">
        <v>4659</v>
      </c>
      <c r="AB1915" t="s">
        <v>11285</v>
      </c>
      <c r="AE1915">
        <v>-46.402436389999998</v>
      </c>
      <c r="AF1915">
        <v>168.34289465000001</v>
      </c>
      <c r="AG1915">
        <v>80</v>
      </c>
      <c r="AH1915">
        <v>29</v>
      </c>
      <c r="AI1915">
        <v>4</v>
      </c>
      <c r="AJ1915">
        <v>17</v>
      </c>
      <c r="AK1915">
        <v>29</v>
      </c>
      <c r="AL1915">
        <v>22</v>
      </c>
      <c r="AM1915">
        <v>20</v>
      </c>
      <c r="AN1915">
        <v>0</v>
      </c>
      <c r="AO1915">
        <v>92</v>
      </c>
      <c r="AP1915">
        <v>83</v>
      </c>
      <c r="AQ1915">
        <v>18</v>
      </c>
      <c r="AR1915">
        <v>5</v>
      </c>
      <c r="AS1915">
        <v>9</v>
      </c>
      <c r="AT1915">
        <v>1</v>
      </c>
    </row>
    <row r="1916" spans="1:46">
      <c r="A1916">
        <v>45329</v>
      </c>
      <c r="B1916" t="s">
        <v>11286</v>
      </c>
      <c r="C1916" t="s">
        <v>11287</v>
      </c>
      <c r="D1916" t="s">
        <v>11288</v>
      </c>
      <c r="E1916" t="s">
        <v>11289</v>
      </c>
      <c r="G1916" t="s">
        <v>11290</v>
      </c>
      <c r="H1916" t="s">
        <v>3942</v>
      </c>
      <c r="J1916" t="s">
        <v>3962</v>
      </c>
      <c r="K1916" t="s">
        <v>519</v>
      </c>
      <c r="M1916" t="s">
        <v>2287</v>
      </c>
      <c r="N1916" t="s">
        <v>571</v>
      </c>
      <c r="O1916" t="s">
        <v>2868</v>
      </c>
      <c r="P1916" t="s">
        <v>572</v>
      </c>
      <c r="Q1916" t="s">
        <v>2869</v>
      </c>
      <c r="R1916" t="s">
        <v>2824</v>
      </c>
      <c r="S1916" t="s">
        <v>2870</v>
      </c>
      <c r="T1916" t="s">
        <v>2448</v>
      </c>
      <c r="U1916">
        <v>301601</v>
      </c>
      <c r="V1916" t="s">
        <v>11291</v>
      </c>
      <c r="W1916" t="s">
        <v>11292</v>
      </c>
      <c r="X1916" t="s">
        <v>11293</v>
      </c>
      <c r="Y1916" t="s">
        <v>11294</v>
      </c>
      <c r="AA1916" t="s">
        <v>11295</v>
      </c>
      <c r="AB1916" t="s">
        <v>11287</v>
      </c>
      <c r="AC1916">
        <v>99115</v>
      </c>
      <c r="AD1916" t="s">
        <v>2873</v>
      </c>
      <c r="AE1916">
        <v>-41.231841170000003</v>
      </c>
      <c r="AF1916">
        <v>173.00913775000001</v>
      </c>
      <c r="AG1916">
        <v>25</v>
      </c>
      <c r="AH1916">
        <v>0</v>
      </c>
      <c r="AI1916">
        <v>0</v>
      </c>
      <c r="AJ1916">
        <v>0</v>
      </c>
      <c r="AK1916">
        <v>2</v>
      </c>
      <c r="AL1916">
        <v>10</v>
      </c>
      <c r="AM1916">
        <v>6</v>
      </c>
      <c r="AN1916">
        <v>1</v>
      </c>
      <c r="AO1916">
        <v>19</v>
      </c>
      <c r="AP1916">
        <v>16</v>
      </c>
      <c r="AQ1916">
        <v>4</v>
      </c>
      <c r="AR1916">
        <v>0</v>
      </c>
      <c r="AS1916">
        <v>1</v>
      </c>
      <c r="AT1916">
        <v>2</v>
      </c>
    </row>
    <row r="1917" spans="1:46">
      <c r="A1917">
        <v>45331</v>
      </c>
      <c r="B1917" t="s">
        <v>11296</v>
      </c>
      <c r="C1917" t="s">
        <v>10455</v>
      </c>
      <c r="D1917" t="s">
        <v>10456</v>
      </c>
      <c r="E1917" t="s">
        <v>4715</v>
      </c>
      <c r="F1917" t="s">
        <v>3770</v>
      </c>
      <c r="G1917" t="s">
        <v>1598</v>
      </c>
      <c r="H1917" t="s">
        <v>4716</v>
      </c>
      <c r="J1917" t="s">
        <v>3962</v>
      </c>
      <c r="K1917" t="s">
        <v>519</v>
      </c>
      <c r="M1917" t="s">
        <v>1297</v>
      </c>
      <c r="N1917" t="s">
        <v>571</v>
      </c>
      <c r="O1917" t="s">
        <v>1698</v>
      </c>
      <c r="P1917" t="s">
        <v>654</v>
      </c>
      <c r="Q1917" t="s">
        <v>1471</v>
      </c>
      <c r="R1917" t="s">
        <v>1300</v>
      </c>
      <c r="S1917" t="s">
        <v>1699</v>
      </c>
      <c r="T1917" t="s">
        <v>1474</v>
      </c>
      <c r="U1917">
        <v>197000</v>
      </c>
      <c r="V1917" t="s">
        <v>4717</v>
      </c>
      <c r="W1917" t="s">
        <v>1701</v>
      </c>
      <c r="X1917" t="s">
        <v>11297</v>
      </c>
      <c r="Y1917" t="s">
        <v>4715</v>
      </c>
      <c r="Z1917" t="s">
        <v>3770</v>
      </c>
      <c r="AA1917" t="s">
        <v>4719</v>
      </c>
      <c r="AE1917">
        <v>-37.69709237</v>
      </c>
      <c r="AF1917">
        <v>176.26228123000001</v>
      </c>
      <c r="AG1917">
        <v>50</v>
      </c>
      <c r="AH1917">
        <v>50</v>
      </c>
      <c r="AI1917">
        <v>0</v>
      </c>
      <c r="AJ1917">
        <v>0</v>
      </c>
      <c r="AK1917">
        <v>4</v>
      </c>
      <c r="AL1917">
        <v>5</v>
      </c>
      <c r="AM1917">
        <v>8</v>
      </c>
      <c r="AN1917">
        <v>0</v>
      </c>
      <c r="AO1917">
        <v>17</v>
      </c>
      <c r="AP1917">
        <v>6</v>
      </c>
      <c r="AQ1917">
        <v>11</v>
      </c>
      <c r="AR1917">
        <v>1</v>
      </c>
      <c r="AS1917">
        <v>0</v>
      </c>
      <c r="AT1917">
        <v>0</v>
      </c>
    </row>
    <row r="1918" spans="1:46">
      <c r="A1918">
        <v>45332</v>
      </c>
      <c r="B1918" t="s">
        <v>11298</v>
      </c>
      <c r="C1918" t="s">
        <v>11299</v>
      </c>
      <c r="E1918" t="s">
        <v>11300</v>
      </c>
      <c r="F1918" t="s">
        <v>3706</v>
      </c>
      <c r="G1918" t="s">
        <v>4326</v>
      </c>
      <c r="H1918" t="s">
        <v>3942</v>
      </c>
      <c r="J1918" t="s">
        <v>3962</v>
      </c>
      <c r="K1918" t="s">
        <v>519</v>
      </c>
      <c r="M1918" t="s">
        <v>520</v>
      </c>
      <c r="N1918" t="s">
        <v>571</v>
      </c>
      <c r="O1918" t="s">
        <v>1168</v>
      </c>
      <c r="P1918" t="s">
        <v>654</v>
      </c>
      <c r="Q1918" t="s">
        <v>638</v>
      </c>
      <c r="R1918" t="s">
        <v>639</v>
      </c>
      <c r="S1918" t="s">
        <v>655</v>
      </c>
      <c r="T1918" t="s">
        <v>527</v>
      </c>
      <c r="U1918">
        <v>117300</v>
      </c>
      <c r="V1918" t="s">
        <v>5703</v>
      </c>
      <c r="W1918" t="s">
        <v>657</v>
      </c>
      <c r="X1918" t="s">
        <v>11301</v>
      </c>
      <c r="Y1918" t="s">
        <v>11302</v>
      </c>
      <c r="Z1918" t="s">
        <v>3706</v>
      </c>
      <c r="AA1918" t="s">
        <v>6270</v>
      </c>
      <c r="AB1918" t="s">
        <v>11303</v>
      </c>
      <c r="AE1918">
        <v>-36.723524490000003</v>
      </c>
      <c r="AF1918">
        <v>174.6947169</v>
      </c>
      <c r="AG1918">
        <v>47</v>
      </c>
      <c r="AH1918">
        <v>15</v>
      </c>
      <c r="AI1918">
        <v>1</v>
      </c>
      <c r="AJ1918">
        <v>5</v>
      </c>
      <c r="AK1918">
        <v>9</v>
      </c>
      <c r="AL1918">
        <v>11</v>
      </c>
      <c r="AM1918">
        <v>13</v>
      </c>
      <c r="AN1918">
        <v>4</v>
      </c>
      <c r="AO1918">
        <v>43</v>
      </c>
      <c r="AP1918">
        <v>24</v>
      </c>
      <c r="AQ1918">
        <v>0</v>
      </c>
      <c r="AR1918">
        <v>2</v>
      </c>
      <c r="AS1918">
        <v>19</v>
      </c>
      <c r="AT1918">
        <v>0</v>
      </c>
    </row>
    <row r="1919" spans="1:46">
      <c r="A1919">
        <v>45335</v>
      </c>
      <c r="B1919" t="s">
        <v>11304</v>
      </c>
      <c r="C1919" t="s">
        <v>11305</v>
      </c>
      <c r="E1919" t="s">
        <v>11306</v>
      </c>
      <c r="F1919" t="s">
        <v>11307</v>
      </c>
      <c r="G1919" t="s">
        <v>1757</v>
      </c>
      <c r="H1919" t="s">
        <v>3942</v>
      </c>
      <c r="J1919" t="s">
        <v>518</v>
      </c>
      <c r="K1919" t="s">
        <v>519</v>
      </c>
      <c r="M1919" t="s">
        <v>1297</v>
      </c>
      <c r="N1919" t="s">
        <v>571</v>
      </c>
      <c r="O1919" t="s">
        <v>1758</v>
      </c>
      <c r="P1919" t="s">
        <v>584</v>
      </c>
      <c r="Q1919" t="s">
        <v>1759</v>
      </c>
      <c r="R1919" t="s">
        <v>1760</v>
      </c>
      <c r="S1919" t="s">
        <v>1757</v>
      </c>
      <c r="T1919" t="s">
        <v>1485</v>
      </c>
      <c r="U1919">
        <v>218100</v>
      </c>
      <c r="V1919" t="s">
        <v>1804</v>
      </c>
      <c r="W1919" t="s">
        <v>1762</v>
      </c>
      <c r="X1919" t="s">
        <v>10362</v>
      </c>
      <c r="Y1919" t="s">
        <v>3944</v>
      </c>
      <c r="Z1919" t="s">
        <v>3945</v>
      </c>
      <c r="AA1919" t="s">
        <v>3946</v>
      </c>
      <c r="AE1919">
        <v>-39.05835931</v>
      </c>
      <c r="AF1919">
        <v>174.09782519000001</v>
      </c>
      <c r="AG1919">
        <v>75</v>
      </c>
      <c r="AH1919">
        <v>25</v>
      </c>
      <c r="AI1919">
        <v>0</v>
      </c>
      <c r="AJ1919">
        <v>12</v>
      </c>
      <c r="AK1919">
        <v>20</v>
      </c>
      <c r="AL1919">
        <v>29</v>
      </c>
      <c r="AM1919">
        <v>16</v>
      </c>
      <c r="AN1919">
        <v>0</v>
      </c>
      <c r="AO1919">
        <v>77</v>
      </c>
      <c r="AP1919">
        <v>52</v>
      </c>
      <c r="AQ1919">
        <v>10</v>
      </c>
      <c r="AR1919">
        <v>1</v>
      </c>
      <c r="AS1919">
        <v>22</v>
      </c>
      <c r="AT1919">
        <v>2</v>
      </c>
    </row>
    <row r="1920" spans="1:46">
      <c r="A1920">
        <v>45336</v>
      </c>
      <c r="B1920" t="s">
        <v>11308</v>
      </c>
      <c r="C1920" t="s">
        <v>11309</v>
      </c>
      <c r="D1920" t="s">
        <v>11310</v>
      </c>
      <c r="E1920" t="s">
        <v>11311</v>
      </c>
      <c r="G1920" t="s">
        <v>1857</v>
      </c>
      <c r="H1920" t="s">
        <v>3942</v>
      </c>
      <c r="J1920" t="s">
        <v>518</v>
      </c>
      <c r="K1920" t="s">
        <v>519</v>
      </c>
      <c r="M1920" t="s">
        <v>1297</v>
      </c>
      <c r="N1920" t="s">
        <v>571</v>
      </c>
      <c r="O1920" t="s">
        <v>1851</v>
      </c>
      <c r="P1920" t="s">
        <v>523</v>
      </c>
      <c r="Q1920" t="s">
        <v>1759</v>
      </c>
      <c r="R1920" t="s">
        <v>1760</v>
      </c>
      <c r="S1920" t="s">
        <v>1842</v>
      </c>
      <c r="T1920" t="s">
        <v>1485</v>
      </c>
      <c r="U1920">
        <v>221900</v>
      </c>
      <c r="V1920" t="s">
        <v>11312</v>
      </c>
      <c r="W1920" t="s">
        <v>1859</v>
      </c>
      <c r="X1920" t="s">
        <v>10362</v>
      </c>
      <c r="Y1920" t="s">
        <v>3944</v>
      </c>
      <c r="Z1920" t="s">
        <v>3945</v>
      </c>
      <c r="AA1920" t="s">
        <v>3946</v>
      </c>
      <c r="AC1920">
        <v>99167</v>
      </c>
      <c r="AD1920" t="s">
        <v>1860</v>
      </c>
      <c r="AE1920">
        <v>-39.591241330000003</v>
      </c>
      <c r="AF1920">
        <v>174.27071677999999</v>
      </c>
      <c r="AG1920">
        <v>20</v>
      </c>
      <c r="AH1920">
        <v>20</v>
      </c>
      <c r="AI1920">
        <v>3</v>
      </c>
      <c r="AJ1920">
        <v>13</v>
      </c>
      <c r="AK1920">
        <v>3</v>
      </c>
      <c r="AL1920">
        <v>1</v>
      </c>
      <c r="AM1920">
        <v>0</v>
      </c>
      <c r="AN1920">
        <v>0</v>
      </c>
      <c r="AO1920">
        <v>20</v>
      </c>
      <c r="AP1920">
        <v>14</v>
      </c>
      <c r="AQ1920">
        <v>8</v>
      </c>
      <c r="AR1920">
        <v>1</v>
      </c>
      <c r="AS1920">
        <v>2</v>
      </c>
      <c r="AT1920">
        <v>0</v>
      </c>
    </row>
    <row r="1921" spans="1:46">
      <c r="A1921">
        <v>45337</v>
      </c>
      <c r="B1921" t="s">
        <v>11313</v>
      </c>
      <c r="C1921" t="s">
        <v>11314</v>
      </c>
      <c r="D1921" t="s">
        <v>11315</v>
      </c>
      <c r="E1921" t="s">
        <v>11316</v>
      </c>
      <c r="F1921" t="s">
        <v>2021</v>
      </c>
      <c r="G1921" t="s">
        <v>1974</v>
      </c>
      <c r="H1921" t="s">
        <v>3942</v>
      </c>
      <c r="J1921" t="s">
        <v>518</v>
      </c>
      <c r="K1921" t="s">
        <v>519</v>
      </c>
      <c r="M1921" t="s">
        <v>1297</v>
      </c>
      <c r="N1921" t="s">
        <v>571</v>
      </c>
      <c r="O1921" t="s">
        <v>1956</v>
      </c>
      <c r="P1921" t="s">
        <v>584</v>
      </c>
      <c r="Q1921" t="s">
        <v>1636</v>
      </c>
      <c r="R1921" t="s">
        <v>1760</v>
      </c>
      <c r="S1921" t="s">
        <v>1974</v>
      </c>
      <c r="T1921" t="s">
        <v>1485</v>
      </c>
      <c r="U1921">
        <v>228901</v>
      </c>
      <c r="V1921" t="s">
        <v>11317</v>
      </c>
      <c r="W1921" t="s">
        <v>1957</v>
      </c>
      <c r="X1921" t="s">
        <v>10400</v>
      </c>
      <c r="Y1921" t="s">
        <v>3944</v>
      </c>
      <c r="Z1921" t="s">
        <v>3945</v>
      </c>
      <c r="AA1921" t="s">
        <v>3946</v>
      </c>
      <c r="AB1921" t="s">
        <v>10401</v>
      </c>
      <c r="AE1921">
        <v>-40.316921170000001</v>
      </c>
      <c r="AF1921">
        <v>175.6309727</v>
      </c>
      <c r="AG1921">
        <v>70</v>
      </c>
      <c r="AH1921">
        <v>20</v>
      </c>
      <c r="AI1921">
        <v>3</v>
      </c>
      <c r="AJ1921">
        <v>8</v>
      </c>
      <c r="AK1921">
        <v>17</v>
      </c>
      <c r="AL1921">
        <v>14</v>
      </c>
      <c r="AM1921">
        <v>21</v>
      </c>
      <c r="AN1921">
        <v>1</v>
      </c>
      <c r="AO1921">
        <v>64</v>
      </c>
      <c r="AP1921">
        <v>47</v>
      </c>
      <c r="AQ1921">
        <v>17</v>
      </c>
      <c r="AR1921">
        <v>2</v>
      </c>
      <c r="AS1921">
        <v>2</v>
      </c>
      <c r="AT1921">
        <v>4</v>
      </c>
    </row>
    <row r="1922" spans="1:46">
      <c r="A1922">
        <v>45340</v>
      </c>
      <c r="B1922" t="s">
        <v>11318</v>
      </c>
      <c r="C1922" t="s">
        <v>11319</v>
      </c>
      <c r="D1922" t="s">
        <v>11320</v>
      </c>
      <c r="E1922" t="s">
        <v>11321</v>
      </c>
      <c r="F1922" t="s">
        <v>4405</v>
      </c>
      <c r="G1922" t="s">
        <v>582</v>
      </c>
      <c r="H1922" t="s">
        <v>3942</v>
      </c>
      <c r="J1922" t="s">
        <v>3962</v>
      </c>
      <c r="K1922" t="s">
        <v>519</v>
      </c>
      <c r="M1922" t="s">
        <v>520</v>
      </c>
      <c r="N1922" t="s">
        <v>571</v>
      </c>
      <c r="O1922" t="s">
        <v>583</v>
      </c>
      <c r="P1922" t="s">
        <v>584</v>
      </c>
      <c r="Q1922" t="s">
        <v>524</v>
      </c>
      <c r="R1922" t="s">
        <v>525</v>
      </c>
      <c r="S1922" t="s">
        <v>585</v>
      </c>
      <c r="T1922" t="s">
        <v>527</v>
      </c>
      <c r="U1922">
        <v>107100</v>
      </c>
      <c r="V1922" t="s">
        <v>4402</v>
      </c>
      <c r="W1922" t="s">
        <v>587</v>
      </c>
      <c r="X1922" t="s">
        <v>4403</v>
      </c>
      <c r="Y1922" t="s">
        <v>4404</v>
      </c>
      <c r="Z1922" t="s">
        <v>4405</v>
      </c>
      <c r="AA1922" t="s">
        <v>4529</v>
      </c>
      <c r="AB1922" t="s">
        <v>4407</v>
      </c>
      <c r="AC1922">
        <v>99181</v>
      </c>
      <c r="AD1922" t="s">
        <v>594</v>
      </c>
      <c r="AE1922">
        <v>-35.719933339999997</v>
      </c>
      <c r="AF1922">
        <v>174.32184520999999</v>
      </c>
      <c r="AG1922">
        <v>56</v>
      </c>
      <c r="AH1922">
        <v>25</v>
      </c>
      <c r="AI1922">
        <v>2</v>
      </c>
      <c r="AJ1922">
        <v>13</v>
      </c>
      <c r="AK1922">
        <v>12</v>
      </c>
      <c r="AL1922">
        <v>9</v>
      </c>
      <c r="AM1922">
        <v>12</v>
      </c>
      <c r="AN1922">
        <v>0</v>
      </c>
      <c r="AO1922">
        <v>48</v>
      </c>
      <c r="AP1922">
        <v>35</v>
      </c>
      <c r="AQ1922">
        <v>20</v>
      </c>
      <c r="AR1922">
        <v>4</v>
      </c>
      <c r="AS1922">
        <v>6</v>
      </c>
      <c r="AT1922">
        <v>3</v>
      </c>
    </row>
    <row r="1923" spans="1:46">
      <c r="A1923">
        <v>45341</v>
      </c>
      <c r="B1923" t="s">
        <v>11322</v>
      </c>
      <c r="C1923" t="s">
        <v>11323</v>
      </c>
      <c r="E1923" t="s">
        <v>11324</v>
      </c>
      <c r="G1923" t="s">
        <v>4889</v>
      </c>
      <c r="H1923" t="s">
        <v>3942</v>
      </c>
      <c r="J1923" t="s">
        <v>3962</v>
      </c>
      <c r="K1923" t="s">
        <v>519</v>
      </c>
      <c r="M1923" t="s">
        <v>520</v>
      </c>
      <c r="N1923" t="s">
        <v>571</v>
      </c>
      <c r="O1923" t="s">
        <v>583</v>
      </c>
      <c r="P1923" t="s">
        <v>540</v>
      </c>
      <c r="Q1923" t="s">
        <v>524</v>
      </c>
      <c r="R1923" t="s">
        <v>525</v>
      </c>
      <c r="S1923" t="s">
        <v>585</v>
      </c>
      <c r="T1923" t="s">
        <v>527</v>
      </c>
      <c r="U1923">
        <v>108500</v>
      </c>
      <c r="V1923" t="s">
        <v>4890</v>
      </c>
      <c r="W1923" t="s">
        <v>4665</v>
      </c>
      <c r="X1923" t="s">
        <v>11325</v>
      </c>
      <c r="Y1923" t="s">
        <v>11326</v>
      </c>
      <c r="AA1923" t="s">
        <v>11327</v>
      </c>
      <c r="AC1923">
        <v>99180</v>
      </c>
      <c r="AD1923" t="s">
        <v>4891</v>
      </c>
      <c r="AE1923">
        <v>-35.768766890000002</v>
      </c>
      <c r="AF1923">
        <v>174.48000712999999</v>
      </c>
      <c r="AG1923">
        <v>60</v>
      </c>
      <c r="AH1923">
        <v>20</v>
      </c>
      <c r="AI1923">
        <v>1</v>
      </c>
      <c r="AJ1923">
        <v>14</v>
      </c>
      <c r="AK1923">
        <v>15</v>
      </c>
      <c r="AL1923">
        <v>18</v>
      </c>
      <c r="AM1923">
        <v>18</v>
      </c>
      <c r="AN1923">
        <v>1</v>
      </c>
      <c r="AO1923">
        <v>67</v>
      </c>
      <c r="AP1923">
        <v>61</v>
      </c>
      <c r="AQ1923">
        <v>11</v>
      </c>
      <c r="AR1923">
        <v>2</v>
      </c>
      <c r="AS1923">
        <v>2</v>
      </c>
      <c r="AT1923">
        <v>3</v>
      </c>
    </row>
    <row r="1924" spans="1:46">
      <c r="A1924">
        <v>45343</v>
      </c>
      <c r="B1924" t="s">
        <v>11328</v>
      </c>
      <c r="C1924" t="s">
        <v>11329</v>
      </c>
      <c r="E1924" t="s">
        <v>11330</v>
      </c>
      <c r="G1924" t="s">
        <v>9222</v>
      </c>
      <c r="H1924" t="s">
        <v>3942</v>
      </c>
      <c r="J1924" t="s">
        <v>3962</v>
      </c>
      <c r="K1924" t="s">
        <v>519</v>
      </c>
      <c r="M1924" t="s">
        <v>1297</v>
      </c>
      <c r="N1924" t="s">
        <v>4519</v>
      </c>
      <c r="O1924" t="s">
        <v>1319</v>
      </c>
      <c r="P1924" t="s">
        <v>540</v>
      </c>
      <c r="Q1924" t="s">
        <v>1299</v>
      </c>
      <c r="R1924" t="s">
        <v>1300</v>
      </c>
      <c r="S1924" t="s">
        <v>1417</v>
      </c>
      <c r="T1924" t="s">
        <v>1235</v>
      </c>
      <c r="U1924">
        <v>181800</v>
      </c>
      <c r="V1924" t="s">
        <v>9223</v>
      </c>
      <c r="W1924" t="s">
        <v>8964</v>
      </c>
      <c r="X1924" t="s">
        <v>11331</v>
      </c>
      <c r="Y1924" t="s">
        <v>11332</v>
      </c>
      <c r="Z1924" t="s">
        <v>9495</v>
      </c>
      <c r="AA1924" t="s">
        <v>8511</v>
      </c>
      <c r="AB1924" t="s">
        <v>11333</v>
      </c>
      <c r="AE1924">
        <v>-37.919007700000002</v>
      </c>
      <c r="AF1924">
        <v>175.30624589999999</v>
      </c>
      <c r="AG1924">
        <v>65</v>
      </c>
      <c r="AH1924">
        <v>15</v>
      </c>
      <c r="AI1924">
        <v>2</v>
      </c>
      <c r="AJ1924">
        <v>13</v>
      </c>
      <c r="AK1924">
        <v>16</v>
      </c>
      <c r="AL1924">
        <v>19</v>
      </c>
      <c r="AM1924">
        <v>29</v>
      </c>
      <c r="AN1924">
        <v>0</v>
      </c>
      <c r="AO1924">
        <v>79</v>
      </c>
      <c r="AP1924">
        <v>74</v>
      </c>
      <c r="AQ1924">
        <v>11</v>
      </c>
      <c r="AR1924">
        <v>2</v>
      </c>
      <c r="AS1924">
        <v>2</v>
      </c>
      <c r="AT1924">
        <v>2</v>
      </c>
    </row>
    <row r="1925" spans="1:46">
      <c r="A1925">
        <v>45349</v>
      </c>
      <c r="B1925" t="s">
        <v>11334</v>
      </c>
      <c r="C1925" t="s">
        <v>11335</v>
      </c>
      <c r="D1925" t="s">
        <v>11336</v>
      </c>
      <c r="E1925" t="s">
        <v>11337</v>
      </c>
      <c r="G1925" t="s">
        <v>3513</v>
      </c>
      <c r="H1925" t="s">
        <v>517</v>
      </c>
      <c r="J1925" t="s">
        <v>518</v>
      </c>
      <c r="K1925" t="s">
        <v>519</v>
      </c>
      <c r="M1925" t="s">
        <v>2287</v>
      </c>
      <c r="N1925" t="s">
        <v>571</v>
      </c>
      <c r="O1925" t="s">
        <v>3514</v>
      </c>
      <c r="P1925" t="s">
        <v>523</v>
      </c>
      <c r="Q1925" t="s">
        <v>3497</v>
      </c>
      <c r="R1925" t="s">
        <v>3338</v>
      </c>
      <c r="S1925" t="s">
        <v>3361</v>
      </c>
      <c r="T1925" t="s">
        <v>2448</v>
      </c>
      <c r="U1925">
        <v>359900</v>
      </c>
      <c r="V1925" t="s">
        <v>11338</v>
      </c>
      <c r="W1925" t="s">
        <v>3516</v>
      </c>
      <c r="X1925" t="s">
        <v>3499</v>
      </c>
      <c r="Y1925" t="s">
        <v>3500</v>
      </c>
      <c r="Z1925" t="s">
        <v>3498</v>
      </c>
      <c r="AA1925" t="s">
        <v>3501</v>
      </c>
      <c r="AB1925" t="s">
        <v>3502</v>
      </c>
      <c r="AC1925">
        <v>99055</v>
      </c>
      <c r="AD1925" t="s">
        <v>3517</v>
      </c>
      <c r="AE1925">
        <v>-46.11081137</v>
      </c>
      <c r="AF1925">
        <v>168.93245322999999</v>
      </c>
      <c r="AG1925">
        <v>40</v>
      </c>
      <c r="AH1925">
        <v>0</v>
      </c>
      <c r="AI1925">
        <v>0</v>
      </c>
      <c r="AJ1925">
        <v>0</v>
      </c>
      <c r="AK1925">
        <v>0</v>
      </c>
      <c r="AL1925">
        <v>17</v>
      </c>
      <c r="AM1925">
        <v>20</v>
      </c>
      <c r="AN1925">
        <v>0</v>
      </c>
      <c r="AO1925">
        <v>37</v>
      </c>
      <c r="AP1925">
        <v>34</v>
      </c>
      <c r="AQ1925">
        <v>3</v>
      </c>
      <c r="AR1925">
        <v>0</v>
      </c>
      <c r="AS1925">
        <v>2</v>
      </c>
      <c r="AT1925">
        <v>0</v>
      </c>
    </row>
    <row r="1926" spans="1:46">
      <c r="A1926">
        <v>45354</v>
      </c>
      <c r="B1926" t="s">
        <v>11339</v>
      </c>
      <c r="C1926" t="s">
        <v>1223</v>
      </c>
      <c r="E1926" t="s">
        <v>11340</v>
      </c>
      <c r="F1926" t="s">
        <v>1036</v>
      </c>
      <c r="G1926" t="s">
        <v>652</v>
      </c>
      <c r="H1926" t="s">
        <v>517</v>
      </c>
      <c r="J1926" t="s">
        <v>518</v>
      </c>
      <c r="K1926" t="s">
        <v>519</v>
      </c>
      <c r="M1926" t="s">
        <v>520</v>
      </c>
      <c r="N1926" t="s">
        <v>557</v>
      </c>
      <c r="O1926" t="s">
        <v>1216</v>
      </c>
      <c r="P1926" t="s">
        <v>654</v>
      </c>
      <c r="Q1926" t="s">
        <v>638</v>
      </c>
      <c r="R1926" t="s">
        <v>729</v>
      </c>
      <c r="S1926" t="s">
        <v>1217</v>
      </c>
      <c r="T1926" t="s">
        <v>709</v>
      </c>
      <c r="U1926">
        <v>161000</v>
      </c>
      <c r="V1926" t="s">
        <v>4786</v>
      </c>
      <c r="W1926" t="s">
        <v>1219</v>
      </c>
      <c r="X1926" t="s">
        <v>1220</v>
      </c>
      <c r="Y1926" t="s">
        <v>1221</v>
      </c>
      <c r="Z1926" t="s">
        <v>1217</v>
      </c>
      <c r="AA1926" t="s">
        <v>1222</v>
      </c>
      <c r="AB1926" t="s">
        <v>1223</v>
      </c>
      <c r="AC1926">
        <v>99186</v>
      </c>
      <c r="AD1926" t="s">
        <v>1224</v>
      </c>
      <c r="AE1926">
        <v>-37.017682950000001</v>
      </c>
      <c r="AF1926">
        <v>174.91952573</v>
      </c>
      <c r="AG1926">
        <v>50</v>
      </c>
      <c r="AH1926">
        <v>10</v>
      </c>
      <c r="AI1926">
        <v>0</v>
      </c>
      <c r="AJ1926">
        <v>5</v>
      </c>
      <c r="AK1926">
        <v>14</v>
      </c>
      <c r="AL1926">
        <v>14</v>
      </c>
      <c r="AM1926">
        <v>17</v>
      </c>
      <c r="AN1926">
        <v>0</v>
      </c>
      <c r="AO1926">
        <v>50</v>
      </c>
      <c r="AP1926">
        <v>10</v>
      </c>
      <c r="AQ1926">
        <v>4</v>
      </c>
      <c r="AR1926">
        <v>10</v>
      </c>
      <c r="AS1926">
        <v>33</v>
      </c>
      <c r="AT1926">
        <v>5</v>
      </c>
    </row>
    <row r="1927" spans="1:46">
      <c r="A1927">
        <v>45355</v>
      </c>
      <c r="B1927" t="s">
        <v>11341</v>
      </c>
      <c r="C1927" t="s">
        <v>11342</v>
      </c>
      <c r="D1927" t="s">
        <v>11343</v>
      </c>
      <c r="E1927" t="s">
        <v>11344</v>
      </c>
      <c r="F1927" t="s">
        <v>847</v>
      </c>
      <c r="G1927" t="s">
        <v>652</v>
      </c>
      <c r="H1927" t="s">
        <v>3942</v>
      </c>
      <c r="J1927" t="s">
        <v>3962</v>
      </c>
      <c r="K1927" t="s">
        <v>519</v>
      </c>
      <c r="M1927" t="s">
        <v>520</v>
      </c>
      <c r="N1927" t="s">
        <v>557</v>
      </c>
      <c r="O1927" t="s">
        <v>848</v>
      </c>
      <c r="P1927" t="s">
        <v>654</v>
      </c>
      <c r="Q1927" t="s">
        <v>638</v>
      </c>
      <c r="R1927" t="s">
        <v>729</v>
      </c>
      <c r="S1927" t="s">
        <v>849</v>
      </c>
      <c r="T1927" t="s">
        <v>709</v>
      </c>
      <c r="U1927">
        <v>147500</v>
      </c>
      <c r="V1927" t="s">
        <v>7575</v>
      </c>
      <c r="W1927" t="s">
        <v>732</v>
      </c>
      <c r="X1927" t="s">
        <v>11345</v>
      </c>
      <c r="Y1927" t="s">
        <v>11346</v>
      </c>
      <c r="Z1927" t="s">
        <v>1217</v>
      </c>
      <c r="AA1927" t="s">
        <v>9503</v>
      </c>
      <c r="AB1927" t="s">
        <v>11342</v>
      </c>
      <c r="AC1927">
        <v>99190</v>
      </c>
      <c r="AD1927" t="s">
        <v>831</v>
      </c>
      <c r="AE1927">
        <v>-36.955688690000002</v>
      </c>
      <c r="AF1927">
        <v>174.78471125999999</v>
      </c>
      <c r="AG1927">
        <v>35</v>
      </c>
      <c r="AH1927">
        <v>10</v>
      </c>
      <c r="AI1927">
        <v>1</v>
      </c>
      <c r="AJ1927">
        <v>6</v>
      </c>
      <c r="AK1927">
        <v>5</v>
      </c>
      <c r="AL1927">
        <v>13</v>
      </c>
      <c r="AM1927">
        <v>8</v>
      </c>
      <c r="AN1927">
        <v>1</v>
      </c>
      <c r="AO1927">
        <v>34</v>
      </c>
      <c r="AP1927">
        <v>16</v>
      </c>
      <c r="AQ1927">
        <v>9</v>
      </c>
      <c r="AR1927">
        <v>17</v>
      </c>
      <c r="AS1927">
        <v>7</v>
      </c>
      <c r="AT1927">
        <v>1</v>
      </c>
    </row>
    <row r="1928" spans="1:46">
      <c r="A1928">
        <v>45356</v>
      </c>
      <c r="B1928" t="s">
        <v>11347</v>
      </c>
      <c r="C1928" t="s">
        <v>11348</v>
      </c>
      <c r="D1928" t="s">
        <v>11349</v>
      </c>
      <c r="E1928" t="s">
        <v>11350</v>
      </c>
      <c r="G1928" t="s">
        <v>11351</v>
      </c>
      <c r="H1928" t="s">
        <v>3942</v>
      </c>
      <c r="J1928" t="s">
        <v>3962</v>
      </c>
      <c r="K1928" t="s">
        <v>519</v>
      </c>
      <c r="M1928" t="s">
        <v>2287</v>
      </c>
      <c r="N1928" t="s">
        <v>571</v>
      </c>
      <c r="O1928" t="s">
        <v>2964</v>
      </c>
      <c r="P1928" t="s">
        <v>572</v>
      </c>
      <c r="Q1928" t="s">
        <v>2943</v>
      </c>
      <c r="R1928" t="s">
        <v>2944</v>
      </c>
      <c r="S1928" t="s">
        <v>2825</v>
      </c>
      <c r="T1928" t="s">
        <v>2448</v>
      </c>
      <c r="U1928">
        <v>313400</v>
      </c>
      <c r="V1928" t="s">
        <v>11351</v>
      </c>
      <c r="W1928" t="s">
        <v>2967</v>
      </c>
      <c r="X1928" t="s">
        <v>11352</v>
      </c>
      <c r="Y1928" t="s">
        <v>11350</v>
      </c>
      <c r="AA1928" t="s">
        <v>11353</v>
      </c>
      <c r="AC1928">
        <v>99077</v>
      </c>
      <c r="AD1928" t="s">
        <v>2968</v>
      </c>
      <c r="AE1928">
        <v>-43.250184670000003</v>
      </c>
      <c r="AF1928">
        <v>172.53113714</v>
      </c>
      <c r="AG1928">
        <v>62</v>
      </c>
      <c r="AH1928">
        <v>12</v>
      </c>
      <c r="AI1928">
        <v>3</v>
      </c>
      <c r="AJ1928">
        <v>8</v>
      </c>
      <c r="AK1928">
        <v>12</v>
      </c>
      <c r="AL1928">
        <v>18</v>
      </c>
      <c r="AM1928">
        <v>20</v>
      </c>
      <c r="AN1928">
        <v>1</v>
      </c>
      <c r="AO1928">
        <v>62</v>
      </c>
      <c r="AP1928">
        <v>60</v>
      </c>
      <c r="AQ1928">
        <v>10</v>
      </c>
      <c r="AR1928">
        <v>0</v>
      </c>
      <c r="AS1928">
        <v>1</v>
      </c>
      <c r="AT1928">
        <v>0</v>
      </c>
    </row>
    <row r="1929" spans="1:46">
      <c r="A1929">
        <v>45358</v>
      </c>
      <c r="B1929" t="s">
        <v>11354</v>
      </c>
      <c r="C1929" t="s">
        <v>11355</v>
      </c>
      <c r="E1929" t="s">
        <v>11356</v>
      </c>
      <c r="G1929" t="s">
        <v>516</v>
      </c>
      <c r="H1929" t="s">
        <v>343</v>
      </c>
      <c r="J1929" t="s">
        <v>518</v>
      </c>
      <c r="K1929" t="s">
        <v>519</v>
      </c>
      <c r="L1929" t="s">
        <v>4205</v>
      </c>
      <c r="M1929" t="s">
        <v>520</v>
      </c>
      <c r="N1929" t="s">
        <v>727</v>
      </c>
      <c r="O1929" t="s">
        <v>522</v>
      </c>
      <c r="P1929" t="s">
        <v>572</v>
      </c>
      <c r="Q1929" t="s">
        <v>524</v>
      </c>
      <c r="R1929" t="s">
        <v>525</v>
      </c>
      <c r="S1929" t="s">
        <v>526</v>
      </c>
      <c r="T1929" t="s">
        <v>527</v>
      </c>
      <c r="U1929">
        <v>100900</v>
      </c>
      <c r="V1929" t="s">
        <v>5559</v>
      </c>
      <c r="W1929" t="s">
        <v>529</v>
      </c>
      <c r="X1929" t="s">
        <v>4453</v>
      </c>
      <c r="Y1929" t="s">
        <v>4208</v>
      </c>
      <c r="Z1929" t="s">
        <v>4209</v>
      </c>
      <c r="AA1929" t="s">
        <v>4210</v>
      </c>
      <c r="AB1929" t="s">
        <v>4454</v>
      </c>
      <c r="AE1929">
        <v>-35.070237630000001</v>
      </c>
      <c r="AF1929">
        <v>173.28968703999999</v>
      </c>
      <c r="AG1929">
        <v>40</v>
      </c>
      <c r="AH1929">
        <v>10</v>
      </c>
      <c r="AI1929">
        <v>4</v>
      </c>
      <c r="AJ1929">
        <v>4</v>
      </c>
      <c r="AK1929">
        <v>7</v>
      </c>
      <c r="AL1929">
        <v>4</v>
      </c>
      <c r="AM1929">
        <v>4</v>
      </c>
      <c r="AN1929">
        <v>0</v>
      </c>
      <c r="AO1929">
        <v>23</v>
      </c>
      <c r="AP1929">
        <v>0</v>
      </c>
      <c r="AQ1929">
        <v>23</v>
      </c>
      <c r="AR1929">
        <v>0</v>
      </c>
      <c r="AS1929">
        <v>0</v>
      </c>
      <c r="AT1929">
        <v>0</v>
      </c>
    </row>
    <row r="1930" spans="1:46">
      <c r="A1930">
        <v>45360</v>
      </c>
      <c r="B1930" t="s">
        <v>11357</v>
      </c>
      <c r="C1930" t="s">
        <v>11358</v>
      </c>
      <c r="D1930" t="s">
        <v>11359</v>
      </c>
      <c r="E1930" t="s">
        <v>11360</v>
      </c>
      <c r="F1930" t="s">
        <v>8472</v>
      </c>
      <c r="G1930" t="s">
        <v>1598</v>
      </c>
      <c r="H1930" t="s">
        <v>3942</v>
      </c>
      <c r="J1930" t="s">
        <v>3962</v>
      </c>
      <c r="K1930" t="s">
        <v>519</v>
      </c>
      <c r="M1930" t="s">
        <v>1297</v>
      </c>
      <c r="N1930" t="s">
        <v>571</v>
      </c>
      <c r="O1930" t="s">
        <v>1698</v>
      </c>
      <c r="P1930" t="s">
        <v>654</v>
      </c>
      <c r="Q1930" t="s">
        <v>1471</v>
      </c>
      <c r="R1930" t="s">
        <v>1472</v>
      </c>
      <c r="S1930" t="s">
        <v>1598</v>
      </c>
      <c r="T1930" t="s">
        <v>1474</v>
      </c>
      <c r="U1930">
        <v>193000</v>
      </c>
      <c r="V1930" t="s">
        <v>10130</v>
      </c>
      <c r="W1930" t="s">
        <v>1709</v>
      </c>
      <c r="X1930" t="s">
        <v>11361</v>
      </c>
      <c r="Y1930" t="s">
        <v>11362</v>
      </c>
      <c r="Z1930" t="s">
        <v>8472</v>
      </c>
      <c r="AA1930" t="s">
        <v>10729</v>
      </c>
      <c r="AB1930" t="s">
        <v>11363</v>
      </c>
      <c r="AC1930">
        <v>99036</v>
      </c>
      <c r="AD1930" t="s">
        <v>1710</v>
      </c>
      <c r="AE1930">
        <v>-37.696202929999998</v>
      </c>
      <c r="AF1930">
        <v>176.10980812</v>
      </c>
      <c r="AG1930">
        <v>117</v>
      </c>
      <c r="AH1930">
        <v>25</v>
      </c>
      <c r="AI1930">
        <v>1</v>
      </c>
      <c r="AJ1930">
        <v>22</v>
      </c>
      <c r="AK1930">
        <v>15</v>
      </c>
      <c r="AL1930">
        <v>22</v>
      </c>
      <c r="AM1930">
        <v>22</v>
      </c>
      <c r="AN1930">
        <v>2</v>
      </c>
      <c r="AO1930">
        <v>84</v>
      </c>
      <c r="AP1930">
        <v>68</v>
      </c>
      <c r="AQ1930">
        <v>19</v>
      </c>
      <c r="AR1930">
        <v>3</v>
      </c>
      <c r="AS1930">
        <v>7</v>
      </c>
      <c r="AT1930">
        <v>4</v>
      </c>
    </row>
    <row r="1931" spans="1:46">
      <c r="A1931">
        <v>45364</v>
      </c>
      <c r="B1931" t="s">
        <v>11364</v>
      </c>
      <c r="C1931" t="s">
        <v>11365</v>
      </c>
      <c r="D1931" t="s">
        <v>11366</v>
      </c>
      <c r="E1931" t="s">
        <v>11367</v>
      </c>
      <c r="F1931" t="s">
        <v>1313</v>
      </c>
      <c r="G1931" t="s">
        <v>1296</v>
      </c>
      <c r="H1931" t="s">
        <v>4716</v>
      </c>
      <c r="J1931" t="s">
        <v>3962</v>
      </c>
      <c r="K1931" t="s">
        <v>519</v>
      </c>
      <c r="M1931" t="s">
        <v>1297</v>
      </c>
      <c r="N1931" t="s">
        <v>571</v>
      </c>
      <c r="O1931" t="s">
        <v>1298</v>
      </c>
      <c r="P1931" t="s">
        <v>654</v>
      </c>
      <c r="Q1931" t="s">
        <v>1299</v>
      </c>
      <c r="R1931" t="s">
        <v>1300</v>
      </c>
      <c r="S1931" t="s">
        <v>1312</v>
      </c>
      <c r="T1931" t="s">
        <v>1235</v>
      </c>
      <c r="U1931">
        <v>178400</v>
      </c>
      <c r="V1931" t="s">
        <v>1375</v>
      </c>
      <c r="W1931" t="s">
        <v>1314</v>
      </c>
      <c r="X1931" t="s">
        <v>11368</v>
      </c>
      <c r="Y1931" t="s">
        <v>11369</v>
      </c>
      <c r="Z1931" t="s">
        <v>1313</v>
      </c>
      <c r="AA1931" t="s">
        <v>9370</v>
      </c>
      <c r="AE1931">
        <v>-37.762298719999997</v>
      </c>
      <c r="AF1931">
        <v>175.29048950000001</v>
      </c>
      <c r="AG1931">
        <v>80</v>
      </c>
      <c r="AH1931">
        <v>80</v>
      </c>
      <c r="AI1931">
        <v>8</v>
      </c>
      <c r="AJ1931">
        <v>11</v>
      </c>
      <c r="AK1931">
        <v>10</v>
      </c>
      <c r="AL1931">
        <v>7</v>
      </c>
      <c r="AM1931">
        <v>2</v>
      </c>
      <c r="AN1931">
        <v>0</v>
      </c>
      <c r="AO1931">
        <v>38</v>
      </c>
      <c r="AP1931">
        <v>35</v>
      </c>
      <c r="AQ1931">
        <v>4</v>
      </c>
      <c r="AR1931">
        <v>0</v>
      </c>
      <c r="AS1931">
        <v>7</v>
      </c>
      <c r="AT1931">
        <v>3</v>
      </c>
    </row>
    <row r="1932" spans="1:46">
      <c r="A1932">
        <v>45367</v>
      </c>
      <c r="B1932" t="s">
        <v>11370</v>
      </c>
      <c r="C1932" t="s">
        <v>11371</v>
      </c>
      <c r="D1932" t="s">
        <v>11372</v>
      </c>
      <c r="E1932" t="s">
        <v>11373</v>
      </c>
      <c r="F1932" t="s">
        <v>726</v>
      </c>
      <c r="G1932" t="s">
        <v>652</v>
      </c>
      <c r="H1932" t="s">
        <v>3942</v>
      </c>
      <c r="J1932" t="s">
        <v>518</v>
      </c>
      <c r="K1932" t="s">
        <v>519</v>
      </c>
      <c r="M1932" t="s">
        <v>520</v>
      </c>
      <c r="N1932" t="s">
        <v>727</v>
      </c>
      <c r="O1932" t="s">
        <v>728</v>
      </c>
      <c r="P1932" t="s">
        <v>654</v>
      </c>
      <c r="Q1932" t="s">
        <v>638</v>
      </c>
      <c r="R1932" t="s">
        <v>729</v>
      </c>
      <c r="S1932" t="s">
        <v>730</v>
      </c>
      <c r="T1932" t="s">
        <v>709</v>
      </c>
      <c r="U1932">
        <v>154400</v>
      </c>
      <c r="V1932" t="s">
        <v>7351</v>
      </c>
      <c r="W1932" t="s">
        <v>732</v>
      </c>
      <c r="X1932" t="s">
        <v>11374</v>
      </c>
      <c r="Y1932" t="s">
        <v>6369</v>
      </c>
      <c r="Z1932" t="s">
        <v>4555</v>
      </c>
      <c r="AA1932" t="s">
        <v>4556</v>
      </c>
      <c r="AB1932" t="s">
        <v>11371</v>
      </c>
      <c r="AC1932">
        <v>99199</v>
      </c>
      <c r="AD1932" t="s">
        <v>8045</v>
      </c>
      <c r="AE1932">
        <v>-36.951199340000002</v>
      </c>
      <c r="AF1932">
        <v>174.87924971000001</v>
      </c>
      <c r="AG1932">
        <v>55</v>
      </c>
      <c r="AH1932">
        <v>16</v>
      </c>
      <c r="AI1932">
        <v>0</v>
      </c>
      <c r="AJ1932">
        <v>4</v>
      </c>
      <c r="AK1932">
        <v>15</v>
      </c>
      <c r="AL1932">
        <v>10</v>
      </c>
      <c r="AM1932">
        <v>10</v>
      </c>
      <c r="AN1932">
        <v>0</v>
      </c>
      <c r="AO1932">
        <v>39</v>
      </c>
      <c r="AP1932">
        <v>9</v>
      </c>
      <c r="AQ1932">
        <v>14</v>
      </c>
      <c r="AR1932">
        <v>34</v>
      </c>
      <c r="AS1932">
        <v>2</v>
      </c>
      <c r="AT1932">
        <v>0</v>
      </c>
    </row>
    <row r="1933" spans="1:46">
      <c r="A1933">
        <v>45371</v>
      </c>
      <c r="B1933" t="s">
        <v>11375</v>
      </c>
      <c r="C1933" t="s">
        <v>11376</v>
      </c>
      <c r="D1933" t="s">
        <v>11377</v>
      </c>
      <c r="E1933" t="s">
        <v>11378</v>
      </c>
      <c r="F1933" t="s">
        <v>3216</v>
      </c>
      <c r="G1933" t="s">
        <v>3217</v>
      </c>
      <c r="H1933" t="s">
        <v>3942</v>
      </c>
      <c r="J1933" t="s">
        <v>3962</v>
      </c>
      <c r="K1933" t="s">
        <v>519</v>
      </c>
      <c r="M1933" t="s">
        <v>2287</v>
      </c>
      <c r="N1933" t="s">
        <v>571</v>
      </c>
      <c r="O1933" t="s">
        <v>3218</v>
      </c>
      <c r="P1933" t="s">
        <v>1262</v>
      </c>
      <c r="Q1933" t="s">
        <v>2943</v>
      </c>
      <c r="R1933" t="s">
        <v>2944</v>
      </c>
      <c r="S1933" t="s">
        <v>3219</v>
      </c>
      <c r="T1933" t="s">
        <v>2448</v>
      </c>
      <c r="U1933">
        <v>337800</v>
      </c>
      <c r="V1933" t="s">
        <v>3243</v>
      </c>
      <c r="W1933" t="s">
        <v>3221</v>
      </c>
      <c r="X1933" t="s">
        <v>11379</v>
      </c>
      <c r="Y1933" t="s">
        <v>11378</v>
      </c>
      <c r="Z1933" t="s">
        <v>3216</v>
      </c>
      <c r="AA1933" t="s">
        <v>3224</v>
      </c>
      <c r="AB1933" t="s">
        <v>11380</v>
      </c>
      <c r="AC1933">
        <v>99043</v>
      </c>
      <c r="AD1933" t="s">
        <v>3226</v>
      </c>
      <c r="AE1933">
        <v>-43.890746829999998</v>
      </c>
      <c r="AF1933">
        <v>171.75342325</v>
      </c>
      <c r="AG1933">
        <v>45</v>
      </c>
      <c r="AH1933">
        <v>12</v>
      </c>
      <c r="AI1933">
        <v>2</v>
      </c>
      <c r="AJ1933">
        <v>10</v>
      </c>
      <c r="AK1933">
        <v>13</v>
      </c>
      <c r="AL1933">
        <v>11</v>
      </c>
      <c r="AM1933">
        <v>17</v>
      </c>
      <c r="AN1933">
        <v>0</v>
      </c>
      <c r="AO1933">
        <v>53</v>
      </c>
      <c r="AP1933">
        <v>35</v>
      </c>
      <c r="AQ1933">
        <v>8</v>
      </c>
      <c r="AR1933">
        <v>5</v>
      </c>
      <c r="AS1933">
        <v>12</v>
      </c>
      <c r="AT1933">
        <v>1</v>
      </c>
    </row>
    <row r="1934" spans="1:46">
      <c r="A1934">
        <v>45373</v>
      </c>
      <c r="B1934" t="s">
        <v>11381</v>
      </c>
      <c r="C1934" t="s">
        <v>11382</v>
      </c>
      <c r="D1934" t="s">
        <v>11383</v>
      </c>
      <c r="E1934" t="s">
        <v>11384</v>
      </c>
      <c r="F1934" t="s">
        <v>1023</v>
      </c>
      <c r="G1934" t="s">
        <v>652</v>
      </c>
      <c r="H1934" t="s">
        <v>3942</v>
      </c>
      <c r="J1934" t="s">
        <v>518</v>
      </c>
      <c r="K1934" t="s">
        <v>519</v>
      </c>
      <c r="M1934" t="s">
        <v>520</v>
      </c>
      <c r="N1934" t="s">
        <v>557</v>
      </c>
      <c r="O1934" t="s">
        <v>912</v>
      </c>
      <c r="P1934" t="s">
        <v>654</v>
      </c>
      <c r="Q1934" t="s">
        <v>638</v>
      </c>
      <c r="R1934" t="s">
        <v>708</v>
      </c>
      <c r="S1934" t="s">
        <v>913</v>
      </c>
      <c r="T1934" t="s">
        <v>709</v>
      </c>
      <c r="U1934">
        <v>138800</v>
      </c>
      <c r="V1934" t="s">
        <v>11385</v>
      </c>
      <c r="W1934" t="s">
        <v>860</v>
      </c>
      <c r="X1934" t="s">
        <v>3943</v>
      </c>
      <c r="Y1934" t="s">
        <v>3944</v>
      </c>
      <c r="Z1934" t="s">
        <v>3945</v>
      </c>
      <c r="AA1934" t="s">
        <v>3946</v>
      </c>
      <c r="AB1934" t="s">
        <v>3947</v>
      </c>
      <c r="AE1934">
        <v>-36.905927210000002</v>
      </c>
      <c r="AF1934">
        <v>174.72971715</v>
      </c>
      <c r="AG1934">
        <v>98</v>
      </c>
      <c r="AH1934">
        <v>12</v>
      </c>
      <c r="AI1934">
        <v>2</v>
      </c>
      <c r="AJ1934">
        <v>6</v>
      </c>
      <c r="AK1934">
        <v>24</v>
      </c>
      <c r="AL1934">
        <v>29</v>
      </c>
      <c r="AM1934">
        <v>16</v>
      </c>
      <c r="AN1934">
        <v>1</v>
      </c>
      <c r="AO1934">
        <v>78</v>
      </c>
      <c r="AP1934">
        <v>2</v>
      </c>
      <c r="AQ1934">
        <v>5</v>
      </c>
      <c r="AR1934">
        <v>8</v>
      </c>
      <c r="AS1934">
        <v>57</v>
      </c>
      <c r="AT1934">
        <v>12</v>
      </c>
    </row>
    <row r="1935" spans="1:46">
      <c r="A1935">
        <v>45380</v>
      </c>
      <c r="B1935" t="s">
        <v>11386</v>
      </c>
      <c r="C1935" t="s">
        <v>11387</v>
      </c>
      <c r="D1935" t="s">
        <v>11388</v>
      </c>
      <c r="E1935" t="s">
        <v>11389</v>
      </c>
      <c r="F1935" t="s">
        <v>3194</v>
      </c>
      <c r="G1935" t="s">
        <v>2941</v>
      </c>
      <c r="H1935" t="s">
        <v>3942</v>
      </c>
      <c r="J1935" t="s">
        <v>3962</v>
      </c>
      <c r="K1935" t="s">
        <v>519</v>
      </c>
      <c r="M1935" t="s">
        <v>2287</v>
      </c>
      <c r="N1935" t="s">
        <v>571</v>
      </c>
      <c r="O1935" t="s">
        <v>2942</v>
      </c>
      <c r="P1935" t="s">
        <v>654</v>
      </c>
      <c r="Q1935" t="s">
        <v>2943</v>
      </c>
      <c r="R1935" t="s">
        <v>2944</v>
      </c>
      <c r="S1935" t="s">
        <v>3019</v>
      </c>
      <c r="T1935" t="s">
        <v>2448</v>
      </c>
      <c r="U1935">
        <v>322900</v>
      </c>
      <c r="V1935" t="s">
        <v>11390</v>
      </c>
      <c r="W1935" t="s">
        <v>3020</v>
      </c>
      <c r="X1935" t="s">
        <v>11391</v>
      </c>
      <c r="Y1935" t="s">
        <v>11157</v>
      </c>
      <c r="Z1935" t="s">
        <v>4405</v>
      </c>
      <c r="AA1935" t="s">
        <v>4529</v>
      </c>
      <c r="AB1935" t="s">
        <v>11392</v>
      </c>
      <c r="AE1935">
        <v>-43.561194380000003</v>
      </c>
      <c r="AF1935">
        <v>172.54857229999999</v>
      </c>
      <c r="AG1935">
        <v>78</v>
      </c>
      <c r="AH1935">
        <v>25</v>
      </c>
      <c r="AI1935">
        <v>1</v>
      </c>
      <c r="AJ1935">
        <v>8</v>
      </c>
      <c r="AK1935">
        <v>17</v>
      </c>
      <c r="AL1935">
        <v>20</v>
      </c>
      <c r="AM1935">
        <v>8</v>
      </c>
      <c r="AN1935">
        <v>1</v>
      </c>
      <c r="AO1935">
        <v>55</v>
      </c>
      <c r="AP1935">
        <v>27</v>
      </c>
      <c r="AQ1935">
        <v>12</v>
      </c>
      <c r="AR1935">
        <v>0</v>
      </c>
      <c r="AS1935">
        <v>24</v>
      </c>
      <c r="AT1935">
        <v>3</v>
      </c>
    </row>
    <row r="1936" spans="1:46">
      <c r="A1936">
        <v>45390</v>
      </c>
      <c r="B1936" t="s">
        <v>11393</v>
      </c>
      <c r="C1936" t="s">
        <v>11394</v>
      </c>
      <c r="D1936" t="s">
        <v>11395</v>
      </c>
      <c r="E1936" t="s">
        <v>11396</v>
      </c>
      <c r="G1936" t="s">
        <v>11397</v>
      </c>
      <c r="H1936" t="s">
        <v>3942</v>
      </c>
      <c r="I1936" t="s">
        <v>4065</v>
      </c>
      <c r="J1936" t="s">
        <v>3962</v>
      </c>
      <c r="K1936" t="s">
        <v>519</v>
      </c>
      <c r="M1936" t="s">
        <v>1297</v>
      </c>
      <c r="N1936" t="s">
        <v>571</v>
      </c>
      <c r="O1936" t="s">
        <v>1470</v>
      </c>
      <c r="P1936" t="s">
        <v>572</v>
      </c>
      <c r="Q1936" t="s">
        <v>1471</v>
      </c>
      <c r="R1936" t="s">
        <v>1472</v>
      </c>
      <c r="S1936" t="s">
        <v>1473</v>
      </c>
      <c r="T1936" t="s">
        <v>1474</v>
      </c>
      <c r="U1936">
        <v>203100</v>
      </c>
      <c r="V1936" t="s">
        <v>10180</v>
      </c>
      <c r="W1936" t="s">
        <v>1476</v>
      </c>
      <c r="X1936" t="s">
        <v>11398</v>
      </c>
      <c r="Y1936" t="s">
        <v>11399</v>
      </c>
      <c r="AA1936" t="s">
        <v>9957</v>
      </c>
      <c r="AB1936" t="s">
        <v>11400</v>
      </c>
      <c r="AC1936">
        <v>99016</v>
      </c>
      <c r="AD1936" t="s">
        <v>1479</v>
      </c>
      <c r="AE1936">
        <v>-37.973594589999998</v>
      </c>
      <c r="AF1936">
        <v>177.05621452</v>
      </c>
      <c r="AG1936">
        <v>40</v>
      </c>
      <c r="AH1936">
        <v>0</v>
      </c>
      <c r="AI1936">
        <v>0</v>
      </c>
      <c r="AJ1936">
        <v>0</v>
      </c>
      <c r="AK1936">
        <v>10</v>
      </c>
      <c r="AL1936">
        <v>14</v>
      </c>
      <c r="AM1936">
        <v>19</v>
      </c>
      <c r="AN1936">
        <v>3</v>
      </c>
      <c r="AO1936">
        <v>46</v>
      </c>
      <c r="AP1936">
        <v>42</v>
      </c>
      <c r="AQ1936">
        <v>12</v>
      </c>
      <c r="AR1936">
        <v>1</v>
      </c>
      <c r="AS1936">
        <v>2</v>
      </c>
      <c r="AT1936">
        <v>1</v>
      </c>
    </row>
    <row r="1937" spans="1:46">
      <c r="A1937">
        <v>45392</v>
      </c>
      <c r="B1937" t="s">
        <v>11401</v>
      </c>
      <c r="C1937" t="s">
        <v>11402</v>
      </c>
      <c r="D1937" t="s">
        <v>11403</v>
      </c>
      <c r="E1937" t="s">
        <v>11404</v>
      </c>
      <c r="G1937" t="s">
        <v>1840</v>
      </c>
      <c r="H1937" t="s">
        <v>517</v>
      </c>
      <c r="J1937" t="s">
        <v>518</v>
      </c>
      <c r="K1937" t="s">
        <v>519</v>
      </c>
      <c r="M1937" t="s">
        <v>1297</v>
      </c>
      <c r="N1937" t="s">
        <v>557</v>
      </c>
      <c r="O1937" t="s">
        <v>1841</v>
      </c>
      <c r="P1937" t="s">
        <v>523</v>
      </c>
      <c r="Q1937" t="s">
        <v>1759</v>
      </c>
      <c r="R1937" t="s">
        <v>1760</v>
      </c>
      <c r="S1937" t="s">
        <v>1842</v>
      </c>
      <c r="T1937" t="s">
        <v>1485</v>
      </c>
      <c r="U1937">
        <v>220301</v>
      </c>
      <c r="V1937" t="s">
        <v>1877</v>
      </c>
      <c r="W1937" t="s">
        <v>1844</v>
      </c>
      <c r="X1937" t="s">
        <v>1763</v>
      </c>
      <c r="Y1937" t="s">
        <v>1764</v>
      </c>
      <c r="AA1937" t="s">
        <v>1765</v>
      </c>
      <c r="AB1937" t="s">
        <v>1766</v>
      </c>
      <c r="AC1937">
        <v>99108</v>
      </c>
      <c r="AD1937" t="s">
        <v>1845</v>
      </c>
      <c r="AE1937">
        <v>-39.34070586</v>
      </c>
      <c r="AF1937">
        <v>174.29684854000001</v>
      </c>
      <c r="AG1937">
        <v>42</v>
      </c>
      <c r="AH1937">
        <v>30</v>
      </c>
      <c r="AI1937">
        <v>3</v>
      </c>
      <c r="AJ1937">
        <v>8</v>
      </c>
      <c r="AK1937">
        <v>8</v>
      </c>
      <c r="AL1937">
        <v>19</v>
      </c>
      <c r="AM1937">
        <v>11</v>
      </c>
      <c r="AN1937">
        <v>1</v>
      </c>
      <c r="AO1937">
        <v>50</v>
      </c>
      <c r="AP1937">
        <v>40</v>
      </c>
      <c r="AQ1937">
        <v>28</v>
      </c>
      <c r="AR1937">
        <v>4</v>
      </c>
      <c r="AS1937">
        <v>1</v>
      </c>
      <c r="AT1937">
        <v>0</v>
      </c>
    </row>
    <row r="1938" spans="1:46">
      <c r="A1938">
        <v>45400</v>
      </c>
      <c r="B1938" t="s">
        <v>11405</v>
      </c>
      <c r="C1938" t="s">
        <v>11406</v>
      </c>
      <c r="E1938" t="s">
        <v>11407</v>
      </c>
      <c r="F1938" t="s">
        <v>3169</v>
      </c>
      <c r="G1938" t="s">
        <v>2941</v>
      </c>
      <c r="H1938" t="s">
        <v>3942</v>
      </c>
      <c r="I1938" t="s">
        <v>4065</v>
      </c>
      <c r="J1938" t="s">
        <v>3962</v>
      </c>
      <c r="K1938" t="s">
        <v>519</v>
      </c>
      <c r="M1938" t="s">
        <v>2287</v>
      </c>
      <c r="N1938" t="s">
        <v>4519</v>
      </c>
      <c r="O1938" t="s">
        <v>2942</v>
      </c>
      <c r="P1938" t="s">
        <v>654</v>
      </c>
      <c r="Q1938" t="s">
        <v>2943</v>
      </c>
      <c r="R1938" t="s">
        <v>2944</v>
      </c>
      <c r="S1938" t="s">
        <v>2979</v>
      </c>
      <c r="T1938" t="s">
        <v>2448</v>
      </c>
      <c r="U1938">
        <v>332700</v>
      </c>
      <c r="V1938" t="s">
        <v>3169</v>
      </c>
      <c r="W1938" t="s">
        <v>3014</v>
      </c>
      <c r="X1938" t="s">
        <v>11408</v>
      </c>
      <c r="Y1938" t="s">
        <v>11409</v>
      </c>
      <c r="Z1938" t="s">
        <v>2956</v>
      </c>
      <c r="AA1938" t="s">
        <v>11410</v>
      </c>
      <c r="AB1938" t="s">
        <v>11411</v>
      </c>
      <c r="AC1938">
        <v>99196</v>
      </c>
      <c r="AD1938" t="s">
        <v>3064</v>
      </c>
      <c r="AE1938">
        <v>-43.570233780000002</v>
      </c>
      <c r="AF1938">
        <v>172.75994714000001</v>
      </c>
      <c r="AG1938">
        <v>47</v>
      </c>
      <c r="AH1938">
        <v>20</v>
      </c>
      <c r="AI1938">
        <v>5</v>
      </c>
      <c r="AJ1938">
        <v>10</v>
      </c>
      <c r="AK1938">
        <v>27</v>
      </c>
      <c r="AL1938">
        <v>6</v>
      </c>
      <c r="AM1938">
        <v>0</v>
      </c>
      <c r="AN1938">
        <v>0</v>
      </c>
      <c r="AO1938">
        <v>48</v>
      </c>
      <c r="AP1938">
        <v>45</v>
      </c>
      <c r="AQ1938">
        <v>1</v>
      </c>
      <c r="AR1938">
        <v>0</v>
      </c>
      <c r="AS1938">
        <v>2</v>
      </c>
      <c r="AT1938">
        <v>4</v>
      </c>
    </row>
    <row r="1939" spans="1:46">
      <c r="A1939">
        <v>45402</v>
      </c>
      <c r="B1939" t="s">
        <v>11412</v>
      </c>
      <c r="C1939" t="s">
        <v>11413</v>
      </c>
      <c r="D1939" t="s">
        <v>11414</v>
      </c>
      <c r="E1939" t="s">
        <v>11415</v>
      </c>
      <c r="F1939" t="s">
        <v>11416</v>
      </c>
      <c r="G1939" t="s">
        <v>2941</v>
      </c>
      <c r="H1939" t="s">
        <v>3942</v>
      </c>
      <c r="I1939" t="s">
        <v>4065</v>
      </c>
      <c r="J1939" t="s">
        <v>3962</v>
      </c>
      <c r="K1939" t="s">
        <v>519</v>
      </c>
      <c r="M1939" t="s">
        <v>2287</v>
      </c>
      <c r="N1939" t="s">
        <v>571</v>
      </c>
      <c r="O1939" t="s">
        <v>2942</v>
      </c>
      <c r="P1939" t="s">
        <v>654</v>
      </c>
      <c r="Q1939" t="s">
        <v>2943</v>
      </c>
      <c r="R1939" t="s">
        <v>2944</v>
      </c>
      <c r="S1939" t="s">
        <v>2979</v>
      </c>
      <c r="T1939" t="s">
        <v>2448</v>
      </c>
      <c r="U1939">
        <v>331900</v>
      </c>
      <c r="V1939" t="s">
        <v>11416</v>
      </c>
      <c r="W1939" t="s">
        <v>3014</v>
      </c>
      <c r="X1939" t="s">
        <v>11417</v>
      </c>
      <c r="Y1939" t="s">
        <v>11418</v>
      </c>
      <c r="Z1939" t="s">
        <v>3019</v>
      </c>
      <c r="AA1939" t="s">
        <v>11419</v>
      </c>
      <c r="AB1939" t="s">
        <v>11420</v>
      </c>
      <c r="AC1939">
        <v>99196</v>
      </c>
      <c r="AD1939" t="s">
        <v>3064</v>
      </c>
      <c r="AE1939">
        <v>-43.574848029999998</v>
      </c>
      <c r="AF1939">
        <v>172.70247455000001</v>
      </c>
      <c r="AG1939">
        <v>104</v>
      </c>
      <c r="AH1939">
        <v>21</v>
      </c>
      <c r="AI1939">
        <v>3</v>
      </c>
      <c r="AJ1939">
        <v>21</v>
      </c>
      <c r="AK1939">
        <v>29</v>
      </c>
      <c r="AL1939">
        <v>20</v>
      </c>
      <c r="AM1939">
        <v>19</v>
      </c>
      <c r="AN1939">
        <v>1</v>
      </c>
      <c r="AO1939">
        <v>93</v>
      </c>
      <c r="AP1939">
        <v>88</v>
      </c>
      <c r="AQ1939">
        <v>10</v>
      </c>
      <c r="AR1939">
        <v>1</v>
      </c>
      <c r="AS1939">
        <v>6</v>
      </c>
      <c r="AT1939">
        <v>4</v>
      </c>
    </row>
    <row r="1940" spans="1:46">
      <c r="A1940">
        <v>45405</v>
      </c>
      <c r="B1940" t="s">
        <v>11421</v>
      </c>
      <c r="C1940" t="s">
        <v>11422</v>
      </c>
      <c r="D1940" t="s">
        <v>11423</v>
      </c>
      <c r="E1940" t="s">
        <v>11424</v>
      </c>
      <c r="F1940" t="s">
        <v>755</v>
      </c>
      <c r="G1940" t="s">
        <v>652</v>
      </c>
      <c r="H1940" t="s">
        <v>298</v>
      </c>
      <c r="J1940" t="s">
        <v>518</v>
      </c>
      <c r="K1940" t="s">
        <v>519</v>
      </c>
      <c r="M1940" t="s">
        <v>520</v>
      </c>
      <c r="N1940" t="s">
        <v>571</v>
      </c>
      <c r="O1940" t="s">
        <v>738</v>
      </c>
      <c r="P1940" t="s">
        <v>654</v>
      </c>
      <c r="Q1940" t="s">
        <v>638</v>
      </c>
      <c r="R1940" t="s">
        <v>639</v>
      </c>
      <c r="S1940" t="s">
        <v>756</v>
      </c>
      <c r="T1940" t="s">
        <v>527</v>
      </c>
      <c r="U1940">
        <v>121800</v>
      </c>
      <c r="V1940" t="s">
        <v>5746</v>
      </c>
      <c r="W1940" t="s">
        <v>741</v>
      </c>
      <c r="X1940" t="s">
        <v>7094</v>
      </c>
      <c r="Y1940" t="s">
        <v>5187</v>
      </c>
      <c r="AA1940" t="s">
        <v>5188</v>
      </c>
      <c r="AE1940">
        <v>-36.793300410000001</v>
      </c>
      <c r="AF1940">
        <v>174.68705499999999</v>
      </c>
      <c r="AG1940">
        <v>26</v>
      </c>
      <c r="AH1940">
        <v>15</v>
      </c>
      <c r="AI1940">
        <v>1</v>
      </c>
      <c r="AJ1940">
        <v>4</v>
      </c>
      <c r="AK1940">
        <v>4</v>
      </c>
      <c r="AL1940">
        <v>6</v>
      </c>
      <c r="AM1940">
        <v>2</v>
      </c>
      <c r="AN1940">
        <v>0</v>
      </c>
      <c r="AO1940">
        <v>17</v>
      </c>
      <c r="AP1940">
        <v>14</v>
      </c>
      <c r="AQ1940">
        <v>2</v>
      </c>
      <c r="AR1940">
        <v>0</v>
      </c>
      <c r="AS1940">
        <v>6</v>
      </c>
      <c r="AT1940">
        <v>1</v>
      </c>
    </row>
    <row r="1941" spans="1:46">
      <c r="A1941">
        <v>45406</v>
      </c>
      <c r="B1941" t="s">
        <v>11425</v>
      </c>
      <c r="C1941" t="s">
        <v>11426</v>
      </c>
      <c r="E1941" t="s">
        <v>11427</v>
      </c>
      <c r="F1941" t="s">
        <v>3086</v>
      </c>
      <c r="G1941" t="s">
        <v>2941</v>
      </c>
      <c r="H1941" t="s">
        <v>3942</v>
      </c>
      <c r="J1941" t="s">
        <v>3962</v>
      </c>
      <c r="K1941" t="s">
        <v>519</v>
      </c>
      <c r="M1941" t="s">
        <v>2287</v>
      </c>
      <c r="N1941" t="s">
        <v>571</v>
      </c>
      <c r="O1941" t="s">
        <v>2942</v>
      </c>
      <c r="P1941" t="s">
        <v>654</v>
      </c>
      <c r="Q1941" t="s">
        <v>2943</v>
      </c>
      <c r="R1941" t="s">
        <v>2944</v>
      </c>
      <c r="S1941" t="s">
        <v>2979</v>
      </c>
      <c r="T1941" t="s">
        <v>2448</v>
      </c>
      <c r="U1941">
        <v>329500</v>
      </c>
      <c r="V1941" t="s">
        <v>11428</v>
      </c>
      <c r="W1941" t="s">
        <v>3088</v>
      </c>
      <c r="X1941" t="s">
        <v>11429</v>
      </c>
      <c r="Y1941" t="s">
        <v>11430</v>
      </c>
      <c r="AA1941" t="s">
        <v>11431</v>
      </c>
      <c r="AB1941" t="s">
        <v>11432</v>
      </c>
      <c r="AC1941">
        <v>99177</v>
      </c>
      <c r="AD1941" t="s">
        <v>2959</v>
      </c>
      <c r="AE1941">
        <v>-43.574233820000003</v>
      </c>
      <c r="AF1941">
        <v>172.61044459999999</v>
      </c>
      <c r="AG1941">
        <v>30</v>
      </c>
      <c r="AH1941">
        <v>0</v>
      </c>
      <c r="AI1941">
        <v>0</v>
      </c>
      <c r="AJ1941">
        <v>0</v>
      </c>
      <c r="AK1941">
        <v>9</v>
      </c>
      <c r="AL1941">
        <v>16</v>
      </c>
      <c r="AM1941">
        <v>14</v>
      </c>
      <c r="AN1941">
        <v>2</v>
      </c>
      <c r="AO1941">
        <v>41</v>
      </c>
      <c r="AP1941">
        <v>36</v>
      </c>
      <c r="AQ1941">
        <v>3</v>
      </c>
      <c r="AR1941">
        <v>1</v>
      </c>
      <c r="AS1941">
        <v>6</v>
      </c>
      <c r="AT1941">
        <v>1</v>
      </c>
    </row>
    <row r="1942" spans="1:46">
      <c r="A1942">
        <v>45407</v>
      </c>
      <c r="B1942" t="s">
        <v>11433</v>
      </c>
      <c r="C1942" t="s">
        <v>11434</v>
      </c>
      <c r="E1942" t="s">
        <v>11435</v>
      </c>
      <c r="F1942" t="s">
        <v>10153</v>
      </c>
      <c r="G1942" t="s">
        <v>1598</v>
      </c>
      <c r="H1942" t="s">
        <v>3942</v>
      </c>
      <c r="J1942" t="s">
        <v>3962</v>
      </c>
      <c r="K1942" t="s">
        <v>519</v>
      </c>
      <c r="M1942" t="s">
        <v>1297</v>
      </c>
      <c r="N1942" t="s">
        <v>571</v>
      </c>
      <c r="O1942" t="s">
        <v>1698</v>
      </c>
      <c r="P1942" t="s">
        <v>654</v>
      </c>
      <c r="Q1942" t="s">
        <v>1471</v>
      </c>
      <c r="R1942" t="s">
        <v>1472</v>
      </c>
      <c r="S1942" t="s">
        <v>1598</v>
      </c>
      <c r="T1942" t="s">
        <v>1474</v>
      </c>
      <c r="U1942">
        <v>193400</v>
      </c>
      <c r="V1942" t="s">
        <v>10609</v>
      </c>
      <c r="W1942" t="s">
        <v>1709</v>
      </c>
      <c r="X1942" t="s">
        <v>11436</v>
      </c>
      <c r="Y1942" t="s">
        <v>4658</v>
      </c>
      <c r="Z1942" t="s">
        <v>958</v>
      </c>
      <c r="AA1942" t="s">
        <v>4659</v>
      </c>
      <c r="AB1942" t="s">
        <v>11437</v>
      </c>
      <c r="AC1942">
        <v>99036</v>
      </c>
      <c r="AD1942" t="s">
        <v>1710</v>
      </c>
      <c r="AE1942">
        <v>-37.689825910000003</v>
      </c>
      <c r="AF1942">
        <v>176.12599854000001</v>
      </c>
      <c r="AG1942">
        <v>80</v>
      </c>
      <c r="AH1942">
        <v>22</v>
      </c>
      <c r="AI1942">
        <v>2</v>
      </c>
      <c r="AJ1942">
        <v>10</v>
      </c>
      <c r="AK1942">
        <v>9</v>
      </c>
      <c r="AL1942">
        <v>11</v>
      </c>
      <c r="AM1942">
        <v>12</v>
      </c>
      <c r="AN1942">
        <v>0</v>
      </c>
      <c r="AO1942">
        <v>44</v>
      </c>
      <c r="AP1942">
        <v>28</v>
      </c>
      <c r="AQ1942">
        <v>17</v>
      </c>
      <c r="AR1942">
        <v>4</v>
      </c>
      <c r="AS1942">
        <v>9</v>
      </c>
      <c r="AT1942">
        <v>6</v>
      </c>
    </row>
    <row r="1943" spans="1:46">
      <c r="A1943">
        <v>45414</v>
      </c>
      <c r="B1943" t="s">
        <v>11438</v>
      </c>
      <c r="C1943" t="s">
        <v>11439</v>
      </c>
      <c r="D1943" t="s">
        <v>11440</v>
      </c>
      <c r="E1943" t="s">
        <v>11441</v>
      </c>
      <c r="G1943" t="s">
        <v>1538</v>
      </c>
      <c r="H1943" t="s">
        <v>3942</v>
      </c>
      <c r="J1943" t="s">
        <v>3962</v>
      </c>
      <c r="K1943" t="s">
        <v>519</v>
      </c>
      <c r="M1943" t="s">
        <v>1297</v>
      </c>
      <c r="N1943" t="s">
        <v>571</v>
      </c>
      <c r="O1943" t="s">
        <v>1319</v>
      </c>
      <c r="P1943" t="s">
        <v>1262</v>
      </c>
      <c r="Q1943" t="s">
        <v>1299</v>
      </c>
      <c r="R1943" t="s">
        <v>1300</v>
      </c>
      <c r="S1943" t="s">
        <v>1417</v>
      </c>
      <c r="T1943" t="s">
        <v>1235</v>
      </c>
      <c r="U1943">
        <v>183300</v>
      </c>
      <c r="V1943" t="s">
        <v>8830</v>
      </c>
      <c r="W1943" t="s">
        <v>1540</v>
      </c>
      <c r="X1943" t="s">
        <v>11442</v>
      </c>
      <c r="Y1943" t="s">
        <v>11443</v>
      </c>
      <c r="AA1943" t="s">
        <v>11444</v>
      </c>
      <c r="AB1943" t="s">
        <v>11439</v>
      </c>
      <c r="AE1943">
        <v>-37.999665839999999</v>
      </c>
      <c r="AF1943">
        <v>175.31910181000001</v>
      </c>
      <c r="AG1943">
        <v>75</v>
      </c>
      <c r="AH1943">
        <v>25</v>
      </c>
      <c r="AI1943">
        <v>1</v>
      </c>
      <c r="AJ1943">
        <v>24</v>
      </c>
      <c r="AK1943">
        <v>24</v>
      </c>
      <c r="AL1943">
        <v>19</v>
      </c>
      <c r="AM1943">
        <v>26</v>
      </c>
      <c r="AN1943">
        <v>0</v>
      </c>
      <c r="AO1943">
        <v>94</v>
      </c>
      <c r="AP1943">
        <v>88</v>
      </c>
      <c r="AQ1943">
        <v>14</v>
      </c>
      <c r="AR1943">
        <v>4</v>
      </c>
      <c r="AS1943">
        <v>5</v>
      </c>
      <c r="AT1943">
        <v>2</v>
      </c>
    </row>
    <row r="1944" spans="1:46">
      <c r="A1944">
        <v>45423</v>
      </c>
      <c r="B1944" t="s">
        <v>11445</v>
      </c>
      <c r="C1944" t="s">
        <v>11446</v>
      </c>
      <c r="E1944" t="s">
        <v>11447</v>
      </c>
      <c r="G1944" t="s">
        <v>636</v>
      </c>
      <c r="H1944" t="s">
        <v>3942</v>
      </c>
      <c r="J1944" t="s">
        <v>3962</v>
      </c>
      <c r="K1944" t="s">
        <v>519</v>
      </c>
      <c r="M1944" t="s">
        <v>520</v>
      </c>
      <c r="N1944" t="s">
        <v>557</v>
      </c>
      <c r="O1944" t="s">
        <v>637</v>
      </c>
      <c r="P1944" t="s">
        <v>523</v>
      </c>
      <c r="Q1944" t="s">
        <v>638</v>
      </c>
      <c r="R1944" t="s">
        <v>639</v>
      </c>
      <c r="S1944" t="s">
        <v>640</v>
      </c>
      <c r="T1944" t="s">
        <v>527</v>
      </c>
      <c r="U1944">
        <v>110501</v>
      </c>
      <c r="V1944" t="s">
        <v>636</v>
      </c>
      <c r="W1944" t="s">
        <v>641</v>
      </c>
      <c r="X1944" t="s">
        <v>11448</v>
      </c>
      <c r="Y1944" t="s">
        <v>11449</v>
      </c>
      <c r="Z1944" t="s">
        <v>770</v>
      </c>
      <c r="AA1944" t="s">
        <v>4333</v>
      </c>
      <c r="AC1944">
        <v>99118</v>
      </c>
      <c r="AD1944" t="s">
        <v>5315</v>
      </c>
      <c r="AE1944">
        <v>-36.299803590000003</v>
      </c>
      <c r="AF1944">
        <v>174.52459397000001</v>
      </c>
      <c r="AG1944">
        <v>30</v>
      </c>
      <c r="AH1944">
        <v>5</v>
      </c>
      <c r="AI1944">
        <v>1</v>
      </c>
      <c r="AJ1944">
        <v>5</v>
      </c>
      <c r="AK1944">
        <v>8</v>
      </c>
      <c r="AL1944">
        <v>11</v>
      </c>
      <c r="AM1944">
        <v>13</v>
      </c>
      <c r="AN1944">
        <v>0</v>
      </c>
      <c r="AO1944">
        <v>38</v>
      </c>
      <c r="AP1944">
        <v>13</v>
      </c>
      <c r="AQ1944">
        <v>15</v>
      </c>
      <c r="AR1944">
        <v>4</v>
      </c>
      <c r="AS1944">
        <v>4</v>
      </c>
      <c r="AT1944">
        <v>5</v>
      </c>
    </row>
    <row r="1945" spans="1:46">
      <c r="A1945">
        <v>45424</v>
      </c>
      <c r="B1945" t="s">
        <v>11450</v>
      </c>
      <c r="C1945" t="s">
        <v>11451</v>
      </c>
      <c r="D1945" t="s">
        <v>11452</v>
      </c>
      <c r="E1945" t="s">
        <v>11453</v>
      </c>
      <c r="F1945" t="s">
        <v>1756</v>
      </c>
      <c r="G1945" t="s">
        <v>1757</v>
      </c>
      <c r="H1945" t="s">
        <v>3942</v>
      </c>
      <c r="I1945" t="s">
        <v>4951</v>
      </c>
      <c r="J1945" t="s">
        <v>518</v>
      </c>
      <c r="K1945" t="s">
        <v>519</v>
      </c>
      <c r="M1945" t="s">
        <v>1297</v>
      </c>
      <c r="N1945" t="s">
        <v>557</v>
      </c>
      <c r="O1945" t="s">
        <v>1758</v>
      </c>
      <c r="P1945" t="s">
        <v>572</v>
      </c>
      <c r="Q1945" t="s">
        <v>1759</v>
      </c>
      <c r="R1945" t="s">
        <v>1760</v>
      </c>
      <c r="S1945" t="s">
        <v>1757</v>
      </c>
      <c r="T1945" t="s">
        <v>1485</v>
      </c>
      <c r="U1945">
        <v>218801</v>
      </c>
      <c r="V1945" t="s">
        <v>11454</v>
      </c>
      <c r="W1945" t="s">
        <v>1762</v>
      </c>
      <c r="X1945" t="s">
        <v>11455</v>
      </c>
      <c r="Y1945" t="s">
        <v>11453</v>
      </c>
      <c r="Z1945" t="s">
        <v>1756</v>
      </c>
      <c r="AA1945" t="s">
        <v>11456</v>
      </c>
      <c r="AB1945" t="s">
        <v>11451</v>
      </c>
      <c r="AE1945">
        <v>-39.055988749999997</v>
      </c>
      <c r="AF1945">
        <v>174.15116287999999</v>
      </c>
      <c r="AG1945">
        <v>55</v>
      </c>
      <c r="AH1945">
        <v>15</v>
      </c>
      <c r="AI1945">
        <v>1</v>
      </c>
      <c r="AJ1945">
        <v>8</v>
      </c>
      <c r="AK1945">
        <v>4</v>
      </c>
      <c r="AL1945">
        <v>9</v>
      </c>
      <c r="AM1945">
        <v>5</v>
      </c>
      <c r="AN1945">
        <v>2</v>
      </c>
      <c r="AO1945">
        <v>29</v>
      </c>
      <c r="AP1945">
        <v>0</v>
      </c>
      <c r="AQ1945">
        <v>29</v>
      </c>
      <c r="AR1945">
        <v>1</v>
      </c>
      <c r="AS1945">
        <v>0</v>
      </c>
      <c r="AT1945">
        <v>2</v>
      </c>
    </row>
    <row r="1946" spans="1:46">
      <c r="A1946">
        <v>45427</v>
      </c>
      <c r="B1946" t="s">
        <v>11457</v>
      </c>
      <c r="C1946" t="s">
        <v>11458</v>
      </c>
      <c r="E1946" t="s">
        <v>11459</v>
      </c>
      <c r="G1946" t="s">
        <v>3179</v>
      </c>
      <c r="H1946" t="s">
        <v>3942</v>
      </c>
      <c r="J1946" t="s">
        <v>3962</v>
      </c>
      <c r="K1946" t="s">
        <v>519</v>
      </c>
      <c r="M1946" t="s">
        <v>2287</v>
      </c>
      <c r="N1946" t="s">
        <v>571</v>
      </c>
      <c r="O1946" t="s">
        <v>3208</v>
      </c>
      <c r="P1946" t="s">
        <v>1262</v>
      </c>
      <c r="Q1946" t="s">
        <v>2943</v>
      </c>
      <c r="R1946" t="s">
        <v>2944</v>
      </c>
      <c r="S1946" t="s">
        <v>3179</v>
      </c>
      <c r="T1946" t="s">
        <v>2448</v>
      </c>
      <c r="U1946">
        <v>335201</v>
      </c>
      <c r="V1946" t="s">
        <v>10913</v>
      </c>
      <c r="W1946" t="s">
        <v>10914</v>
      </c>
      <c r="X1946" t="s">
        <v>11460</v>
      </c>
      <c r="Y1946" t="s">
        <v>11461</v>
      </c>
      <c r="Z1946" t="s">
        <v>10911</v>
      </c>
      <c r="AA1946" t="s">
        <v>11462</v>
      </c>
      <c r="AB1946" t="s">
        <v>11463</v>
      </c>
      <c r="AC1946">
        <v>99206</v>
      </c>
      <c r="AD1946" t="s">
        <v>3211</v>
      </c>
      <c r="AE1946">
        <v>-43.594133190000001</v>
      </c>
      <c r="AF1946">
        <v>172.38572909999999</v>
      </c>
      <c r="AG1946">
        <v>57</v>
      </c>
      <c r="AH1946">
        <v>0</v>
      </c>
      <c r="AI1946">
        <v>0</v>
      </c>
      <c r="AJ1946">
        <v>0</v>
      </c>
      <c r="AK1946">
        <v>4</v>
      </c>
      <c r="AL1946">
        <v>16</v>
      </c>
      <c r="AM1946">
        <v>21</v>
      </c>
      <c r="AN1946">
        <v>7</v>
      </c>
      <c r="AO1946">
        <v>48</v>
      </c>
      <c r="AP1946">
        <v>40</v>
      </c>
      <c r="AQ1946">
        <v>8</v>
      </c>
      <c r="AR1946">
        <v>1</v>
      </c>
      <c r="AS1946">
        <v>9</v>
      </c>
      <c r="AT1946">
        <v>0</v>
      </c>
    </row>
    <row r="1947" spans="1:46">
      <c r="A1947">
        <v>45428</v>
      </c>
      <c r="B1947" t="s">
        <v>11464</v>
      </c>
      <c r="C1947" t="s">
        <v>11465</v>
      </c>
      <c r="D1947" t="s">
        <v>11466</v>
      </c>
      <c r="E1947" t="s">
        <v>2629</v>
      </c>
      <c r="F1947" t="s">
        <v>2631</v>
      </c>
      <c r="G1947" t="s">
        <v>2648</v>
      </c>
      <c r="H1947" t="s">
        <v>517</v>
      </c>
      <c r="J1947" t="s">
        <v>518</v>
      </c>
      <c r="K1947" t="s">
        <v>519</v>
      </c>
      <c r="M1947" t="s">
        <v>2287</v>
      </c>
      <c r="N1947" t="s">
        <v>521</v>
      </c>
      <c r="O1947" t="s">
        <v>2527</v>
      </c>
      <c r="P1947" t="s">
        <v>584</v>
      </c>
      <c r="Q1947" t="s">
        <v>2319</v>
      </c>
      <c r="R1947" t="s">
        <v>2289</v>
      </c>
      <c r="S1947" t="s">
        <v>2528</v>
      </c>
      <c r="T1947" t="s">
        <v>1485</v>
      </c>
      <c r="U1947">
        <v>241000</v>
      </c>
      <c r="V1947" t="s">
        <v>2631</v>
      </c>
      <c r="W1947" t="s">
        <v>2529</v>
      </c>
      <c r="X1947" t="s">
        <v>1889</v>
      </c>
      <c r="Y1947" t="s">
        <v>1890</v>
      </c>
      <c r="AA1947" t="s">
        <v>1891</v>
      </c>
      <c r="AB1947" t="s">
        <v>1892</v>
      </c>
      <c r="AC1947">
        <v>99074</v>
      </c>
      <c r="AD1947" t="s">
        <v>2632</v>
      </c>
      <c r="AE1947">
        <v>-41.139060110000003</v>
      </c>
      <c r="AF1947">
        <v>174.87165714</v>
      </c>
      <c r="AG1947">
        <v>80</v>
      </c>
      <c r="AH1947">
        <v>24</v>
      </c>
      <c r="AI1947">
        <v>1</v>
      </c>
      <c r="AJ1947">
        <v>12</v>
      </c>
      <c r="AK1947">
        <v>29</v>
      </c>
      <c r="AL1947">
        <v>18</v>
      </c>
      <c r="AM1947">
        <v>26</v>
      </c>
      <c r="AN1947">
        <v>0</v>
      </c>
      <c r="AO1947">
        <v>86</v>
      </c>
      <c r="AP1947">
        <v>14</v>
      </c>
      <c r="AQ1947">
        <v>26</v>
      </c>
      <c r="AR1947">
        <v>80</v>
      </c>
      <c r="AS1947">
        <v>1</v>
      </c>
      <c r="AT1947">
        <v>3</v>
      </c>
    </row>
    <row r="1948" spans="1:46">
      <c r="A1948">
        <v>45431</v>
      </c>
      <c r="B1948" t="s">
        <v>11467</v>
      </c>
      <c r="C1948" t="s">
        <v>11468</v>
      </c>
      <c r="D1948" t="s">
        <v>11469</v>
      </c>
      <c r="E1948" t="s">
        <v>11470</v>
      </c>
      <c r="G1948" t="s">
        <v>9981</v>
      </c>
      <c r="H1948" t="s">
        <v>3942</v>
      </c>
      <c r="J1948" t="s">
        <v>518</v>
      </c>
      <c r="K1948" t="s">
        <v>519</v>
      </c>
      <c r="M1948" t="s">
        <v>1297</v>
      </c>
      <c r="N1948" t="s">
        <v>571</v>
      </c>
      <c r="O1948" t="s">
        <v>1546</v>
      </c>
      <c r="P1948" t="s">
        <v>572</v>
      </c>
      <c r="Q1948" t="s">
        <v>1299</v>
      </c>
      <c r="R1948" t="s">
        <v>1472</v>
      </c>
      <c r="S1948" t="s">
        <v>1320</v>
      </c>
      <c r="T1948" t="s">
        <v>1485</v>
      </c>
      <c r="U1948">
        <v>187701</v>
      </c>
      <c r="V1948" t="s">
        <v>11471</v>
      </c>
      <c r="W1948" t="s">
        <v>9715</v>
      </c>
      <c r="X1948" t="s">
        <v>11472</v>
      </c>
      <c r="Y1948" t="s">
        <v>11473</v>
      </c>
      <c r="AA1948" t="s">
        <v>11474</v>
      </c>
      <c r="AE1948">
        <v>-38.526747399999998</v>
      </c>
      <c r="AF1948">
        <v>175.9050986</v>
      </c>
      <c r="AG1948">
        <v>40</v>
      </c>
      <c r="AH1948">
        <v>8</v>
      </c>
      <c r="AI1948">
        <v>0</v>
      </c>
      <c r="AJ1948">
        <v>4</v>
      </c>
      <c r="AK1948">
        <v>3</v>
      </c>
      <c r="AL1948">
        <v>10</v>
      </c>
      <c r="AM1948">
        <v>14</v>
      </c>
      <c r="AN1948">
        <v>0</v>
      </c>
      <c r="AO1948">
        <v>31</v>
      </c>
      <c r="AP1948">
        <v>24</v>
      </c>
      <c r="AQ1948">
        <v>5</v>
      </c>
      <c r="AR1948">
        <v>1</v>
      </c>
      <c r="AS1948">
        <v>4</v>
      </c>
      <c r="AT1948">
        <v>0</v>
      </c>
    </row>
    <row r="1949" spans="1:46">
      <c r="A1949">
        <v>45432</v>
      </c>
      <c r="B1949" t="s">
        <v>11475</v>
      </c>
      <c r="C1949" t="s">
        <v>11476</v>
      </c>
      <c r="D1949" t="s">
        <v>11477</v>
      </c>
      <c r="E1949" t="s">
        <v>11478</v>
      </c>
      <c r="F1949" t="s">
        <v>3873</v>
      </c>
      <c r="G1949" t="s">
        <v>1598</v>
      </c>
      <c r="H1949" t="s">
        <v>517</v>
      </c>
      <c r="J1949" t="s">
        <v>518</v>
      </c>
      <c r="K1949" t="s">
        <v>519</v>
      </c>
      <c r="M1949" t="s">
        <v>1297</v>
      </c>
      <c r="N1949" t="s">
        <v>521</v>
      </c>
      <c r="O1949" t="s">
        <v>1698</v>
      </c>
      <c r="P1949" t="s">
        <v>654</v>
      </c>
      <c r="Q1949" t="s">
        <v>1471</v>
      </c>
      <c r="R1949" t="s">
        <v>1472</v>
      </c>
      <c r="S1949" t="s">
        <v>1699</v>
      </c>
      <c r="T1949" t="s">
        <v>1474</v>
      </c>
      <c r="U1949">
        <v>196700</v>
      </c>
      <c r="V1949" t="s">
        <v>9746</v>
      </c>
      <c r="W1949" t="s">
        <v>1731</v>
      </c>
      <c r="X1949" t="s">
        <v>1596</v>
      </c>
      <c r="Y1949" t="s">
        <v>1597</v>
      </c>
      <c r="Z1949" t="s">
        <v>1598</v>
      </c>
      <c r="AA1949" t="s">
        <v>1599</v>
      </c>
      <c r="AB1949" t="s">
        <v>1600</v>
      </c>
      <c r="AC1949">
        <v>99085</v>
      </c>
      <c r="AD1949" t="s">
        <v>1718</v>
      </c>
      <c r="AE1949">
        <v>-37.724868219999998</v>
      </c>
      <c r="AF1949">
        <v>176.19593338000001</v>
      </c>
      <c r="AG1949">
        <v>40</v>
      </c>
      <c r="AH1949">
        <v>0</v>
      </c>
      <c r="AI1949">
        <v>0</v>
      </c>
      <c r="AJ1949">
        <v>0</v>
      </c>
      <c r="AK1949">
        <v>7</v>
      </c>
      <c r="AL1949">
        <v>13</v>
      </c>
      <c r="AM1949">
        <v>9</v>
      </c>
      <c r="AN1949">
        <v>2</v>
      </c>
      <c r="AO1949">
        <v>31</v>
      </c>
      <c r="AP1949">
        <v>21</v>
      </c>
      <c r="AQ1949">
        <v>16</v>
      </c>
      <c r="AR1949">
        <v>3</v>
      </c>
      <c r="AS1949">
        <v>3</v>
      </c>
      <c r="AT1949">
        <v>2</v>
      </c>
    </row>
    <row r="1950" spans="1:46">
      <c r="A1950">
        <v>45433</v>
      </c>
      <c r="B1950" t="s">
        <v>11479</v>
      </c>
      <c r="C1950" t="s">
        <v>11480</v>
      </c>
      <c r="D1950" t="s">
        <v>11481</v>
      </c>
      <c r="E1950" t="s">
        <v>11482</v>
      </c>
      <c r="G1950" t="s">
        <v>11483</v>
      </c>
      <c r="H1950" t="s">
        <v>3942</v>
      </c>
      <c r="J1950" t="s">
        <v>518</v>
      </c>
      <c r="K1950" t="s">
        <v>519</v>
      </c>
      <c r="M1950" t="s">
        <v>2287</v>
      </c>
      <c r="N1950" t="s">
        <v>571</v>
      </c>
      <c r="O1950" t="s">
        <v>3249</v>
      </c>
      <c r="P1950" t="s">
        <v>523</v>
      </c>
      <c r="Q1950" t="s">
        <v>2943</v>
      </c>
      <c r="R1950" t="s">
        <v>2944</v>
      </c>
      <c r="S1950" t="s">
        <v>3219</v>
      </c>
      <c r="T1950" t="s">
        <v>2448</v>
      </c>
      <c r="U1950">
        <v>339200</v>
      </c>
      <c r="V1950" t="s">
        <v>11483</v>
      </c>
      <c r="W1950" t="s">
        <v>3298</v>
      </c>
      <c r="X1950" t="s">
        <v>10801</v>
      </c>
      <c r="Y1950" t="s">
        <v>3944</v>
      </c>
      <c r="Z1950" t="s">
        <v>3945</v>
      </c>
      <c r="AA1950" t="s">
        <v>3946</v>
      </c>
      <c r="AE1950">
        <v>-44.258573120000001</v>
      </c>
      <c r="AF1950">
        <v>171.1316076</v>
      </c>
      <c r="AG1950">
        <v>65</v>
      </c>
      <c r="AH1950">
        <v>15</v>
      </c>
      <c r="AI1950">
        <v>3</v>
      </c>
      <c r="AJ1950">
        <v>14</v>
      </c>
      <c r="AK1950">
        <v>17</v>
      </c>
      <c r="AL1950">
        <v>26</v>
      </c>
      <c r="AM1950">
        <v>24</v>
      </c>
      <c r="AN1950">
        <v>1</v>
      </c>
      <c r="AO1950">
        <v>85</v>
      </c>
      <c r="AP1950">
        <v>74</v>
      </c>
      <c r="AQ1950">
        <v>11</v>
      </c>
      <c r="AR1950">
        <v>2</v>
      </c>
      <c r="AS1950">
        <v>3</v>
      </c>
      <c r="AT1950">
        <v>7</v>
      </c>
    </row>
    <row r="1951" spans="1:46">
      <c r="A1951">
        <v>45435</v>
      </c>
      <c r="B1951" t="s">
        <v>11484</v>
      </c>
      <c r="C1951" t="s">
        <v>11485</v>
      </c>
      <c r="D1951" t="s">
        <v>11486</v>
      </c>
      <c r="E1951" t="s">
        <v>11487</v>
      </c>
      <c r="F1951" t="s">
        <v>9007</v>
      </c>
      <c r="G1951" t="s">
        <v>2081</v>
      </c>
      <c r="H1951" t="s">
        <v>3942</v>
      </c>
      <c r="J1951" t="s">
        <v>3962</v>
      </c>
      <c r="K1951" t="s">
        <v>519</v>
      </c>
      <c r="M1951" t="s">
        <v>1297</v>
      </c>
      <c r="N1951" t="s">
        <v>557</v>
      </c>
      <c r="O1951" t="s">
        <v>2082</v>
      </c>
      <c r="P1951" t="s">
        <v>584</v>
      </c>
      <c r="Q1951" t="s">
        <v>2083</v>
      </c>
      <c r="R1951" t="s">
        <v>2084</v>
      </c>
      <c r="S1951" t="s">
        <v>1473</v>
      </c>
      <c r="T1951" t="s">
        <v>2085</v>
      </c>
      <c r="U1951">
        <v>205800</v>
      </c>
      <c r="V1951" t="s">
        <v>11488</v>
      </c>
      <c r="W1951" t="s">
        <v>2087</v>
      </c>
      <c r="X1951" t="s">
        <v>11489</v>
      </c>
      <c r="Y1951" t="s">
        <v>11270</v>
      </c>
      <c r="AA1951" t="s">
        <v>10864</v>
      </c>
      <c r="AB1951" t="s">
        <v>11490</v>
      </c>
      <c r="AC1951">
        <v>99082</v>
      </c>
      <c r="AD1951" t="s">
        <v>2092</v>
      </c>
      <c r="AE1951">
        <v>-38.651407409999997</v>
      </c>
      <c r="AF1951">
        <v>177.99850014</v>
      </c>
      <c r="AG1951">
        <v>85</v>
      </c>
      <c r="AH1951">
        <v>15</v>
      </c>
      <c r="AI1951">
        <v>1</v>
      </c>
      <c r="AJ1951">
        <v>7</v>
      </c>
      <c r="AK1951">
        <v>13</v>
      </c>
      <c r="AL1951">
        <v>16</v>
      </c>
      <c r="AM1951">
        <v>25</v>
      </c>
      <c r="AN1951">
        <v>1</v>
      </c>
      <c r="AO1951">
        <v>63</v>
      </c>
      <c r="AP1951">
        <v>26</v>
      </c>
      <c r="AQ1951">
        <v>39</v>
      </c>
      <c r="AR1951">
        <v>9</v>
      </c>
      <c r="AS1951">
        <v>12</v>
      </c>
      <c r="AT1951">
        <v>3</v>
      </c>
    </row>
    <row r="1952" spans="1:46">
      <c r="A1952">
        <v>45439</v>
      </c>
      <c r="B1952" t="s">
        <v>11491</v>
      </c>
      <c r="C1952" t="s">
        <v>11492</v>
      </c>
      <c r="D1952" t="s">
        <v>11493</v>
      </c>
      <c r="E1952" t="s">
        <v>11494</v>
      </c>
      <c r="F1952" t="s">
        <v>1598</v>
      </c>
      <c r="G1952" t="s">
        <v>1598</v>
      </c>
      <c r="H1952" t="s">
        <v>3942</v>
      </c>
      <c r="J1952" t="s">
        <v>3962</v>
      </c>
      <c r="K1952" t="s">
        <v>519</v>
      </c>
      <c r="M1952" t="s">
        <v>1297</v>
      </c>
      <c r="N1952" t="s">
        <v>571</v>
      </c>
      <c r="O1952" t="s">
        <v>1698</v>
      </c>
      <c r="P1952" t="s">
        <v>654</v>
      </c>
      <c r="Q1952" t="s">
        <v>1471</v>
      </c>
      <c r="R1952" t="s">
        <v>1472</v>
      </c>
      <c r="S1952" t="s">
        <v>1598</v>
      </c>
      <c r="T1952" t="s">
        <v>1474</v>
      </c>
      <c r="U1952">
        <v>194801</v>
      </c>
      <c r="V1952" t="s">
        <v>3722</v>
      </c>
      <c r="W1952" t="s">
        <v>3724</v>
      </c>
      <c r="X1952" t="s">
        <v>11495</v>
      </c>
      <c r="Y1952" t="s">
        <v>11496</v>
      </c>
      <c r="Z1952" t="s">
        <v>3770</v>
      </c>
      <c r="AA1952" t="s">
        <v>8884</v>
      </c>
      <c r="AB1952" t="s">
        <v>11497</v>
      </c>
      <c r="AC1952">
        <v>99085</v>
      </c>
      <c r="AD1952" t="s">
        <v>1718</v>
      </c>
      <c r="AE1952">
        <v>-37.7088356</v>
      </c>
      <c r="AF1952">
        <v>176.15736419999999</v>
      </c>
      <c r="AG1952">
        <v>40</v>
      </c>
      <c r="AH1952">
        <v>8</v>
      </c>
      <c r="AI1952">
        <v>3</v>
      </c>
      <c r="AJ1952">
        <v>3</v>
      </c>
      <c r="AK1952">
        <v>9</v>
      </c>
      <c r="AL1952">
        <v>8</v>
      </c>
      <c r="AM1952">
        <v>14</v>
      </c>
      <c r="AN1952">
        <v>0</v>
      </c>
      <c r="AO1952">
        <v>37</v>
      </c>
      <c r="AP1952">
        <v>15</v>
      </c>
      <c r="AQ1952">
        <v>12</v>
      </c>
      <c r="AR1952">
        <v>2</v>
      </c>
      <c r="AS1952">
        <v>13</v>
      </c>
      <c r="AT1952">
        <v>1</v>
      </c>
    </row>
    <row r="1953" spans="1:46">
      <c r="A1953">
        <v>45440</v>
      </c>
      <c r="B1953" t="s">
        <v>11498</v>
      </c>
      <c r="C1953" t="s">
        <v>11499</v>
      </c>
      <c r="E1953" t="s">
        <v>11500</v>
      </c>
      <c r="G1953" t="s">
        <v>2267</v>
      </c>
      <c r="H1953" t="s">
        <v>3942</v>
      </c>
      <c r="J1953" t="s">
        <v>3962</v>
      </c>
      <c r="K1953" t="s">
        <v>519</v>
      </c>
      <c r="M1953" t="s">
        <v>1297</v>
      </c>
      <c r="N1953" t="s">
        <v>571</v>
      </c>
      <c r="O1953" t="s">
        <v>2268</v>
      </c>
      <c r="P1953" t="s">
        <v>523</v>
      </c>
      <c r="Q1953" t="s">
        <v>2118</v>
      </c>
      <c r="R1953" t="s">
        <v>2084</v>
      </c>
      <c r="S1953" t="s">
        <v>2269</v>
      </c>
      <c r="T1953" t="s">
        <v>2085</v>
      </c>
      <c r="U1953">
        <v>215801</v>
      </c>
      <c r="V1953" t="s">
        <v>2270</v>
      </c>
      <c r="W1953" t="s">
        <v>2271</v>
      </c>
      <c r="X1953" t="s">
        <v>8934</v>
      </c>
      <c r="Y1953" t="s">
        <v>8935</v>
      </c>
      <c r="Z1953" t="s">
        <v>2267</v>
      </c>
      <c r="AA1953" t="s">
        <v>8936</v>
      </c>
      <c r="AB1953" t="s">
        <v>8937</v>
      </c>
      <c r="AC1953">
        <v>99160</v>
      </c>
      <c r="AD1953" t="s">
        <v>2272</v>
      </c>
      <c r="AE1953">
        <v>-39.995039650000002</v>
      </c>
      <c r="AF1953">
        <v>176.5583488</v>
      </c>
      <c r="AG1953">
        <v>0</v>
      </c>
      <c r="AH1953">
        <v>0</v>
      </c>
      <c r="AI1953">
        <v>0</v>
      </c>
      <c r="AJ1953">
        <v>0</v>
      </c>
      <c r="AK1953">
        <v>0</v>
      </c>
      <c r="AL1953">
        <v>0</v>
      </c>
      <c r="AM1953">
        <v>7</v>
      </c>
      <c r="AN1953">
        <v>3</v>
      </c>
      <c r="AO1953">
        <v>10</v>
      </c>
      <c r="AP1953">
        <v>7</v>
      </c>
      <c r="AQ1953">
        <v>4</v>
      </c>
      <c r="AR1953">
        <v>0</v>
      </c>
      <c r="AS1953">
        <v>0</v>
      </c>
      <c r="AT1953">
        <v>2</v>
      </c>
    </row>
    <row r="1954" spans="1:46">
      <c r="A1954">
        <v>45441</v>
      </c>
      <c r="B1954" t="s">
        <v>11501</v>
      </c>
      <c r="C1954" t="s">
        <v>11502</v>
      </c>
      <c r="D1954" t="s">
        <v>11503</v>
      </c>
      <c r="E1954" t="s">
        <v>11504</v>
      </c>
      <c r="G1954" t="s">
        <v>11505</v>
      </c>
      <c r="H1954" t="s">
        <v>3942</v>
      </c>
      <c r="J1954" t="s">
        <v>518</v>
      </c>
      <c r="K1954" t="s">
        <v>519</v>
      </c>
      <c r="M1954" t="s">
        <v>2287</v>
      </c>
      <c r="N1954" t="s">
        <v>571</v>
      </c>
      <c r="O1954" t="s">
        <v>3835</v>
      </c>
      <c r="P1954" t="s">
        <v>523</v>
      </c>
      <c r="Q1954" t="s">
        <v>3337</v>
      </c>
      <c r="R1954" t="s">
        <v>3338</v>
      </c>
      <c r="S1954" t="s">
        <v>3361</v>
      </c>
      <c r="T1954" t="s">
        <v>2448</v>
      </c>
      <c r="U1954">
        <v>347901</v>
      </c>
      <c r="V1954" t="s">
        <v>11505</v>
      </c>
      <c r="W1954" t="s">
        <v>11506</v>
      </c>
      <c r="X1954" t="s">
        <v>11507</v>
      </c>
      <c r="Y1954" t="s">
        <v>11508</v>
      </c>
      <c r="AA1954" t="s">
        <v>11509</v>
      </c>
      <c r="AB1954" t="s">
        <v>11510</v>
      </c>
      <c r="AE1954">
        <v>-44.94919857</v>
      </c>
      <c r="AF1954">
        <v>168.84043560000001</v>
      </c>
      <c r="AG1954">
        <v>30</v>
      </c>
      <c r="AH1954">
        <v>9</v>
      </c>
      <c r="AI1954">
        <v>1</v>
      </c>
      <c r="AJ1954">
        <v>10</v>
      </c>
      <c r="AK1954">
        <v>14</v>
      </c>
      <c r="AL1954">
        <v>10</v>
      </c>
      <c r="AM1954">
        <v>0</v>
      </c>
      <c r="AN1954">
        <v>0</v>
      </c>
      <c r="AO1954">
        <v>35</v>
      </c>
      <c r="AP1954">
        <v>34</v>
      </c>
      <c r="AQ1954">
        <v>4</v>
      </c>
      <c r="AR1954">
        <v>1</v>
      </c>
      <c r="AS1954">
        <v>2</v>
      </c>
      <c r="AT1954">
        <v>2</v>
      </c>
    </row>
    <row r="1955" spans="1:46">
      <c r="A1955">
        <v>45443</v>
      </c>
      <c r="B1955" t="s">
        <v>11511</v>
      </c>
      <c r="C1955" t="s">
        <v>1223</v>
      </c>
      <c r="E1955" t="s">
        <v>11512</v>
      </c>
      <c r="F1955" t="s">
        <v>11513</v>
      </c>
      <c r="G1955" t="s">
        <v>652</v>
      </c>
      <c r="H1955" t="s">
        <v>517</v>
      </c>
      <c r="J1955" t="s">
        <v>518</v>
      </c>
      <c r="K1955" t="s">
        <v>519</v>
      </c>
      <c r="M1955" t="s">
        <v>520</v>
      </c>
      <c r="N1955" t="s">
        <v>571</v>
      </c>
      <c r="O1955" t="s">
        <v>1216</v>
      </c>
      <c r="P1955" t="s">
        <v>654</v>
      </c>
      <c r="Q1955" t="s">
        <v>638</v>
      </c>
      <c r="R1955" t="s">
        <v>729</v>
      </c>
      <c r="S1955" t="s">
        <v>1217</v>
      </c>
      <c r="T1955" t="s">
        <v>709</v>
      </c>
      <c r="U1955">
        <v>161100</v>
      </c>
      <c r="V1955" t="s">
        <v>11514</v>
      </c>
      <c r="W1955" t="s">
        <v>1219</v>
      </c>
      <c r="X1955" t="s">
        <v>1220</v>
      </c>
      <c r="Y1955" t="s">
        <v>1221</v>
      </c>
      <c r="Z1955" t="s">
        <v>1217</v>
      </c>
      <c r="AA1955" t="s">
        <v>1222</v>
      </c>
      <c r="AB1955" t="s">
        <v>1223</v>
      </c>
      <c r="AC1955">
        <v>99186</v>
      </c>
      <c r="AD1955" t="s">
        <v>1224</v>
      </c>
      <c r="AE1955">
        <v>-37.050911050000003</v>
      </c>
      <c r="AF1955">
        <v>174.87630557</v>
      </c>
      <c r="AG1955">
        <v>80</v>
      </c>
      <c r="AH1955">
        <v>20</v>
      </c>
      <c r="AI1955">
        <v>1</v>
      </c>
      <c r="AJ1955">
        <v>10</v>
      </c>
      <c r="AK1955">
        <v>20</v>
      </c>
      <c r="AL1955">
        <v>22</v>
      </c>
      <c r="AM1955">
        <v>21</v>
      </c>
      <c r="AN1955">
        <v>0</v>
      </c>
      <c r="AO1955">
        <v>74</v>
      </c>
      <c r="AP1955">
        <v>42</v>
      </c>
      <c r="AQ1955">
        <v>3</v>
      </c>
      <c r="AR1955">
        <v>4</v>
      </c>
      <c r="AS1955">
        <v>37</v>
      </c>
      <c r="AT1955">
        <v>7</v>
      </c>
    </row>
    <row r="1956" spans="1:46">
      <c r="A1956">
        <v>45445</v>
      </c>
      <c r="B1956" t="s">
        <v>11515</v>
      </c>
      <c r="C1956" t="s">
        <v>11516</v>
      </c>
      <c r="D1956" t="s">
        <v>11517</v>
      </c>
      <c r="E1956" t="s">
        <v>11518</v>
      </c>
      <c r="F1956" t="s">
        <v>3049</v>
      </c>
      <c r="G1956" t="s">
        <v>2941</v>
      </c>
      <c r="H1956" t="s">
        <v>3942</v>
      </c>
      <c r="J1956" t="s">
        <v>3962</v>
      </c>
      <c r="K1956" t="s">
        <v>519</v>
      </c>
      <c r="M1956" t="s">
        <v>2287</v>
      </c>
      <c r="N1956" t="s">
        <v>4519</v>
      </c>
      <c r="O1956" t="s">
        <v>2942</v>
      </c>
      <c r="P1956" t="s">
        <v>654</v>
      </c>
      <c r="Q1956" t="s">
        <v>2943</v>
      </c>
      <c r="R1956" t="s">
        <v>2944</v>
      </c>
      <c r="S1956" t="s">
        <v>2945</v>
      </c>
      <c r="T1956" t="s">
        <v>2448</v>
      </c>
      <c r="U1956">
        <v>319900</v>
      </c>
      <c r="V1956" t="s">
        <v>11519</v>
      </c>
      <c r="W1956" t="s">
        <v>3098</v>
      </c>
      <c r="X1956" t="s">
        <v>11520</v>
      </c>
      <c r="Y1956" t="s">
        <v>11518</v>
      </c>
      <c r="Z1956" t="s">
        <v>3049</v>
      </c>
      <c r="AA1956" t="s">
        <v>11521</v>
      </c>
      <c r="AB1956" t="s">
        <v>11516</v>
      </c>
      <c r="AE1956">
        <v>-43.497934819999998</v>
      </c>
      <c r="AF1956">
        <v>172.5886806</v>
      </c>
      <c r="AG1956">
        <v>80</v>
      </c>
      <c r="AH1956">
        <v>25</v>
      </c>
      <c r="AI1956">
        <v>3</v>
      </c>
      <c r="AJ1956">
        <v>21</v>
      </c>
      <c r="AK1956">
        <v>21</v>
      </c>
      <c r="AL1956">
        <v>23</v>
      </c>
      <c r="AM1956">
        <v>18</v>
      </c>
      <c r="AN1956">
        <v>0</v>
      </c>
      <c r="AO1956">
        <v>86</v>
      </c>
      <c r="AP1956">
        <v>73</v>
      </c>
      <c r="AQ1956">
        <v>8</v>
      </c>
      <c r="AR1956">
        <v>6</v>
      </c>
      <c r="AS1956">
        <v>12</v>
      </c>
      <c r="AT1956">
        <v>5</v>
      </c>
    </row>
    <row r="1957" spans="1:46">
      <c r="A1957">
        <v>45447</v>
      </c>
      <c r="B1957" t="s">
        <v>11522</v>
      </c>
      <c r="C1957" t="s">
        <v>11523</v>
      </c>
      <c r="D1957" t="s">
        <v>11524</v>
      </c>
      <c r="E1957" t="s">
        <v>11525</v>
      </c>
      <c r="G1957" t="s">
        <v>2853</v>
      </c>
      <c r="H1957" t="s">
        <v>3942</v>
      </c>
      <c r="J1957" t="s">
        <v>3962</v>
      </c>
      <c r="K1957" t="s">
        <v>519</v>
      </c>
      <c r="M1957" t="s">
        <v>2287</v>
      </c>
      <c r="N1957" t="s">
        <v>571</v>
      </c>
      <c r="O1957" t="s">
        <v>2854</v>
      </c>
      <c r="P1957" t="s">
        <v>584</v>
      </c>
      <c r="Q1957" t="s">
        <v>2855</v>
      </c>
      <c r="R1957" t="s">
        <v>2824</v>
      </c>
      <c r="S1957" t="s">
        <v>2853</v>
      </c>
      <c r="T1957" t="s">
        <v>2448</v>
      </c>
      <c r="U1957">
        <v>305000</v>
      </c>
      <c r="V1957" t="s">
        <v>2895</v>
      </c>
      <c r="W1957" t="s">
        <v>2857</v>
      </c>
      <c r="X1957" t="s">
        <v>11526</v>
      </c>
      <c r="Y1957" t="s">
        <v>11527</v>
      </c>
      <c r="AA1957" t="s">
        <v>11528</v>
      </c>
      <c r="AB1957" t="s">
        <v>11529</v>
      </c>
      <c r="AE1957">
        <v>-41.303418299999997</v>
      </c>
      <c r="AF1957">
        <v>173.2424139</v>
      </c>
      <c r="AG1957">
        <v>65</v>
      </c>
      <c r="AH1957">
        <v>25</v>
      </c>
      <c r="AI1957">
        <v>3</v>
      </c>
      <c r="AJ1957">
        <v>16</v>
      </c>
      <c r="AK1957">
        <v>20</v>
      </c>
      <c r="AL1957">
        <v>19</v>
      </c>
      <c r="AM1957">
        <v>24</v>
      </c>
      <c r="AN1957">
        <v>0</v>
      </c>
      <c r="AO1957">
        <v>82</v>
      </c>
      <c r="AP1957">
        <v>75</v>
      </c>
      <c r="AQ1957">
        <v>19</v>
      </c>
      <c r="AR1957">
        <v>5</v>
      </c>
      <c r="AS1957">
        <v>4</v>
      </c>
      <c r="AT1957">
        <v>1</v>
      </c>
    </row>
    <row r="1958" spans="1:46">
      <c r="A1958">
        <v>45449</v>
      </c>
      <c r="B1958" t="s">
        <v>11530</v>
      </c>
      <c r="C1958" t="s">
        <v>11531</v>
      </c>
      <c r="D1958" t="s">
        <v>11532</v>
      </c>
      <c r="E1958" t="s">
        <v>11533</v>
      </c>
      <c r="F1958" t="s">
        <v>2370</v>
      </c>
      <c r="G1958" t="s">
        <v>2371</v>
      </c>
      <c r="H1958" t="s">
        <v>3942</v>
      </c>
      <c r="J1958" t="s">
        <v>3962</v>
      </c>
      <c r="K1958" t="s">
        <v>519</v>
      </c>
      <c r="M1958" t="s">
        <v>2287</v>
      </c>
      <c r="N1958" t="s">
        <v>571</v>
      </c>
      <c r="O1958" t="s">
        <v>2372</v>
      </c>
      <c r="P1958" t="s">
        <v>584</v>
      </c>
      <c r="Q1958" t="s">
        <v>2319</v>
      </c>
      <c r="R1958" t="s">
        <v>2289</v>
      </c>
      <c r="S1958" t="s">
        <v>2373</v>
      </c>
      <c r="T1958" t="s">
        <v>2085</v>
      </c>
      <c r="U1958">
        <v>243000</v>
      </c>
      <c r="V1958" t="s">
        <v>11534</v>
      </c>
      <c r="W1958" t="s">
        <v>1652</v>
      </c>
      <c r="X1958" t="s">
        <v>11535</v>
      </c>
      <c r="Y1958" t="s">
        <v>11536</v>
      </c>
      <c r="AA1958" t="s">
        <v>4659</v>
      </c>
      <c r="AB1958" t="s">
        <v>11537</v>
      </c>
      <c r="AE1958">
        <v>-41.127521450000003</v>
      </c>
      <c r="AF1958">
        <v>175.06931252000001</v>
      </c>
      <c r="AG1958">
        <v>67</v>
      </c>
      <c r="AH1958">
        <v>24</v>
      </c>
      <c r="AI1958">
        <v>3</v>
      </c>
      <c r="AJ1958">
        <v>15</v>
      </c>
      <c r="AK1958">
        <v>17</v>
      </c>
      <c r="AL1958">
        <v>15</v>
      </c>
      <c r="AM1958">
        <v>20</v>
      </c>
      <c r="AN1958">
        <v>0</v>
      </c>
      <c r="AO1958">
        <v>70</v>
      </c>
      <c r="AP1958">
        <v>44</v>
      </c>
      <c r="AQ1958">
        <v>16</v>
      </c>
      <c r="AR1958">
        <v>4</v>
      </c>
      <c r="AS1958">
        <v>17</v>
      </c>
      <c r="AT1958">
        <v>3</v>
      </c>
    </row>
    <row r="1959" spans="1:46">
      <c r="A1959">
        <v>45454</v>
      </c>
      <c r="B1959" t="s">
        <v>11538</v>
      </c>
      <c r="C1959" t="s">
        <v>11539</v>
      </c>
      <c r="D1959" t="s">
        <v>11540</v>
      </c>
      <c r="E1959" t="s">
        <v>11541</v>
      </c>
      <c r="F1959" t="s">
        <v>822</v>
      </c>
      <c r="G1959" t="s">
        <v>652</v>
      </c>
      <c r="H1959" t="s">
        <v>3942</v>
      </c>
      <c r="J1959" t="s">
        <v>3962</v>
      </c>
      <c r="K1959" t="s">
        <v>519</v>
      </c>
      <c r="M1959" t="s">
        <v>520</v>
      </c>
      <c r="N1959" t="s">
        <v>571</v>
      </c>
      <c r="O1959" t="s">
        <v>857</v>
      </c>
      <c r="P1959" t="s">
        <v>654</v>
      </c>
      <c r="Q1959" t="s">
        <v>638</v>
      </c>
      <c r="R1959" t="s">
        <v>708</v>
      </c>
      <c r="S1959" t="s">
        <v>822</v>
      </c>
      <c r="T1959" t="s">
        <v>709</v>
      </c>
      <c r="U1959">
        <v>140200</v>
      </c>
      <c r="V1959" t="s">
        <v>951</v>
      </c>
      <c r="W1959" t="s">
        <v>860</v>
      </c>
      <c r="X1959" t="s">
        <v>11542</v>
      </c>
      <c r="Y1959" t="s">
        <v>11543</v>
      </c>
      <c r="Z1959" t="s">
        <v>6145</v>
      </c>
      <c r="AA1959" t="s">
        <v>6880</v>
      </c>
      <c r="AB1959" t="s">
        <v>11539</v>
      </c>
      <c r="AE1959">
        <v>-36.889856399999999</v>
      </c>
      <c r="AF1959">
        <v>174.7719204</v>
      </c>
      <c r="AG1959">
        <v>37</v>
      </c>
      <c r="AH1959">
        <v>6</v>
      </c>
      <c r="AI1959">
        <v>1</v>
      </c>
      <c r="AJ1959">
        <v>3</v>
      </c>
      <c r="AK1959">
        <v>7</v>
      </c>
      <c r="AL1959">
        <v>13</v>
      </c>
      <c r="AM1959">
        <v>10</v>
      </c>
      <c r="AN1959">
        <v>1</v>
      </c>
      <c r="AO1959">
        <v>35</v>
      </c>
      <c r="AP1959">
        <v>12</v>
      </c>
      <c r="AQ1959">
        <v>1</v>
      </c>
      <c r="AR1959">
        <v>2</v>
      </c>
      <c r="AS1959">
        <v>30</v>
      </c>
      <c r="AT1959">
        <v>3</v>
      </c>
    </row>
    <row r="1960" spans="1:46">
      <c r="A1960">
        <v>45455</v>
      </c>
      <c r="B1960" t="s">
        <v>11544</v>
      </c>
      <c r="C1960" t="s">
        <v>11545</v>
      </c>
      <c r="D1960" t="s">
        <v>11546</v>
      </c>
      <c r="E1960" t="s">
        <v>11547</v>
      </c>
      <c r="F1960" t="s">
        <v>5104</v>
      </c>
      <c r="G1960" t="s">
        <v>652</v>
      </c>
      <c r="H1960" t="s">
        <v>3942</v>
      </c>
      <c r="J1960" t="s">
        <v>518</v>
      </c>
      <c r="K1960" t="s">
        <v>519</v>
      </c>
      <c r="M1960" t="s">
        <v>520</v>
      </c>
      <c r="N1960" t="s">
        <v>571</v>
      </c>
      <c r="O1960" t="s">
        <v>707</v>
      </c>
      <c r="P1960" t="s">
        <v>654</v>
      </c>
      <c r="Q1960" t="s">
        <v>638</v>
      </c>
      <c r="R1960" t="s">
        <v>729</v>
      </c>
      <c r="S1960" t="s">
        <v>1217</v>
      </c>
      <c r="T1960" t="s">
        <v>709</v>
      </c>
      <c r="U1960">
        <v>158200</v>
      </c>
      <c r="V1960" t="s">
        <v>11548</v>
      </c>
      <c r="W1960" t="s">
        <v>711</v>
      </c>
      <c r="X1960" t="s">
        <v>642</v>
      </c>
      <c r="Y1960" t="s">
        <v>643</v>
      </c>
      <c r="Z1960" t="s">
        <v>644</v>
      </c>
      <c r="AA1960" t="s">
        <v>645</v>
      </c>
      <c r="AB1960" t="s">
        <v>646</v>
      </c>
      <c r="AE1960">
        <v>-36.964266379999998</v>
      </c>
      <c r="AF1960">
        <v>174.93176629999999</v>
      </c>
      <c r="AG1960">
        <v>50</v>
      </c>
      <c r="AH1960">
        <v>0</v>
      </c>
      <c r="AI1960">
        <v>0</v>
      </c>
      <c r="AJ1960">
        <v>0</v>
      </c>
      <c r="AK1960">
        <v>13</v>
      </c>
      <c r="AL1960">
        <v>20</v>
      </c>
      <c r="AM1960">
        <v>28</v>
      </c>
      <c r="AN1960">
        <v>2</v>
      </c>
      <c r="AO1960">
        <v>63</v>
      </c>
      <c r="AP1960">
        <v>8</v>
      </c>
      <c r="AQ1960">
        <v>5</v>
      </c>
      <c r="AR1960">
        <v>5</v>
      </c>
      <c r="AS1960">
        <v>54</v>
      </c>
      <c r="AT1960">
        <v>1</v>
      </c>
    </row>
    <row r="1961" spans="1:46">
      <c r="A1961">
        <v>45457</v>
      </c>
      <c r="B1961" t="s">
        <v>11549</v>
      </c>
      <c r="C1961" t="s">
        <v>11550</v>
      </c>
      <c r="E1961" t="s">
        <v>11551</v>
      </c>
      <c r="G1961" t="s">
        <v>2821</v>
      </c>
      <c r="H1961" t="s">
        <v>3942</v>
      </c>
      <c r="J1961" t="s">
        <v>3962</v>
      </c>
      <c r="K1961" t="s">
        <v>519</v>
      </c>
      <c r="M1961" t="s">
        <v>2287</v>
      </c>
      <c r="N1961" t="s">
        <v>571</v>
      </c>
      <c r="O1961" t="s">
        <v>2822</v>
      </c>
      <c r="P1961" t="s">
        <v>1262</v>
      </c>
      <c r="Q1961" t="s">
        <v>2823</v>
      </c>
      <c r="R1961" t="s">
        <v>2824</v>
      </c>
      <c r="S1961" t="s">
        <v>2825</v>
      </c>
      <c r="T1961" t="s">
        <v>2448</v>
      </c>
      <c r="U1961">
        <v>307900</v>
      </c>
      <c r="V1961" t="s">
        <v>11552</v>
      </c>
      <c r="W1961" t="s">
        <v>2826</v>
      </c>
      <c r="X1961" t="s">
        <v>11553</v>
      </c>
      <c r="Y1961" t="s">
        <v>4658</v>
      </c>
      <c r="Z1961" t="s">
        <v>958</v>
      </c>
      <c r="AA1961" t="s">
        <v>4659</v>
      </c>
      <c r="AB1961" t="s">
        <v>11554</v>
      </c>
      <c r="AE1961">
        <v>-41.516978039999998</v>
      </c>
      <c r="AF1961">
        <v>173.96098534999999</v>
      </c>
      <c r="AG1961">
        <v>83</v>
      </c>
      <c r="AH1961">
        <v>31</v>
      </c>
      <c r="AI1961">
        <v>5</v>
      </c>
      <c r="AJ1961">
        <v>18</v>
      </c>
      <c r="AK1961">
        <v>16</v>
      </c>
      <c r="AL1961">
        <v>23</v>
      </c>
      <c r="AM1961">
        <v>13</v>
      </c>
      <c r="AN1961">
        <v>2</v>
      </c>
      <c r="AO1961">
        <v>77</v>
      </c>
      <c r="AP1961">
        <v>57</v>
      </c>
      <c r="AQ1961">
        <v>14</v>
      </c>
      <c r="AR1961">
        <v>4</v>
      </c>
      <c r="AS1961">
        <v>13</v>
      </c>
      <c r="AT1961">
        <v>6</v>
      </c>
    </row>
    <row r="1962" spans="1:46">
      <c r="A1962">
        <v>45462</v>
      </c>
      <c r="B1962" t="s">
        <v>11555</v>
      </c>
      <c r="C1962" t="s">
        <v>11556</v>
      </c>
      <c r="E1962" t="s">
        <v>11557</v>
      </c>
      <c r="F1962" t="s">
        <v>3414</v>
      </c>
      <c r="G1962" t="s">
        <v>3382</v>
      </c>
      <c r="H1962" t="s">
        <v>3942</v>
      </c>
      <c r="J1962" t="s">
        <v>3962</v>
      </c>
      <c r="K1962" t="s">
        <v>519</v>
      </c>
      <c r="M1962" t="s">
        <v>2287</v>
      </c>
      <c r="N1962" t="s">
        <v>571</v>
      </c>
      <c r="O1962" t="s">
        <v>3383</v>
      </c>
      <c r="P1962" t="s">
        <v>654</v>
      </c>
      <c r="Q1962" t="s">
        <v>3337</v>
      </c>
      <c r="R1962" t="s">
        <v>3338</v>
      </c>
      <c r="S1962" t="s">
        <v>3384</v>
      </c>
      <c r="T1962" t="s">
        <v>2448</v>
      </c>
      <c r="U1962">
        <v>352600</v>
      </c>
      <c r="V1962" t="s">
        <v>3414</v>
      </c>
      <c r="W1962" t="s">
        <v>1652</v>
      </c>
      <c r="X1962" t="s">
        <v>11558</v>
      </c>
      <c r="Y1962" t="s">
        <v>11559</v>
      </c>
      <c r="Z1962" t="s">
        <v>3418</v>
      </c>
      <c r="AA1962" t="s">
        <v>11560</v>
      </c>
      <c r="AB1962" t="s">
        <v>11556</v>
      </c>
      <c r="AE1962">
        <v>-45.901907520000002</v>
      </c>
      <c r="AF1962">
        <v>170.42501175000001</v>
      </c>
      <c r="AG1962">
        <v>42</v>
      </c>
      <c r="AH1962">
        <v>10</v>
      </c>
      <c r="AI1962">
        <v>3</v>
      </c>
      <c r="AJ1962">
        <v>8</v>
      </c>
      <c r="AK1962">
        <v>14</v>
      </c>
      <c r="AL1962">
        <v>14</v>
      </c>
      <c r="AM1962">
        <v>14</v>
      </c>
      <c r="AN1962">
        <v>0</v>
      </c>
      <c r="AO1962">
        <v>53</v>
      </c>
      <c r="AP1962">
        <v>46</v>
      </c>
      <c r="AQ1962">
        <v>9</v>
      </c>
      <c r="AR1962">
        <v>2</v>
      </c>
      <c r="AS1962">
        <v>6</v>
      </c>
      <c r="AT1962">
        <v>0</v>
      </c>
    </row>
    <row r="1963" spans="1:46">
      <c r="A1963">
        <v>45473</v>
      </c>
      <c r="B1963" t="s">
        <v>11561</v>
      </c>
      <c r="C1963" t="s">
        <v>11562</v>
      </c>
      <c r="E1963" t="s">
        <v>11563</v>
      </c>
      <c r="F1963" t="s">
        <v>898</v>
      </c>
      <c r="G1963" t="s">
        <v>1067</v>
      </c>
      <c r="H1963" t="s">
        <v>3942</v>
      </c>
      <c r="J1963" t="s">
        <v>3962</v>
      </c>
      <c r="K1963" t="s">
        <v>519</v>
      </c>
      <c r="M1963" t="s">
        <v>520</v>
      </c>
      <c r="N1963" t="s">
        <v>4519</v>
      </c>
      <c r="O1963" t="s">
        <v>873</v>
      </c>
      <c r="P1963" t="s">
        <v>572</v>
      </c>
      <c r="Q1963" t="s">
        <v>638</v>
      </c>
      <c r="R1963" t="s">
        <v>639</v>
      </c>
      <c r="S1963" t="s">
        <v>770</v>
      </c>
      <c r="T1963" t="s">
        <v>709</v>
      </c>
      <c r="U1963">
        <v>121100</v>
      </c>
      <c r="V1963" t="s">
        <v>3972</v>
      </c>
      <c r="W1963" t="s">
        <v>815</v>
      </c>
      <c r="X1963" t="s">
        <v>6303</v>
      </c>
      <c r="Y1963" t="s">
        <v>6301</v>
      </c>
      <c r="Z1963" t="s">
        <v>4747</v>
      </c>
      <c r="AA1963" t="s">
        <v>6304</v>
      </c>
      <c r="AB1963" t="s">
        <v>6299</v>
      </c>
      <c r="AC1963">
        <v>99029</v>
      </c>
      <c r="AD1963" t="s">
        <v>901</v>
      </c>
      <c r="AE1963">
        <v>-36.885235100000003</v>
      </c>
      <c r="AF1963">
        <v>174.5919763</v>
      </c>
      <c r="AG1963">
        <v>70</v>
      </c>
      <c r="AH1963">
        <v>15</v>
      </c>
      <c r="AI1963">
        <v>0</v>
      </c>
      <c r="AJ1963">
        <v>5</v>
      </c>
      <c r="AK1963">
        <v>9</v>
      </c>
      <c r="AL1963">
        <v>20</v>
      </c>
      <c r="AM1963">
        <v>16</v>
      </c>
      <c r="AN1963">
        <v>0</v>
      </c>
      <c r="AO1963">
        <v>50</v>
      </c>
      <c r="AP1963">
        <v>41</v>
      </c>
      <c r="AQ1963">
        <v>10</v>
      </c>
      <c r="AR1963">
        <v>6</v>
      </c>
      <c r="AS1963">
        <v>9</v>
      </c>
      <c r="AT1963">
        <v>1</v>
      </c>
    </row>
    <row r="1964" spans="1:46">
      <c r="A1964">
        <v>45477</v>
      </c>
      <c r="B1964" t="s">
        <v>11564</v>
      </c>
      <c r="C1964" t="s">
        <v>11565</v>
      </c>
      <c r="E1964" t="s">
        <v>11566</v>
      </c>
      <c r="F1964" t="s">
        <v>3124</v>
      </c>
      <c r="G1964" t="s">
        <v>2941</v>
      </c>
      <c r="H1964" t="s">
        <v>3942</v>
      </c>
      <c r="J1964" t="s">
        <v>518</v>
      </c>
      <c r="K1964" t="s">
        <v>519</v>
      </c>
      <c r="M1964" t="s">
        <v>2287</v>
      </c>
      <c r="N1964" t="s">
        <v>557</v>
      </c>
      <c r="O1964" t="s">
        <v>2942</v>
      </c>
      <c r="P1964" t="s">
        <v>654</v>
      </c>
      <c r="Q1964" t="s">
        <v>2943</v>
      </c>
      <c r="R1964" t="s">
        <v>2944</v>
      </c>
      <c r="S1964" t="s">
        <v>2973</v>
      </c>
      <c r="T1964" t="s">
        <v>2448</v>
      </c>
      <c r="U1964">
        <v>328600</v>
      </c>
      <c r="V1964" t="s">
        <v>3125</v>
      </c>
      <c r="W1964" t="s">
        <v>3126</v>
      </c>
      <c r="X1964" t="s">
        <v>10801</v>
      </c>
      <c r="Y1964" t="s">
        <v>3944</v>
      </c>
      <c r="Z1964" t="s">
        <v>3945</v>
      </c>
      <c r="AA1964" t="s">
        <v>3946</v>
      </c>
      <c r="AC1964">
        <v>99175</v>
      </c>
      <c r="AD1964" t="s">
        <v>3071</v>
      </c>
      <c r="AE1964">
        <v>-43.508221509999998</v>
      </c>
      <c r="AF1964">
        <v>172.69942333</v>
      </c>
      <c r="AG1964">
        <v>100</v>
      </c>
      <c r="AH1964">
        <v>25</v>
      </c>
      <c r="AI1964">
        <v>6</v>
      </c>
      <c r="AJ1964">
        <v>18</v>
      </c>
      <c r="AK1964">
        <v>21</v>
      </c>
      <c r="AL1964">
        <v>18</v>
      </c>
      <c r="AM1964">
        <v>20</v>
      </c>
      <c r="AN1964">
        <v>5</v>
      </c>
      <c r="AO1964">
        <v>88</v>
      </c>
      <c r="AP1964">
        <v>62</v>
      </c>
      <c r="AQ1964">
        <v>43</v>
      </c>
      <c r="AR1964">
        <v>12</v>
      </c>
      <c r="AS1964">
        <v>8</v>
      </c>
      <c r="AT1964">
        <v>1</v>
      </c>
    </row>
    <row r="1965" spans="1:46">
      <c r="A1965">
        <v>45483</v>
      </c>
      <c r="B1965" t="s">
        <v>11567</v>
      </c>
      <c r="C1965" t="s">
        <v>11568</v>
      </c>
      <c r="D1965" t="s">
        <v>11569</v>
      </c>
      <c r="E1965" t="s">
        <v>11570</v>
      </c>
      <c r="G1965" t="s">
        <v>10911</v>
      </c>
      <c r="H1965" t="s">
        <v>3942</v>
      </c>
      <c r="I1965" t="s">
        <v>4065</v>
      </c>
      <c r="J1965" t="s">
        <v>3962</v>
      </c>
      <c r="K1965" t="s">
        <v>519</v>
      </c>
      <c r="M1965" t="s">
        <v>2287</v>
      </c>
      <c r="N1965" t="s">
        <v>571</v>
      </c>
      <c r="O1965" t="s">
        <v>3208</v>
      </c>
      <c r="P1965" t="s">
        <v>1262</v>
      </c>
      <c r="Q1965" t="s">
        <v>2943</v>
      </c>
      <c r="R1965" t="s">
        <v>2944</v>
      </c>
      <c r="S1965" t="s">
        <v>3179</v>
      </c>
      <c r="T1965" t="s">
        <v>2448</v>
      </c>
      <c r="U1965">
        <v>335101</v>
      </c>
      <c r="V1965" t="s">
        <v>11571</v>
      </c>
      <c r="W1965" t="s">
        <v>10914</v>
      </c>
      <c r="X1965" t="s">
        <v>11572</v>
      </c>
      <c r="Y1965" t="s">
        <v>11570</v>
      </c>
      <c r="AA1965" t="s">
        <v>11573</v>
      </c>
      <c r="AB1965" t="s">
        <v>11574</v>
      </c>
      <c r="AC1965">
        <v>99206</v>
      </c>
      <c r="AD1965" t="s">
        <v>3211</v>
      </c>
      <c r="AE1965">
        <v>-43.605223080000002</v>
      </c>
      <c r="AF1965">
        <v>172.3669663</v>
      </c>
      <c r="AG1965">
        <v>84</v>
      </c>
      <c r="AH1965">
        <v>24</v>
      </c>
      <c r="AI1965">
        <v>1</v>
      </c>
      <c r="AJ1965">
        <v>13</v>
      </c>
      <c r="AK1965">
        <v>20</v>
      </c>
      <c r="AL1965">
        <v>26</v>
      </c>
      <c r="AM1965">
        <v>32</v>
      </c>
      <c r="AN1965">
        <v>1</v>
      </c>
      <c r="AO1965">
        <v>93</v>
      </c>
      <c r="AP1965">
        <v>51</v>
      </c>
      <c r="AQ1965">
        <v>10</v>
      </c>
      <c r="AR1965">
        <v>0</v>
      </c>
      <c r="AS1965">
        <v>38</v>
      </c>
      <c r="AT1965">
        <v>7</v>
      </c>
    </row>
    <row r="1966" spans="1:46">
      <c r="A1966">
        <v>45488</v>
      </c>
      <c r="B1966" t="s">
        <v>11575</v>
      </c>
      <c r="C1966" t="s">
        <v>11576</v>
      </c>
      <c r="D1966" t="s">
        <v>11577</v>
      </c>
      <c r="E1966" t="s">
        <v>11578</v>
      </c>
      <c r="F1966" t="s">
        <v>717</v>
      </c>
      <c r="G1966" t="s">
        <v>652</v>
      </c>
      <c r="H1966" t="s">
        <v>3942</v>
      </c>
      <c r="I1966" t="s">
        <v>4165</v>
      </c>
      <c r="J1966" t="s">
        <v>518</v>
      </c>
      <c r="K1966" t="s">
        <v>519</v>
      </c>
      <c r="M1966" t="s">
        <v>520</v>
      </c>
      <c r="N1966" t="s">
        <v>557</v>
      </c>
      <c r="O1966" t="s">
        <v>718</v>
      </c>
      <c r="P1966" t="s">
        <v>654</v>
      </c>
      <c r="Q1966" t="s">
        <v>638</v>
      </c>
      <c r="R1966" t="s">
        <v>708</v>
      </c>
      <c r="S1966" t="s">
        <v>770</v>
      </c>
      <c r="T1966" t="s">
        <v>709</v>
      </c>
      <c r="U1966">
        <v>133100</v>
      </c>
      <c r="V1966" t="s">
        <v>11579</v>
      </c>
      <c r="W1966" t="s">
        <v>721</v>
      </c>
      <c r="X1966" t="s">
        <v>11580</v>
      </c>
      <c r="Y1966" t="s">
        <v>11578</v>
      </c>
      <c r="Z1966" t="s">
        <v>717</v>
      </c>
      <c r="AA1966" t="s">
        <v>4537</v>
      </c>
      <c r="AB1966" t="s">
        <v>11581</v>
      </c>
      <c r="AE1966">
        <v>-36.894360450000001</v>
      </c>
      <c r="AF1966">
        <v>174.6983352</v>
      </c>
      <c r="AG1966">
        <v>50</v>
      </c>
      <c r="AH1966">
        <v>10</v>
      </c>
      <c r="AI1966">
        <v>2</v>
      </c>
      <c r="AJ1966">
        <v>8</v>
      </c>
      <c r="AK1966">
        <v>19</v>
      </c>
      <c r="AL1966">
        <v>12</v>
      </c>
      <c r="AM1966">
        <v>4</v>
      </c>
      <c r="AN1966">
        <v>0</v>
      </c>
      <c r="AO1966">
        <v>45</v>
      </c>
      <c r="AP1966">
        <v>22</v>
      </c>
      <c r="AQ1966">
        <v>12</v>
      </c>
      <c r="AR1966">
        <v>42</v>
      </c>
      <c r="AS1966">
        <v>1</v>
      </c>
      <c r="AT1966">
        <v>2</v>
      </c>
    </row>
    <row r="1967" spans="1:46">
      <c r="A1967">
        <v>45491</v>
      </c>
      <c r="B1967" t="s">
        <v>11582</v>
      </c>
      <c r="C1967" t="s">
        <v>11583</v>
      </c>
      <c r="D1967" t="s">
        <v>11584</v>
      </c>
      <c r="E1967" t="s">
        <v>11585</v>
      </c>
      <c r="F1967" t="s">
        <v>1312</v>
      </c>
      <c r="G1967" t="s">
        <v>1296</v>
      </c>
      <c r="H1967" t="s">
        <v>3942</v>
      </c>
      <c r="J1967" t="s">
        <v>3962</v>
      </c>
      <c r="K1967" t="s">
        <v>519</v>
      </c>
      <c r="M1967" t="s">
        <v>1297</v>
      </c>
      <c r="N1967" t="s">
        <v>557</v>
      </c>
      <c r="O1967" t="s">
        <v>1298</v>
      </c>
      <c r="P1967" t="s">
        <v>654</v>
      </c>
      <c r="Q1967" t="s">
        <v>1299</v>
      </c>
      <c r="R1967" t="s">
        <v>1300</v>
      </c>
      <c r="S1967" t="s">
        <v>1312</v>
      </c>
      <c r="T1967" t="s">
        <v>1235</v>
      </c>
      <c r="U1967">
        <v>179300</v>
      </c>
      <c r="V1967" t="s">
        <v>1398</v>
      </c>
      <c r="W1967" t="s">
        <v>1314</v>
      </c>
      <c r="X1967" t="s">
        <v>11586</v>
      </c>
      <c r="Y1967" t="s">
        <v>11587</v>
      </c>
      <c r="Z1967" t="s">
        <v>1345</v>
      </c>
      <c r="AA1967" t="s">
        <v>9568</v>
      </c>
      <c r="AE1967">
        <v>-37.784294969999998</v>
      </c>
      <c r="AF1967">
        <v>175.29041380999999</v>
      </c>
      <c r="AG1967">
        <v>34</v>
      </c>
      <c r="AH1967">
        <v>5</v>
      </c>
      <c r="AI1967">
        <v>1</v>
      </c>
      <c r="AJ1967">
        <v>3</v>
      </c>
      <c r="AK1967">
        <v>8</v>
      </c>
      <c r="AL1967">
        <v>8</v>
      </c>
      <c r="AM1967">
        <v>13</v>
      </c>
      <c r="AN1967">
        <v>0</v>
      </c>
      <c r="AO1967">
        <v>33</v>
      </c>
      <c r="AP1967">
        <v>8</v>
      </c>
      <c r="AQ1967">
        <v>14</v>
      </c>
      <c r="AR1967">
        <v>3</v>
      </c>
      <c r="AS1967">
        <v>1</v>
      </c>
      <c r="AT1967">
        <v>12</v>
      </c>
    </row>
    <row r="1968" spans="1:46">
      <c r="A1968">
        <v>45493</v>
      </c>
      <c r="B1968" t="s">
        <v>11588</v>
      </c>
      <c r="C1968" t="s">
        <v>11589</v>
      </c>
      <c r="E1968" t="s">
        <v>11590</v>
      </c>
      <c r="G1968" t="s">
        <v>10911</v>
      </c>
      <c r="H1968" t="s">
        <v>3942</v>
      </c>
      <c r="J1968" t="s">
        <v>3962</v>
      </c>
      <c r="K1968" t="s">
        <v>519</v>
      </c>
      <c r="M1968" t="s">
        <v>2287</v>
      </c>
      <c r="N1968" t="s">
        <v>571</v>
      </c>
      <c r="O1968" t="s">
        <v>3208</v>
      </c>
      <c r="P1968" t="s">
        <v>1262</v>
      </c>
      <c r="Q1968" t="s">
        <v>2943</v>
      </c>
      <c r="R1968" t="s">
        <v>2944</v>
      </c>
      <c r="S1968" t="s">
        <v>3179</v>
      </c>
      <c r="T1968" t="s">
        <v>2448</v>
      </c>
      <c r="U1968">
        <v>334901</v>
      </c>
      <c r="V1968" t="s">
        <v>11591</v>
      </c>
      <c r="W1968" t="s">
        <v>10914</v>
      </c>
      <c r="X1968" t="s">
        <v>11592</v>
      </c>
      <c r="Y1968" t="s">
        <v>4658</v>
      </c>
      <c r="Z1968" t="s">
        <v>958</v>
      </c>
      <c r="AA1968" t="s">
        <v>4659</v>
      </c>
      <c r="AB1968" t="s">
        <v>11589</v>
      </c>
      <c r="AC1968">
        <v>99206</v>
      </c>
      <c r="AD1968" t="s">
        <v>3211</v>
      </c>
      <c r="AE1968">
        <v>-43.595413200000003</v>
      </c>
      <c r="AF1968">
        <v>172.36864206999999</v>
      </c>
      <c r="AG1968">
        <v>75</v>
      </c>
      <c r="AH1968">
        <v>25</v>
      </c>
      <c r="AI1968">
        <v>2</v>
      </c>
      <c r="AJ1968">
        <v>19</v>
      </c>
      <c r="AK1968">
        <v>16</v>
      </c>
      <c r="AL1968">
        <v>18</v>
      </c>
      <c r="AM1968">
        <v>10</v>
      </c>
      <c r="AN1968">
        <v>0</v>
      </c>
      <c r="AO1968">
        <v>65</v>
      </c>
      <c r="AP1968">
        <v>42</v>
      </c>
      <c r="AQ1968">
        <v>8</v>
      </c>
      <c r="AR1968">
        <v>5</v>
      </c>
      <c r="AS1968">
        <v>18</v>
      </c>
      <c r="AT1968">
        <v>5</v>
      </c>
    </row>
    <row r="1969" spans="1:46">
      <c r="A1969">
        <v>45495</v>
      </c>
      <c r="B1969" t="s">
        <v>11593</v>
      </c>
      <c r="C1969" t="s">
        <v>11594</v>
      </c>
      <c r="D1969" t="s">
        <v>11595</v>
      </c>
      <c r="E1969" t="s">
        <v>11596</v>
      </c>
      <c r="F1969" t="s">
        <v>8510</v>
      </c>
      <c r="G1969" t="s">
        <v>1296</v>
      </c>
      <c r="H1969" t="s">
        <v>3942</v>
      </c>
      <c r="J1969" t="s">
        <v>3962</v>
      </c>
      <c r="K1969" t="s">
        <v>519</v>
      </c>
      <c r="M1969" t="s">
        <v>1297</v>
      </c>
      <c r="N1969" t="s">
        <v>571</v>
      </c>
      <c r="O1969" t="s">
        <v>1298</v>
      </c>
      <c r="P1969" t="s">
        <v>654</v>
      </c>
      <c r="Q1969" t="s">
        <v>1299</v>
      </c>
      <c r="R1969" t="s">
        <v>1300</v>
      </c>
      <c r="S1969" t="s">
        <v>1312</v>
      </c>
      <c r="T1969" t="s">
        <v>1235</v>
      </c>
      <c r="U1969">
        <v>175901</v>
      </c>
      <c r="V1969" t="s">
        <v>8617</v>
      </c>
      <c r="W1969" t="s">
        <v>1314</v>
      </c>
      <c r="X1969" t="s">
        <v>11597</v>
      </c>
      <c r="Y1969" t="s">
        <v>11598</v>
      </c>
      <c r="Z1969" t="s">
        <v>8510</v>
      </c>
      <c r="AA1969" t="s">
        <v>8662</v>
      </c>
      <c r="AB1969" t="s">
        <v>11599</v>
      </c>
      <c r="AE1969">
        <v>-37.722882300000002</v>
      </c>
      <c r="AF1969">
        <v>175.26236850000001</v>
      </c>
      <c r="AG1969">
        <v>100</v>
      </c>
      <c r="AH1969">
        <v>25</v>
      </c>
      <c r="AI1969">
        <v>4</v>
      </c>
      <c r="AJ1969">
        <v>10</v>
      </c>
      <c r="AK1969">
        <v>17</v>
      </c>
      <c r="AL1969">
        <v>19</v>
      </c>
      <c r="AM1969">
        <v>31</v>
      </c>
      <c r="AN1969">
        <v>0</v>
      </c>
      <c r="AO1969">
        <v>81</v>
      </c>
      <c r="AP1969">
        <v>37</v>
      </c>
      <c r="AQ1969">
        <v>10</v>
      </c>
      <c r="AR1969">
        <v>0</v>
      </c>
      <c r="AS1969">
        <v>31</v>
      </c>
      <c r="AT1969">
        <v>11</v>
      </c>
    </row>
    <row r="1970" spans="1:46">
      <c r="A1970">
        <v>45500</v>
      </c>
      <c r="B1970" t="s">
        <v>11600</v>
      </c>
      <c r="C1970" t="s">
        <v>11601</v>
      </c>
      <c r="D1970" t="s">
        <v>11602</v>
      </c>
      <c r="E1970" t="s">
        <v>5103</v>
      </c>
      <c r="F1970" t="s">
        <v>5104</v>
      </c>
      <c r="G1970" t="s">
        <v>652</v>
      </c>
      <c r="H1970" t="s">
        <v>3942</v>
      </c>
      <c r="J1970" t="s">
        <v>518</v>
      </c>
      <c r="K1970" t="s">
        <v>519</v>
      </c>
      <c r="M1970" t="s">
        <v>520</v>
      </c>
      <c r="N1970" t="s">
        <v>539</v>
      </c>
      <c r="O1970" t="s">
        <v>707</v>
      </c>
      <c r="P1970" t="s">
        <v>654</v>
      </c>
      <c r="Q1970" t="s">
        <v>638</v>
      </c>
      <c r="R1970" t="s">
        <v>729</v>
      </c>
      <c r="S1970" t="s">
        <v>1217</v>
      </c>
      <c r="T1970" t="s">
        <v>709</v>
      </c>
      <c r="U1970">
        <v>158300</v>
      </c>
      <c r="V1970" t="s">
        <v>5093</v>
      </c>
      <c r="W1970" t="s">
        <v>711</v>
      </c>
      <c r="X1970" t="s">
        <v>5102</v>
      </c>
      <c r="Y1970" t="s">
        <v>5103</v>
      </c>
      <c r="Z1970" t="s">
        <v>5104</v>
      </c>
      <c r="AA1970" t="s">
        <v>5105</v>
      </c>
      <c r="AB1970" t="s">
        <v>5106</v>
      </c>
      <c r="AE1970">
        <v>-36.985732849999998</v>
      </c>
      <c r="AF1970">
        <v>174.90549906999999</v>
      </c>
      <c r="AG1970">
        <v>80</v>
      </c>
      <c r="AH1970">
        <v>5</v>
      </c>
      <c r="AI1970">
        <v>1</v>
      </c>
      <c r="AJ1970">
        <v>4</v>
      </c>
      <c r="AK1970">
        <v>12</v>
      </c>
      <c r="AL1970">
        <v>22</v>
      </c>
      <c r="AM1970">
        <v>31</v>
      </c>
      <c r="AN1970">
        <v>2</v>
      </c>
      <c r="AO1970">
        <v>72</v>
      </c>
      <c r="AP1970">
        <v>13</v>
      </c>
      <c r="AQ1970">
        <v>3</v>
      </c>
      <c r="AR1970">
        <v>25</v>
      </c>
      <c r="AS1970">
        <v>40</v>
      </c>
      <c r="AT1970">
        <v>5</v>
      </c>
    </row>
    <row r="1971" spans="1:46">
      <c r="A1971">
        <v>45515</v>
      </c>
      <c r="B1971" t="s">
        <v>11603</v>
      </c>
      <c r="C1971" t="s">
        <v>11604</v>
      </c>
      <c r="D1971" t="s">
        <v>11605</v>
      </c>
      <c r="E1971" t="s">
        <v>11606</v>
      </c>
      <c r="F1971" t="s">
        <v>4466</v>
      </c>
      <c r="G1971" t="s">
        <v>652</v>
      </c>
      <c r="H1971" t="s">
        <v>3942</v>
      </c>
      <c r="I1971" t="s">
        <v>4165</v>
      </c>
      <c r="J1971" t="s">
        <v>518</v>
      </c>
      <c r="K1971" t="s">
        <v>519</v>
      </c>
      <c r="M1971" t="s">
        <v>520</v>
      </c>
      <c r="N1971" t="s">
        <v>557</v>
      </c>
      <c r="O1971" t="s">
        <v>813</v>
      </c>
      <c r="P1971" t="s">
        <v>654</v>
      </c>
      <c r="Q1971" t="s">
        <v>638</v>
      </c>
      <c r="R1971" t="s">
        <v>639</v>
      </c>
      <c r="S1971" t="s">
        <v>719</v>
      </c>
      <c r="T1971" t="s">
        <v>709</v>
      </c>
      <c r="U1971">
        <v>128902</v>
      </c>
      <c r="V1971" t="s">
        <v>5880</v>
      </c>
      <c r="W1971" t="s">
        <v>815</v>
      </c>
      <c r="X1971" t="s">
        <v>11607</v>
      </c>
      <c r="Y1971" t="s">
        <v>11608</v>
      </c>
      <c r="Z1971" t="s">
        <v>4466</v>
      </c>
      <c r="AA1971" t="s">
        <v>4985</v>
      </c>
      <c r="AB1971" t="s">
        <v>11604</v>
      </c>
      <c r="AE1971">
        <v>-36.886990130000001</v>
      </c>
      <c r="AF1971">
        <v>174.65469311999999</v>
      </c>
      <c r="AG1971">
        <v>50</v>
      </c>
      <c r="AH1971">
        <v>10</v>
      </c>
      <c r="AI1971">
        <v>1</v>
      </c>
      <c r="AJ1971">
        <v>3</v>
      </c>
      <c r="AK1971">
        <v>6</v>
      </c>
      <c r="AL1971">
        <v>10</v>
      </c>
      <c r="AM1971">
        <v>11</v>
      </c>
      <c r="AN1971">
        <v>1</v>
      </c>
      <c r="AO1971">
        <v>32</v>
      </c>
      <c r="AP1971">
        <v>1</v>
      </c>
      <c r="AQ1971">
        <v>5</v>
      </c>
      <c r="AR1971">
        <v>32</v>
      </c>
      <c r="AS1971">
        <v>3</v>
      </c>
      <c r="AT1971">
        <v>0</v>
      </c>
    </row>
    <row r="1972" spans="1:46">
      <c r="A1972">
        <v>45519</v>
      </c>
      <c r="B1972" t="s">
        <v>11609</v>
      </c>
      <c r="C1972" t="s">
        <v>11610</v>
      </c>
      <c r="D1972" t="s">
        <v>11611</v>
      </c>
      <c r="E1972" t="s">
        <v>11612</v>
      </c>
      <c r="F1972" t="s">
        <v>1422</v>
      </c>
      <c r="G1972" t="s">
        <v>1296</v>
      </c>
      <c r="H1972" t="s">
        <v>3942</v>
      </c>
      <c r="J1972" t="s">
        <v>3962</v>
      </c>
      <c r="K1972" t="s">
        <v>519</v>
      </c>
      <c r="M1972" t="s">
        <v>1297</v>
      </c>
      <c r="N1972" t="s">
        <v>571</v>
      </c>
      <c r="O1972" t="s">
        <v>1298</v>
      </c>
      <c r="P1972" t="s">
        <v>654</v>
      </c>
      <c r="Q1972" t="s">
        <v>1299</v>
      </c>
      <c r="R1972" t="s">
        <v>1300</v>
      </c>
      <c r="S1972" t="s">
        <v>1301</v>
      </c>
      <c r="T1972" t="s">
        <v>1235</v>
      </c>
      <c r="U1972">
        <v>176301</v>
      </c>
      <c r="V1972" t="s">
        <v>8429</v>
      </c>
      <c r="W1972" t="s">
        <v>1303</v>
      </c>
      <c r="X1972" t="s">
        <v>11613</v>
      </c>
      <c r="AB1972" t="s">
        <v>11614</v>
      </c>
      <c r="AE1972">
        <v>-37.751879600000002</v>
      </c>
      <c r="AF1972">
        <v>175.24239334999999</v>
      </c>
      <c r="AG1972">
        <v>75</v>
      </c>
      <c r="AH1972">
        <v>35</v>
      </c>
      <c r="AI1972">
        <v>1</v>
      </c>
      <c r="AJ1972">
        <v>11</v>
      </c>
      <c r="AK1972">
        <v>11</v>
      </c>
      <c r="AL1972">
        <v>6</v>
      </c>
      <c r="AM1972">
        <v>12</v>
      </c>
      <c r="AN1972">
        <v>1</v>
      </c>
      <c r="AO1972">
        <v>42</v>
      </c>
      <c r="AP1972">
        <v>22</v>
      </c>
      <c r="AQ1972">
        <v>19</v>
      </c>
      <c r="AR1972">
        <v>4</v>
      </c>
      <c r="AS1972">
        <v>10</v>
      </c>
      <c r="AT1972">
        <v>1</v>
      </c>
    </row>
    <row r="1973" spans="1:46">
      <c r="A1973">
        <v>45535</v>
      </c>
      <c r="B1973" t="s">
        <v>11615</v>
      </c>
      <c r="C1973" t="s">
        <v>11616</v>
      </c>
      <c r="D1973" t="s">
        <v>11617</v>
      </c>
      <c r="E1973" t="s">
        <v>11618</v>
      </c>
      <c r="F1973" t="s">
        <v>1729</v>
      </c>
      <c r="G1973" t="s">
        <v>1598</v>
      </c>
      <c r="H1973" t="s">
        <v>3942</v>
      </c>
      <c r="J1973" t="s">
        <v>3962</v>
      </c>
      <c r="K1973" t="s">
        <v>519</v>
      </c>
      <c r="M1973" t="s">
        <v>1297</v>
      </c>
      <c r="N1973" t="s">
        <v>571</v>
      </c>
      <c r="O1973" t="s">
        <v>1698</v>
      </c>
      <c r="P1973" t="s">
        <v>654</v>
      </c>
      <c r="Q1973" t="s">
        <v>1471</v>
      </c>
      <c r="R1973" t="s">
        <v>1472</v>
      </c>
      <c r="S1973" t="s">
        <v>1699</v>
      </c>
      <c r="T1973" t="s">
        <v>1474</v>
      </c>
      <c r="U1973">
        <v>195900</v>
      </c>
      <c r="V1973" t="s">
        <v>1730</v>
      </c>
      <c r="W1973" t="s">
        <v>1731</v>
      </c>
      <c r="X1973" t="s">
        <v>11619</v>
      </c>
      <c r="Y1973" t="s">
        <v>11620</v>
      </c>
      <c r="Z1973" t="s">
        <v>11099</v>
      </c>
      <c r="AA1973" t="s">
        <v>11100</v>
      </c>
      <c r="AB1973" t="s">
        <v>11616</v>
      </c>
      <c r="AC1973">
        <v>99085</v>
      </c>
      <c r="AD1973" t="s">
        <v>1718</v>
      </c>
      <c r="AE1973">
        <v>-37.715174849999997</v>
      </c>
      <c r="AF1973">
        <v>176.18059001</v>
      </c>
      <c r="AG1973">
        <v>45</v>
      </c>
      <c r="AH1973">
        <v>15</v>
      </c>
      <c r="AI1973">
        <v>0</v>
      </c>
      <c r="AJ1973">
        <v>10</v>
      </c>
      <c r="AK1973">
        <v>10</v>
      </c>
      <c r="AL1973">
        <v>16</v>
      </c>
      <c r="AM1973">
        <v>13</v>
      </c>
      <c r="AN1973">
        <v>0</v>
      </c>
      <c r="AO1973">
        <v>49</v>
      </c>
      <c r="AP1973">
        <v>37</v>
      </c>
      <c r="AQ1973">
        <v>15</v>
      </c>
      <c r="AR1973">
        <v>6</v>
      </c>
      <c r="AS1973">
        <v>5</v>
      </c>
      <c r="AT1973">
        <v>3</v>
      </c>
    </row>
    <row r="1974" spans="1:46">
      <c r="A1974">
        <v>45540</v>
      </c>
      <c r="B1974" t="s">
        <v>11621</v>
      </c>
      <c r="C1974" t="s">
        <v>11622</v>
      </c>
      <c r="E1974" t="s">
        <v>11623</v>
      </c>
      <c r="G1974" t="s">
        <v>1261</v>
      </c>
      <c r="H1974" t="s">
        <v>3942</v>
      </c>
      <c r="J1974" t="s">
        <v>3962</v>
      </c>
      <c r="K1974" t="s">
        <v>519</v>
      </c>
      <c r="M1974" t="s">
        <v>520</v>
      </c>
      <c r="N1974" t="s">
        <v>571</v>
      </c>
      <c r="O1974" t="s">
        <v>1233</v>
      </c>
      <c r="P1974" t="s">
        <v>1262</v>
      </c>
      <c r="Q1974" t="s">
        <v>638</v>
      </c>
      <c r="R1974" t="s">
        <v>729</v>
      </c>
      <c r="S1974" t="s">
        <v>1246</v>
      </c>
      <c r="T1974" t="s">
        <v>1235</v>
      </c>
      <c r="U1974">
        <v>166200</v>
      </c>
      <c r="V1974" t="s">
        <v>11624</v>
      </c>
      <c r="W1974" t="s">
        <v>1237</v>
      </c>
      <c r="X1974" t="s">
        <v>11625</v>
      </c>
      <c r="Y1974" t="s">
        <v>11626</v>
      </c>
      <c r="AA1974" t="s">
        <v>7489</v>
      </c>
      <c r="AB1974" t="s">
        <v>11627</v>
      </c>
      <c r="AE1974">
        <v>-37.226425140000003</v>
      </c>
      <c r="AF1974">
        <v>174.92657979000001</v>
      </c>
      <c r="AG1974">
        <v>40</v>
      </c>
      <c r="AH1974">
        <v>10</v>
      </c>
      <c r="AI1974">
        <v>1</v>
      </c>
      <c r="AJ1974">
        <v>11</v>
      </c>
      <c r="AK1974">
        <v>12</v>
      </c>
      <c r="AL1974">
        <v>19</v>
      </c>
      <c r="AM1974">
        <v>10</v>
      </c>
      <c r="AN1974">
        <v>0</v>
      </c>
      <c r="AO1974">
        <v>53</v>
      </c>
      <c r="AP1974">
        <v>53</v>
      </c>
      <c r="AQ1974">
        <v>7</v>
      </c>
      <c r="AR1974">
        <v>3</v>
      </c>
      <c r="AS1974">
        <v>0</v>
      </c>
      <c r="AT1974">
        <v>1</v>
      </c>
    </row>
    <row r="1975" spans="1:46">
      <c r="A1975">
        <v>45541</v>
      </c>
      <c r="B1975" t="s">
        <v>11628</v>
      </c>
      <c r="C1975" t="s">
        <v>11629</v>
      </c>
      <c r="D1975" t="s">
        <v>11630</v>
      </c>
      <c r="E1975" t="s">
        <v>11631</v>
      </c>
      <c r="G1975" t="s">
        <v>6385</v>
      </c>
      <c r="H1975" t="s">
        <v>3942</v>
      </c>
      <c r="J1975" t="s">
        <v>3962</v>
      </c>
      <c r="K1975" t="s">
        <v>519</v>
      </c>
      <c r="M1975" t="s">
        <v>520</v>
      </c>
      <c r="N1975" t="s">
        <v>571</v>
      </c>
      <c r="O1975" t="s">
        <v>637</v>
      </c>
      <c r="P1975" t="s">
        <v>523</v>
      </c>
      <c r="Q1975" t="s">
        <v>638</v>
      </c>
      <c r="R1975" t="s">
        <v>639</v>
      </c>
      <c r="S1975" t="s">
        <v>640</v>
      </c>
      <c r="T1975" t="s">
        <v>527</v>
      </c>
      <c r="U1975">
        <v>115901</v>
      </c>
      <c r="V1975" t="s">
        <v>6385</v>
      </c>
      <c r="W1975" t="s">
        <v>641</v>
      </c>
      <c r="X1975" t="s">
        <v>8014</v>
      </c>
      <c r="Y1975" t="s">
        <v>8015</v>
      </c>
      <c r="AA1975" t="s">
        <v>8016</v>
      </c>
      <c r="AB1975" t="s">
        <v>8017</v>
      </c>
      <c r="AE1975">
        <v>-36.755955409999999</v>
      </c>
      <c r="AF1975">
        <v>174.59196254</v>
      </c>
      <c r="AG1975">
        <v>30</v>
      </c>
      <c r="AH1975">
        <v>0</v>
      </c>
      <c r="AI1975">
        <v>0</v>
      </c>
      <c r="AJ1975">
        <v>0</v>
      </c>
      <c r="AK1975">
        <v>5</v>
      </c>
      <c r="AL1975">
        <v>5</v>
      </c>
      <c r="AM1975">
        <v>6</v>
      </c>
      <c r="AN1975">
        <v>0</v>
      </c>
      <c r="AO1975">
        <v>16</v>
      </c>
      <c r="AP1975">
        <v>16</v>
      </c>
      <c r="AQ1975">
        <v>1</v>
      </c>
      <c r="AR1975">
        <v>2</v>
      </c>
      <c r="AS1975">
        <v>0</v>
      </c>
      <c r="AT1975">
        <v>0</v>
      </c>
    </row>
    <row r="1976" spans="1:46">
      <c r="A1976">
        <v>45544</v>
      </c>
      <c r="B1976" t="s">
        <v>11632</v>
      </c>
      <c r="C1976" t="s">
        <v>11633</v>
      </c>
      <c r="D1976" t="s">
        <v>11634</v>
      </c>
      <c r="E1976" t="s">
        <v>11635</v>
      </c>
      <c r="F1976" t="s">
        <v>737</v>
      </c>
      <c r="G1976" t="s">
        <v>652</v>
      </c>
      <c r="H1976" t="s">
        <v>3942</v>
      </c>
      <c r="J1976" t="s">
        <v>3962</v>
      </c>
      <c r="K1976" t="s">
        <v>519</v>
      </c>
      <c r="M1976" t="s">
        <v>520</v>
      </c>
      <c r="N1976" t="s">
        <v>571</v>
      </c>
      <c r="O1976" t="s">
        <v>738</v>
      </c>
      <c r="P1976" t="s">
        <v>654</v>
      </c>
      <c r="Q1976" t="s">
        <v>638</v>
      </c>
      <c r="R1976" t="s">
        <v>639</v>
      </c>
      <c r="S1976" t="s">
        <v>756</v>
      </c>
      <c r="T1976" t="s">
        <v>527</v>
      </c>
      <c r="U1976">
        <v>124000</v>
      </c>
      <c r="V1976" t="s">
        <v>981</v>
      </c>
      <c r="W1976" t="s">
        <v>741</v>
      </c>
      <c r="X1976" t="s">
        <v>6896</v>
      </c>
      <c r="Y1976" t="s">
        <v>6897</v>
      </c>
      <c r="Z1976" t="s">
        <v>737</v>
      </c>
      <c r="AA1976" t="s">
        <v>6898</v>
      </c>
      <c r="AB1976" t="s">
        <v>6892</v>
      </c>
      <c r="AE1976">
        <v>-36.784634930000003</v>
      </c>
      <c r="AF1976">
        <v>174.73247368</v>
      </c>
      <c r="AG1976">
        <v>30</v>
      </c>
      <c r="AH1976">
        <v>0</v>
      </c>
      <c r="AI1976">
        <v>0</v>
      </c>
      <c r="AJ1976">
        <v>0</v>
      </c>
      <c r="AK1976">
        <v>4</v>
      </c>
      <c r="AL1976">
        <v>7</v>
      </c>
      <c r="AM1976">
        <v>13</v>
      </c>
      <c r="AN1976">
        <v>1</v>
      </c>
      <c r="AO1976">
        <v>25</v>
      </c>
      <c r="AP1976">
        <v>9</v>
      </c>
      <c r="AQ1976">
        <v>3</v>
      </c>
      <c r="AR1976">
        <v>2</v>
      </c>
      <c r="AS1976">
        <v>15</v>
      </c>
      <c r="AT1976">
        <v>0</v>
      </c>
    </row>
    <row r="1977" spans="1:46">
      <c r="A1977">
        <v>45546</v>
      </c>
      <c r="B1977" t="s">
        <v>11636</v>
      </c>
      <c r="C1977" t="s">
        <v>11637</v>
      </c>
      <c r="D1977" t="s">
        <v>11638</v>
      </c>
      <c r="E1977" t="s">
        <v>11639</v>
      </c>
      <c r="F1977" t="s">
        <v>3081</v>
      </c>
      <c r="G1977" t="s">
        <v>2941</v>
      </c>
      <c r="H1977" t="s">
        <v>3942</v>
      </c>
      <c r="J1977" t="s">
        <v>3962</v>
      </c>
      <c r="K1977" t="s">
        <v>519</v>
      </c>
      <c r="M1977" t="s">
        <v>2287</v>
      </c>
      <c r="N1977" t="s">
        <v>571</v>
      </c>
      <c r="O1977" t="s">
        <v>2942</v>
      </c>
      <c r="P1977" t="s">
        <v>654</v>
      </c>
      <c r="Q1977" t="s">
        <v>2943</v>
      </c>
      <c r="R1977" t="s">
        <v>2944</v>
      </c>
      <c r="S1977" t="s">
        <v>2957</v>
      </c>
      <c r="T1977" t="s">
        <v>2448</v>
      </c>
      <c r="U1977">
        <v>323100</v>
      </c>
      <c r="V1977" t="s">
        <v>3082</v>
      </c>
      <c r="W1977" t="s">
        <v>3070</v>
      </c>
      <c r="X1977" t="s">
        <v>11640</v>
      </c>
      <c r="Y1977" t="s">
        <v>11641</v>
      </c>
      <c r="AA1977" t="s">
        <v>11642</v>
      </c>
      <c r="AB1977" t="s">
        <v>11643</v>
      </c>
      <c r="AE1977">
        <v>-43.496348419999997</v>
      </c>
      <c r="AF1977">
        <v>172.64878415999999</v>
      </c>
      <c r="AG1977">
        <v>25</v>
      </c>
      <c r="AH1977">
        <v>0</v>
      </c>
      <c r="AI1977">
        <v>0</v>
      </c>
      <c r="AJ1977">
        <v>0</v>
      </c>
      <c r="AK1977">
        <v>8</v>
      </c>
      <c r="AL1977">
        <v>17</v>
      </c>
      <c r="AM1977">
        <v>11</v>
      </c>
      <c r="AN1977">
        <v>3</v>
      </c>
      <c r="AO1977">
        <v>39</v>
      </c>
      <c r="AP1977">
        <v>31</v>
      </c>
      <c r="AQ1977">
        <v>7</v>
      </c>
      <c r="AR1977">
        <v>2</v>
      </c>
      <c r="AS1977">
        <v>6</v>
      </c>
      <c r="AT1977">
        <v>2</v>
      </c>
    </row>
    <row r="1978" spans="1:46">
      <c r="A1978">
        <v>45549</v>
      </c>
      <c r="B1978" t="s">
        <v>11644</v>
      </c>
      <c r="C1978" t="s">
        <v>11645</v>
      </c>
      <c r="D1978" t="s">
        <v>11646</v>
      </c>
      <c r="E1978" t="s">
        <v>11647</v>
      </c>
      <c r="F1978" t="s">
        <v>11648</v>
      </c>
      <c r="G1978" t="s">
        <v>2197</v>
      </c>
      <c r="H1978" t="s">
        <v>4716</v>
      </c>
      <c r="J1978" t="s">
        <v>3962</v>
      </c>
      <c r="K1978" t="s">
        <v>519</v>
      </c>
      <c r="M1978" t="s">
        <v>520</v>
      </c>
      <c r="N1978" t="s">
        <v>571</v>
      </c>
      <c r="O1978" t="s">
        <v>2198</v>
      </c>
      <c r="P1978" t="s">
        <v>584</v>
      </c>
      <c r="Q1978" t="s">
        <v>2118</v>
      </c>
      <c r="R1978" t="s">
        <v>708</v>
      </c>
      <c r="S1978" t="s">
        <v>2199</v>
      </c>
      <c r="T1978" t="s">
        <v>2085</v>
      </c>
      <c r="U1978">
        <v>210500</v>
      </c>
      <c r="V1978" t="s">
        <v>11648</v>
      </c>
      <c r="W1978" t="s">
        <v>2200</v>
      </c>
      <c r="X1978" t="s">
        <v>11649</v>
      </c>
      <c r="Y1978" t="s">
        <v>11647</v>
      </c>
      <c r="AA1978" t="s">
        <v>11650</v>
      </c>
      <c r="AB1978" t="s">
        <v>11651</v>
      </c>
      <c r="AE1978">
        <v>-39.641812020000003</v>
      </c>
      <c r="AF1978">
        <v>176.84596762999999</v>
      </c>
      <c r="AG1978">
        <v>100</v>
      </c>
      <c r="AH1978">
        <v>100</v>
      </c>
      <c r="AI1978">
        <v>4</v>
      </c>
      <c r="AJ1978">
        <v>27</v>
      </c>
      <c r="AK1978">
        <v>21</v>
      </c>
      <c r="AL1978">
        <v>19</v>
      </c>
      <c r="AM1978">
        <v>5</v>
      </c>
      <c r="AN1978">
        <v>0</v>
      </c>
      <c r="AO1978">
        <v>76</v>
      </c>
      <c r="AP1978">
        <v>62</v>
      </c>
      <c r="AQ1978">
        <v>7</v>
      </c>
      <c r="AR1978">
        <v>11</v>
      </c>
      <c r="AS1978">
        <v>18</v>
      </c>
      <c r="AT1978">
        <v>3</v>
      </c>
    </row>
    <row r="1979" spans="1:46">
      <c r="A1979">
        <v>45553</v>
      </c>
      <c r="B1979" t="s">
        <v>11652</v>
      </c>
      <c r="C1979" t="s">
        <v>11653</v>
      </c>
      <c r="E1979" t="s">
        <v>11654</v>
      </c>
      <c r="F1979" t="s">
        <v>2426</v>
      </c>
      <c r="G1979" t="s">
        <v>2427</v>
      </c>
      <c r="H1979" t="s">
        <v>3942</v>
      </c>
      <c r="I1979" t="s">
        <v>4951</v>
      </c>
      <c r="J1979" t="s">
        <v>518</v>
      </c>
      <c r="K1979" t="s">
        <v>519</v>
      </c>
      <c r="M1979" t="s">
        <v>2287</v>
      </c>
      <c r="N1979" t="s">
        <v>539</v>
      </c>
      <c r="O1979" t="s">
        <v>2428</v>
      </c>
      <c r="P1979" t="s">
        <v>654</v>
      </c>
      <c r="Q1979" t="s">
        <v>2319</v>
      </c>
      <c r="R1979" t="s">
        <v>2289</v>
      </c>
      <c r="S1979" t="s">
        <v>2429</v>
      </c>
      <c r="T1979" t="s">
        <v>2085</v>
      </c>
      <c r="U1979">
        <v>247300</v>
      </c>
      <c r="V1979" t="s">
        <v>11655</v>
      </c>
      <c r="W1979" t="s">
        <v>2431</v>
      </c>
      <c r="X1979" t="s">
        <v>11656</v>
      </c>
      <c r="Y1979" t="s">
        <v>11657</v>
      </c>
      <c r="Z1979" t="s">
        <v>2426</v>
      </c>
      <c r="AA1979" t="s">
        <v>11658</v>
      </c>
      <c r="AB1979" t="s">
        <v>11659</v>
      </c>
      <c r="AC1979">
        <v>99090</v>
      </c>
      <c r="AD1979" t="s">
        <v>2436</v>
      </c>
      <c r="AE1979">
        <v>-41.259499499999997</v>
      </c>
      <c r="AF1979">
        <v>174.95304795999999</v>
      </c>
      <c r="AG1979">
        <v>80</v>
      </c>
      <c r="AH1979">
        <v>14</v>
      </c>
      <c r="AI1979">
        <v>1</v>
      </c>
      <c r="AJ1979">
        <v>9</v>
      </c>
      <c r="AK1979">
        <v>16</v>
      </c>
      <c r="AL1979">
        <v>16</v>
      </c>
      <c r="AM1979">
        <v>15</v>
      </c>
      <c r="AN1979">
        <v>2</v>
      </c>
      <c r="AO1979">
        <v>59</v>
      </c>
      <c r="AP1979">
        <v>11</v>
      </c>
      <c r="AQ1979">
        <v>54</v>
      </c>
      <c r="AR1979">
        <v>12</v>
      </c>
      <c r="AS1979">
        <v>4</v>
      </c>
      <c r="AT1979">
        <v>1</v>
      </c>
    </row>
    <row r="1980" spans="1:46">
      <c r="A1980">
        <v>45555</v>
      </c>
      <c r="B1980" t="s">
        <v>11660</v>
      </c>
      <c r="C1980" t="s">
        <v>11661</v>
      </c>
      <c r="D1980" t="s">
        <v>11662</v>
      </c>
      <c r="E1980" t="s">
        <v>11663</v>
      </c>
      <c r="F1980" t="s">
        <v>11664</v>
      </c>
      <c r="G1980" t="s">
        <v>1469</v>
      </c>
      <c r="H1980" t="s">
        <v>3942</v>
      </c>
      <c r="I1980" t="s">
        <v>4951</v>
      </c>
      <c r="J1980" t="s">
        <v>518</v>
      </c>
      <c r="K1980" t="s">
        <v>519</v>
      </c>
      <c r="M1980" t="s">
        <v>1297</v>
      </c>
      <c r="N1980" t="s">
        <v>539</v>
      </c>
      <c r="O1980" t="s">
        <v>1470</v>
      </c>
      <c r="P1980" t="s">
        <v>572</v>
      </c>
      <c r="Q1980" t="s">
        <v>1471</v>
      </c>
      <c r="R1980" t="s">
        <v>1472</v>
      </c>
      <c r="S1980" t="s">
        <v>1473</v>
      </c>
      <c r="T1980" t="s">
        <v>1474</v>
      </c>
      <c r="U1980">
        <v>202300</v>
      </c>
      <c r="V1980" t="s">
        <v>9783</v>
      </c>
      <c r="W1980" t="s">
        <v>1514</v>
      </c>
      <c r="X1980" t="s">
        <v>11665</v>
      </c>
      <c r="Y1980" t="s">
        <v>11666</v>
      </c>
      <c r="AA1980" t="s">
        <v>11667</v>
      </c>
      <c r="AB1980" t="s">
        <v>11661</v>
      </c>
      <c r="AC1980">
        <v>99016</v>
      </c>
      <c r="AD1980" t="s">
        <v>1479</v>
      </c>
      <c r="AE1980">
        <v>-37.94466182</v>
      </c>
      <c r="AF1980">
        <v>176.93396300000001</v>
      </c>
      <c r="AG1980">
        <v>78</v>
      </c>
      <c r="AH1980">
        <v>24</v>
      </c>
      <c r="AI1980">
        <v>4</v>
      </c>
      <c r="AJ1980">
        <v>8</v>
      </c>
      <c r="AK1980">
        <v>18</v>
      </c>
      <c r="AL1980">
        <v>11</v>
      </c>
      <c r="AM1980">
        <v>18</v>
      </c>
      <c r="AN1980">
        <v>2</v>
      </c>
      <c r="AO1980">
        <v>61</v>
      </c>
      <c r="AP1980">
        <v>13</v>
      </c>
      <c r="AQ1980">
        <v>58</v>
      </c>
      <c r="AR1980">
        <v>7</v>
      </c>
      <c r="AS1980">
        <v>0</v>
      </c>
      <c r="AT1980">
        <v>0</v>
      </c>
    </row>
    <row r="1981" spans="1:46">
      <c r="A1981">
        <v>45557</v>
      </c>
      <c r="B1981" t="s">
        <v>11668</v>
      </c>
      <c r="C1981" t="s">
        <v>11669</v>
      </c>
      <c r="D1981" t="s">
        <v>11670</v>
      </c>
      <c r="E1981" t="s">
        <v>11671</v>
      </c>
      <c r="G1981" t="s">
        <v>2853</v>
      </c>
      <c r="H1981" t="s">
        <v>517</v>
      </c>
      <c r="I1981" t="s">
        <v>4951</v>
      </c>
      <c r="J1981" t="s">
        <v>518</v>
      </c>
      <c r="K1981" t="s">
        <v>519</v>
      </c>
      <c r="M1981" t="s">
        <v>2287</v>
      </c>
      <c r="N1981" t="s">
        <v>557</v>
      </c>
      <c r="O1981" t="s">
        <v>2854</v>
      </c>
      <c r="P1981" t="s">
        <v>584</v>
      </c>
      <c r="Q1981" t="s">
        <v>2855</v>
      </c>
      <c r="R1981" t="s">
        <v>2824</v>
      </c>
      <c r="S1981" t="s">
        <v>2853</v>
      </c>
      <c r="T1981" t="s">
        <v>2448</v>
      </c>
      <c r="U1981">
        <v>303901</v>
      </c>
      <c r="V1981" t="s">
        <v>11672</v>
      </c>
      <c r="W1981" t="s">
        <v>2033</v>
      </c>
      <c r="X1981" t="s">
        <v>2858</v>
      </c>
      <c r="Y1981" t="s">
        <v>2859</v>
      </c>
      <c r="Z1981" t="s">
        <v>2853</v>
      </c>
      <c r="AA1981" t="s">
        <v>2860</v>
      </c>
      <c r="AB1981" t="s">
        <v>2861</v>
      </c>
      <c r="AC1981">
        <v>99005</v>
      </c>
      <c r="AD1981" t="s">
        <v>2878</v>
      </c>
      <c r="AE1981">
        <v>-41.268354170000002</v>
      </c>
      <c r="AF1981">
        <v>173.27792948999999</v>
      </c>
      <c r="AG1981">
        <v>50</v>
      </c>
      <c r="AH1981">
        <v>15</v>
      </c>
      <c r="AI1981">
        <v>1</v>
      </c>
      <c r="AJ1981">
        <v>13</v>
      </c>
      <c r="AK1981">
        <v>13</v>
      </c>
      <c r="AL1981">
        <v>12</v>
      </c>
      <c r="AM1981">
        <v>13</v>
      </c>
      <c r="AN1981">
        <v>0</v>
      </c>
      <c r="AO1981">
        <v>52</v>
      </c>
      <c r="AP1981">
        <v>38</v>
      </c>
      <c r="AQ1981">
        <v>26</v>
      </c>
      <c r="AR1981">
        <v>6</v>
      </c>
      <c r="AS1981">
        <v>2</v>
      </c>
      <c r="AT1981">
        <v>0</v>
      </c>
    </row>
    <row r="1982" spans="1:46">
      <c r="A1982">
        <v>45558</v>
      </c>
      <c r="B1982" t="s">
        <v>11673</v>
      </c>
      <c r="C1982" t="s">
        <v>11674</v>
      </c>
      <c r="E1982" t="s">
        <v>11675</v>
      </c>
      <c r="F1982" t="s">
        <v>2097</v>
      </c>
      <c r="G1982" t="s">
        <v>2081</v>
      </c>
      <c r="H1982" t="s">
        <v>4032</v>
      </c>
      <c r="I1982" t="s">
        <v>4033</v>
      </c>
      <c r="J1982" t="s">
        <v>518</v>
      </c>
      <c r="K1982" t="s">
        <v>519</v>
      </c>
      <c r="M1982" t="s">
        <v>1297</v>
      </c>
      <c r="N1982" t="s">
        <v>727</v>
      </c>
      <c r="O1982" t="s">
        <v>2082</v>
      </c>
      <c r="P1982" t="s">
        <v>584</v>
      </c>
      <c r="Q1982" t="s">
        <v>2083</v>
      </c>
      <c r="R1982" t="s">
        <v>2084</v>
      </c>
      <c r="S1982" t="s">
        <v>1473</v>
      </c>
      <c r="T1982" t="s">
        <v>2085</v>
      </c>
      <c r="U1982">
        <v>205500</v>
      </c>
      <c r="V1982" t="s">
        <v>11676</v>
      </c>
      <c r="W1982" t="s">
        <v>2087</v>
      </c>
      <c r="X1982" t="s">
        <v>11677</v>
      </c>
      <c r="Y1982" t="s">
        <v>11678</v>
      </c>
      <c r="AA1982" t="s">
        <v>10864</v>
      </c>
      <c r="AB1982" t="s">
        <v>11679</v>
      </c>
      <c r="AE1982">
        <v>-38.638595729999999</v>
      </c>
      <c r="AF1982">
        <v>178.00291077</v>
      </c>
      <c r="AG1982">
        <v>11</v>
      </c>
      <c r="AH1982">
        <v>5</v>
      </c>
    </row>
    <row r="1983" spans="1:46">
      <c r="A1983">
        <v>45559</v>
      </c>
      <c r="B1983" t="s">
        <v>11680</v>
      </c>
      <c r="C1983" t="s">
        <v>11681</v>
      </c>
      <c r="E1983" t="s">
        <v>11682</v>
      </c>
      <c r="F1983" t="s">
        <v>3990</v>
      </c>
      <c r="G1983" t="s">
        <v>652</v>
      </c>
      <c r="H1983" t="s">
        <v>4716</v>
      </c>
      <c r="J1983" t="s">
        <v>3962</v>
      </c>
      <c r="K1983" t="s">
        <v>519</v>
      </c>
      <c r="M1983" t="s">
        <v>520</v>
      </c>
      <c r="N1983" t="s">
        <v>571</v>
      </c>
      <c r="O1983" t="s">
        <v>728</v>
      </c>
      <c r="P1983" t="s">
        <v>654</v>
      </c>
      <c r="Q1983" t="s">
        <v>638</v>
      </c>
      <c r="R1983" t="s">
        <v>729</v>
      </c>
      <c r="S1983" t="s">
        <v>778</v>
      </c>
      <c r="T1983" t="s">
        <v>709</v>
      </c>
      <c r="U1983">
        <v>156000</v>
      </c>
      <c r="V1983" t="s">
        <v>6408</v>
      </c>
      <c r="W1983" t="s">
        <v>732</v>
      </c>
      <c r="X1983" t="s">
        <v>11683</v>
      </c>
      <c r="Y1983" t="s">
        <v>11684</v>
      </c>
      <c r="Z1983" t="s">
        <v>828</v>
      </c>
      <c r="AA1983" t="s">
        <v>6880</v>
      </c>
      <c r="AE1983">
        <v>-36.960516290000001</v>
      </c>
      <c r="AF1983">
        <v>174.89606910000001</v>
      </c>
      <c r="AG1983">
        <v>60</v>
      </c>
      <c r="AH1983">
        <v>60</v>
      </c>
      <c r="AI1983">
        <v>2</v>
      </c>
      <c r="AJ1983">
        <v>3</v>
      </c>
      <c r="AK1983">
        <v>4</v>
      </c>
      <c r="AL1983">
        <v>7</v>
      </c>
      <c r="AM1983">
        <v>6</v>
      </c>
      <c r="AN1983">
        <v>0</v>
      </c>
      <c r="AO1983">
        <v>22</v>
      </c>
      <c r="AP1983">
        <v>5</v>
      </c>
      <c r="AQ1983">
        <v>3</v>
      </c>
      <c r="AR1983">
        <v>11</v>
      </c>
      <c r="AS1983">
        <v>8</v>
      </c>
      <c r="AT1983">
        <v>1</v>
      </c>
    </row>
    <row r="1984" spans="1:46">
      <c r="A1984">
        <v>45561</v>
      </c>
      <c r="B1984" t="s">
        <v>11685</v>
      </c>
      <c r="C1984" t="s">
        <v>11686</v>
      </c>
      <c r="E1984" t="s">
        <v>11687</v>
      </c>
      <c r="F1984" t="s">
        <v>681</v>
      </c>
      <c r="G1984" t="s">
        <v>652</v>
      </c>
      <c r="H1984" t="s">
        <v>343</v>
      </c>
      <c r="J1984" t="s">
        <v>518</v>
      </c>
      <c r="K1984" t="s">
        <v>519</v>
      </c>
      <c r="L1984" t="s">
        <v>4205</v>
      </c>
      <c r="M1984" t="s">
        <v>520</v>
      </c>
      <c r="N1984" t="s">
        <v>571</v>
      </c>
      <c r="O1984" t="s">
        <v>1168</v>
      </c>
      <c r="P1984" t="s">
        <v>654</v>
      </c>
      <c r="Q1984" t="s">
        <v>638</v>
      </c>
      <c r="R1984" t="s">
        <v>639</v>
      </c>
      <c r="S1984" t="s">
        <v>655</v>
      </c>
      <c r="T1984" t="s">
        <v>527</v>
      </c>
      <c r="U1984">
        <v>118600</v>
      </c>
      <c r="V1984" t="s">
        <v>4012</v>
      </c>
      <c r="W1984" t="s">
        <v>657</v>
      </c>
      <c r="X1984" t="s">
        <v>6607</v>
      </c>
      <c r="Y1984" t="s">
        <v>4208</v>
      </c>
      <c r="Z1984" t="s">
        <v>4209</v>
      </c>
      <c r="AA1984" t="s">
        <v>4210</v>
      </c>
      <c r="AB1984" t="s">
        <v>6608</v>
      </c>
      <c r="AE1984">
        <v>-36.743516339999999</v>
      </c>
      <c r="AF1984">
        <v>174.7320359</v>
      </c>
      <c r="AG1984">
        <v>40</v>
      </c>
      <c r="AH1984">
        <v>10</v>
      </c>
      <c r="AI1984">
        <v>0</v>
      </c>
      <c r="AJ1984">
        <v>5</v>
      </c>
      <c r="AK1984">
        <v>3</v>
      </c>
      <c r="AL1984">
        <v>8</v>
      </c>
      <c r="AM1984">
        <v>12</v>
      </c>
      <c r="AN1984">
        <v>0</v>
      </c>
      <c r="AO1984">
        <v>28</v>
      </c>
      <c r="AP1984">
        <v>0</v>
      </c>
      <c r="AQ1984">
        <v>27</v>
      </c>
      <c r="AR1984">
        <v>1</v>
      </c>
      <c r="AS1984">
        <v>0</v>
      </c>
      <c r="AT1984">
        <v>0</v>
      </c>
    </row>
    <row r="1985" spans="1:46">
      <c r="A1985">
        <v>45562</v>
      </c>
      <c r="B1985" t="s">
        <v>11688</v>
      </c>
      <c r="C1985" t="s">
        <v>11689</v>
      </c>
      <c r="D1985" t="s">
        <v>11690</v>
      </c>
      <c r="E1985" t="s">
        <v>11691</v>
      </c>
      <c r="G1985" t="s">
        <v>1460</v>
      </c>
      <c r="H1985" t="s">
        <v>3942</v>
      </c>
      <c r="J1985" t="s">
        <v>3962</v>
      </c>
      <c r="K1985" t="s">
        <v>519</v>
      </c>
      <c r="M1985" t="s">
        <v>1297</v>
      </c>
      <c r="N1985" t="s">
        <v>571</v>
      </c>
      <c r="O1985" t="s">
        <v>1461</v>
      </c>
      <c r="P1985" t="s">
        <v>523</v>
      </c>
      <c r="Q1985" t="s">
        <v>1299</v>
      </c>
      <c r="R1985" t="s">
        <v>1300</v>
      </c>
      <c r="S1985" t="s">
        <v>1438</v>
      </c>
      <c r="T1985" t="s">
        <v>1235</v>
      </c>
      <c r="U1985">
        <v>168001</v>
      </c>
      <c r="V1985" t="s">
        <v>9454</v>
      </c>
      <c r="W1985" t="s">
        <v>1463</v>
      </c>
      <c r="X1985" t="s">
        <v>11692</v>
      </c>
      <c r="Y1985" t="s">
        <v>11691</v>
      </c>
      <c r="AA1985" t="s">
        <v>11693</v>
      </c>
      <c r="AB1985" t="s">
        <v>11694</v>
      </c>
      <c r="AE1985">
        <v>-37.161548539999998</v>
      </c>
      <c r="AF1985">
        <v>175.55530178000001</v>
      </c>
      <c r="AG1985">
        <v>42</v>
      </c>
      <c r="AH1985">
        <v>12</v>
      </c>
      <c r="AI1985">
        <v>2</v>
      </c>
      <c r="AJ1985">
        <v>4</v>
      </c>
      <c r="AK1985">
        <v>12</v>
      </c>
      <c r="AL1985">
        <v>9</v>
      </c>
      <c r="AM1985">
        <v>14</v>
      </c>
      <c r="AN1985">
        <v>0</v>
      </c>
      <c r="AO1985">
        <v>41</v>
      </c>
      <c r="AP1985">
        <v>36</v>
      </c>
      <c r="AQ1985">
        <v>7</v>
      </c>
      <c r="AR1985">
        <v>1</v>
      </c>
      <c r="AS1985">
        <v>4</v>
      </c>
      <c r="AT1985">
        <v>1</v>
      </c>
    </row>
    <row r="1986" spans="1:46">
      <c r="A1986">
        <v>45565</v>
      </c>
      <c r="B1986" t="s">
        <v>11695</v>
      </c>
      <c r="C1986" t="s">
        <v>11696</v>
      </c>
      <c r="D1986" t="s">
        <v>11697</v>
      </c>
      <c r="E1986" t="s">
        <v>11698</v>
      </c>
      <c r="F1986" t="s">
        <v>3173</v>
      </c>
      <c r="G1986" t="s">
        <v>2941</v>
      </c>
      <c r="H1986" t="s">
        <v>3942</v>
      </c>
      <c r="J1986" t="s">
        <v>3962</v>
      </c>
      <c r="K1986" t="s">
        <v>519</v>
      </c>
      <c r="M1986" t="s">
        <v>2287</v>
      </c>
      <c r="N1986" t="s">
        <v>571</v>
      </c>
      <c r="O1986" t="s">
        <v>2942</v>
      </c>
      <c r="P1986" t="s">
        <v>654</v>
      </c>
      <c r="Q1986" t="s">
        <v>2943</v>
      </c>
      <c r="R1986" t="s">
        <v>2944</v>
      </c>
      <c r="S1986" t="s">
        <v>2957</v>
      </c>
      <c r="T1986" t="s">
        <v>2448</v>
      </c>
      <c r="U1986">
        <v>322100</v>
      </c>
      <c r="V1986" t="s">
        <v>3152</v>
      </c>
      <c r="W1986" t="s">
        <v>3098</v>
      </c>
      <c r="X1986" t="s">
        <v>11699</v>
      </c>
      <c r="Y1986" t="s">
        <v>11698</v>
      </c>
      <c r="Z1986" t="s">
        <v>11700</v>
      </c>
      <c r="AA1986" t="s">
        <v>11701</v>
      </c>
      <c r="AB1986" t="s">
        <v>11702</v>
      </c>
      <c r="AE1986">
        <v>-43.500159600000003</v>
      </c>
      <c r="AF1986">
        <v>172.62960973</v>
      </c>
      <c r="AG1986">
        <v>57</v>
      </c>
      <c r="AH1986">
        <v>14</v>
      </c>
      <c r="AI1986">
        <v>4</v>
      </c>
      <c r="AJ1986">
        <v>9</v>
      </c>
      <c r="AK1986">
        <v>24</v>
      </c>
      <c r="AL1986">
        <v>16</v>
      </c>
      <c r="AM1986">
        <v>22</v>
      </c>
      <c r="AN1986">
        <v>0</v>
      </c>
      <c r="AO1986">
        <v>75</v>
      </c>
      <c r="AP1986">
        <v>70</v>
      </c>
      <c r="AQ1986">
        <v>5</v>
      </c>
      <c r="AR1986">
        <v>2</v>
      </c>
      <c r="AS1986">
        <v>7</v>
      </c>
      <c r="AT1986">
        <v>2</v>
      </c>
    </row>
    <row r="1987" spans="1:46">
      <c r="A1987">
        <v>45566</v>
      </c>
      <c r="B1987" t="s">
        <v>11703</v>
      </c>
      <c r="C1987" t="s">
        <v>11704</v>
      </c>
      <c r="D1987" t="s">
        <v>11705</v>
      </c>
      <c r="E1987" t="s">
        <v>11706</v>
      </c>
      <c r="F1987" t="s">
        <v>11707</v>
      </c>
      <c r="G1987" t="s">
        <v>2941</v>
      </c>
      <c r="H1987" t="s">
        <v>3942</v>
      </c>
      <c r="J1987" t="s">
        <v>3962</v>
      </c>
      <c r="K1987" t="s">
        <v>519</v>
      </c>
      <c r="M1987" t="s">
        <v>2287</v>
      </c>
      <c r="N1987" t="s">
        <v>571</v>
      </c>
      <c r="O1987" t="s">
        <v>2942</v>
      </c>
      <c r="P1987" t="s">
        <v>654</v>
      </c>
      <c r="Q1987" t="s">
        <v>2943</v>
      </c>
      <c r="R1987" t="s">
        <v>2944</v>
      </c>
      <c r="S1987" t="s">
        <v>2957</v>
      </c>
      <c r="T1987" t="s">
        <v>2448</v>
      </c>
      <c r="U1987">
        <v>329400</v>
      </c>
      <c r="V1987" t="s">
        <v>3013</v>
      </c>
      <c r="W1987" t="s">
        <v>3014</v>
      </c>
      <c r="X1987" t="s">
        <v>11708</v>
      </c>
      <c r="Y1987" t="s">
        <v>11709</v>
      </c>
      <c r="Z1987" t="s">
        <v>11710</v>
      </c>
      <c r="AA1987" t="s">
        <v>11642</v>
      </c>
      <c r="AB1987" t="s">
        <v>11711</v>
      </c>
      <c r="AC1987">
        <v>99177</v>
      </c>
      <c r="AD1987" t="s">
        <v>2959</v>
      </c>
      <c r="AE1987">
        <v>-43.55346248</v>
      </c>
      <c r="AF1987">
        <v>172.64755847000001</v>
      </c>
      <c r="AG1987">
        <v>30</v>
      </c>
      <c r="AH1987">
        <v>10</v>
      </c>
      <c r="AI1987">
        <v>0</v>
      </c>
      <c r="AJ1987">
        <v>2</v>
      </c>
      <c r="AK1987">
        <v>11</v>
      </c>
      <c r="AL1987">
        <v>11</v>
      </c>
      <c r="AM1987">
        <v>8</v>
      </c>
      <c r="AN1987">
        <v>1</v>
      </c>
      <c r="AO1987">
        <v>33</v>
      </c>
      <c r="AP1987">
        <v>12</v>
      </c>
      <c r="AQ1987">
        <v>3</v>
      </c>
      <c r="AR1987">
        <v>0</v>
      </c>
      <c r="AS1987">
        <v>21</v>
      </c>
      <c r="AT1987">
        <v>0</v>
      </c>
    </row>
    <row r="1988" spans="1:46">
      <c r="A1988">
        <v>45567</v>
      </c>
      <c r="B1988" t="s">
        <v>11712</v>
      </c>
      <c r="C1988" t="s">
        <v>11713</v>
      </c>
      <c r="E1988" t="s">
        <v>11714</v>
      </c>
      <c r="F1988" t="s">
        <v>858</v>
      </c>
      <c r="G1988" t="s">
        <v>652</v>
      </c>
      <c r="H1988" t="s">
        <v>3942</v>
      </c>
      <c r="J1988" t="s">
        <v>3962</v>
      </c>
      <c r="K1988" t="s">
        <v>519</v>
      </c>
      <c r="M1988" t="s">
        <v>520</v>
      </c>
      <c r="N1988" t="s">
        <v>571</v>
      </c>
      <c r="O1988" t="s">
        <v>857</v>
      </c>
      <c r="P1988" t="s">
        <v>654</v>
      </c>
      <c r="Q1988" t="s">
        <v>638</v>
      </c>
      <c r="R1988" t="s">
        <v>708</v>
      </c>
      <c r="S1988" t="s">
        <v>858</v>
      </c>
      <c r="T1988" t="s">
        <v>709</v>
      </c>
      <c r="U1988">
        <v>135800</v>
      </c>
      <c r="V1988" t="s">
        <v>8056</v>
      </c>
      <c r="W1988" t="s">
        <v>860</v>
      </c>
      <c r="X1988" t="s">
        <v>11715</v>
      </c>
      <c r="Y1988" t="s">
        <v>4658</v>
      </c>
      <c r="Z1988" t="s">
        <v>958</v>
      </c>
      <c r="AA1988" t="s">
        <v>4659</v>
      </c>
      <c r="AB1988" t="s">
        <v>11716</v>
      </c>
      <c r="AE1988">
        <v>-36.87945714</v>
      </c>
      <c r="AF1988">
        <v>174.73390979000001</v>
      </c>
      <c r="AG1988">
        <v>80</v>
      </c>
      <c r="AH1988">
        <v>20</v>
      </c>
      <c r="AI1988">
        <v>2</v>
      </c>
      <c r="AJ1988">
        <v>12</v>
      </c>
      <c r="AK1988">
        <v>11</v>
      </c>
      <c r="AL1988">
        <v>13</v>
      </c>
      <c r="AM1988">
        <v>12</v>
      </c>
      <c r="AN1988">
        <v>1</v>
      </c>
      <c r="AO1988">
        <v>51</v>
      </c>
      <c r="AP1988">
        <v>18</v>
      </c>
      <c r="AQ1988">
        <v>6</v>
      </c>
      <c r="AR1988">
        <v>4</v>
      </c>
      <c r="AS1988">
        <v>27</v>
      </c>
      <c r="AT1988">
        <v>5</v>
      </c>
    </row>
    <row r="1989" spans="1:46">
      <c r="A1989">
        <v>45568</v>
      </c>
      <c r="B1989" t="s">
        <v>11717</v>
      </c>
      <c r="C1989" t="s">
        <v>11718</v>
      </c>
      <c r="D1989" t="s">
        <v>11719</v>
      </c>
      <c r="E1989" t="s">
        <v>11720</v>
      </c>
      <c r="F1989" t="s">
        <v>717</v>
      </c>
      <c r="G1989" t="s">
        <v>652</v>
      </c>
      <c r="H1989" t="s">
        <v>3942</v>
      </c>
      <c r="J1989" t="s">
        <v>3962</v>
      </c>
      <c r="K1989" t="s">
        <v>519</v>
      </c>
      <c r="M1989" t="s">
        <v>520</v>
      </c>
      <c r="N1989" t="s">
        <v>571</v>
      </c>
      <c r="O1989" t="s">
        <v>718</v>
      </c>
      <c r="P1989" t="s">
        <v>654</v>
      </c>
      <c r="Q1989" t="s">
        <v>638</v>
      </c>
      <c r="R1989" t="s">
        <v>708</v>
      </c>
      <c r="S1989" t="s">
        <v>719</v>
      </c>
      <c r="T1989" t="s">
        <v>709</v>
      </c>
      <c r="U1989">
        <v>128700</v>
      </c>
      <c r="V1989" t="s">
        <v>11721</v>
      </c>
      <c r="W1989" t="s">
        <v>721</v>
      </c>
      <c r="X1989" t="s">
        <v>11722</v>
      </c>
      <c r="Y1989" t="s">
        <v>11723</v>
      </c>
      <c r="Z1989" t="s">
        <v>11724</v>
      </c>
      <c r="AA1989" t="s">
        <v>11725</v>
      </c>
      <c r="AE1989">
        <v>-36.882482250000002</v>
      </c>
      <c r="AF1989">
        <v>174.67946019999999</v>
      </c>
      <c r="AG1989">
        <v>100</v>
      </c>
      <c r="AH1989">
        <v>36</v>
      </c>
      <c r="AI1989">
        <v>10</v>
      </c>
      <c r="AJ1989">
        <v>20</v>
      </c>
      <c r="AK1989">
        <v>34</v>
      </c>
      <c r="AL1989">
        <v>27</v>
      </c>
      <c r="AM1989">
        <v>14</v>
      </c>
      <c r="AN1989">
        <v>0</v>
      </c>
      <c r="AO1989">
        <v>105</v>
      </c>
      <c r="AP1989">
        <v>72</v>
      </c>
      <c r="AQ1989">
        <v>20</v>
      </c>
      <c r="AR1989">
        <v>21</v>
      </c>
      <c r="AS1989">
        <v>28</v>
      </c>
      <c r="AT1989">
        <v>6</v>
      </c>
    </row>
    <row r="1990" spans="1:46">
      <c r="A1990">
        <v>45570</v>
      </c>
      <c r="B1990" t="s">
        <v>11726</v>
      </c>
      <c r="C1990" t="s">
        <v>11727</v>
      </c>
      <c r="E1990" t="s">
        <v>11728</v>
      </c>
      <c r="G1990" t="s">
        <v>550</v>
      </c>
      <c r="H1990" t="s">
        <v>3942</v>
      </c>
      <c r="J1990" t="s">
        <v>3962</v>
      </c>
      <c r="K1990" t="s">
        <v>519</v>
      </c>
      <c r="M1990" t="s">
        <v>520</v>
      </c>
      <c r="N1990" t="s">
        <v>727</v>
      </c>
      <c r="O1990" t="s">
        <v>522</v>
      </c>
      <c r="P1990" t="s">
        <v>523</v>
      </c>
      <c r="Q1990" t="s">
        <v>524</v>
      </c>
      <c r="R1990" t="s">
        <v>525</v>
      </c>
      <c r="S1990" t="s">
        <v>526</v>
      </c>
      <c r="T1990" t="s">
        <v>527</v>
      </c>
      <c r="U1990">
        <v>103501</v>
      </c>
      <c r="V1990" t="s">
        <v>550</v>
      </c>
      <c r="W1990" t="s">
        <v>551</v>
      </c>
      <c r="X1990" t="s">
        <v>11729</v>
      </c>
      <c r="Y1990" t="s">
        <v>8071</v>
      </c>
      <c r="Z1990" t="s">
        <v>5465</v>
      </c>
      <c r="AA1990" t="s">
        <v>11730</v>
      </c>
      <c r="AB1990" t="s">
        <v>11731</v>
      </c>
      <c r="AC1990">
        <v>99060</v>
      </c>
      <c r="AD1990" t="s">
        <v>552</v>
      </c>
      <c r="AE1990">
        <v>-35.399679210000002</v>
      </c>
      <c r="AF1990">
        <v>173.80925694999999</v>
      </c>
      <c r="AG1990">
        <v>35</v>
      </c>
      <c r="AH1990">
        <v>12</v>
      </c>
      <c r="AI1990">
        <v>0</v>
      </c>
      <c r="AJ1990">
        <v>3</v>
      </c>
      <c r="AK1990">
        <v>8</v>
      </c>
      <c r="AL1990">
        <v>9</v>
      </c>
      <c r="AM1990">
        <v>2</v>
      </c>
      <c r="AN1990">
        <v>1</v>
      </c>
      <c r="AO1990">
        <v>23</v>
      </c>
      <c r="AP1990">
        <v>0</v>
      </c>
      <c r="AQ1990">
        <v>22</v>
      </c>
      <c r="AR1990">
        <v>5</v>
      </c>
      <c r="AS1990">
        <v>0</v>
      </c>
      <c r="AT1990">
        <v>0</v>
      </c>
    </row>
    <row r="1991" spans="1:46">
      <c r="A1991">
        <v>45574</v>
      </c>
      <c r="B1991" t="s">
        <v>11732</v>
      </c>
      <c r="C1991" t="s">
        <v>11733</v>
      </c>
      <c r="E1991" t="s">
        <v>11734</v>
      </c>
      <c r="F1991" t="s">
        <v>1035</v>
      </c>
      <c r="G1991" t="s">
        <v>652</v>
      </c>
      <c r="H1991" t="s">
        <v>3942</v>
      </c>
      <c r="J1991" t="s">
        <v>3962</v>
      </c>
      <c r="K1991" t="s">
        <v>519</v>
      </c>
      <c r="M1991" t="s">
        <v>520</v>
      </c>
      <c r="N1991" t="s">
        <v>539</v>
      </c>
      <c r="O1991" t="s">
        <v>728</v>
      </c>
      <c r="P1991" t="s">
        <v>654</v>
      </c>
      <c r="Q1991" t="s">
        <v>638</v>
      </c>
      <c r="R1991" t="s">
        <v>729</v>
      </c>
      <c r="S1991" t="s">
        <v>1036</v>
      </c>
      <c r="T1991" t="s">
        <v>709</v>
      </c>
      <c r="U1991">
        <v>154802</v>
      </c>
      <c r="V1991" t="s">
        <v>4347</v>
      </c>
      <c r="W1991" t="s">
        <v>732</v>
      </c>
      <c r="X1991" t="s">
        <v>11735</v>
      </c>
      <c r="Y1991" t="s">
        <v>11736</v>
      </c>
      <c r="Z1991" t="s">
        <v>855</v>
      </c>
      <c r="AA1991" t="s">
        <v>4876</v>
      </c>
      <c r="AB1991" t="s">
        <v>11737</v>
      </c>
      <c r="AE1991">
        <v>-36.982646709999997</v>
      </c>
      <c r="AF1991">
        <v>174.85151639</v>
      </c>
      <c r="AG1991">
        <v>73</v>
      </c>
      <c r="AH1991">
        <v>13</v>
      </c>
      <c r="AI1991">
        <v>0</v>
      </c>
      <c r="AJ1991">
        <v>8</v>
      </c>
      <c r="AK1991">
        <v>15</v>
      </c>
      <c r="AL1991">
        <v>21</v>
      </c>
      <c r="AM1991">
        <v>12</v>
      </c>
      <c r="AN1991">
        <v>1</v>
      </c>
      <c r="AO1991">
        <v>57</v>
      </c>
      <c r="AP1991">
        <v>17</v>
      </c>
      <c r="AQ1991">
        <v>21</v>
      </c>
      <c r="AR1991">
        <v>23</v>
      </c>
      <c r="AS1991">
        <v>25</v>
      </c>
      <c r="AT1991">
        <v>4</v>
      </c>
    </row>
    <row r="1992" spans="1:46">
      <c r="A1992">
        <v>45577</v>
      </c>
      <c r="B1992" t="s">
        <v>11738</v>
      </c>
      <c r="C1992" t="s">
        <v>11739</v>
      </c>
      <c r="D1992" t="s">
        <v>11740</v>
      </c>
      <c r="E1992" t="s">
        <v>11741</v>
      </c>
      <c r="F1992" t="s">
        <v>770</v>
      </c>
      <c r="G1992" t="s">
        <v>1067</v>
      </c>
      <c r="H1992" t="s">
        <v>3942</v>
      </c>
      <c r="J1992" t="s">
        <v>3962</v>
      </c>
      <c r="K1992" t="s">
        <v>519</v>
      </c>
      <c r="M1992" t="s">
        <v>520</v>
      </c>
      <c r="N1992" t="s">
        <v>571</v>
      </c>
      <c r="O1992" t="s">
        <v>718</v>
      </c>
      <c r="P1992" t="s">
        <v>654</v>
      </c>
      <c r="Q1992" t="s">
        <v>638</v>
      </c>
      <c r="R1992" t="s">
        <v>639</v>
      </c>
      <c r="S1992" t="s">
        <v>719</v>
      </c>
      <c r="T1992" t="s">
        <v>709</v>
      </c>
      <c r="U1992">
        <v>132600</v>
      </c>
      <c r="V1992" t="s">
        <v>11742</v>
      </c>
      <c r="W1992" t="s">
        <v>721</v>
      </c>
      <c r="X1992" t="s">
        <v>11743</v>
      </c>
      <c r="Y1992" t="s">
        <v>11744</v>
      </c>
      <c r="Z1992" t="s">
        <v>11745</v>
      </c>
      <c r="AA1992" t="s">
        <v>6781</v>
      </c>
      <c r="AB1992" t="s">
        <v>11746</v>
      </c>
      <c r="AE1992">
        <v>-36.910583760000002</v>
      </c>
      <c r="AF1992">
        <v>174.67272951000001</v>
      </c>
      <c r="AG1992">
        <v>130</v>
      </c>
      <c r="AH1992">
        <v>25</v>
      </c>
      <c r="AI1992">
        <v>6</v>
      </c>
      <c r="AJ1992">
        <v>21</v>
      </c>
      <c r="AK1992">
        <v>28</v>
      </c>
      <c r="AL1992">
        <v>30</v>
      </c>
      <c r="AM1992">
        <v>36</v>
      </c>
      <c r="AN1992">
        <v>2</v>
      </c>
      <c r="AO1992">
        <v>123</v>
      </c>
      <c r="AP1992">
        <v>44</v>
      </c>
      <c r="AQ1992">
        <v>18</v>
      </c>
      <c r="AR1992">
        <v>41</v>
      </c>
      <c r="AS1992">
        <v>48</v>
      </c>
      <c r="AT1992">
        <v>5</v>
      </c>
    </row>
    <row r="1993" spans="1:46">
      <c r="A1993">
        <v>45578</v>
      </c>
      <c r="B1993" t="s">
        <v>11747</v>
      </c>
      <c r="C1993" t="s">
        <v>11748</v>
      </c>
      <c r="D1993" t="s">
        <v>11749</v>
      </c>
      <c r="E1993" t="s">
        <v>11750</v>
      </c>
      <c r="F1993" t="s">
        <v>3793</v>
      </c>
      <c r="G1993" t="s">
        <v>652</v>
      </c>
      <c r="H1993" t="s">
        <v>3942</v>
      </c>
      <c r="I1993" t="s">
        <v>4165</v>
      </c>
      <c r="J1993" t="s">
        <v>518</v>
      </c>
      <c r="K1993" t="s">
        <v>519</v>
      </c>
      <c r="M1993" t="s">
        <v>520</v>
      </c>
      <c r="N1993" t="s">
        <v>521</v>
      </c>
      <c r="O1993" t="s">
        <v>1216</v>
      </c>
      <c r="P1993" t="s">
        <v>654</v>
      </c>
      <c r="Q1993" t="s">
        <v>638</v>
      </c>
      <c r="R1993" t="s">
        <v>729</v>
      </c>
      <c r="S1993" t="s">
        <v>1036</v>
      </c>
      <c r="T1993" t="s">
        <v>709</v>
      </c>
      <c r="U1993">
        <v>158401</v>
      </c>
      <c r="V1993" t="s">
        <v>3794</v>
      </c>
      <c r="W1993" t="s">
        <v>1219</v>
      </c>
      <c r="X1993" t="s">
        <v>11751</v>
      </c>
      <c r="Y1993" t="s">
        <v>11752</v>
      </c>
      <c r="Z1993" t="s">
        <v>4204</v>
      </c>
      <c r="AA1993" t="s">
        <v>11753</v>
      </c>
      <c r="AB1993" t="s">
        <v>11748</v>
      </c>
      <c r="AE1993">
        <v>-36.999543369999998</v>
      </c>
      <c r="AF1993">
        <v>174.88157244000001</v>
      </c>
      <c r="AG1993">
        <v>50</v>
      </c>
      <c r="AH1993">
        <v>10</v>
      </c>
      <c r="AI1993">
        <v>1</v>
      </c>
      <c r="AJ1993">
        <v>6</v>
      </c>
      <c r="AK1993">
        <v>9</v>
      </c>
      <c r="AL1993">
        <v>10</v>
      </c>
      <c r="AM1993">
        <v>12</v>
      </c>
      <c r="AN1993">
        <v>2</v>
      </c>
      <c r="AO1993">
        <v>40</v>
      </c>
      <c r="AP1993">
        <v>5</v>
      </c>
      <c r="AQ1993">
        <v>5</v>
      </c>
      <c r="AR1993">
        <v>40</v>
      </c>
      <c r="AS1993">
        <v>1</v>
      </c>
      <c r="AT1993">
        <v>0</v>
      </c>
    </row>
    <row r="1994" spans="1:46">
      <c r="A1994">
        <v>45579</v>
      </c>
      <c r="B1994" t="s">
        <v>11754</v>
      </c>
      <c r="C1994" t="s">
        <v>11755</v>
      </c>
      <c r="D1994" t="s">
        <v>11756</v>
      </c>
      <c r="E1994" t="s">
        <v>11757</v>
      </c>
      <c r="G1994" t="s">
        <v>2216</v>
      </c>
      <c r="H1994" t="s">
        <v>3942</v>
      </c>
      <c r="J1994" t="s">
        <v>3962</v>
      </c>
      <c r="K1994" t="s">
        <v>519</v>
      </c>
      <c r="M1994" t="s">
        <v>1297</v>
      </c>
      <c r="N1994" t="s">
        <v>571</v>
      </c>
      <c r="O1994" t="s">
        <v>2198</v>
      </c>
      <c r="P1994" t="s">
        <v>1262</v>
      </c>
      <c r="Q1994" t="s">
        <v>2118</v>
      </c>
      <c r="R1994" t="s">
        <v>2084</v>
      </c>
      <c r="S1994" t="s">
        <v>2199</v>
      </c>
      <c r="T1994" t="s">
        <v>2085</v>
      </c>
      <c r="U1994">
        <v>211900</v>
      </c>
      <c r="V1994" t="s">
        <v>11758</v>
      </c>
      <c r="W1994" t="s">
        <v>2200</v>
      </c>
      <c r="X1994" t="s">
        <v>11759</v>
      </c>
      <c r="Y1994" t="s">
        <v>4107</v>
      </c>
      <c r="AA1994" t="s">
        <v>3982</v>
      </c>
      <c r="AB1994" t="s">
        <v>11755</v>
      </c>
      <c r="AE1994">
        <v>-39.6660647</v>
      </c>
      <c r="AF1994">
        <v>176.88872950000001</v>
      </c>
      <c r="AG1994">
        <v>104</v>
      </c>
      <c r="AH1994">
        <v>30</v>
      </c>
      <c r="AI1994">
        <v>4</v>
      </c>
      <c r="AJ1994">
        <v>14</v>
      </c>
      <c r="AK1994">
        <v>24</v>
      </c>
      <c r="AL1994">
        <v>21</v>
      </c>
      <c r="AM1994">
        <v>26</v>
      </c>
      <c r="AN1994">
        <v>0</v>
      </c>
      <c r="AO1994">
        <v>89</v>
      </c>
      <c r="AP1994">
        <v>73</v>
      </c>
      <c r="AQ1994">
        <v>14</v>
      </c>
      <c r="AR1994">
        <v>1</v>
      </c>
      <c r="AS1994">
        <v>10</v>
      </c>
      <c r="AT1994">
        <v>3</v>
      </c>
    </row>
    <row r="1995" spans="1:46">
      <c r="A1995">
        <v>45580</v>
      </c>
      <c r="B1995" t="s">
        <v>11760</v>
      </c>
      <c r="C1995" t="s">
        <v>11761</v>
      </c>
      <c r="E1995" t="s">
        <v>11762</v>
      </c>
      <c r="F1995" t="s">
        <v>2053</v>
      </c>
      <c r="G1995" t="s">
        <v>1974</v>
      </c>
      <c r="H1995" t="s">
        <v>3942</v>
      </c>
      <c r="J1995" t="s">
        <v>3962</v>
      </c>
      <c r="K1995" t="s">
        <v>519</v>
      </c>
      <c r="M1995" t="s">
        <v>1297</v>
      </c>
      <c r="N1995" t="s">
        <v>571</v>
      </c>
      <c r="O1995" t="s">
        <v>1956</v>
      </c>
      <c r="P1995" t="s">
        <v>584</v>
      </c>
      <c r="Q1995" t="s">
        <v>1636</v>
      </c>
      <c r="R1995" t="s">
        <v>1760</v>
      </c>
      <c r="S1995" t="s">
        <v>1974</v>
      </c>
      <c r="T1995" t="s">
        <v>1485</v>
      </c>
      <c r="U1995">
        <v>230100</v>
      </c>
      <c r="V1995" t="s">
        <v>11763</v>
      </c>
      <c r="W1995" t="s">
        <v>1957</v>
      </c>
      <c r="X1995" t="s">
        <v>11764</v>
      </c>
      <c r="Y1995" t="s">
        <v>4107</v>
      </c>
      <c r="AA1995" t="s">
        <v>3982</v>
      </c>
      <c r="AB1995" t="s">
        <v>11761</v>
      </c>
      <c r="AC1995">
        <v>99166</v>
      </c>
      <c r="AD1995" t="s">
        <v>1998</v>
      </c>
      <c r="AE1995">
        <v>-40.36273757</v>
      </c>
      <c r="AF1995">
        <v>175.59590671000001</v>
      </c>
      <c r="AG1995">
        <v>130</v>
      </c>
      <c r="AH1995">
        <v>35</v>
      </c>
      <c r="AI1995">
        <v>5</v>
      </c>
      <c r="AJ1995">
        <v>17</v>
      </c>
      <c r="AK1995">
        <v>29</v>
      </c>
      <c r="AL1995">
        <v>24</v>
      </c>
      <c r="AM1995">
        <v>31</v>
      </c>
      <c r="AN1995">
        <v>1</v>
      </c>
      <c r="AO1995">
        <v>107</v>
      </c>
      <c r="AP1995">
        <v>87</v>
      </c>
      <c r="AQ1995">
        <v>27</v>
      </c>
      <c r="AR1995">
        <v>9</v>
      </c>
      <c r="AS1995">
        <v>13</v>
      </c>
      <c r="AT1995">
        <v>4</v>
      </c>
    </row>
    <row r="1996" spans="1:46">
      <c r="A1996">
        <v>45581</v>
      </c>
      <c r="B1996" t="s">
        <v>11765</v>
      </c>
      <c r="C1996" t="s">
        <v>11766</v>
      </c>
      <c r="D1996" t="s">
        <v>11767</v>
      </c>
      <c r="E1996" t="s">
        <v>11768</v>
      </c>
      <c r="G1996" t="s">
        <v>2357</v>
      </c>
      <c r="H1996" t="s">
        <v>3942</v>
      </c>
      <c r="J1996" t="s">
        <v>3962</v>
      </c>
      <c r="K1996" t="s">
        <v>519</v>
      </c>
      <c r="M1996" t="s">
        <v>2287</v>
      </c>
      <c r="N1996" t="s">
        <v>571</v>
      </c>
      <c r="O1996" t="s">
        <v>2358</v>
      </c>
      <c r="P1996" t="s">
        <v>523</v>
      </c>
      <c r="Q1996" t="s">
        <v>2319</v>
      </c>
      <c r="R1996" t="s">
        <v>2289</v>
      </c>
      <c r="S1996" t="s">
        <v>2269</v>
      </c>
      <c r="T1996" t="s">
        <v>2085</v>
      </c>
      <c r="U1996">
        <v>257100</v>
      </c>
      <c r="V1996" t="s">
        <v>2359</v>
      </c>
      <c r="W1996" t="s">
        <v>1652</v>
      </c>
      <c r="X1996" t="s">
        <v>11769</v>
      </c>
      <c r="Y1996" t="s">
        <v>4107</v>
      </c>
      <c r="AA1996" t="s">
        <v>3982</v>
      </c>
      <c r="AB1996" t="s">
        <v>11770</v>
      </c>
      <c r="AE1996">
        <v>-41.027842540000002</v>
      </c>
      <c r="AF1996">
        <v>175.52506518000001</v>
      </c>
      <c r="AG1996">
        <v>50</v>
      </c>
      <c r="AH1996">
        <v>15</v>
      </c>
      <c r="AI1996">
        <v>4</v>
      </c>
      <c r="AJ1996">
        <v>13</v>
      </c>
      <c r="AK1996">
        <v>21</v>
      </c>
      <c r="AL1996">
        <v>13</v>
      </c>
      <c r="AM1996">
        <v>10</v>
      </c>
      <c r="AN1996">
        <v>0</v>
      </c>
      <c r="AO1996">
        <v>61</v>
      </c>
      <c r="AP1996">
        <v>54</v>
      </c>
      <c r="AQ1996">
        <v>23</v>
      </c>
      <c r="AR1996">
        <v>7</v>
      </c>
      <c r="AS1996">
        <v>2</v>
      </c>
      <c r="AT1996">
        <v>3</v>
      </c>
    </row>
    <row r="1997" spans="1:46">
      <c r="A1997">
        <v>45587</v>
      </c>
      <c r="B1997" t="s">
        <v>11771</v>
      </c>
      <c r="C1997" t="s">
        <v>11772</v>
      </c>
      <c r="D1997" t="s">
        <v>11773</v>
      </c>
      <c r="E1997" t="s">
        <v>11774</v>
      </c>
      <c r="F1997" t="s">
        <v>11775</v>
      </c>
      <c r="G1997" t="s">
        <v>2427</v>
      </c>
      <c r="H1997" t="s">
        <v>3942</v>
      </c>
      <c r="J1997" t="s">
        <v>3962</v>
      </c>
      <c r="K1997" t="s">
        <v>519</v>
      </c>
      <c r="M1997" t="s">
        <v>2287</v>
      </c>
      <c r="N1997" t="s">
        <v>571</v>
      </c>
      <c r="O1997" t="s">
        <v>2428</v>
      </c>
      <c r="P1997" t="s">
        <v>654</v>
      </c>
      <c r="Q1997" t="s">
        <v>2319</v>
      </c>
      <c r="R1997" t="s">
        <v>2289</v>
      </c>
      <c r="S1997" t="s">
        <v>2429</v>
      </c>
      <c r="T1997" t="s">
        <v>2448</v>
      </c>
      <c r="U1997">
        <v>244300</v>
      </c>
      <c r="V1997" t="s">
        <v>9027</v>
      </c>
      <c r="W1997" t="s">
        <v>2443</v>
      </c>
      <c r="X1997" t="s">
        <v>11776</v>
      </c>
      <c r="Y1997" t="s">
        <v>4658</v>
      </c>
      <c r="Z1997" t="s">
        <v>958</v>
      </c>
      <c r="AA1997" t="s">
        <v>4659</v>
      </c>
      <c r="AB1997" t="s">
        <v>11777</v>
      </c>
      <c r="AE1997">
        <v>-41.207078940000002</v>
      </c>
      <c r="AF1997">
        <v>174.91161348</v>
      </c>
      <c r="AG1997">
        <v>68</v>
      </c>
      <c r="AH1997">
        <v>20</v>
      </c>
      <c r="AI1997">
        <v>4</v>
      </c>
      <c r="AJ1997">
        <v>16</v>
      </c>
      <c r="AK1997">
        <v>16</v>
      </c>
      <c r="AL1997">
        <v>16</v>
      </c>
      <c r="AM1997">
        <v>17</v>
      </c>
      <c r="AN1997">
        <v>0</v>
      </c>
      <c r="AO1997">
        <v>69</v>
      </c>
      <c r="AP1997">
        <v>43</v>
      </c>
      <c r="AQ1997">
        <v>9</v>
      </c>
      <c r="AR1997">
        <v>1</v>
      </c>
      <c r="AS1997">
        <v>25</v>
      </c>
      <c r="AT1997">
        <v>6</v>
      </c>
    </row>
    <row r="1998" spans="1:46">
      <c r="A1998">
        <v>45588</v>
      </c>
      <c r="B1998" t="s">
        <v>11778</v>
      </c>
      <c r="C1998" t="s">
        <v>11779</v>
      </c>
      <c r="D1998" t="s">
        <v>11780</v>
      </c>
      <c r="E1998" t="s">
        <v>11781</v>
      </c>
      <c r="F1998" t="s">
        <v>2156</v>
      </c>
      <c r="G1998" t="s">
        <v>2119</v>
      </c>
      <c r="H1998" t="s">
        <v>4716</v>
      </c>
      <c r="J1998" t="s">
        <v>3962</v>
      </c>
      <c r="K1998" t="s">
        <v>519</v>
      </c>
      <c r="M1998" t="s">
        <v>1297</v>
      </c>
      <c r="N1998" t="s">
        <v>557</v>
      </c>
      <c r="O1998" t="s">
        <v>2131</v>
      </c>
      <c r="P1998" t="s">
        <v>584</v>
      </c>
      <c r="Q1998" t="s">
        <v>2118</v>
      </c>
      <c r="R1998" t="s">
        <v>2084</v>
      </c>
      <c r="S1998" t="s">
        <v>2119</v>
      </c>
      <c r="T1998" t="s">
        <v>2085</v>
      </c>
      <c r="U1998">
        <v>212800</v>
      </c>
      <c r="V1998" t="s">
        <v>11782</v>
      </c>
      <c r="W1998" t="s">
        <v>2163</v>
      </c>
      <c r="X1998" t="s">
        <v>11783</v>
      </c>
      <c r="Y1998" t="s">
        <v>11784</v>
      </c>
      <c r="AA1998" t="s">
        <v>8791</v>
      </c>
      <c r="AB1998" t="s">
        <v>11785</v>
      </c>
      <c r="AE1998">
        <v>-39.504759200000002</v>
      </c>
      <c r="AF1998">
        <v>176.88133504000001</v>
      </c>
      <c r="AG1998">
        <v>100</v>
      </c>
      <c r="AH1998">
        <v>100</v>
      </c>
      <c r="AI1998">
        <v>3</v>
      </c>
      <c r="AJ1998">
        <v>13</v>
      </c>
      <c r="AK1998">
        <v>17</v>
      </c>
      <c r="AL1998">
        <v>8</v>
      </c>
      <c r="AM1998">
        <v>7</v>
      </c>
      <c r="AN1998">
        <v>0</v>
      </c>
      <c r="AO1998">
        <v>48</v>
      </c>
      <c r="AP1998">
        <v>42</v>
      </c>
      <c r="AQ1998">
        <v>18</v>
      </c>
      <c r="AR1998">
        <v>4</v>
      </c>
      <c r="AS1998">
        <v>1</v>
      </c>
      <c r="AT1998">
        <v>0</v>
      </c>
    </row>
    <row r="1999" spans="1:46">
      <c r="A1999">
        <v>45589</v>
      </c>
      <c r="B1999" t="s">
        <v>11786</v>
      </c>
      <c r="C1999" t="s">
        <v>11787</v>
      </c>
      <c r="E1999" t="s">
        <v>11788</v>
      </c>
      <c r="G1999" t="s">
        <v>550</v>
      </c>
      <c r="H1999" t="s">
        <v>3942</v>
      </c>
      <c r="J1999" t="s">
        <v>3962</v>
      </c>
      <c r="K1999" t="s">
        <v>519</v>
      </c>
      <c r="M1999" t="s">
        <v>520</v>
      </c>
      <c r="N1999" t="s">
        <v>727</v>
      </c>
      <c r="O1999" t="s">
        <v>522</v>
      </c>
      <c r="P1999" t="s">
        <v>523</v>
      </c>
      <c r="Q1999" t="s">
        <v>524</v>
      </c>
      <c r="R1999" t="s">
        <v>525</v>
      </c>
      <c r="S1999" t="s">
        <v>526</v>
      </c>
      <c r="T1999" t="s">
        <v>527</v>
      </c>
      <c r="U1999">
        <v>103501</v>
      </c>
      <c r="V1999" t="s">
        <v>550</v>
      </c>
      <c r="W1999" t="s">
        <v>551</v>
      </c>
      <c r="X1999" t="s">
        <v>11789</v>
      </c>
      <c r="Y1999" t="s">
        <v>11790</v>
      </c>
      <c r="Z1999" t="s">
        <v>11791</v>
      </c>
      <c r="AA1999" t="s">
        <v>11792</v>
      </c>
      <c r="AB1999" t="s">
        <v>11793</v>
      </c>
      <c r="AC1999">
        <v>99060</v>
      </c>
      <c r="AD1999" t="s">
        <v>552</v>
      </c>
      <c r="AE1999">
        <v>-35.40374989</v>
      </c>
      <c r="AF1999">
        <v>173.80681872</v>
      </c>
      <c r="AG1999">
        <v>45</v>
      </c>
      <c r="AH1999">
        <v>15</v>
      </c>
      <c r="AI1999">
        <v>3</v>
      </c>
      <c r="AJ1999">
        <v>6</v>
      </c>
      <c r="AK1999">
        <v>10</v>
      </c>
      <c r="AL1999">
        <v>8</v>
      </c>
      <c r="AM1999">
        <v>9</v>
      </c>
      <c r="AN1999">
        <v>0</v>
      </c>
      <c r="AO1999">
        <v>36</v>
      </c>
      <c r="AP1999">
        <v>8</v>
      </c>
      <c r="AQ1999">
        <v>31</v>
      </c>
      <c r="AR1999">
        <v>11</v>
      </c>
      <c r="AS1999">
        <v>1</v>
      </c>
      <c r="AT1999">
        <v>1</v>
      </c>
    </row>
    <row r="2000" spans="1:46">
      <c r="A2000">
        <v>45590</v>
      </c>
      <c r="B2000" t="s">
        <v>11794</v>
      </c>
      <c r="C2000" t="s">
        <v>8252</v>
      </c>
      <c r="D2000" t="s">
        <v>8253</v>
      </c>
      <c r="E2000" t="s">
        <v>8254</v>
      </c>
      <c r="F2000" t="s">
        <v>8255</v>
      </c>
      <c r="G2000" t="s">
        <v>652</v>
      </c>
      <c r="H2000" t="s">
        <v>4716</v>
      </c>
      <c r="J2000" t="s">
        <v>3962</v>
      </c>
      <c r="K2000" t="s">
        <v>519</v>
      </c>
      <c r="M2000" t="s">
        <v>520</v>
      </c>
      <c r="N2000" t="s">
        <v>571</v>
      </c>
      <c r="O2000" t="s">
        <v>1168</v>
      </c>
      <c r="P2000" t="s">
        <v>654</v>
      </c>
      <c r="Q2000" t="s">
        <v>638</v>
      </c>
      <c r="R2000" t="s">
        <v>639</v>
      </c>
      <c r="S2000" t="s">
        <v>655</v>
      </c>
      <c r="T2000" t="s">
        <v>527</v>
      </c>
      <c r="U2000">
        <v>118600</v>
      </c>
      <c r="V2000" t="s">
        <v>4012</v>
      </c>
      <c r="W2000" t="s">
        <v>657</v>
      </c>
      <c r="X2000" t="s">
        <v>6268</v>
      </c>
      <c r="Y2000" t="s">
        <v>6269</v>
      </c>
      <c r="Z2000" t="s">
        <v>3706</v>
      </c>
      <c r="AA2000" t="s">
        <v>6270</v>
      </c>
      <c r="AB2000" t="s">
        <v>6271</v>
      </c>
      <c r="AE2000">
        <v>-36.74593891</v>
      </c>
      <c r="AF2000">
        <v>174.70418538000001</v>
      </c>
      <c r="AG2000">
        <v>50</v>
      </c>
      <c r="AH2000">
        <v>50</v>
      </c>
      <c r="AI2000">
        <v>8</v>
      </c>
      <c r="AJ2000">
        <v>11</v>
      </c>
      <c r="AK2000">
        <v>8</v>
      </c>
      <c r="AL2000">
        <v>13</v>
      </c>
      <c r="AM2000">
        <v>8</v>
      </c>
      <c r="AN2000">
        <v>1</v>
      </c>
      <c r="AO2000">
        <v>49</v>
      </c>
      <c r="AP2000">
        <v>3</v>
      </c>
      <c r="AQ2000">
        <v>0</v>
      </c>
      <c r="AR2000">
        <v>1</v>
      </c>
      <c r="AS2000">
        <v>49</v>
      </c>
      <c r="AT2000">
        <v>1</v>
      </c>
    </row>
    <row r="2001" spans="1:46">
      <c r="A2001">
        <v>45591</v>
      </c>
      <c r="B2001" t="s">
        <v>11795</v>
      </c>
      <c r="C2001" t="s">
        <v>11796</v>
      </c>
      <c r="D2001" t="s">
        <v>11797</v>
      </c>
      <c r="E2001" t="s">
        <v>11798</v>
      </c>
      <c r="F2001" t="s">
        <v>945</v>
      </c>
      <c r="G2001" t="s">
        <v>652</v>
      </c>
      <c r="H2001" t="s">
        <v>3942</v>
      </c>
      <c r="I2001" t="s">
        <v>4165</v>
      </c>
      <c r="J2001" t="s">
        <v>3962</v>
      </c>
      <c r="K2001" t="s">
        <v>519</v>
      </c>
      <c r="M2001" t="s">
        <v>520</v>
      </c>
      <c r="N2001" t="s">
        <v>521</v>
      </c>
      <c r="O2001" t="s">
        <v>848</v>
      </c>
      <c r="P2001" t="s">
        <v>654</v>
      </c>
      <c r="Q2001" t="s">
        <v>638</v>
      </c>
      <c r="R2001" t="s">
        <v>729</v>
      </c>
      <c r="S2001" t="s">
        <v>849</v>
      </c>
      <c r="T2001" t="s">
        <v>709</v>
      </c>
      <c r="U2001">
        <v>149600</v>
      </c>
      <c r="V2001" t="s">
        <v>7670</v>
      </c>
      <c r="W2001" t="s">
        <v>732</v>
      </c>
      <c r="X2001" t="s">
        <v>4583</v>
      </c>
      <c r="Y2001" t="s">
        <v>4584</v>
      </c>
      <c r="Z2001" t="s">
        <v>3945</v>
      </c>
      <c r="AA2001" t="s">
        <v>4585</v>
      </c>
      <c r="AC2001">
        <v>99124</v>
      </c>
      <c r="AD2001" t="s">
        <v>4579</v>
      </c>
      <c r="AE2001">
        <v>-36.957984000000003</v>
      </c>
      <c r="AF2001">
        <v>174.8273652</v>
      </c>
      <c r="AG2001">
        <v>50</v>
      </c>
      <c r="AH2001">
        <v>15</v>
      </c>
      <c r="AI2001">
        <v>0</v>
      </c>
      <c r="AJ2001">
        <v>4</v>
      </c>
      <c r="AK2001">
        <v>10</v>
      </c>
      <c r="AL2001">
        <v>3</v>
      </c>
      <c r="AM2001">
        <v>6</v>
      </c>
      <c r="AN2001">
        <v>0</v>
      </c>
      <c r="AO2001">
        <v>23</v>
      </c>
      <c r="AP2001">
        <v>5</v>
      </c>
      <c r="AQ2001">
        <v>3</v>
      </c>
      <c r="AR2001">
        <v>23</v>
      </c>
      <c r="AS2001">
        <v>0</v>
      </c>
      <c r="AT2001">
        <v>0</v>
      </c>
    </row>
    <row r="2002" spans="1:46">
      <c r="A2002">
        <v>45593</v>
      </c>
      <c r="B2002" t="s">
        <v>11799</v>
      </c>
      <c r="C2002" t="s">
        <v>11800</v>
      </c>
      <c r="D2002" t="s">
        <v>11801</v>
      </c>
      <c r="E2002" t="s">
        <v>11802</v>
      </c>
      <c r="F2002" t="s">
        <v>2244</v>
      </c>
      <c r="G2002" t="s">
        <v>2197</v>
      </c>
      <c r="H2002" t="s">
        <v>3942</v>
      </c>
      <c r="J2002" t="s">
        <v>3962</v>
      </c>
      <c r="K2002" t="s">
        <v>519</v>
      </c>
      <c r="M2002" t="s">
        <v>1297</v>
      </c>
      <c r="N2002" t="s">
        <v>521</v>
      </c>
      <c r="O2002" t="s">
        <v>2198</v>
      </c>
      <c r="P2002" t="s">
        <v>584</v>
      </c>
      <c r="Q2002" t="s">
        <v>2118</v>
      </c>
      <c r="R2002" t="s">
        <v>2084</v>
      </c>
      <c r="S2002" t="s">
        <v>2199</v>
      </c>
      <c r="T2002" t="s">
        <v>2085</v>
      </c>
      <c r="U2002">
        <v>209800</v>
      </c>
      <c r="V2002" t="s">
        <v>2244</v>
      </c>
      <c r="W2002" t="s">
        <v>2200</v>
      </c>
      <c r="X2002" t="s">
        <v>11803</v>
      </c>
      <c r="Y2002" t="s">
        <v>11802</v>
      </c>
      <c r="Z2002" t="s">
        <v>2244</v>
      </c>
      <c r="AA2002" t="s">
        <v>11804</v>
      </c>
      <c r="AB2002" t="s">
        <v>11800</v>
      </c>
      <c r="AE2002">
        <v>-39.624927900000003</v>
      </c>
      <c r="AF2002">
        <v>176.8424086</v>
      </c>
      <c r="AG2002">
        <v>50</v>
      </c>
      <c r="AH2002">
        <v>20</v>
      </c>
      <c r="AI2002">
        <v>4</v>
      </c>
      <c r="AJ2002">
        <v>17</v>
      </c>
      <c r="AK2002">
        <v>18</v>
      </c>
      <c r="AL2002">
        <v>17</v>
      </c>
      <c r="AM2002">
        <v>14</v>
      </c>
      <c r="AN2002">
        <v>0</v>
      </c>
      <c r="AO2002">
        <v>70</v>
      </c>
      <c r="AP2002">
        <v>58</v>
      </c>
      <c r="AQ2002">
        <v>28</v>
      </c>
      <c r="AR2002">
        <v>6</v>
      </c>
      <c r="AS2002">
        <v>3</v>
      </c>
      <c r="AT2002">
        <v>0</v>
      </c>
    </row>
    <row r="2003" spans="1:46">
      <c r="A2003">
        <v>45594</v>
      </c>
      <c r="B2003" t="s">
        <v>11805</v>
      </c>
      <c r="C2003" t="s">
        <v>11806</v>
      </c>
      <c r="D2003" t="s">
        <v>11807</v>
      </c>
      <c r="E2003" t="s">
        <v>11808</v>
      </c>
      <c r="G2003" t="s">
        <v>3834</v>
      </c>
      <c r="H2003" t="s">
        <v>3942</v>
      </c>
      <c r="J2003" t="s">
        <v>3962</v>
      </c>
      <c r="K2003" t="s">
        <v>519</v>
      </c>
      <c r="M2003" t="s">
        <v>2287</v>
      </c>
      <c r="N2003" t="s">
        <v>571</v>
      </c>
      <c r="O2003" t="s">
        <v>3835</v>
      </c>
      <c r="P2003" t="s">
        <v>1262</v>
      </c>
      <c r="Q2003" t="s">
        <v>3337</v>
      </c>
      <c r="R2003" t="s">
        <v>3338</v>
      </c>
      <c r="S2003" t="s">
        <v>3361</v>
      </c>
      <c r="T2003" t="s">
        <v>2448</v>
      </c>
      <c r="U2003">
        <v>348100</v>
      </c>
      <c r="V2003" t="s">
        <v>11809</v>
      </c>
      <c r="W2003" t="s">
        <v>3837</v>
      </c>
      <c r="X2003" t="s">
        <v>11810</v>
      </c>
      <c r="Y2003" t="s">
        <v>7663</v>
      </c>
      <c r="Z2003" t="s">
        <v>644</v>
      </c>
      <c r="AA2003" t="s">
        <v>645</v>
      </c>
      <c r="AB2003" t="s">
        <v>11811</v>
      </c>
      <c r="AE2003">
        <v>-45.029642529999997</v>
      </c>
      <c r="AF2003">
        <v>168.66265326999999</v>
      </c>
      <c r="AG2003">
        <v>38</v>
      </c>
      <c r="AH2003">
        <v>20</v>
      </c>
      <c r="AI2003">
        <v>1</v>
      </c>
      <c r="AJ2003">
        <v>4</v>
      </c>
      <c r="AK2003">
        <v>6</v>
      </c>
      <c r="AL2003">
        <v>11</v>
      </c>
      <c r="AM2003">
        <v>3</v>
      </c>
      <c r="AN2003">
        <v>2</v>
      </c>
      <c r="AO2003">
        <v>27</v>
      </c>
      <c r="AP2003">
        <v>12</v>
      </c>
      <c r="AQ2003">
        <v>0</v>
      </c>
      <c r="AR2003">
        <v>0</v>
      </c>
      <c r="AS2003">
        <v>10</v>
      </c>
      <c r="AT2003">
        <v>7</v>
      </c>
    </row>
    <row r="2004" spans="1:46">
      <c r="A2004">
        <v>45595</v>
      </c>
      <c r="B2004" t="s">
        <v>11812</v>
      </c>
      <c r="C2004" t="s">
        <v>11813</v>
      </c>
      <c r="D2004" t="s">
        <v>11814</v>
      </c>
      <c r="E2004" t="s">
        <v>11815</v>
      </c>
      <c r="G2004" t="s">
        <v>4387</v>
      </c>
      <c r="H2004" t="s">
        <v>3942</v>
      </c>
      <c r="J2004" t="s">
        <v>3962</v>
      </c>
      <c r="K2004" t="s">
        <v>519</v>
      </c>
      <c r="M2004" t="s">
        <v>520</v>
      </c>
      <c r="N2004" t="s">
        <v>571</v>
      </c>
      <c r="O2004" t="s">
        <v>637</v>
      </c>
      <c r="P2004" t="s">
        <v>523</v>
      </c>
      <c r="Q2004" t="s">
        <v>638</v>
      </c>
      <c r="R2004" t="s">
        <v>639</v>
      </c>
      <c r="S2004" t="s">
        <v>640</v>
      </c>
      <c r="T2004" t="s">
        <v>527</v>
      </c>
      <c r="U2004">
        <v>115002</v>
      </c>
      <c r="V2004" t="s">
        <v>6986</v>
      </c>
      <c r="W2004" t="s">
        <v>641</v>
      </c>
      <c r="X2004" t="s">
        <v>11816</v>
      </c>
      <c r="Y2004" t="s">
        <v>11817</v>
      </c>
      <c r="Z2004" t="s">
        <v>778</v>
      </c>
      <c r="AA2004" t="s">
        <v>11818</v>
      </c>
      <c r="AB2004" t="s">
        <v>11819</v>
      </c>
      <c r="AE2004">
        <v>-36.778182289999997</v>
      </c>
      <c r="AF2004">
        <v>174.55256790000001</v>
      </c>
      <c r="AG2004">
        <v>80</v>
      </c>
      <c r="AH2004">
        <v>20</v>
      </c>
      <c r="AI2004">
        <v>1</v>
      </c>
      <c r="AJ2004">
        <v>4</v>
      </c>
      <c r="AK2004">
        <v>15</v>
      </c>
      <c r="AL2004">
        <v>5</v>
      </c>
      <c r="AM2004">
        <v>15</v>
      </c>
      <c r="AN2004">
        <v>0</v>
      </c>
      <c r="AO2004">
        <v>40</v>
      </c>
      <c r="AP2004">
        <v>28</v>
      </c>
      <c r="AQ2004">
        <v>7</v>
      </c>
      <c r="AR2004">
        <v>2</v>
      </c>
      <c r="AS2004">
        <v>12</v>
      </c>
      <c r="AT2004">
        <v>0</v>
      </c>
    </row>
    <row r="2005" spans="1:46">
      <c r="A2005">
        <v>45605</v>
      </c>
      <c r="B2005" t="s">
        <v>11820</v>
      </c>
      <c r="C2005" t="s">
        <v>11821</v>
      </c>
      <c r="D2005" t="s">
        <v>11822</v>
      </c>
      <c r="E2005" t="s">
        <v>11823</v>
      </c>
      <c r="F2005" t="s">
        <v>2882</v>
      </c>
      <c r="G2005" t="s">
        <v>2853</v>
      </c>
      <c r="H2005" t="s">
        <v>3942</v>
      </c>
      <c r="J2005" t="s">
        <v>3962</v>
      </c>
      <c r="K2005" t="s">
        <v>519</v>
      </c>
      <c r="M2005" t="s">
        <v>2287</v>
      </c>
      <c r="N2005" t="s">
        <v>571</v>
      </c>
      <c r="O2005" t="s">
        <v>2868</v>
      </c>
      <c r="P2005" t="s">
        <v>1262</v>
      </c>
      <c r="Q2005" t="s">
        <v>2869</v>
      </c>
      <c r="R2005" t="s">
        <v>2824</v>
      </c>
      <c r="S2005" t="s">
        <v>2853</v>
      </c>
      <c r="T2005" t="s">
        <v>2448</v>
      </c>
      <c r="U2005">
        <v>303300</v>
      </c>
      <c r="V2005" t="s">
        <v>11824</v>
      </c>
      <c r="W2005" t="s">
        <v>2884</v>
      </c>
      <c r="X2005" t="s">
        <v>11825</v>
      </c>
      <c r="Y2005" t="s">
        <v>4107</v>
      </c>
      <c r="AA2005" t="s">
        <v>3982</v>
      </c>
      <c r="AC2005">
        <v>99142</v>
      </c>
      <c r="AD2005" t="s">
        <v>2885</v>
      </c>
      <c r="AE2005">
        <v>-41.341819139999998</v>
      </c>
      <c r="AF2005">
        <v>173.19310028000001</v>
      </c>
      <c r="AG2005">
        <v>65</v>
      </c>
      <c r="AH2005">
        <v>25</v>
      </c>
      <c r="AI2005">
        <v>5</v>
      </c>
      <c r="AJ2005">
        <v>25</v>
      </c>
      <c r="AK2005">
        <v>22</v>
      </c>
      <c r="AL2005">
        <v>15</v>
      </c>
      <c r="AM2005">
        <v>16</v>
      </c>
      <c r="AN2005">
        <v>0</v>
      </c>
      <c r="AO2005">
        <v>83</v>
      </c>
      <c r="AP2005">
        <v>79</v>
      </c>
      <c r="AQ2005">
        <v>6</v>
      </c>
      <c r="AR2005">
        <v>1</v>
      </c>
      <c r="AS2005">
        <v>5</v>
      </c>
      <c r="AT2005">
        <v>2</v>
      </c>
    </row>
    <row r="2006" spans="1:46">
      <c r="A2006">
        <v>45606</v>
      </c>
      <c r="B2006" t="s">
        <v>6489</v>
      </c>
      <c r="C2006" t="s">
        <v>11826</v>
      </c>
      <c r="D2006" t="s">
        <v>11827</v>
      </c>
      <c r="E2006" t="s">
        <v>11828</v>
      </c>
      <c r="F2006" t="s">
        <v>606</v>
      </c>
      <c r="G2006" t="s">
        <v>582</v>
      </c>
      <c r="H2006" t="s">
        <v>3942</v>
      </c>
      <c r="J2006" t="s">
        <v>3962</v>
      </c>
      <c r="K2006" t="s">
        <v>519</v>
      </c>
      <c r="M2006" t="s">
        <v>520</v>
      </c>
      <c r="N2006" t="s">
        <v>571</v>
      </c>
      <c r="O2006" t="s">
        <v>583</v>
      </c>
      <c r="P2006" t="s">
        <v>584</v>
      </c>
      <c r="Q2006" t="s">
        <v>524</v>
      </c>
      <c r="R2006" t="s">
        <v>525</v>
      </c>
      <c r="S2006" t="s">
        <v>585</v>
      </c>
      <c r="T2006" t="s">
        <v>527</v>
      </c>
      <c r="U2006">
        <v>108200</v>
      </c>
      <c r="V2006" t="s">
        <v>11829</v>
      </c>
      <c r="W2006" t="s">
        <v>587</v>
      </c>
      <c r="X2006" t="s">
        <v>11830</v>
      </c>
      <c r="Y2006" t="s">
        <v>11828</v>
      </c>
      <c r="Z2006" t="s">
        <v>606</v>
      </c>
      <c r="AA2006" t="s">
        <v>4406</v>
      </c>
      <c r="AB2006" t="s">
        <v>11826</v>
      </c>
      <c r="AC2006">
        <v>99181</v>
      </c>
      <c r="AD2006" t="s">
        <v>594</v>
      </c>
      <c r="AE2006">
        <v>-35.741775279999999</v>
      </c>
      <c r="AF2006">
        <v>174.36261418000001</v>
      </c>
      <c r="AG2006">
        <v>75</v>
      </c>
      <c r="AH2006">
        <v>16</v>
      </c>
      <c r="AI2006">
        <v>4</v>
      </c>
      <c r="AJ2006">
        <v>12</v>
      </c>
      <c r="AK2006">
        <v>15</v>
      </c>
      <c r="AL2006">
        <v>23</v>
      </c>
      <c r="AM2006">
        <v>18</v>
      </c>
      <c r="AN2006">
        <v>0</v>
      </c>
      <c r="AO2006">
        <v>72</v>
      </c>
      <c r="AP2006">
        <v>62</v>
      </c>
      <c r="AQ2006">
        <v>17</v>
      </c>
      <c r="AR2006">
        <v>3</v>
      </c>
      <c r="AS2006">
        <v>2</v>
      </c>
      <c r="AT2006">
        <v>5</v>
      </c>
    </row>
    <row r="2007" spans="1:46">
      <c r="A2007">
        <v>45608</v>
      </c>
      <c r="B2007" t="s">
        <v>11831</v>
      </c>
      <c r="C2007" t="s">
        <v>11832</v>
      </c>
      <c r="D2007" t="s">
        <v>11833</v>
      </c>
      <c r="E2007" t="s">
        <v>11834</v>
      </c>
      <c r="G2007" t="s">
        <v>1545</v>
      </c>
      <c r="H2007" t="s">
        <v>3942</v>
      </c>
      <c r="J2007" t="s">
        <v>3962</v>
      </c>
      <c r="K2007" t="s">
        <v>519</v>
      </c>
      <c r="M2007" t="s">
        <v>1297</v>
      </c>
      <c r="N2007" t="s">
        <v>571</v>
      </c>
      <c r="O2007" t="s">
        <v>1546</v>
      </c>
      <c r="P2007" t="s">
        <v>1262</v>
      </c>
      <c r="Q2007" t="s">
        <v>1299</v>
      </c>
      <c r="R2007" t="s">
        <v>1472</v>
      </c>
      <c r="S2007" t="s">
        <v>1320</v>
      </c>
      <c r="T2007" t="s">
        <v>1474</v>
      </c>
      <c r="U2007">
        <v>188600</v>
      </c>
      <c r="V2007" t="s">
        <v>9836</v>
      </c>
      <c r="W2007" t="s">
        <v>1548</v>
      </c>
      <c r="X2007" t="s">
        <v>11835</v>
      </c>
      <c r="Y2007" t="s">
        <v>11836</v>
      </c>
      <c r="AA2007" t="s">
        <v>11837</v>
      </c>
      <c r="AB2007" t="s">
        <v>11838</v>
      </c>
      <c r="AC2007">
        <v>99020</v>
      </c>
      <c r="AD2007" t="s">
        <v>1550</v>
      </c>
      <c r="AE2007">
        <v>-38.684987249999999</v>
      </c>
      <c r="AF2007">
        <v>176.07823880000001</v>
      </c>
      <c r="AG2007">
        <v>30</v>
      </c>
      <c r="AH2007">
        <v>0</v>
      </c>
      <c r="AI2007">
        <v>0</v>
      </c>
      <c r="AJ2007">
        <v>0</v>
      </c>
      <c r="AK2007">
        <v>1</v>
      </c>
      <c r="AL2007">
        <v>9</v>
      </c>
      <c r="AM2007">
        <v>7</v>
      </c>
      <c r="AN2007">
        <v>4</v>
      </c>
      <c r="AO2007">
        <v>21</v>
      </c>
      <c r="AP2007">
        <v>19</v>
      </c>
      <c r="AQ2007">
        <v>4</v>
      </c>
      <c r="AR2007">
        <v>1</v>
      </c>
      <c r="AS2007">
        <v>3</v>
      </c>
      <c r="AT2007">
        <v>0</v>
      </c>
    </row>
    <row r="2008" spans="1:46">
      <c r="A2008">
        <v>45609</v>
      </c>
      <c r="B2008" t="s">
        <v>11839</v>
      </c>
      <c r="C2008" t="s">
        <v>11840</v>
      </c>
      <c r="E2008" t="s">
        <v>11841</v>
      </c>
      <c r="F2008" t="s">
        <v>1366</v>
      </c>
      <c r="G2008" t="s">
        <v>1296</v>
      </c>
      <c r="H2008" t="s">
        <v>3942</v>
      </c>
      <c r="J2008" t="s">
        <v>3962</v>
      </c>
      <c r="K2008" t="s">
        <v>519</v>
      </c>
      <c r="M2008" t="s">
        <v>1297</v>
      </c>
      <c r="N2008" t="s">
        <v>571</v>
      </c>
      <c r="O2008" t="s">
        <v>1298</v>
      </c>
      <c r="P2008" t="s">
        <v>654</v>
      </c>
      <c r="Q2008" t="s">
        <v>1299</v>
      </c>
      <c r="R2008" t="s">
        <v>1300</v>
      </c>
      <c r="S2008" t="s">
        <v>1312</v>
      </c>
      <c r="T2008" t="s">
        <v>1235</v>
      </c>
      <c r="U2008">
        <v>180700</v>
      </c>
      <c r="V2008" t="s">
        <v>1367</v>
      </c>
      <c r="W2008" t="s">
        <v>1314</v>
      </c>
      <c r="X2008" t="s">
        <v>11842</v>
      </c>
      <c r="Y2008" t="s">
        <v>11841</v>
      </c>
      <c r="Z2008" t="s">
        <v>1366</v>
      </c>
      <c r="AA2008" t="s">
        <v>9568</v>
      </c>
      <c r="AB2008" t="s">
        <v>11843</v>
      </c>
      <c r="AC2008">
        <v>99057</v>
      </c>
      <c r="AD2008" t="s">
        <v>9504</v>
      </c>
      <c r="AE2008">
        <v>-37.799239909999997</v>
      </c>
      <c r="AF2008">
        <v>175.32168537999999</v>
      </c>
      <c r="AG2008">
        <v>39</v>
      </c>
      <c r="AH2008">
        <v>23</v>
      </c>
      <c r="AI2008">
        <v>1</v>
      </c>
      <c r="AJ2008">
        <v>3</v>
      </c>
      <c r="AK2008">
        <v>5</v>
      </c>
      <c r="AL2008">
        <v>14</v>
      </c>
      <c r="AM2008">
        <v>11</v>
      </c>
      <c r="AN2008">
        <v>5</v>
      </c>
      <c r="AO2008">
        <v>39</v>
      </c>
      <c r="AP2008">
        <v>11</v>
      </c>
      <c r="AQ2008">
        <v>11</v>
      </c>
      <c r="AR2008">
        <v>3</v>
      </c>
      <c r="AS2008">
        <v>24</v>
      </c>
      <c r="AT2008">
        <v>0</v>
      </c>
    </row>
    <row r="2009" spans="1:46">
      <c r="A2009">
        <v>45611</v>
      </c>
      <c r="B2009" t="s">
        <v>11844</v>
      </c>
      <c r="C2009" t="s">
        <v>11845</v>
      </c>
      <c r="D2009" t="s">
        <v>11846</v>
      </c>
      <c r="E2009" t="s">
        <v>11847</v>
      </c>
      <c r="F2009" t="s">
        <v>11099</v>
      </c>
      <c r="G2009" t="s">
        <v>3770</v>
      </c>
      <c r="H2009" t="s">
        <v>517</v>
      </c>
      <c r="J2009" t="s">
        <v>518</v>
      </c>
      <c r="K2009" t="s">
        <v>519</v>
      </c>
      <c r="M2009" t="s">
        <v>1297</v>
      </c>
      <c r="N2009" t="s">
        <v>4519</v>
      </c>
      <c r="O2009" t="s">
        <v>1698</v>
      </c>
      <c r="P2009" t="s">
        <v>654</v>
      </c>
      <c r="Q2009" t="s">
        <v>1471</v>
      </c>
      <c r="R2009" t="s">
        <v>1472</v>
      </c>
      <c r="S2009" t="s">
        <v>1699</v>
      </c>
      <c r="T2009" t="s">
        <v>1474</v>
      </c>
      <c r="U2009">
        <v>197500</v>
      </c>
      <c r="V2009" t="s">
        <v>11848</v>
      </c>
      <c r="W2009" t="s">
        <v>3772</v>
      </c>
      <c r="X2009" t="s">
        <v>1477</v>
      </c>
      <c r="Y2009" t="s">
        <v>1441</v>
      </c>
      <c r="AA2009" t="s">
        <v>1442</v>
      </c>
      <c r="AB2009" t="s">
        <v>1478</v>
      </c>
      <c r="AE2009">
        <v>-37.719395599999999</v>
      </c>
      <c r="AF2009">
        <v>176.34107349999999</v>
      </c>
      <c r="AG2009">
        <v>50</v>
      </c>
      <c r="AH2009">
        <v>15</v>
      </c>
      <c r="AI2009">
        <v>0</v>
      </c>
      <c r="AJ2009">
        <v>5</v>
      </c>
      <c r="AK2009">
        <v>11</v>
      </c>
      <c r="AL2009">
        <v>16</v>
      </c>
      <c r="AM2009">
        <v>19</v>
      </c>
      <c r="AN2009">
        <v>1</v>
      </c>
      <c r="AO2009">
        <v>52</v>
      </c>
      <c r="AP2009">
        <v>46</v>
      </c>
      <c r="AQ2009">
        <v>12</v>
      </c>
      <c r="AR2009">
        <v>1</v>
      </c>
      <c r="AS2009">
        <v>3</v>
      </c>
      <c r="AT2009">
        <v>2</v>
      </c>
    </row>
    <row r="2010" spans="1:46">
      <c r="A2010">
        <v>45613</v>
      </c>
      <c r="B2010" t="s">
        <v>11849</v>
      </c>
      <c r="C2010" t="s">
        <v>11850</v>
      </c>
      <c r="D2010" t="s">
        <v>11851</v>
      </c>
      <c r="E2010" t="s">
        <v>11852</v>
      </c>
      <c r="G2010" t="s">
        <v>8539</v>
      </c>
      <c r="H2010" t="s">
        <v>3942</v>
      </c>
      <c r="J2010" t="s">
        <v>3962</v>
      </c>
      <c r="K2010" t="s">
        <v>519</v>
      </c>
      <c r="M2010" t="s">
        <v>1297</v>
      </c>
      <c r="N2010" t="s">
        <v>4519</v>
      </c>
      <c r="O2010" t="s">
        <v>1351</v>
      </c>
      <c r="P2010" t="s">
        <v>572</v>
      </c>
      <c r="Q2010" t="s">
        <v>1299</v>
      </c>
      <c r="R2010" t="s">
        <v>1300</v>
      </c>
      <c r="S2010" t="s">
        <v>1300</v>
      </c>
      <c r="T2010" t="s">
        <v>1235</v>
      </c>
      <c r="U2010">
        <v>172300</v>
      </c>
      <c r="V2010" t="s">
        <v>8540</v>
      </c>
      <c r="W2010" t="s">
        <v>8358</v>
      </c>
      <c r="X2010" t="s">
        <v>11853</v>
      </c>
      <c r="Y2010" t="s">
        <v>11854</v>
      </c>
      <c r="AA2010" t="s">
        <v>8543</v>
      </c>
      <c r="AB2010" t="s">
        <v>11850</v>
      </c>
      <c r="AE2010">
        <v>-37.665129239999999</v>
      </c>
      <c r="AF2010">
        <v>175.30832118999999</v>
      </c>
      <c r="AG2010">
        <v>50</v>
      </c>
      <c r="AH2010">
        <v>15</v>
      </c>
      <c r="AI2010">
        <v>2</v>
      </c>
      <c r="AJ2010">
        <v>8</v>
      </c>
      <c r="AK2010">
        <v>15</v>
      </c>
      <c r="AL2010">
        <v>10</v>
      </c>
      <c r="AM2010">
        <v>16</v>
      </c>
      <c r="AN2010">
        <v>0</v>
      </c>
      <c r="AO2010">
        <v>51</v>
      </c>
      <c r="AP2010">
        <v>46</v>
      </c>
      <c r="AQ2010">
        <v>5</v>
      </c>
      <c r="AR2010">
        <v>0</v>
      </c>
      <c r="AS2010">
        <v>4</v>
      </c>
      <c r="AT2010">
        <v>2</v>
      </c>
    </row>
    <row r="2011" spans="1:46">
      <c r="A2011">
        <v>45615</v>
      </c>
      <c r="B2011" t="s">
        <v>11855</v>
      </c>
      <c r="C2011" t="s">
        <v>11856</v>
      </c>
      <c r="D2011" t="s">
        <v>11857</v>
      </c>
      <c r="E2011" t="s">
        <v>11858</v>
      </c>
      <c r="G2011" t="s">
        <v>11859</v>
      </c>
      <c r="H2011" t="s">
        <v>3942</v>
      </c>
      <c r="J2011" t="s">
        <v>3962</v>
      </c>
      <c r="K2011" t="s">
        <v>519</v>
      </c>
      <c r="M2011" t="s">
        <v>1297</v>
      </c>
      <c r="N2011" t="s">
        <v>571</v>
      </c>
      <c r="O2011" t="s">
        <v>2198</v>
      </c>
      <c r="P2011" t="s">
        <v>523</v>
      </c>
      <c r="Q2011" t="s">
        <v>2118</v>
      </c>
      <c r="R2011" t="s">
        <v>2084</v>
      </c>
      <c r="S2011" t="s">
        <v>2199</v>
      </c>
      <c r="T2011" t="s">
        <v>2085</v>
      </c>
      <c r="U2011">
        <v>209601</v>
      </c>
      <c r="V2011" t="s">
        <v>11859</v>
      </c>
      <c r="W2011" t="s">
        <v>11860</v>
      </c>
      <c r="X2011" t="s">
        <v>11861</v>
      </c>
      <c r="Y2011" t="s">
        <v>11858</v>
      </c>
      <c r="AA2011" t="s">
        <v>11862</v>
      </c>
      <c r="AB2011" t="s">
        <v>11863</v>
      </c>
      <c r="AE2011">
        <v>-39.580374220000003</v>
      </c>
      <c r="AF2011">
        <v>176.9154369</v>
      </c>
      <c r="AG2011">
        <v>32</v>
      </c>
      <c r="AH2011">
        <v>0</v>
      </c>
      <c r="AI2011">
        <v>0</v>
      </c>
      <c r="AJ2011">
        <v>0</v>
      </c>
      <c r="AK2011">
        <v>0</v>
      </c>
      <c r="AL2011">
        <v>10</v>
      </c>
      <c r="AM2011">
        <v>15</v>
      </c>
      <c r="AN2011">
        <v>4</v>
      </c>
      <c r="AO2011">
        <v>29</v>
      </c>
      <c r="AP2011">
        <v>29</v>
      </c>
      <c r="AQ2011">
        <v>5</v>
      </c>
      <c r="AR2011">
        <v>1</v>
      </c>
      <c r="AS2011">
        <v>1</v>
      </c>
      <c r="AT2011">
        <v>1</v>
      </c>
    </row>
    <row r="2012" spans="1:46">
      <c r="A2012">
        <v>45616</v>
      </c>
      <c r="B2012" t="s">
        <v>11864</v>
      </c>
      <c r="C2012" t="s">
        <v>11865</v>
      </c>
      <c r="E2012" t="s">
        <v>11866</v>
      </c>
      <c r="G2012" t="s">
        <v>2941</v>
      </c>
      <c r="H2012" t="s">
        <v>3942</v>
      </c>
      <c r="J2012" t="s">
        <v>3962</v>
      </c>
      <c r="K2012" t="s">
        <v>519</v>
      </c>
      <c r="M2012" t="s">
        <v>2287</v>
      </c>
      <c r="N2012" t="s">
        <v>571</v>
      </c>
      <c r="O2012" t="s">
        <v>3208</v>
      </c>
      <c r="P2012" t="s">
        <v>523</v>
      </c>
      <c r="Q2012" t="s">
        <v>2943</v>
      </c>
      <c r="R2012" t="s">
        <v>2944</v>
      </c>
      <c r="S2012" t="s">
        <v>3179</v>
      </c>
      <c r="T2012" t="s">
        <v>2448</v>
      </c>
      <c r="U2012">
        <v>335701</v>
      </c>
      <c r="V2012" t="s">
        <v>11867</v>
      </c>
      <c r="W2012" t="s">
        <v>3664</v>
      </c>
      <c r="X2012" t="s">
        <v>11868</v>
      </c>
      <c r="Y2012" t="s">
        <v>11869</v>
      </c>
      <c r="Z2012" t="s">
        <v>11870</v>
      </c>
      <c r="AA2012" t="s">
        <v>11871</v>
      </c>
      <c r="AB2012" t="s">
        <v>11872</v>
      </c>
      <c r="AC2012">
        <v>99113</v>
      </c>
      <c r="AD2012" t="s">
        <v>3665</v>
      </c>
      <c r="AE2012">
        <v>-43.578034510000002</v>
      </c>
      <c r="AF2012">
        <v>172.51451410000001</v>
      </c>
      <c r="AG2012">
        <v>44</v>
      </c>
      <c r="AH2012">
        <v>13</v>
      </c>
      <c r="AI2012">
        <v>1</v>
      </c>
      <c r="AJ2012">
        <v>11</v>
      </c>
      <c r="AK2012">
        <v>12</v>
      </c>
      <c r="AL2012">
        <v>11</v>
      </c>
      <c r="AM2012">
        <v>14</v>
      </c>
      <c r="AN2012">
        <v>1</v>
      </c>
      <c r="AO2012">
        <v>50</v>
      </c>
      <c r="AP2012">
        <v>41</v>
      </c>
      <c r="AQ2012">
        <v>13</v>
      </c>
      <c r="AR2012">
        <v>5</v>
      </c>
      <c r="AS2012">
        <v>7</v>
      </c>
      <c r="AT2012">
        <v>0</v>
      </c>
    </row>
    <row r="2013" spans="1:46">
      <c r="A2013">
        <v>45617</v>
      </c>
      <c r="B2013" t="s">
        <v>11873</v>
      </c>
      <c r="C2013" t="s">
        <v>11874</v>
      </c>
      <c r="D2013" t="s">
        <v>11875</v>
      </c>
      <c r="E2013" t="s">
        <v>11876</v>
      </c>
      <c r="F2013" t="s">
        <v>777</v>
      </c>
      <c r="G2013" t="s">
        <v>652</v>
      </c>
      <c r="H2013" t="s">
        <v>4716</v>
      </c>
      <c r="J2013" t="s">
        <v>3962</v>
      </c>
      <c r="K2013" t="s">
        <v>519</v>
      </c>
      <c r="M2013" t="s">
        <v>520</v>
      </c>
      <c r="N2013" t="s">
        <v>571</v>
      </c>
      <c r="O2013" t="s">
        <v>707</v>
      </c>
      <c r="P2013" t="s">
        <v>654</v>
      </c>
      <c r="Q2013" t="s">
        <v>638</v>
      </c>
      <c r="R2013" t="s">
        <v>708</v>
      </c>
      <c r="S2013" t="s">
        <v>706</v>
      </c>
      <c r="T2013" t="s">
        <v>709</v>
      </c>
      <c r="U2013">
        <v>150600</v>
      </c>
      <c r="V2013" t="s">
        <v>7325</v>
      </c>
      <c r="W2013" t="s">
        <v>711</v>
      </c>
      <c r="X2013" t="s">
        <v>11877</v>
      </c>
      <c r="Y2013" t="s">
        <v>11878</v>
      </c>
      <c r="AA2013" t="s">
        <v>10917</v>
      </c>
      <c r="AB2013" t="s">
        <v>11879</v>
      </c>
      <c r="AE2013">
        <v>-36.891866499999999</v>
      </c>
      <c r="AF2013">
        <v>174.93812349999999</v>
      </c>
      <c r="AG2013">
        <v>80</v>
      </c>
      <c r="AH2013">
        <v>80</v>
      </c>
      <c r="AI2013">
        <v>5</v>
      </c>
      <c r="AJ2013">
        <v>12</v>
      </c>
      <c r="AK2013">
        <v>19</v>
      </c>
      <c r="AL2013">
        <v>24</v>
      </c>
      <c r="AM2013">
        <v>13</v>
      </c>
      <c r="AN2013">
        <v>1</v>
      </c>
      <c r="AO2013">
        <v>74</v>
      </c>
      <c r="AP2013">
        <v>60</v>
      </c>
      <c r="AQ2013">
        <v>9</v>
      </c>
      <c r="AR2013">
        <v>5</v>
      </c>
      <c r="AS2013">
        <v>19</v>
      </c>
      <c r="AT2013">
        <v>0</v>
      </c>
    </row>
    <row r="2014" spans="1:46">
      <c r="A2014">
        <v>45619</v>
      </c>
      <c r="B2014" t="s">
        <v>11880</v>
      </c>
      <c r="C2014" t="s">
        <v>11881</v>
      </c>
      <c r="D2014" t="s">
        <v>11882</v>
      </c>
      <c r="E2014" t="s">
        <v>11883</v>
      </c>
      <c r="F2014" t="s">
        <v>10612</v>
      </c>
      <c r="G2014" t="s">
        <v>1598</v>
      </c>
      <c r="H2014" t="s">
        <v>3942</v>
      </c>
      <c r="J2014" t="s">
        <v>518</v>
      </c>
      <c r="K2014" t="s">
        <v>519</v>
      </c>
      <c r="M2014" t="s">
        <v>1297</v>
      </c>
      <c r="N2014" t="s">
        <v>571</v>
      </c>
      <c r="O2014" t="s">
        <v>1698</v>
      </c>
      <c r="P2014" t="s">
        <v>654</v>
      </c>
      <c r="Q2014" t="s">
        <v>1471</v>
      </c>
      <c r="R2014" t="s">
        <v>1472</v>
      </c>
      <c r="S2014" t="s">
        <v>1598</v>
      </c>
      <c r="T2014" t="s">
        <v>1474</v>
      </c>
      <c r="U2014">
        <v>194000</v>
      </c>
      <c r="V2014" t="s">
        <v>10612</v>
      </c>
      <c r="W2014" t="s">
        <v>1709</v>
      </c>
      <c r="X2014" t="s">
        <v>8377</v>
      </c>
      <c r="Y2014" t="s">
        <v>3944</v>
      </c>
      <c r="Z2014" t="s">
        <v>3945</v>
      </c>
      <c r="AA2014" t="s">
        <v>3946</v>
      </c>
      <c r="AB2014" t="s">
        <v>8378</v>
      </c>
      <c r="AC2014">
        <v>99036</v>
      </c>
      <c r="AD2014" t="s">
        <v>1710</v>
      </c>
      <c r="AE2014">
        <v>-37.695019989999999</v>
      </c>
      <c r="AF2014">
        <v>176.14226443000001</v>
      </c>
      <c r="AG2014">
        <v>72</v>
      </c>
      <c r="AH2014">
        <v>20</v>
      </c>
      <c r="AI2014">
        <v>0</v>
      </c>
      <c r="AJ2014">
        <v>16</v>
      </c>
      <c r="AK2014">
        <v>20</v>
      </c>
      <c r="AL2014">
        <v>27</v>
      </c>
      <c r="AM2014">
        <v>16</v>
      </c>
      <c r="AN2014">
        <v>2</v>
      </c>
      <c r="AO2014">
        <v>81</v>
      </c>
      <c r="AP2014">
        <v>44</v>
      </c>
      <c r="AQ2014">
        <v>35</v>
      </c>
      <c r="AR2014">
        <v>2</v>
      </c>
      <c r="AS2014">
        <v>23</v>
      </c>
      <c r="AT2014">
        <v>5</v>
      </c>
    </row>
    <row r="2015" spans="1:46">
      <c r="A2015">
        <v>45620</v>
      </c>
      <c r="B2015" t="s">
        <v>11884</v>
      </c>
      <c r="C2015" t="s">
        <v>11885</v>
      </c>
      <c r="D2015" t="s">
        <v>11886</v>
      </c>
      <c r="E2015" t="s">
        <v>11887</v>
      </c>
      <c r="F2015" t="s">
        <v>11099</v>
      </c>
      <c r="G2015" t="s">
        <v>3770</v>
      </c>
      <c r="H2015" t="s">
        <v>3942</v>
      </c>
      <c r="J2015" t="s">
        <v>3962</v>
      </c>
      <c r="K2015" t="s">
        <v>519</v>
      </c>
      <c r="M2015" t="s">
        <v>1297</v>
      </c>
      <c r="N2015" t="s">
        <v>557</v>
      </c>
      <c r="O2015" t="s">
        <v>1698</v>
      </c>
      <c r="P2015" t="s">
        <v>654</v>
      </c>
      <c r="Q2015" t="s">
        <v>1471</v>
      </c>
      <c r="R2015" t="s">
        <v>1472</v>
      </c>
      <c r="S2015" t="s">
        <v>1699</v>
      </c>
      <c r="T2015" t="s">
        <v>1474</v>
      </c>
      <c r="U2015">
        <v>197400</v>
      </c>
      <c r="V2015" t="s">
        <v>8571</v>
      </c>
      <c r="W2015" t="s">
        <v>3772</v>
      </c>
      <c r="X2015" t="s">
        <v>11888</v>
      </c>
      <c r="Y2015" t="s">
        <v>11887</v>
      </c>
      <c r="Z2015" t="s">
        <v>11099</v>
      </c>
      <c r="AA2015" t="s">
        <v>11889</v>
      </c>
      <c r="AB2015" t="s">
        <v>11890</v>
      </c>
      <c r="AE2015">
        <v>-37.708577849999998</v>
      </c>
      <c r="AF2015">
        <v>176.31639297000001</v>
      </c>
      <c r="AG2015">
        <v>50</v>
      </c>
      <c r="AH2015">
        <v>19</v>
      </c>
      <c r="AI2015">
        <v>2</v>
      </c>
      <c r="AJ2015">
        <v>14</v>
      </c>
      <c r="AK2015">
        <v>7</v>
      </c>
      <c r="AL2015">
        <v>20</v>
      </c>
      <c r="AM2015">
        <v>10</v>
      </c>
      <c r="AN2015">
        <v>0</v>
      </c>
      <c r="AO2015">
        <v>53</v>
      </c>
      <c r="AP2015">
        <v>44</v>
      </c>
      <c r="AQ2015">
        <v>17</v>
      </c>
      <c r="AR2015">
        <v>4</v>
      </c>
      <c r="AS2015">
        <v>6</v>
      </c>
      <c r="AT2015">
        <v>0</v>
      </c>
    </row>
    <row r="2016" spans="1:46">
      <c r="A2016">
        <v>45621</v>
      </c>
      <c r="B2016" t="s">
        <v>11891</v>
      </c>
      <c r="C2016" t="s">
        <v>11892</v>
      </c>
      <c r="D2016" t="s">
        <v>11893</v>
      </c>
      <c r="E2016" t="s">
        <v>11894</v>
      </c>
      <c r="G2016" t="s">
        <v>3005</v>
      </c>
      <c r="H2016" t="s">
        <v>3942</v>
      </c>
      <c r="J2016" t="s">
        <v>3962</v>
      </c>
      <c r="K2016" t="s">
        <v>519</v>
      </c>
      <c r="M2016" t="s">
        <v>2287</v>
      </c>
      <c r="N2016" t="s">
        <v>571</v>
      </c>
      <c r="O2016" t="s">
        <v>3006</v>
      </c>
      <c r="P2016" t="s">
        <v>523</v>
      </c>
      <c r="Q2016" t="s">
        <v>2928</v>
      </c>
      <c r="R2016" t="s">
        <v>2824</v>
      </c>
      <c r="S2016" t="s">
        <v>2870</v>
      </c>
      <c r="T2016" t="s">
        <v>2448</v>
      </c>
      <c r="U2016">
        <v>310200</v>
      </c>
      <c r="V2016" t="s">
        <v>11895</v>
      </c>
      <c r="W2016" t="s">
        <v>2443</v>
      </c>
      <c r="X2016" t="s">
        <v>11896</v>
      </c>
      <c r="Y2016" t="s">
        <v>11894</v>
      </c>
      <c r="AA2016" t="s">
        <v>11897</v>
      </c>
      <c r="AB2016" t="s">
        <v>11892</v>
      </c>
      <c r="AC2016">
        <v>99026</v>
      </c>
      <c r="AD2016" t="s">
        <v>3008</v>
      </c>
      <c r="AE2016">
        <v>-42.450403960000003</v>
      </c>
      <c r="AF2016">
        <v>171.19394267000001</v>
      </c>
      <c r="AG2016">
        <v>40</v>
      </c>
      <c r="AH2016">
        <v>0</v>
      </c>
      <c r="AI2016">
        <v>0</v>
      </c>
      <c r="AJ2016">
        <v>0</v>
      </c>
      <c r="AK2016">
        <v>15</v>
      </c>
      <c r="AL2016">
        <v>24</v>
      </c>
      <c r="AM2016">
        <v>26</v>
      </c>
      <c r="AN2016">
        <v>0</v>
      </c>
      <c r="AO2016">
        <v>65</v>
      </c>
      <c r="AP2016">
        <v>63</v>
      </c>
      <c r="AQ2016">
        <v>9</v>
      </c>
      <c r="AR2016">
        <v>2</v>
      </c>
      <c r="AS2016">
        <v>3</v>
      </c>
      <c r="AT2016">
        <v>0</v>
      </c>
    </row>
    <row r="2017" spans="1:46">
      <c r="A2017">
        <v>45622</v>
      </c>
      <c r="B2017" t="s">
        <v>11898</v>
      </c>
      <c r="C2017" t="s">
        <v>11899</v>
      </c>
      <c r="E2017" t="s">
        <v>11900</v>
      </c>
      <c r="F2017" t="s">
        <v>3535</v>
      </c>
      <c r="G2017" t="s">
        <v>3498</v>
      </c>
      <c r="H2017" t="s">
        <v>3942</v>
      </c>
      <c r="J2017" t="s">
        <v>518</v>
      </c>
      <c r="K2017" t="s">
        <v>519</v>
      </c>
      <c r="M2017" t="s">
        <v>2287</v>
      </c>
      <c r="N2017" t="s">
        <v>557</v>
      </c>
      <c r="O2017" t="s">
        <v>3496</v>
      </c>
      <c r="P2017" t="s">
        <v>584</v>
      </c>
      <c r="Q2017" t="s">
        <v>3497</v>
      </c>
      <c r="R2017" t="s">
        <v>3338</v>
      </c>
      <c r="S2017" t="s">
        <v>3498</v>
      </c>
      <c r="T2017" t="s">
        <v>2448</v>
      </c>
      <c r="U2017">
        <v>361701</v>
      </c>
      <c r="V2017" t="s">
        <v>3535</v>
      </c>
      <c r="W2017" t="s">
        <v>1652</v>
      </c>
      <c r="X2017" t="s">
        <v>11901</v>
      </c>
      <c r="Y2017" t="s">
        <v>11900</v>
      </c>
      <c r="Z2017" t="s">
        <v>11902</v>
      </c>
      <c r="AA2017" t="s">
        <v>11903</v>
      </c>
      <c r="AB2017" t="s">
        <v>11899</v>
      </c>
      <c r="AE2017">
        <v>-46.407131370000002</v>
      </c>
      <c r="AF2017">
        <v>168.37803149999999</v>
      </c>
      <c r="AG2017">
        <v>150</v>
      </c>
      <c r="AH2017">
        <v>50</v>
      </c>
      <c r="AI2017">
        <v>7</v>
      </c>
      <c r="AJ2017">
        <v>26</v>
      </c>
      <c r="AK2017">
        <v>53</v>
      </c>
      <c r="AL2017">
        <v>40</v>
      </c>
      <c r="AM2017">
        <v>30</v>
      </c>
      <c r="AN2017">
        <v>0</v>
      </c>
      <c r="AO2017">
        <v>156</v>
      </c>
      <c r="AP2017">
        <v>105</v>
      </c>
      <c r="AQ2017">
        <v>64</v>
      </c>
      <c r="AR2017">
        <v>11</v>
      </c>
      <c r="AS2017">
        <v>16</v>
      </c>
      <c r="AT2017">
        <v>9</v>
      </c>
    </row>
    <row r="2018" spans="1:46">
      <c r="A2018">
        <v>45624</v>
      </c>
      <c r="B2018" t="s">
        <v>11904</v>
      </c>
      <c r="C2018" t="s">
        <v>11905</v>
      </c>
      <c r="D2018" t="s">
        <v>8161</v>
      </c>
      <c r="E2018" t="s">
        <v>11906</v>
      </c>
      <c r="F2018" t="s">
        <v>1189</v>
      </c>
      <c r="G2018" t="s">
        <v>652</v>
      </c>
      <c r="H2018" t="s">
        <v>3942</v>
      </c>
      <c r="J2018" t="s">
        <v>3962</v>
      </c>
      <c r="K2018" t="s">
        <v>519</v>
      </c>
      <c r="M2018" t="s">
        <v>520</v>
      </c>
      <c r="N2018" t="s">
        <v>571</v>
      </c>
      <c r="O2018" t="s">
        <v>813</v>
      </c>
      <c r="P2018" t="s">
        <v>654</v>
      </c>
      <c r="Q2018" t="s">
        <v>638</v>
      </c>
      <c r="R2018" t="s">
        <v>639</v>
      </c>
      <c r="S2018" t="s">
        <v>899</v>
      </c>
      <c r="T2018" t="s">
        <v>709</v>
      </c>
      <c r="U2018">
        <v>128501</v>
      </c>
      <c r="V2018" t="s">
        <v>1190</v>
      </c>
      <c r="W2018" t="s">
        <v>815</v>
      </c>
      <c r="X2018" t="s">
        <v>8163</v>
      </c>
      <c r="Y2018" t="s">
        <v>8164</v>
      </c>
      <c r="Z2018" t="s">
        <v>717</v>
      </c>
      <c r="AA2018" t="s">
        <v>5690</v>
      </c>
      <c r="AB2018" t="s">
        <v>8165</v>
      </c>
      <c r="AE2018">
        <v>-36.876214730000001</v>
      </c>
      <c r="AF2018">
        <v>174.6532109</v>
      </c>
      <c r="AG2018">
        <v>60</v>
      </c>
      <c r="AH2018">
        <v>20</v>
      </c>
      <c r="AI2018">
        <v>1</v>
      </c>
      <c r="AJ2018">
        <v>8</v>
      </c>
      <c r="AK2018">
        <v>13</v>
      </c>
      <c r="AL2018">
        <v>13</v>
      </c>
      <c r="AM2018">
        <v>11</v>
      </c>
      <c r="AN2018">
        <v>1</v>
      </c>
      <c r="AO2018">
        <v>47</v>
      </c>
      <c r="AP2018">
        <v>14</v>
      </c>
      <c r="AQ2018">
        <v>5</v>
      </c>
      <c r="AR2018">
        <v>16</v>
      </c>
      <c r="AS2018">
        <v>24</v>
      </c>
      <c r="AT2018">
        <v>1</v>
      </c>
    </row>
    <row r="2019" spans="1:46">
      <c r="A2019">
        <v>45625</v>
      </c>
      <c r="B2019" t="s">
        <v>11907</v>
      </c>
      <c r="C2019" t="s">
        <v>11908</v>
      </c>
      <c r="D2019" t="s">
        <v>11909</v>
      </c>
      <c r="E2019" t="s">
        <v>11910</v>
      </c>
      <c r="F2019" t="s">
        <v>803</v>
      </c>
      <c r="G2019" t="s">
        <v>652</v>
      </c>
      <c r="H2019" t="s">
        <v>3942</v>
      </c>
      <c r="J2019" t="s">
        <v>3962</v>
      </c>
      <c r="K2019" t="s">
        <v>519</v>
      </c>
      <c r="M2019" t="s">
        <v>520</v>
      </c>
      <c r="N2019" t="s">
        <v>571</v>
      </c>
      <c r="O2019" t="s">
        <v>804</v>
      </c>
      <c r="P2019" t="s">
        <v>654</v>
      </c>
      <c r="Q2019" t="s">
        <v>638</v>
      </c>
      <c r="R2019" t="s">
        <v>708</v>
      </c>
      <c r="S2019" t="s">
        <v>805</v>
      </c>
      <c r="T2019" t="s">
        <v>709</v>
      </c>
      <c r="U2019">
        <v>143301</v>
      </c>
      <c r="V2019" t="s">
        <v>4232</v>
      </c>
      <c r="W2019" t="s">
        <v>807</v>
      </c>
      <c r="X2019" t="s">
        <v>11911</v>
      </c>
      <c r="Y2019" t="s">
        <v>11912</v>
      </c>
      <c r="Z2019" t="s">
        <v>803</v>
      </c>
      <c r="AA2019" t="s">
        <v>4235</v>
      </c>
      <c r="AB2019" t="s">
        <v>11913</v>
      </c>
      <c r="AE2019">
        <v>-36.894893959999997</v>
      </c>
      <c r="AF2019">
        <v>174.80802972000001</v>
      </c>
      <c r="AG2019">
        <v>17</v>
      </c>
      <c r="AH2019">
        <v>8</v>
      </c>
      <c r="AI2019">
        <v>0</v>
      </c>
      <c r="AJ2019">
        <v>8</v>
      </c>
      <c r="AK2019">
        <v>3</v>
      </c>
      <c r="AL2019">
        <v>9</v>
      </c>
      <c r="AM2019">
        <v>3</v>
      </c>
      <c r="AN2019">
        <v>0</v>
      </c>
      <c r="AO2019">
        <v>23</v>
      </c>
      <c r="AP2019">
        <v>23</v>
      </c>
      <c r="AQ2019">
        <v>0</v>
      </c>
      <c r="AR2019">
        <v>0</v>
      </c>
      <c r="AS2019">
        <v>0</v>
      </c>
      <c r="AT2019">
        <v>0</v>
      </c>
    </row>
    <row r="2020" spans="1:46">
      <c r="A2020">
        <v>45626</v>
      </c>
      <c r="B2020" t="s">
        <v>11914</v>
      </c>
      <c r="C2020" t="s">
        <v>11915</v>
      </c>
      <c r="D2020" t="s">
        <v>11916</v>
      </c>
      <c r="E2020" t="s">
        <v>11917</v>
      </c>
      <c r="F2020" t="s">
        <v>6954</v>
      </c>
      <c r="G2020" t="s">
        <v>652</v>
      </c>
      <c r="H2020" t="s">
        <v>3942</v>
      </c>
      <c r="J2020" t="s">
        <v>3962</v>
      </c>
      <c r="K2020" t="s">
        <v>519</v>
      </c>
      <c r="M2020" t="s">
        <v>520</v>
      </c>
      <c r="N2020" t="s">
        <v>571</v>
      </c>
      <c r="O2020" t="s">
        <v>804</v>
      </c>
      <c r="P2020" t="s">
        <v>654</v>
      </c>
      <c r="Q2020" t="s">
        <v>638</v>
      </c>
      <c r="R2020" t="s">
        <v>708</v>
      </c>
      <c r="S2020" t="s">
        <v>880</v>
      </c>
      <c r="T2020" t="s">
        <v>709</v>
      </c>
      <c r="U2020">
        <v>145400</v>
      </c>
      <c r="V2020" t="s">
        <v>8194</v>
      </c>
      <c r="W2020" t="s">
        <v>807</v>
      </c>
      <c r="X2020" t="s">
        <v>11918</v>
      </c>
      <c r="Y2020" t="s">
        <v>4658</v>
      </c>
      <c r="Z2020" t="s">
        <v>958</v>
      </c>
      <c r="AA2020" t="s">
        <v>4659</v>
      </c>
      <c r="AE2020">
        <v>-36.877173810000002</v>
      </c>
      <c r="AF2020">
        <v>174.84938084000001</v>
      </c>
      <c r="AG2020">
        <v>85</v>
      </c>
      <c r="AH2020">
        <v>15</v>
      </c>
      <c r="AI2020">
        <v>2</v>
      </c>
      <c r="AJ2020">
        <v>9</v>
      </c>
      <c r="AK2020">
        <v>16</v>
      </c>
      <c r="AL2020">
        <v>7</v>
      </c>
      <c r="AM2020">
        <v>5</v>
      </c>
      <c r="AN2020">
        <v>0</v>
      </c>
      <c r="AO2020">
        <v>39</v>
      </c>
      <c r="AP2020">
        <v>22</v>
      </c>
      <c r="AQ2020">
        <v>6</v>
      </c>
      <c r="AR2020">
        <v>4</v>
      </c>
      <c r="AS2020">
        <v>15</v>
      </c>
      <c r="AT2020">
        <v>8</v>
      </c>
    </row>
    <row r="2021" spans="1:46">
      <c r="A2021">
        <v>45628</v>
      </c>
      <c r="B2021" t="s">
        <v>11919</v>
      </c>
      <c r="C2021" t="s">
        <v>11920</v>
      </c>
      <c r="D2021" t="s">
        <v>11921</v>
      </c>
      <c r="E2021" t="s">
        <v>11922</v>
      </c>
      <c r="G2021" t="s">
        <v>3673</v>
      </c>
      <c r="H2021" t="s">
        <v>3942</v>
      </c>
      <c r="J2021" t="s">
        <v>3962</v>
      </c>
      <c r="K2021" t="s">
        <v>519</v>
      </c>
      <c r="M2021" t="s">
        <v>520</v>
      </c>
      <c r="N2021" t="s">
        <v>571</v>
      </c>
      <c r="O2021" t="s">
        <v>522</v>
      </c>
      <c r="P2021" t="s">
        <v>572</v>
      </c>
      <c r="Q2021" t="s">
        <v>524</v>
      </c>
      <c r="R2021" t="s">
        <v>525</v>
      </c>
      <c r="S2021" t="s">
        <v>526</v>
      </c>
      <c r="T2021" t="s">
        <v>527</v>
      </c>
      <c r="U2021">
        <v>102600</v>
      </c>
      <c r="V2021" t="s">
        <v>5324</v>
      </c>
      <c r="W2021" t="s">
        <v>558</v>
      </c>
      <c r="X2021" t="s">
        <v>5325</v>
      </c>
      <c r="Y2021" t="s">
        <v>5326</v>
      </c>
      <c r="AA2021" t="s">
        <v>4856</v>
      </c>
      <c r="AB2021" t="s">
        <v>5327</v>
      </c>
      <c r="AE2021">
        <v>-35.241949230000003</v>
      </c>
      <c r="AF2021">
        <v>173.91526078999999</v>
      </c>
      <c r="AG2021">
        <v>20</v>
      </c>
      <c r="AH2021">
        <v>0</v>
      </c>
      <c r="AI2021">
        <v>0</v>
      </c>
      <c r="AJ2021">
        <v>0</v>
      </c>
      <c r="AK2021">
        <v>0</v>
      </c>
      <c r="AL2021">
        <v>0</v>
      </c>
      <c r="AM2021">
        <v>0</v>
      </c>
      <c r="AN2021">
        <v>13</v>
      </c>
      <c r="AO2021">
        <v>13</v>
      </c>
      <c r="AP2021">
        <v>11</v>
      </c>
      <c r="AQ2021">
        <v>0</v>
      </c>
      <c r="AR2021">
        <v>0</v>
      </c>
      <c r="AS2021">
        <v>3</v>
      </c>
      <c r="AT2021">
        <v>0</v>
      </c>
    </row>
    <row r="2022" spans="1:46">
      <c r="A2022">
        <v>45631</v>
      </c>
      <c r="B2022" t="s">
        <v>11923</v>
      </c>
      <c r="C2022" t="s">
        <v>11924</v>
      </c>
      <c r="D2022" t="s">
        <v>11160</v>
      </c>
      <c r="E2022" t="s">
        <v>11925</v>
      </c>
      <c r="F2022" t="s">
        <v>1422</v>
      </c>
      <c r="G2022" t="s">
        <v>1296</v>
      </c>
      <c r="H2022" t="s">
        <v>3942</v>
      </c>
      <c r="J2022" t="s">
        <v>3962</v>
      </c>
      <c r="K2022" t="s">
        <v>519</v>
      </c>
      <c r="M2022" t="s">
        <v>1297</v>
      </c>
      <c r="N2022" t="s">
        <v>557</v>
      </c>
      <c r="O2022" t="s">
        <v>1298</v>
      </c>
      <c r="P2022" t="s">
        <v>654</v>
      </c>
      <c r="Q2022" t="s">
        <v>1299</v>
      </c>
      <c r="R2022" t="s">
        <v>1300</v>
      </c>
      <c r="S2022" t="s">
        <v>1301</v>
      </c>
      <c r="T2022" t="s">
        <v>1235</v>
      </c>
      <c r="U2022">
        <v>176301</v>
      </c>
      <c r="V2022" t="s">
        <v>8429</v>
      </c>
      <c r="W2022" t="s">
        <v>1303</v>
      </c>
      <c r="X2022" t="s">
        <v>11162</v>
      </c>
      <c r="Y2022" t="s">
        <v>11163</v>
      </c>
      <c r="Z2022" t="s">
        <v>11164</v>
      </c>
      <c r="AA2022" t="s">
        <v>8511</v>
      </c>
      <c r="AB2022" t="s">
        <v>11165</v>
      </c>
      <c r="AE2022">
        <v>-37.75107603</v>
      </c>
      <c r="AF2022">
        <v>175.24189134</v>
      </c>
      <c r="AG2022">
        <v>50</v>
      </c>
      <c r="AH2022">
        <v>15</v>
      </c>
      <c r="AI2022">
        <v>1</v>
      </c>
      <c r="AJ2022">
        <v>12</v>
      </c>
      <c r="AK2022">
        <v>12</v>
      </c>
      <c r="AL2022">
        <v>13</v>
      </c>
      <c r="AM2022">
        <v>12</v>
      </c>
      <c r="AN2022">
        <v>3</v>
      </c>
      <c r="AO2022">
        <v>53</v>
      </c>
      <c r="AP2022">
        <v>46</v>
      </c>
      <c r="AQ2022">
        <v>14</v>
      </c>
      <c r="AR2022">
        <v>2</v>
      </c>
      <c r="AS2022">
        <v>5</v>
      </c>
      <c r="AT2022">
        <v>3</v>
      </c>
    </row>
    <row r="2023" spans="1:46">
      <c r="A2023">
        <v>45633</v>
      </c>
      <c r="B2023" t="s">
        <v>11926</v>
      </c>
      <c r="C2023" t="s">
        <v>11927</v>
      </c>
      <c r="D2023" t="s">
        <v>11928</v>
      </c>
      <c r="E2023" t="s">
        <v>11929</v>
      </c>
      <c r="G2023" t="s">
        <v>2317</v>
      </c>
      <c r="H2023" t="s">
        <v>3942</v>
      </c>
      <c r="J2023" t="s">
        <v>3962</v>
      </c>
      <c r="K2023" t="s">
        <v>519</v>
      </c>
      <c r="M2023" t="s">
        <v>2287</v>
      </c>
      <c r="N2023" t="s">
        <v>557</v>
      </c>
      <c r="O2023" t="s">
        <v>2318</v>
      </c>
      <c r="P2023" t="s">
        <v>1262</v>
      </c>
      <c r="Q2023" t="s">
        <v>2319</v>
      </c>
      <c r="R2023" t="s">
        <v>2289</v>
      </c>
      <c r="S2023" t="s">
        <v>2269</v>
      </c>
      <c r="T2023" t="s">
        <v>2085</v>
      </c>
      <c r="U2023">
        <v>256400</v>
      </c>
      <c r="V2023" t="s">
        <v>2346</v>
      </c>
      <c r="W2023" t="s">
        <v>2321</v>
      </c>
      <c r="X2023" t="s">
        <v>11930</v>
      </c>
      <c r="Y2023" t="s">
        <v>11931</v>
      </c>
      <c r="Z2023" t="s">
        <v>2340</v>
      </c>
      <c r="AA2023" t="s">
        <v>11932</v>
      </c>
      <c r="AB2023" t="s">
        <v>11933</v>
      </c>
      <c r="AE2023">
        <v>-40.956019619999999</v>
      </c>
      <c r="AF2023">
        <v>175.65908962</v>
      </c>
      <c r="AG2023">
        <v>21</v>
      </c>
      <c r="AH2023">
        <v>20</v>
      </c>
      <c r="AI2023">
        <v>4</v>
      </c>
      <c r="AJ2023">
        <v>15</v>
      </c>
      <c r="AK2023">
        <v>13</v>
      </c>
      <c r="AL2023">
        <v>0</v>
      </c>
      <c r="AM2023">
        <v>0</v>
      </c>
      <c r="AN2023">
        <v>0</v>
      </c>
      <c r="AO2023">
        <v>32</v>
      </c>
      <c r="AP2023">
        <v>28</v>
      </c>
      <c r="AQ2023">
        <v>8</v>
      </c>
      <c r="AR2023">
        <v>0</v>
      </c>
      <c r="AS2023">
        <v>1</v>
      </c>
      <c r="AT2023">
        <v>2</v>
      </c>
    </row>
    <row r="2024" spans="1:46">
      <c r="A2024">
        <v>45634</v>
      </c>
      <c r="B2024" t="s">
        <v>11934</v>
      </c>
      <c r="C2024" t="s">
        <v>7805</v>
      </c>
      <c r="D2024" t="s">
        <v>6813</v>
      </c>
      <c r="E2024" t="s">
        <v>11935</v>
      </c>
      <c r="F2024" t="s">
        <v>913</v>
      </c>
      <c r="G2024" t="s">
        <v>652</v>
      </c>
      <c r="H2024" t="s">
        <v>298</v>
      </c>
      <c r="J2024" t="s">
        <v>518</v>
      </c>
      <c r="K2024" t="s">
        <v>519</v>
      </c>
      <c r="M2024" t="s">
        <v>520</v>
      </c>
      <c r="N2024" t="s">
        <v>4519</v>
      </c>
      <c r="O2024" t="s">
        <v>912</v>
      </c>
      <c r="P2024" t="s">
        <v>654</v>
      </c>
      <c r="Q2024" t="s">
        <v>638</v>
      </c>
      <c r="R2024" t="s">
        <v>708</v>
      </c>
      <c r="S2024" t="s">
        <v>913</v>
      </c>
      <c r="T2024" t="s">
        <v>709</v>
      </c>
      <c r="U2024">
        <v>139801</v>
      </c>
      <c r="V2024" t="s">
        <v>6086</v>
      </c>
      <c r="W2024" t="s">
        <v>860</v>
      </c>
      <c r="X2024" t="s">
        <v>7094</v>
      </c>
      <c r="Y2024" t="s">
        <v>5187</v>
      </c>
      <c r="AA2024" t="s">
        <v>5188</v>
      </c>
      <c r="AE2024">
        <v>-36.920126850000003</v>
      </c>
      <c r="AF2024">
        <v>174.72049150000001</v>
      </c>
      <c r="AG2024">
        <v>25</v>
      </c>
      <c r="AH2024">
        <v>25</v>
      </c>
      <c r="AI2024">
        <v>41</v>
      </c>
      <c r="AJ2024">
        <v>24</v>
      </c>
      <c r="AK2024">
        <v>2</v>
      </c>
      <c r="AL2024">
        <v>0</v>
      </c>
      <c r="AM2024">
        <v>0</v>
      </c>
      <c r="AN2024">
        <v>0</v>
      </c>
      <c r="AO2024">
        <v>67</v>
      </c>
      <c r="AP2024">
        <v>55</v>
      </c>
      <c r="AQ2024">
        <v>4</v>
      </c>
      <c r="AR2024">
        <v>1</v>
      </c>
      <c r="AS2024">
        <v>18</v>
      </c>
      <c r="AT2024">
        <v>1</v>
      </c>
    </row>
    <row r="2025" spans="1:46">
      <c r="A2025">
        <v>45635</v>
      </c>
      <c r="B2025" t="s">
        <v>11936</v>
      </c>
      <c r="C2025" t="s">
        <v>11937</v>
      </c>
      <c r="D2025" t="s">
        <v>11938</v>
      </c>
      <c r="E2025" t="s">
        <v>11939</v>
      </c>
      <c r="F2025" t="s">
        <v>3086</v>
      </c>
      <c r="G2025" t="s">
        <v>2941</v>
      </c>
      <c r="H2025" t="s">
        <v>3942</v>
      </c>
      <c r="J2025" t="s">
        <v>3962</v>
      </c>
      <c r="K2025" t="s">
        <v>519</v>
      </c>
      <c r="M2025" t="s">
        <v>2287</v>
      </c>
      <c r="N2025" t="s">
        <v>571</v>
      </c>
      <c r="O2025" t="s">
        <v>2942</v>
      </c>
      <c r="P2025" t="s">
        <v>654</v>
      </c>
      <c r="Q2025" t="s">
        <v>2943</v>
      </c>
      <c r="R2025" t="s">
        <v>2944</v>
      </c>
      <c r="S2025" t="s">
        <v>3019</v>
      </c>
      <c r="T2025" t="s">
        <v>2448</v>
      </c>
      <c r="U2025">
        <v>327700</v>
      </c>
      <c r="V2025" t="s">
        <v>10946</v>
      </c>
      <c r="W2025" t="s">
        <v>3088</v>
      </c>
      <c r="X2025" t="s">
        <v>11940</v>
      </c>
      <c r="Y2025" t="s">
        <v>11941</v>
      </c>
      <c r="Z2025" t="s">
        <v>2950</v>
      </c>
      <c r="AA2025" t="s">
        <v>11942</v>
      </c>
      <c r="AB2025" t="s">
        <v>11937</v>
      </c>
      <c r="AC2025">
        <v>99177</v>
      </c>
      <c r="AD2025" t="s">
        <v>2959</v>
      </c>
      <c r="AE2025">
        <v>-43.558287960000001</v>
      </c>
      <c r="AF2025">
        <v>172.60161743</v>
      </c>
      <c r="AG2025">
        <v>90</v>
      </c>
      <c r="AH2025">
        <v>30</v>
      </c>
      <c r="AI2025">
        <v>6</v>
      </c>
      <c r="AJ2025">
        <v>22</v>
      </c>
      <c r="AK2025">
        <v>29</v>
      </c>
      <c r="AL2025">
        <v>33</v>
      </c>
      <c r="AM2025">
        <v>18</v>
      </c>
      <c r="AN2025">
        <v>2</v>
      </c>
      <c r="AO2025">
        <v>110</v>
      </c>
      <c r="AP2025">
        <v>108</v>
      </c>
      <c r="AQ2025">
        <v>10</v>
      </c>
      <c r="AR2025">
        <v>3</v>
      </c>
      <c r="AS2025">
        <v>6</v>
      </c>
      <c r="AT2025">
        <v>1</v>
      </c>
    </row>
    <row r="2026" spans="1:46">
      <c r="A2026">
        <v>45639</v>
      </c>
      <c r="B2026" t="s">
        <v>11943</v>
      </c>
      <c r="C2026" t="s">
        <v>11944</v>
      </c>
      <c r="D2026" t="s">
        <v>11945</v>
      </c>
      <c r="E2026" t="s">
        <v>11946</v>
      </c>
      <c r="F2026" t="s">
        <v>11947</v>
      </c>
      <c r="G2026" t="s">
        <v>2941</v>
      </c>
      <c r="H2026" t="s">
        <v>3942</v>
      </c>
      <c r="J2026" t="s">
        <v>3962</v>
      </c>
      <c r="K2026" t="s">
        <v>519</v>
      </c>
      <c r="M2026" t="s">
        <v>2287</v>
      </c>
      <c r="N2026" t="s">
        <v>571</v>
      </c>
      <c r="O2026" t="s">
        <v>2942</v>
      </c>
      <c r="P2026" t="s">
        <v>654</v>
      </c>
      <c r="Q2026" t="s">
        <v>2943</v>
      </c>
      <c r="R2026" t="s">
        <v>2944</v>
      </c>
      <c r="S2026" t="s">
        <v>2973</v>
      </c>
      <c r="T2026" t="s">
        <v>2448</v>
      </c>
      <c r="U2026">
        <v>321302</v>
      </c>
      <c r="V2026" t="s">
        <v>11948</v>
      </c>
      <c r="W2026" t="s">
        <v>3126</v>
      </c>
      <c r="X2026" t="s">
        <v>11949</v>
      </c>
      <c r="Y2026" t="s">
        <v>11950</v>
      </c>
      <c r="Z2026" t="s">
        <v>2984</v>
      </c>
      <c r="AA2026" t="s">
        <v>11521</v>
      </c>
      <c r="AB2026" t="s">
        <v>11951</v>
      </c>
      <c r="AE2026">
        <v>-43.474181399999999</v>
      </c>
      <c r="AF2026">
        <v>172.66565151</v>
      </c>
      <c r="AG2026">
        <v>47</v>
      </c>
      <c r="AH2026">
        <v>14</v>
      </c>
      <c r="AI2026">
        <v>2</v>
      </c>
      <c r="AJ2026">
        <v>14</v>
      </c>
      <c r="AK2026">
        <v>9</v>
      </c>
      <c r="AL2026">
        <v>7</v>
      </c>
      <c r="AM2026">
        <v>3</v>
      </c>
      <c r="AN2026">
        <v>0</v>
      </c>
      <c r="AO2026">
        <v>35</v>
      </c>
      <c r="AP2026">
        <v>28</v>
      </c>
      <c r="AQ2026">
        <v>8</v>
      </c>
      <c r="AR2026">
        <v>0</v>
      </c>
      <c r="AS2026">
        <v>5</v>
      </c>
      <c r="AT2026">
        <v>2</v>
      </c>
    </row>
    <row r="2027" spans="1:46">
      <c r="A2027">
        <v>45645</v>
      </c>
      <c r="B2027" t="s">
        <v>11952</v>
      </c>
      <c r="C2027" t="s">
        <v>11953</v>
      </c>
      <c r="D2027" t="s">
        <v>11954</v>
      </c>
      <c r="E2027" t="s">
        <v>11955</v>
      </c>
      <c r="F2027" t="s">
        <v>11902</v>
      </c>
      <c r="G2027" t="s">
        <v>3498</v>
      </c>
      <c r="H2027" t="s">
        <v>3942</v>
      </c>
      <c r="J2027" t="s">
        <v>3962</v>
      </c>
      <c r="K2027" t="s">
        <v>519</v>
      </c>
      <c r="M2027" t="s">
        <v>2287</v>
      </c>
      <c r="N2027" t="s">
        <v>571</v>
      </c>
      <c r="O2027" t="s">
        <v>3496</v>
      </c>
      <c r="P2027" t="s">
        <v>584</v>
      </c>
      <c r="Q2027" t="s">
        <v>3497</v>
      </c>
      <c r="R2027" t="s">
        <v>3338</v>
      </c>
      <c r="S2027" t="s">
        <v>3498</v>
      </c>
      <c r="T2027" t="s">
        <v>2448</v>
      </c>
      <c r="U2027">
        <v>361900</v>
      </c>
      <c r="V2027" t="s">
        <v>11956</v>
      </c>
      <c r="W2027" t="s">
        <v>1652</v>
      </c>
      <c r="X2027" t="s">
        <v>11957</v>
      </c>
      <c r="Y2027" t="s">
        <v>11958</v>
      </c>
      <c r="AA2027" t="s">
        <v>11959</v>
      </c>
      <c r="AB2027" t="s">
        <v>11960</v>
      </c>
      <c r="AE2027">
        <v>-46.412434879999999</v>
      </c>
      <c r="AF2027">
        <v>168.3708413</v>
      </c>
      <c r="AG2027">
        <v>21</v>
      </c>
      <c r="AH2027">
        <v>21</v>
      </c>
      <c r="AI2027">
        <v>1</v>
      </c>
      <c r="AJ2027">
        <v>2</v>
      </c>
      <c r="AK2027">
        <v>3</v>
      </c>
      <c r="AL2027">
        <v>7</v>
      </c>
      <c r="AM2027">
        <v>7</v>
      </c>
      <c r="AN2027">
        <v>0</v>
      </c>
      <c r="AO2027">
        <v>20</v>
      </c>
      <c r="AP2027">
        <v>17</v>
      </c>
      <c r="AQ2027">
        <v>2</v>
      </c>
      <c r="AR2027">
        <v>1</v>
      </c>
      <c r="AS2027">
        <v>3</v>
      </c>
      <c r="AT2027">
        <v>1</v>
      </c>
    </row>
    <row r="2028" spans="1:46">
      <c r="A2028">
        <v>45648</v>
      </c>
      <c r="B2028" t="s">
        <v>11961</v>
      </c>
      <c r="C2028" t="s">
        <v>11962</v>
      </c>
      <c r="D2028" t="s">
        <v>11963</v>
      </c>
      <c r="E2028" t="s">
        <v>11964</v>
      </c>
      <c r="G2028" t="s">
        <v>3879</v>
      </c>
      <c r="H2028" t="s">
        <v>3942</v>
      </c>
      <c r="J2028" t="s">
        <v>518</v>
      </c>
      <c r="K2028" t="s">
        <v>519</v>
      </c>
      <c r="M2028" t="s">
        <v>2287</v>
      </c>
      <c r="N2028" t="s">
        <v>571</v>
      </c>
      <c r="O2028" t="s">
        <v>3481</v>
      </c>
      <c r="P2028" t="s">
        <v>523</v>
      </c>
      <c r="Q2028" t="s">
        <v>3337</v>
      </c>
      <c r="R2028" t="s">
        <v>3338</v>
      </c>
      <c r="S2028" t="s">
        <v>3384</v>
      </c>
      <c r="T2028" t="s">
        <v>2448</v>
      </c>
      <c r="U2028">
        <v>356400</v>
      </c>
      <c r="V2028" t="s">
        <v>3879</v>
      </c>
      <c r="W2028" t="s">
        <v>3880</v>
      </c>
      <c r="X2028" t="s">
        <v>11965</v>
      </c>
      <c r="Y2028" t="s">
        <v>11966</v>
      </c>
      <c r="AA2028" t="s">
        <v>11967</v>
      </c>
      <c r="AC2028">
        <v>99179</v>
      </c>
      <c r="AD2028" t="s">
        <v>3881</v>
      </c>
      <c r="AE2028">
        <v>-46.118615679999998</v>
      </c>
      <c r="AF2028">
        <v>169.96402144000001</v>
      </c>
      <c r="AG2028">
        <v>34</v>
      </c>
      <c r="AH2028">
        <v>11</v>
      </c>
      <c r="AI2028">
        <v>0</v>
      </c>
      <c r="AJ2028">
        <v>9</v>
      </c>
      <c r="AK2028">
        <v>7</v>
      </c>
      <c r="AL2028">
        <v>12</v>
      </c>
      <c r="AM2028">
        <v>12</v>
      </c>
      <c r="AN2028">
        <v>0</v>
      </c>
      <c r="AO2028">
        <v>40</v>
      </c>
      <c r="AP2028">
        <v>35</v>
      </c>
      <c r="AQ2028">
        <v>6</v>
      </c>
      <c r="AR2028">
        <v>0</v>
      </c>
      <c r="AS2028">
        <v>0</v>
      </c>
      <c r="AT2028">
        <v>4</v>
      </c>
    </row>
    <row r="2029" spans="1:46">
      <c r="A2029">
        <v>45654</v>
      </c>
      <c r="B2029" t="s">
        <v>11968</v>
      </c>
      <c r="C2029" t="s">
        <v>11969</v>
      </c>
      <c r="D2029" t="s">
        <v>11970</v>
      </c>
      <c r="E2029" t="s">
        <v>11971</v>
      </c>
      <c r="F2029" t="s">
        <v>770</v>
      </c>
      <c r="G2029" t="s">
        <v>652</v>
      </c>
      <c r="H2029" t="s">
        <v>3942</v>
      </c>
      <c r="J2029" t="s">
        <v>518</v>
      </c>
      <c r="K2029" t="s">
        <v>519</v>
      </c>
      <c r="M2029" t="s">
        <v>520</v>
      </c>
      <c r="N2029" t="s">
        <v>571</v>
      </c>
      <c r="O2029" t="s">
        <v>718</v>
      </c>
      <c r="P2029" t="s">
        <v>654</v>
      </c>
      <c r="Q2029" t="s">
        <v>638</v>
      </c>
      <c r="R2029" t="s">
        <v>639</v>
      </c>
      <c r="S2029" t="s">
        <v>719</v>
      </c>
      <c r="T2029" t="s">
        <v>709</v>
      </c>
      <c r="U2029">
        <v>132600</v>
      </c>
      <c r="V2029" t="s">
        <v>11742</v>
      </c>
      <c r="W2029" t="s">
        <v>721</v>
      </c>
      <c r="X2029" t="s">
        <v>3943</v>
      </c>
      <c r="Y2029" t="s">
        <v>3944</v>
      </c>
      <c r="Z2029" t="s">
        <v>3945</v>
      </c>
      <c r="AA2029" t="s">
        <v>3946</v>
      </c>
      <c r="AB2029" t="s">
        <v>3947</v>
      </c>
      <c r="AE2029">
        <v>-36.909397499999997</v>
      </c>
      <c r="AF2029">
        <v>174.67316869999999</v>
      </c>
      <c r="AG2029">
        <v>100</v>
      </c>
      <c r="AH2029">
        <v>20</v>
      </c>
      <c r="AI2029">
        <v>4</v>
      </c>
      <c r="AJ2029">
        <v>8</v>
      </c>
      <c r="AK2029">
        <v>32</v>
      </c>
      <c r="AL2029">
        <v>25</v>
      </c>
      <c r="AM2029">
        <v>32</v>
      </c>
      <c r="AN2029">
        <v>0</v>
      </c>
      <c r="AO2029">
        <v>101</v>
      </c>
      <c r="AP2029">
        <v>14</v>
      </c>
      <c r="AQ2029">
        <v>11</v>
      </c>
      <c r="AR2029">
        <v>14</v>
      </c>
      <c r="AS2029">
        <v>65</v>
      </c>
      <c r="AT2029">
        <v>10</v>
      </c>
    </row>
    <row r="2030" spans="1:46">
      <c r="A2030">
        <v>45656</v>
      </c>
      <c r="B2030" t="s">
        <v>11972</v>
      </c>
      <c r="C2030" t="s">
        <v>11973</v>
      </c>
      <c r="D2030" t="s">
        <v>11974</v>
      </c>
      <c r="E2030" t="s">
        <v>11975</v>
      </c>
      <c r="F2030" t="s">
        <v>898</v>
      </c>
      <c r="G2030" t="s">
        <v>652</v>
      </c>
      <c r="H2030" t="s">
        <v>3942</v>
      </c>
      <c r="J2030" t="s">
        <v>3962</v>
      </c>
      <c r="K2030" t="s">
        <v>519</v>
      </c>
      <c r="M2030" t="s">
        <v>520</v>
      </c>
      <c r="N2030" t="s">
        <v>539</v>
      </c>
      <c r="O2030" t="s">
        <v>813</v>
      </c>
      <c r="P2030" t="s">
        <v>654</v>
      </c>
      <c r="Q2030" t="s">
        <v>638</v>
      </c>
      <c r="R2030" t="s">
        <v>639</v>
      </c>
      <c r="S2030" t="s">
        <v>899</v>
      </c>
      <c r="T2030" t="s">
        <v>709</v>
      </c>
      <c r="U2030">
        <v>127900</v>
      </c>
      <c r="V2030" t="s">
        <v>7080</v>
      </c>
      <c r="W2030" t="s">
        <v>815</v>
      </c>
      <c r="X2030" t="s">
        <v>11976</v>
      </c>
      <c r="Y2030" t="s">
        <v>11977</v>
      </c>
      <c r="Z2030" t="s">
        <v>769</v>
      </c>
      <c r="AA2030" t="s">
        <v>4333</v>
      </c>
      <c r="AC2030">
        <v>99029</v>
      </c>
      <c r="AD2030" t="s">
        <v>901</v>
      </c>
      <c r="AE2030">
        <v>-36.8810802</v>
      </c>
      <c r="AF2030">
        <v>174.63917863</v>
      </c>
      <c r="AG2030">
        <v>45</v>
      </c>
      <c r="AH2030">
        <v>0</v>
      </c>
      <c r="AI2030">
        <v>0</v>
      </c>
      <c r="AJ2030">
        <v>0</v>
      </c>
      <c r="AK2030">
        <v>10</v>
      </c>
      <c r="AL2030">
        <v>16</v>
      </c>
      <c r="AM2030">
        <v>23</v>
      </c>
      <c r="AN2030">
        <v>2</v>
      </c>
      <c r="AO2030">
        <v>51</v>
      </c>
      <c r="AP2030">
        <v>7</v>
      </c>
      <c r="AQ2030">
        <v>13</v>
      </c>
      <c r="AR2030">
        <v>18</v>
      </c>
      <c r="AS2030">
        <v>21</v>
      </c>
      <c r="AT2030">
        <v>5</v>
      </c>
    </row>
    <row r="2031" spans="1:46">
      <c r="A2031">
        <v>45658</v>
      </c>
      <c r="B2031" t="s">
        <v>11978</v>
      </c>
      <c r="C2031" t="s">
        <v>11979</v>
      </c>
      <c r="D2031" t="s">
        <v>11980</v>
      </c>
      <c r="E2031" t="s">
        <v>11981</v>
      </c>
      <c r="G2031" t="s">
        <v>2317</v>
      </c>
      <c r="H2031" t="s">
        <v>3942</v>
      </c>
      <c r="I2031" t="s">
        <v>3971</v>
      </c>
      <c r="J2031" t="s">
        <v>3962</v>
      </c>
      <c r="K2031" t="s">
        <v>519</v>
      </c>
      <c r="M2031" t="s">
        <v>2287</v>
      </c>
      <c r="N2031" t="s">
        <v>571</v>
      </c>
      <c r="O2031" t="s">
        <v>2318</v>
      </c>
      <c r="P2031" t="s">
        <v>1262</v>
      </c>
      <c r="Q2031" t="s">
        <v>2319</v>
      </c>
      <c r="R2031" t="s">
        <v>2289</v>
      </c>
      <c r="S2031" t="s">
        <v>2269</v>
      </c>
      <c r="T2031" t="s">
        <v>2085</v>
      </c>
      <c r="U2031">
        <v>255900</v>
      </c>
      <c r="V2031" t="s">
        <v>11982</v>
      </c>
      <c r="W2031" t="s">
        <v>2321</v>
      </c>
      <c r="X2031" t="s">
        <v>11983</v>
      </c>
      <c r="Y2031" t="s">
        <v>11984</v>
      </c>
      <c r="AA2031" t="s">
        <v>11932</v>
      </c>
      <c r="AB2031" t="s">
        <v>11985</v>
      </c>
      <c r="AE2031">
        <v>-40.944239539999998</v>
      </c>
      <c r="AF2031">
        <v>175.66407813999999</v>
      </c>
      <c r="AG2031">
        <v>29</v>
      </c>
      <c r="AH2031">
        <v>10</v>
      </c>
      <c r="AI2031">
        <v>0</v>
      </c>
      <c r="AJ2031">
        <v>5</v>
      </c>
      <c r="AK2031">
        <v>11</v>
      </c>
      <c r="AL2031">
        <v>11</v>
      </c>
      <c r="AM2031">
        <v>10</v>
      </c>
      <c r="AN2031">
        <v>0</v>
      </c>
      <c r="AO2031">
        <v>37</v>
      </c>
      <c r="AP2031">
        <v>33</v>
      </c>
      <c r="AQ2031">
        <v>7</v>
      </c>
      <c r="AR2031">
        <v>0</v>
      </c>
      <c r="AS2031">
        <v>2</v>
      </c>
      <c r="AT2031">
        <v>0</v>
      </c>
    </row>
    <row r="2032" spans="1:46">
      <c r="A2032">
        <v>45660</v>
      </c>
      <c r="B2032" t="s">
        <v>11986</v>
      </c>
      <c r="C2032" t="s">
        <v>11987</v>
      </c>
      <c r="E2032" t="s">
        <v>11988</v>
      </c>
      <c r="G2032" t="s">
        <v>1679</v>
      </c>
      <c r="H2032" t="s">
        <v>3942</v>
      </c>
      <c r="J2032" t="s">
        <v>3962</v>
      </c>
      <c r="K2032" t="s">
        <v>519</v>
      </c>
      <c r="M2032" t="s">
        <v>1297</v>
      </c>
      <c r="N2032" t="s">
        <v>539</v>
      </c>
      <c r="O2032" t="s">
        <v>1546</v>
      </c>
      <c r="P2032" t="s">
        <v>523</v>
      </c>
      <c r="Q2032" t="s">
        <v>1299</v>
      </c>
      <c r="R2032" t="s">
        <v>1472</v>
      </c>
      <c r="S2032" t="s">
        <v>1320</v>
      </c>
      <c r="T2032" t="s">
        <v>1474</v>
      </c>
      <c r="U2032">
        <v>189700</v>
      </c>
      <c r="V2032" t="s">
        <v>1680</v>
      </c>
      <c r="W2032" t="s">
        <v>1681</v>
      </c>
      <c r="X2032" t="s">
        <v>11989</v>
      </c>
      <c r="Y2032" t="s">
        <v>11990</v>
      </c>
      <c r="Z2032" t="s">
        <v>11099</v>
      </c>
      <c r="AA2032" t="s">
        <v>11100</v>
      </c>
      <c r="AC2032">
        <v>99020</v>
      </c>
      <c r="AD2032" t="s">
        <v>1550</v>
      </c>
      <c r="AE2032">
        <v>-38.989125199999997</v>
      </c>
      <c r="AF2032">
        <v>175.8113118</v>
      </c>
      <c r="AG2032">
        <v>50</v>
      </c>
      <c r="AH2032">
        <v>0</v>
      </c>
      <c r="AI2032">
        <v>0</v>
      </c>
      <c r="AJ2032">
        <v>0</v>
      </c>
      <c r="AK2032">
        <v>7</v>
      </c>
      <c r="AL2032">
        <v>11</v>
      </c>
      <c r="AM2032">
        <v>12</v>
      </c>
      <c r="AN2032">
        <v>0</v>
      </c>
      <c r="AO2032">
        <v>30</v>
      </c>
      <c r="AP2032">
        <v>12</v>
      </c>
      <c r="AQ2032">
        <v>20</v>
      </c>
      <c r="AR2032">
        <v>5</v>
      </c>
      <c r="AS2032">
        <v>5</v>
      </c>
      <c r="AT2032">
        <v>5</v>
      </c>
    </row>
    <row r="2033" spans="1:46">
      <c r="A2033">
        <v>45668</v>
      </c>
      <c r="B2033" t="s">
        <v>11991</v>
      </c>
      <c r="D2033" t="s">
        <v>11992</v>
      </c>
      <c r="E2033" t="s">
        <v>11993</v>
      </c>
      <c r="F2033" t="s">
        <v>1036</v>
      </c>
      <c r="G2033" t="s">
        <v>652</v>
      </c>
      <c r="H2033" t="s">
        <v>3942</v>
      </c>
      <c r="J2033" t="s">
        <v>3962</v>
      </c>
      <c r="K2033" t="s">
        <v>519</v>
      </c>
      <c r="M2033" t="s">
        <v>520</v>
      </c>
      <c r="N2033" t="s">
        <v>727</v>
      </c>
      <c r="O2033" t="s">
        <v>1216</v>
      </c>
      <c r="P2033" t="s">
        <v>654</v>
      </c>
      <c r="Q2033" t="s">
        <v>638</v>
      </c>
      <c r="R2033" t="s">
        <v>729</v>
      </c>
      <c r="S2033" t="s">
        <v>1036</v>
      </c>
      <c r="T2033" t="s">
        <v>709</v>
      </c>
      <c r="U2033">
        <v>159101</v>
      </c>
      <c r="V2033" t="s">
        <v>11994</v>
      </c>
      <c r="W2033" t="s">
        <v>1219</v>
      </c>
      <c r="X2033" t="s">
        <v>4633</v>
      </c>
      <c r="Y2033" t="s">
        <v>11995</v>
      </c>
      <c r="Z2033" t="s">
        <v>770</v>
      </c>
      <c r="AA2033" t="s">
        <v>11996</v>
      </c>
      <c r="AB2033" t="s">
        <v>4636</v>
      </c>
      <c r="AE2033">
        <v>-37.011127559999998</v>
      </c>
      <c r="AF2033">
        <v>174.8843675</v>
      </c>
      <c r="AG2033">
        <v>35</v>
      </c>
      <c r="AH2033">
        <v>0</v>
      </c>
      <c r="AI2033">
        <v>0</v>
      </c>
      <c r="AJ2033">
        <v>0</v>
      </c>
      <c r="AK2033">
        <v>4</v>
      </c>
      <c r="AL2033">
        <v>8</v>
      </c>
      <c r="AM2033">
        <v>11</v>
      </c>
      <c r="AN2033">
        <v>2</v>
      </c>
      <c r="AO2033">
        <v>25</v>
      </c>
      <c r="AP2033">
        <v>2</v>
      </c>
      <c r="AQ2033">
        <v>9</v>
      </c>
      <c r="AR2033">
        <v>12</v>
      </c>
      <c r="AS2033">
        <v>10</v>
      </c>
      <c r="AT2033">
        <v>1</v>
      </c>
    </row>
    <row r="2034" spans="1:46">
      <c r="A2034">
        <v>45669</v>
      </c>
      <c r="B2034" t="s">
        <v>11997</v>
      </c>
      <c r="C2034" t="s">
        <v>11998</v>
      </c>
      <c r="D2034" t="s">
        <v>11999</v>
      </c>
      <c r="E2034" t="s">
        <v>12000</v>
      </c>
      <c r="F2034" t="s">
        <v>11775</v>
      </c>
      <c r="G2034" t="s">
        <v>2427</v>
      </c>
      <c r="H2034" t="s">
        <v>3942</v>
      </c>
      <c r="J2034" t="s">
        <v>518</v>
      </c>
      <c r="K2034" t="s">
        <v>519</v>
      </c>
      <c r="M2034" t="s">
        <v>2287</v>
      </c>
      <c r="N2034" t="s">
        <v>571</v>
      </c>
      <c r="O2034" t="s">
        <v>2428</v>
      </c>
      <c r="P2034" t="s">
        <v>654</v>
      </c>
      <c r="Q2034" t="s">
        <v>2319</v>
      </c>
      <c r="R2034" t="s">
        <v>2289</v>
      </c>
      <c r="S2034" t="s">
        <v>2429</v>
      </c>
      <c r="T2034" t="s">
        <v>2448</v>
      </c>
      <c r="U2034">
        <v>244300</v>
      </c>
      <c r="V2034" t="s">
        <v>9027</v>
      </c>
      <c r="W2034" t="s">
        <v>2443</v>
      </c>
      <c r="X2034" t="s">
        <v>10434</v>
      </c>
      <c r="Y2034" t="s">
        <v>3944</v>
      </c>
      <c r="Z2034" t="s">
        <v>3945</v>
      </c>
      <c r="AA2034" t="s">
        <v>3946</v>
      </c>
      <c r="AE2034">
        <v>-41.210735769999999</v>
      </c>
      <c r="AF2034">
        <v>174.90886763</v>
      </c>
      <c r="AG2034">
        <v>100</v>
      </c>
      <c r="AH2034">
        <v>25</v>
      </c>
      <c r="AI2034">
        <v>5</v>
      </c>
      <c r="AJ2034">
        <v>17</v>
      </c>
      <c r="AK2034">
        <v>23</v>
      </c>
      <c r="AL2034">
        <v>22</v>
      </c>
      <c r="AM2034">
        <v>32</v>
      </c>
      <c r="AN2034">
        <v>1</v>
      </c>
      <c r="AO2034">
        <v>100</v>
      </c>
      <c r="AP2034">
        <v>43</v>
      </c>
      <c r="AQ2034">
        <v>13</v>
      </c>
      <c r="AR2034">
        <v>10</v>
      </c>
      <c r="AS2034">
        <v>48</v>
      </c>
      <c r="AT2034">
        <v>7</v>
      </c>
    </row>
    <row r="2035" spans="1:46">
      <c r="A2035">
        <v>45671</v>
      </c>
      <c r="B2035" t="s">
        <v>12001</v>
      </c>
      <c r="C2035" t="s">
        <v>12002</v>
      </c>
      <c r="E2035" t="s">
        <v>12003</v>
      </c>
      <c r="F2035" t="s">
        <v>822</v>
      </c>
      <c r="G2035" t="s">
        <v>652</v>
      </c>
      <c r="H2035" t="s">
        <v>3942</v>
      </c>
      <c r="J2035" t="s">
        <v>518</v>
      </c>
      <c r="K2035" t="s">
        <v>519</v>
      </c>
      <c r="M2035" t="s">
        <v>520</v>
      </c>
      <c r="N2035" t="s">
        <v>4519</v>
      </c>
      <c r="O2035" t="s">
        <v>857</v>
      </c>
      <c r="P2035" t="s">
        <v>654</v>
      </c>
      <c r="Q2035" t="s">
        <v>638</v>
      </c>
      <c r="R2035" t="s">
        <v>708</v>
      </c>
      <c r="S2035" t="s">
        <v>822</v>
      </c>
      <c r="T2035" t="s">
        <v>709</v>
      </c>
      <c r="U2035">
        <v>140300</v>
      </c>
      <c r="V2035" t="s">
        <v>4502</v>
      </c>
      <c r="W2035" t="s">
        <v>860</v>
      </c>
      <c r="X2035" t="s">
        <v>12004</v>
      </c>
      <c r="Y2035" t="s">
        <v>12005</v>
      </c>
      <c r="Z2035" t="s">
        <v>4690</v>
      </c>
      <c r="AA2035" t="s">
        <v>4691</v>
      </c>
      <c r="AB2035" t="s">
        <v>12006</v>
      </c>
      <c r="AE2035">
        <v>-36.8791157</v>
      </c>
      <c r="AF2035">
        <v>174.77949651</v>
      </c>
      <c r="AG2035">
        <v>40</v>
      </c>
      <c r="AH2035">
        <v>0</v>
      </c>
      <c r="AI2035">
        <v>0</v>
      </c>
      <c r="AJ2035">
        <v>0</v>
      </c>
      <c r="AK2035">
        <v>0</v>
      </c>
      <c r="AL2035">
        <v>11</v>
      </c>
      <c r="AM2035">
        <v>20</v>
      </c>
      <c r="AN2035">
        <v>2</v>
      </c>
      <c r="AO2035">
        <v>33</v>
      </c>
      <c r="AP2035">
        <v>8</v>
      </c>
      <c r="AQ2035">
        <v>1</v>
      </c>
      <c r="AR2035">
        <v>2</v>
      </c>
      <c r="AS2035">
        <v>25</v>
      </c>
      <c r="AT2035">
        <v>0</v>
      </c>
    </row>
    <row r="2036" spans="1:46">
      <c r="A2036">
        <v>45673</v>
      </c>
      <c r="B2036" t="s">
        <v>12007</v>
      </c>
      <c r="C2036" t="s">
        <v>12008</v>
      </c>
      <c r="D2036" t="s">
        <v>12009</v>
      </c>
      <c r="E2036" t="s">
        <v>12010</v>
      </c>
      <c r="F2036" t="s">
        <v>12011</v>
      </c>
      <c r="G2036" t="s">
        <v>3382</v>
      </c>
      <c r="H2036" t="s">
        <v>3942</v>
      </c>
      <c r="J2036" t="s">
        <v>518</v>
      </c>
      <c r="K2036" t="s">
        <v>519</v>
      </c>
      <c r="M2036" t="s">
        <v>2287</v>
      </c>
      <c r="N2036" t="s">
        <v>571</v>
      </c>
      <c r="O2036" t="s">
        <v>3383</v>
      </c>
      <c r="P2036" t="s">
        <v>654</v>
      </c>
      <c r="Q2036" t="s">
        <v>3337</v>
      </c>
      <c r="R2036" t="s">
        <v>3338</v>
      </c>
      <c r="S2036" t="s">
        <v>3382</v>
      </c>
      <c r="T2036" t="s">
        <v>2448</v>
      </c>
      <c r="U2036">
        <v>352300</v>
      </c>
      <c r="V2036" t="s">
        <v>12012</v>
      </c>
      <c r="W2036" t="s">
        <v>1652</v>
      </c>
      <c r="X2036" t="s">
        <v>11085</v>
      </c>
      <c r="Y2036" t="s">
        <v>3944</v>
      </c>
      <c r="Z2036" t="s">
        <v>3945</v>
      </c>
      <c r="AA2036" t="s">
        <v>3946</v>
      </c>
      <c r="AE2036">
        <v>-45.88306343</v>
      </c>
      <c r="AF2036">
        <v>170.46721779999999</v>
      </c>
      <c r="AG2036">
        <v>75</v>
      </c>
      <c r="AH2036">
        <v>20</v>
      </c>
      <c r="AI2036">
        <v>3</v>
      </c>
      <c r="AJ2036">
        <v>12</v>
      </c>
      <c r="AK2036">
        <v>26</v>
      </c>
      <c r="AL2036">
        <v>17</v>
      </c>
      <c r="AM2036">
        <v>20</v>
      </c>
      <c r="AN2036">
        <v>0</v>
      </c>
      <c r="AO2036">
        <v>78</v>
      </c>
      <c r="AP2036">
        <v>58</v>
      </c>
      <c r="AQ2036">
        <v>16</v>
      </c>
      <c r="AR2036">
        <v>1</v>
      </c>
      <c r="AS2036">
        <v>8</v>
      </c>
      <c r="AT2036">
        <v>8</v>
      </c>
    </row>
    <row r="2037" spans="1:46">
      <c r="A2037">
        <v>45675</v>
      </c>
      <c r="B2037" t="s">
        <v>12013</v>
      </c>
      <c r="C2037" t="s">
        <v>12014</v>
      </c>
      <c r="E2037" t="s">
        <v>12015</v>
      </c>
      <c r="F2037" t="s">
        <v>8472</v>
      </c>
      <c r="G2037" t="s">
        <v>1598</v>
      </c>
      <c r="H2037" t="s">
        <v>3942</v>
      </c>
      <c r="I2037" t="s">
        <v>4065</v>
      </c>
      <c r="J2037" t="s">
        <v>518</v>
      </c>
      <c r="K2037" t="s">
        <v>519</v>
      </c>
      <c r="M2037" t="s">
        <v>1297</v>
      </c>
      <c r="N2037" t="s">
        <v>571</v>
      </c>
      <c r="O2037" t="s">
        <v>1698</v>
      </c>
      <c r="P2037" t="s">
        <v>654</v>
      </c>
      <c r="Q2037" t="s">
        <v>1471</v>
      </c>
      <c r="R2037" t="s">
        <v>1472</v>
      </c>
      <c r="S2037" t="s">
        <v>1598</v>
      </c>
      <c r="T2037" t="s">
        <v>1474</v>
      </c>
      <c r="U2037">
        <v>193000</v>
      </c>
      <c r="V2037" t="s">
        <v>10130</v>
      </c>
      <c r="W2037" t="s">
        <v>1709</v>
      </c>
      <c r="X2037" t="s">
        <v>8377</v>
      </c>
      <c r="Y2037" t="s">
        <v>3944</v>
      </c>
      <c r="Z2037" t="s">
        <v>3945</v>
      </c>
      <c r="AA2037" t="s">
        <v>3946</v>
      </c>
      <c r="AB2037" t="s">
        <v>8378</v>
      </c>
      <c r="AC2037">
        <v>99036</v>
      </c>
      <c r="AD2037" t="s">
        <v>1710</v>
      </c>
      <c r="AE2037">
        <v>-37.69550125</v>
      </c>
      <c r="AF2037">
        <v>176.10774069999999</v>
      </c>
      <c r="AG2037">
        <v>90</v>
      </c>
      <c r="AH2037">
        <v>20</v>
      </c>
      <c r="AI2037">
        <v>4</v>
      </c>
      <c r="AJ2037">
        <v>8</v>
      </c>
      <c r="AK2037">
        <v>24</v>
      </c>
      <c r="AL2037">
        <v>23</v>
      </c>
      <c r="AM2037">
        <v>23</v>
      </c>
      <c r="AN2037">
        <v>3</v>
      </c>
      <c r="AO2037">
        <v>85</v>
      </c>
      <c r="AP2037">
        <v>68</v>
      </c>
      <c r="AQ2037">
        <v>13</v>
      </c>
      <c r="AR2037">
        <v>2</v>
      </c>
      <c r="AS2037">
        <v>10</v>
      </c>
      <c r="AT2037">
        <v>10</v>
      </c>
    </row>
    <row r="2038" spans="1:46">
      <c r="A2038">
        <v>45680</v>
      </c>
      <c r="B2038" t="s">
        <v>12016</v>
      </c>
      <c r="C2038" t="s">
        <v>12017</v>
      </c>
      <c r="D2038" t="s">
        <v>12018</v>
      </c>
      <c r="E2038" t="s">
        <v>12019</v>
      </c>
      <c r="F2038" t="s">
        <v>2544</v>
      </c>
      <c r="G2038" t="s">
        <v>2289</v>
      </c>
      <c r="H2038" t="s">
        <v>3942</v>
      </c>
      <c r="I2038" t="s">
        <v>12020</v>
      </c>
      <c r="J2038" t="s">
        <v>3962</v>
      </c>
      <c r="K2038" t="s">
        <v>519</v>
      </c>
      <c r="M2038" t="s">
        <v>2287</v>
      </c>
      <c r="N2038" t="s">
        <v>571</v>
      </c>
      <c r="O2038" t="s">
        <v>2536</v>
      </c>
      <c r="P2038" t="s">
        <v>654</v>
      </c>
      <c r="Q2038" t="s">
        <v>2319</v>
      </c>
      <c r="R2038" t="s">
        <v>2289</v>
      </c>
      <c r="S2038" t="s">
        <v>2545</v>
      </c>
      <c r="T2038" t="s">
        <v>1485</v>
      </c>
      <c r="U2038">
        <v>247800</v>
      </c>
      <c r="V2038" t="s">
        <v>12021</v>
      </c>
      <c r="W2038" t="s">
        <v>2547</v>
      </c>
      <c r="X2038" t="s">
        <v>12022</v>
      </c>
      <c r="Y2038" t="s">
        <v>4097</v>
      </c>
      <c r="Z2038" t="s">
        <v>4098</v>
      </c>
      <c r="AA2038" t="s">
        <v>4099</v>
      </c>
      <c r="AE2038">
        <v>-41.184120810000003</v>
      </c>
      <c r="AF2038">
        <v>174.8251008</v>
      </c>
      <c r="AG2038">
        <v>100</v>
      </c>
      <c r="AH2038">
        <v>25</v>
      </c>
      <c r="AI2038">
        <v>2</v>
      </c>
      <c r="AJ2038">
        <v>22</v>
      </c>
      <c r="AK2038">
        <v>27</v>
      </c>
      <c r="AL2038">
        <v>27</v>
      </c>
      <c r="AM2038">
        <v>28</v>
      </c>
      <c r="AN2038">
        <v>0</v>
      </c>
      <c r="AO2038">
        <v>106</v>
      </c>
      <c r="AP2038">
        <v>86</v>
      </c>
      <c r="AQ2038">
        <v>4</v>
      </c>
      <c r="AR2038">
        <v>6</v>
      </c>
      <c r="AS2038">
        <v>25</v>
      </c>
      <c r="AT2038">
        <v>2</v>
      </c>
    </row>
    <row r="2039" spans="1:46">
      <c r="A2039">
        <v>45683</v>
      </c>
      <c r="B2039" t="s">
        <v>12023</v>
      </c>
      <c r="C2039" t="s">
        <v>12024</v>
      </c>
      <c r="D2039" t="s">
        <v>12025</v>
      </c>
      <c r="E2039" t="s">
        <v>12026</v>
      </c>
      <c r="F2039" t="s">
        <v>3173</v>
      </c>
      <c r="G2039" t="s">
        <v>2941</v>
      </c>
      <c r="H2039" t="s">
        <v>3942</v>
      </c>
      <c r="J2039" t="s">
        <v>3962</v>
      </c>
      <c r="K2039" t="s">
        <v>519</v>
      </c>
      <c r="M2039" t="s">
        <v>2287</v>
      </c>
      <c r="N2039" t="s">
        <v>571</v>
      </c>
      <c r="O2039" t="s">
        <v>2942</v>
      </c>
      <c r="P2039" t="s">
        <v>654</v>
      </c>
      <c r="Q2039" t="s">
        <v>2943</v>
      </c>
      <c r="R2039" t="s">
        <v>2944</v>
      </c>
      <c r="S2039" t="s">
        <v>2957</v>
      </c>
      <c r="T2039" t="s">
        <v>2448</v>
      </c>
      <c r="U2039">
        <v>322200</v>
      </c>
      <c r="V2039" t="s">
        <v>12027</v>
      </c>
      <c r="W2039" t="s">
        <v>3070</v>
      </c>
      <c r="X2039" t="s">
        <v>12028</v>
      </c>
      <c r="Y2039" t="s">
        <v>4658</v>
      </c>
      <c r="Z2039" t="s">
        <v>958</v>
      </c>
      <c r="AA2039" t="s">
        <v>4659</v>
      </c>
      <c r="AB2039" t="s">
        <v>12024</v>
      </c>
      <c r="AE2039">
        <v>-43.508818300000001</v>
      </c>
      <c r="AF2039">
        <v>172.62851402999999</v>
      </c>
      <c r="AG2039">
        <v>50</v>
      </c>
      <c r="AH2039">
        <v>15</v>
      </c>
      <c r="AI2039">
        <v>2</v>
      </c>
      <c r="AJ2039">
        <v>10</v>
      </c>
      <c r="AK2039">
        <v>10</v>
      </c>
      <c r="AL2039">
        <v>9</v>
      </c>
      <c r="AM2039">
        <v>10</v>
      </c>
      <c r="AN2039">
        <v>0</v>
      </c>
      <c r="AO2039">
        <v>41</v>
      </c>
      <c r="AP2039">
        <v>27</v>
      </c>
      <c r="AQ2039">
        <v>4</v>
      </c>
      <c r="AR2039">
        <v>1</v>
      </c>
      <c r="AS2039">
        <v>10</v>
      </c>
      <c r="AT2039">
        <v>6</v>
      </c>
    </row>
    <row r="2040" spans="1:46">
      <c r="A2040">
        <v>45684</v>
      </c>
      <c r="B2040" t="s">
        <v>12029</v>
      </c>
      <c r="C2040" t="s">
        <v>12030</v>
      </c>
      <c r="E2040" t="s">
        <v>12031</v>
      </c>
      <c r="F2040" t="s">
        <v>1345</v>
      </c>
      <c r="G2040" t="s">
        <v>1296</v>
      </c>
      <c r="H2040" t="s">
        <v>4716</v>
      </c>
      <c r="J2040" t="s">
        <v>3962</v>
      </c>
      <c r="K2040" t="s">
        <v>519</v>
      </c>
      <c r="M2040" t="s">
        <v>1297</v>
      </c>
      <c r="N2040" t="s">
        <v>571</v>
      </c>
      <c r="O2040" t="s">
        <v>1298</v>
      </c>
      <c r="P2040" t="s">
        <v>654</v>
      </c>
      <c r="Q2040" t="s">
        <v>1299</v>
      </c>
      <c r="R2040" t="s">
        <v>1300</v>
      </c>
      <c r="S2040" t="s">
        <v>1301</v>
      </c>
      <c r="T2040" t="s">
        <v>1235</v>
      </c>
      <c r="U2040">
        <v>178901</v>
      </c>
      <c r="V2040" t="s">
        <v>8352</v>
      </c>
      <c r="W2040" t="s">
        <v>1303</v>
      </c>
      <c r="X2040" t="s">
        <v>8403</v>
      </c>
      <c r="Y2040" t="s">
        <v>8401</v>
      </c>
      <c r="AA2040" t="s">
        <v>8404</v>
      </c>
      <c r="AE2040">
        <v>-37.803080809999997</v>
      </c>
      <c r="AF2040">
        <v>175.2559364</v>
      </c>
      <c r="AG2040">
        <v>0</v>
      </c>
      <c r="AH2040">
        <v>0</v>
      </c>
      <c r="AI2040">
        <v>0</v>
      </c>
      <c r="AJ2040">
        <v>6</v>
      </c>
      <c r="AK2040">
        <v>8</v>
      </c>
      <c r="AL2040">
        <v>3</v>
      </c>
      <c r="AM2040">
        <v>8</v>
      </c>
      <c r="AN2040">
        <v>2</v>
      </c>
      <c r="AO2040">
        <v>27</v>
      </c>
      <c r="AP2040">
        <v>19</v>
      </c>
      <c r="AQ2040">
        <v>11</v>
      </c>
      <c r="AR2040">
        <v>3</v>
      </c>
      <c r="AS2040">
        <v>2</v>
      </c>
      <c r="AT2040">
        <v>2</v>
      </c>
    </row>
    <row r="2041" spans="1:46">
      <c r="A2041">
        <v>45685</v>
      </c>
      <c r="B2041" t="s">
        <v>12032</v>
      </c>
      <c r="C2041" t="s">
        <v>8399</v>
      </c>
      <c r="D2041" t="s">
        <v>8400</v>
      </c>
      <c r="E2041" t="s">
        <v>8401</v>
      </c>
      <c r="F2041" t="s">
        <v>8402</v>
      </c>
      <c r="G2041" t="s">
        <v>1598</v>
      </c>
      <c r="H2041" t="s">
        <v>4716</v>
      </c>
      <c r="J2041" t="s">
        <v>3962</v>
      </c>
      <c r="K2041" t="s">
        <v>519</v>
      </c>
      <c r="M2041" t="s">
        <v>1297</v>
      </c>
      <c r="N2041" t="s">
        <v>571</v>
      </c>
      <c r="O2041" t="s">
        <v>1698</v>
      </c>
      <c r="P2041" t="s">
        <v>654</v>
      </c>
      <c r="Q2041" t="s">
        <v>1471</v>
      </c>
      <c r="R2041" t="s">
        <v>1472</v>
      </c>
      <c r="S2041" t="s">
        <v>1598</v>
      </c>
      <c r="T2041" t="s">
        <v>1474</v>
      </c>
      <c r="U2041">
        <v>193800</v>
      </c>
      <c r="V2041" t="s">
        <v>8402</v>
      </c>
      <c r="W2041" t="s">
        <v>3724</v>
      </c>
      <c r="X2041" t="s">
        <v>10651</v>
      </c>
      <c r="Y2041" t="s">
        <v>8401</v>
      </c>
      <c r="AA2041" t="s">
        <v>8404</v>
      </c>
      <c r="AB2041" t="s">
        <v>8469</v>
      </c>
      <c r="AE2041">
        <v>-37.68426908</v>
      </c>
      <c r="AF2041">
        <v>176.16808784</v>
      </c>
      <c r="AG2041">
        <v>50</v>
      </c>
      <c r="AH2041">
        <v>50</v>
      </c>
      <c r="AI2041">
        <v>2</v>
      </c>
      <c r="AJ2041">
        <v>9</v>
      </c>
      <c r="AK2041">
        <v>14</v>
      </c>
      <c r="AL2041">
        <v>7</v>
      </c>
      <c r="AM2041">
        <v>4</v>
      </c>
      <c r="AN2041">
        <v>1</v>
      </c>
      <c r="AO2041">
        <v>37</v>
      </c>
      <c r="AP2041">
        <v>27</v>
      </c>
      <c r="AQ2041">
        <v>18</v>
      </c>
      <c r="AR2041">
        <v>1</v>
      </c>
      <c r="AS2041">
        <v>3</v>
      </c>
      <c r="AT2041">
        <v>4</v>
      </c>
    </row>
    <row r="2042" spans="1:46">
      <c r="A2042">
        <v>45687</v>
      </c>
      <c r="B2042" t="s">
        <v>12033</v>
      </c>
      <c r="C2042" t="s">
        <v>12034</v>
      </c>
      <c r="D2042" t="s">
        <v>12035</v>
      </c>
      <c r="E2042" t="s">
        <v>12036</v>
      </c>
      <c r="F2042" t="s">
        <v>1422</v>
      </c>
      <c r="G2042" t="s">
        <v>1296</v>
      </c>
      <c r="H2042" t="s">
        <v>3942</v>
      </c>
      <c r="J2042" t="s">
        <v>3962</v>
      </c>
      <c r="K2042" t="s">
        <v>519</v>
      </c>
      <c r="M2042" t="s">
        <v>1297</v>
      </c>
      <c r="N2042" t="s">
        <v>571</v>
      </c>
      <c r="O2042" t="s">
        <v>1298</v>
      </c>
      <c r="P2042" t="s">
        <v>654</v>
      </c>
      <c r="Q2042" t="s">
        <v>1299</v>
      </c>
      <c r="R2042" t="s">
        <v>1300</v>
      </c>
      <c r="S2042" t="s">
        <v>1301</v>
      </c>
      <c r="T2042" t="s">
        <v>1235</v>
      </c>
      <c r="U2042">
        <v>176301</v>
      </c>
      <c r="V2042" t="s">
        <v>8429</v>
      </c>
      <c r="W2042" t="s">
        <v>1303</v>
      </c>
      <c r="X2042" t="s">
        <v>12037</v>
      </c>
      <c r="Y2042" t="s">
        <v>5312</v>
      </c>
      <c r="Z2042" t="s">
        <v>5313</v>
      </c>
      <c r="AA2042" t="s">
        <v>5314</v>
      </c>
      <c r="AE2042">
        <v>-37.753533760000003</v>
      </c>
      <c r="AF2042">
        <v>175.23374901</v>
      </c>
      <c r="AG2042">
        <v>40</v>
      </c>
      <c r="AH2042">
        <v>12</v>
      </c>
      <c r="AI2042">
        <v>0</v>
      </c>
      <c r="AJ2042">
        <v>6</v>
      </c>
      <c r="AK2042">
        <v>9</v>
      </c>
      <c r="AL2042">
        <v>13</v>
      </c>
      <c r="AM2042">
        <v>9</v>
      </c>
      <c r="AN2042">
        <v>0</v>
      </c>
      <c r="AO2042">
        <v>37</v>
      </c>
      <c r="AP2042">
        <v>18</v>
      </c>
      <c r="AQ2042">
        <v>21</v>
      </c>
      <c r="AR2042">
        <v>6</v>
      </c>
      <c r="AS2042">
        <v>5</v>
      </c>
      <c r="AT2042">
        <v>0</v>
      </c>
    </row>
    <row r="2043" spans="1:46">
      <c r="A2043">
        <v>45688</v>
      </c>
      <c r="B2043" t="s">
        <v>12038</v>
      </c>
      <c r="C2043" t="s">
        <v>12039</v>
      </c>
      <c r="D2043" t="s">
        <v>12040</v>
      </c>
      <c r="E2043" t="s">
        <v>12041</v>
      </c>
      <c r="G2043" t="s">
        <v>12042</v>
      </c>
      <c r="H2043" t="s">
        <v>3942</v>
      </c>
      <c r="I2043" t="s">
        <v>3953</v>
      </c>
      <c r="J2043" t="s">
        <v>518</v>
      </c>
      <c r="K2043" t="s">
        <v>519</v>
      </c>
      <c r="M2043" t="s">
        <v>2287</v>
      </c>
      <c r="N2043" t="s">
        <v>571</v>
      </c>
      <c r="O2043" t="s">
        <v>3527</v>
      </c>
      <c r="P2043" t="s">
        <v>540</v>
      </c>
      <c r="Q2043" t="s">
        <v>3497</v>
      </c>
      <c r="R2043" t="s">
        <v>3338</v>
      </c>
      <c r="S2043" t="s">
        <v>3361</v>
      </c>
      <c r="T2043" t="s">
        <v>2448</v>
      </c>
      <c r="U2043">
        <v>358100</v>
      </c>
      <c r="V2043" t="s">
        <v>12043</v>
      </c>
      <c r="W2043" t="s">
        <v>3529</v>
      </c>
      <c r="X2043" t="s">
        <v>12044</v>
      </c>
      <c r="Y2043" t="s">
        <v>12045</v>
      </c>
      <c r="AA2043" t="s">
        <v>12046</v>
      </c>
      <c r="AB2043" t="s">
        <v>12039</v>
      </c>
      <c r="AC2043">
        <v>99055</v>
      </c>
      <c r="AD2043" t="s">
        <v>3517</v>
      </c>
      <c r="AE2043">
        <v>-45.905000340000001</v>
      </c>
      <c r="AF2043">
        <v>168.74679627</v>
      </c>
      <c r="AG2043">
        <v>35</v>
      </c>
      <c r="AH2043">
        <v>0</v>
      </c>
      <c r="AI2043">
        <v>0</v>
      </c>
      <c r="AJ2043">
        <v>0</v>
      </c>
      <c r="AK2043">
        <v>9</v>
      </c>
      <c r="AL2043">
        <v>18</v>
      </c>
      <c r="AM2043">
        <v>21</v>
      </c>
      <c r="AN2043">
        <v>0</v>
      </c>
      <c r="AO2043">
        <v>48</v>
      </c>
      <c r="AP2043">
        <v>43</v>
      </c>
      <c r="AQ2043">
        <v>7</v>
      </c>
      <c r="AR2043">
        <v>1</v>
      </c>
      <c r="AS2043">
        <v>2</v>
      </c>
      <c r="AT2043">
        <v>0</v>
      </c>
    </row>
    <row r="2044" spans="1:46">
      <c r="A2044">
        <v>45694</v>
      </c>
      <c r="B2044" t="s">
        <v>12047</v>
      </c>
      <c r="C2044" t="s">
        <v>12048</v>
      </c>
      <c r="D2044" t="s">
        <v>12049</v>
      </c>
      <c r="E2044" t="s">
        <v>12050</v>
      </c>
      <c r="F2044" t="s">
        <v>12051</v>
      </c>
      <c r="G2044" t="s">
        <v>3261</v>
      </c>
      <c r="H2044" t="s">
        <v>3942</v>
      </c>
      <c r="J2044" t="s">
        <v>3962</v>
      </c>
      <c r="K2044" t="s">
        <v>519</v>
      </c>
      <c r="M2044" t="s">
        <v>2287</v>
      </c>
      <c r="N2044" t="s">
        <v>571</v>
      </c>
      <c r="O2044" t="s">
        <v>3249</v>
      </c>
      <c r="P2044" t="s">
        <v>1262</v>
      </c>
      <c r="Q2044" t="s">
        <v>2943</v>
      </c>
      <c r="R2044" t="s">
        <v>2944</v>
      </c>
      <c r="S2044" t="s">
        <v>3219</v>
      </c>
      <c r="T2044" t="s">
        <v>2448</v>
      </c>
      <c r="U2044">
        <v>340700</v>
      </c>
      <c r="V2044" t="s">
        <v>12052</v>
      </c>
      <c r="W2044" t="s">
        <v>3263</v>
      </c>
      <c r="X2044" t="s">
        <v>12053</v>
      </c>
      <c r="Y2044" t="s">
        <v>4658</v>
      </c>
      <c r="Z2044" t="s">
        <v>958</v>
      </c>
      <c r="AA2044" t="s">
        <v>4659</v>
      </c>
      <c r="AB2044" t="s">
        <v>12054</v>
      </c>
      <c r="AC2044">
        <v>99178</v>
      </c>
      <c r="AD2044" t="s">
        <v>3273</v>
      </c>
      <c r="AE2044">
        <v>-44.39837266</v>
      </c>
      <c r="AF2044">
        <v>171.22437775</v>
      </c>
      <c r="AG2044">
        <v>40</v>
      </c>
      <c r="AH2044">
        <v>10</v>
      </c>
      <c r="AI2044">
        <v>4</v>
      </c>
      <c r="AJ2044">
        <v>6</v>
      </c>
      <c r="AK2044">
        <v>10</v>
      </c>
      <c r="AL2044">
        <v>5</v>
      </c>
      <c r="AM2044">
        <v>8</v>
      </c>
      <c r="AN2044">
        <v>0</v>
      </c>
      <c r="AO2044">
        <v>33</v>
      </c>
      <c r="AP2044">
        <v>25</v>
      </c>
      <c r="AQ2044">
        <v>6</v>
      </c>
      <c r="AR2044">
        <v>5</v>
      </c>
      <c r="AS2044">
        <v>5</v>
      </c>
      <c r="AT2044">
        <v>1</v>
      </c>
    </row>
    <row r="2045" spans="1:46">
      <c r="A2045">
        <v>45696</v>
      </c>
      <c r="B2045" t="s">
        <v>12055</v>
      </c>
      <c r="C2045" t="s">
        <v>12056</v>
      </c>
      <c r="E2045" t="s">
        <v>12057</v>
      </c>
      <c r="F2045" t="s">
        <v>3418</v>
      </c>
      <c r="G2045" t="s">
        <v>3382</v>
      </c>
      <c r="H2045" t="s">
        <v>343</v>
      </c>
      <c r="J2045" t="s">
        <v>518</v>
      </c>
      <c r="K2045" t="s">
        <v>519</v>
      </c>
      <c r="L2045" t="s">
        <v>4205</v>
      </c>
      <c r="M2045" t="s">
        <v>2287</v>
      </c>
      <c r="N2045" t="s">
        <v>539</v>
      </c>
      <c r="O2045" t="s">
        <v>3383</v>
      </c>
      <c r="P2045" t="s">
        <v>654</v>
      </c>
      <c r="Q2045" t="s">
        <v>3337</v>
      </c>
      <c r="R2045" t="s">
        <v>3338</v>
      </c>
      <c r="S2045" t="s">
        <v>3382</v>
      </c>
      <c r="T2045" t="s">
        <v>2448</v>
      </c>
      <c r="U2045">
        <v>350401</v>
      </c>
      <c r="V2045" t="s">
        <v>3418</v>
      </c>
      <c r="W2045" t="s">
        <v>1652</v>
      </c>
      <c r="X2045" t="s">
        <v>12058</v>
      </c>
      <c r="Y2045" t="s">
        <v>4208</v>
      </c>
      <c r="Z2045" t="s">
        <v>4209</v>
      </c>
      <c r="AA2045" t="s">
        <v>4210</v>
      </c>
      <c r="AB2045" t="s">
        <v>12059</v>
      </c>
      <c r="AE2045">
        <v>-45.856939199999999</v>
      </c>
      <c r="AF2045">
        <v>170.46568389999999</v>
      </c>
      <c r="AG2045">
        <v>25</v>
      </c>
      <c r="AH2045">
        <v>10</v>
      </c>
      <c r="AI2045">
        <v>0</v>
      </c>
      <c r="AJ2045">
        <v>5</v>
      </c>
      <c r="AK2045">
        <v>3</v>
      </c>
      <c r="AL2045">
        <v>4</v>
      </c>
      <c r="AM2045">
        <v>4</v>
      </c>
      <c r="AN2045">
        <v>0</v>
      </c>
      <c r="AO2045">
        <v>16</v>
      </c>
      <c r="AP2045">
        <v>0</v>
      </c>
      <c r="AQ2045">
        <v>16</v>
      </c>
      <c r="AR2045">
        <v>0</v>
      </c>
      <c r="AS2045">
        <v>0</v>
      </c>
      <c r="AT2045">
        <v>0</v>
      </c>
    </row>
    <row r="2046" spans="1:46">
      <c r="A2046">
        <v>45697</v>
      </c>
      <c r="B2046" t="s">
        <v>12060</v>
      </c>
      <c r="D2046" t="s">
        <v>12061</v>
      </c>
      <c r="E2046" t="s">
        <v>12062</v>
      </c>
      <c r="G2046" t="s">
        <v>3662</v>
      </c>
      <c r="H2046" t="s">
        <v>3942</v>
      </c>
      <c r="J2046" t="s">
        <v>3962</v>
      </c>
      <c r="K2046" t="s">
        <v>519</v>
      </c>
      <c r="M2046" t="s">
        <v>2287</v>
      </c>
      <c r="N2046" t="s">
        <v>571</v>
      </c>
      <c r="O2046" t="s">
        <v>3208</v>
      </c>
      <c r="P2046" t="s">
        <v>523</v>
      </c>
      <c r="Q2046" t="s">
        <v>2943</v>
      </c>
      <c r="R2046" t="s">
        <v>2944</v>
      </c>
      <c r="S2046" t="s">
        <v>3179</v>
      </c>
      <c r="T2046" t="s">
        <v>2448</v>
      </c>
      <c r="U2046">
        <v>336001</v>
      </c>
      <c r="V2046" t="s">
        <v>3663</v>
      </c>
      <c r="W2046" t="s">
        <v>3664</v>
      </c>
      <c r="X2046" t="s">
        <v>12063</v>
      </c>
      <c r="Y2046" t="s">
        <v>12062</v>
      </c>
      <c r="AA2046" t="s">
        <v>11431</v>
      </c>
      <c r="AC2046">
        <v>99113</v>
      </c>
      <c r="AD2046" t="s">
        <v>3665</v>
      </c>
      <c r="AE2046">
        <v>-43.64152996</v>
      </c>
      <c r="AF2046">
        <v>172.48185536</v>
      </c>
      <c r="AG2046">
        <v>34</v>
      </c>
      <c r="AH2046">
        <v>0</v>
      </c>
      <c r="AI2046">
        <v>0</v>
      </c>
      <c r="AJ2046">
        <v>0</v>
      </c>
      <c r="AK2046">
        <v>11</v>
      </c>
      <c r="AL2046">
        <v>10</v>
      </c>
      <c r="AM2046">
        <v>18</v>
      </c>
      <c r="AN2046">
        <v>2</v>
      </c>
      <c r="AO2046">
        <v>41</v>
      </c>
      <c r="AP2046">
        <v>30</v>
      </c>
      <c r="AQ2046">
        <v>1</v>
      </c>
      <c r="AR2046">
        <v>0</v>
      </c>
      <c r="AS2046">
        <v>12</v>
      </c>
      <c r="AT2046">
        <v>2</v>
      </c>
    </row>
    <row r="2047" spans="1:46">
      <c r="A2047">
        <v>45699</v>
      </c>
      <c r="B2047" t="s">
        <v>12064</v>
      </c>
      <c r="C2047" t="s">
        <v>12065</v>
      </c>
      <c r="D2047" t="s">
        <v>12066</v>
      </c>
      <c r="E2047" t="s">
        <v>12067</v>
      </c>
      <c r="G2047" t="s">
        <v>9189</v>
      </c>
      <c r="H2047" t="s">
        <v>3942</v>
      </c>
      <c r="J2047" t="s">
        <v>3962</v>
      </c>
      <c r="K2047" t="s">
        <v>519</v>
      </c>
      <c r="M2047" t="s">
        <v>1297</v>
      </c>
      <c r="N2047" t="s">
        <v>571</v>
      </c>
      <c r="O2047" t="s">
        <v>1743</v>
      </c>
      <c r="P2047" t="s">
        <v>523</v>
      </c>
      <c r="Q2047" t="s">
        <v>1471</v>
      </c>
      <c r="R2047" t="s">
        <v>1300</v>
      </c>
      <c r="S2047" t="s">
        <v>1438</v>
      </c>
      <c r="T2047" t="s">
        <v>1235</v>
      </c>
      <c r="U2047">
        <v>190200</v>
      </c>
      <c r="V2047" t="s">
        <v>9190</v>
      </c>
      <c r="W2047" t="s">
        <v>3789</v>
      </c>
      <c r="X2047" t="s">
        <v>12068</v>
      </c>
      <c r="Y2047" t="s">
        <v>12069</v>
      </c>
      <c r="AA2047" t="s">
        <v>12070</v>
      </c>
      <c r="AB2047" t="s">
        <v>12071</v>
      </c>
      <c r="AC2047">
        <v>99089</v>
      </c>
      <c r="AD2047" t="s">
        <v>3686</v>
      </c>
      <c r="AE2047">
        <v>-37.410595460000003</v>
      </c>
      <c r="AF2047">
        <v>175.94227670000001</v>
      </c>
      <c r="AG2047">
        <v>40</v>
      </c>
      <c r="AH2047">
        <v>8</v>
      </c>
      <c r="AI2047">
        <v>2</v>
      </c>
      <c r="AJ2047">
        <v>6</v>
      </c>
      <c r="AK2047">
        <v>12</v>
      </c>
      <c r="AL2047">
        <v>18</v>
      </c>
      <c r="AM2047">
        <v>15</v>
      </c>
      <c r="AN2047">
        <v>1</v>
      </c>
      <c r="AO2047">
        <v>54</v>
      </c>
      <c r="AP2047">
        <v>53</v>
      </c>
      <c r="AQ2047">
        <v>19</v>
      </c>
      <c r="AR2047">
        <v>0</v>
      </c>
      <c r="AS2047">
        <v>1</v>
      </c>
      <c r="AT2047">
        <v>0</v>
      </c>
    </row>
    <row r="2048" spans="1:46">
      <c r="A2048">
        <v>45701</v>
      </c>
      <c r="B2048" t="s">
        <v>12072</v>
      </c>
      <c r="C2048" t="s">
        <v>12073</v>
      </c>
      <c r="D2048" t="s">
        <v>12074</v>
      </c>
      <c r="E2048" t="s">
        <v>12075</v>
      </c>
      <c r="F2048" t="s">
        <v>2963</v>
      </c>
      <c r="G2048" t="s">
        <v>2941</v>
      </c>
      <c r="H2048" t="s">
        <v>3942</v>
      </c>
      <c r="J2048" t="s">
        <v>3962</v>
      </c>
      <c r="K2048" t="s">
        <v>519</v>
      </c>
      <c r="M2048" t="s">
        <v>2287</v>
      </c>
      <c r="N2048" t="s">
        <v>571</v>
      </c>
      <c r="O2048" t="s">
        <v>2964</v>
      </c>
      <c r="P2048" t="s">
        <v>1262</v>
      </c>
      <c r="Q2048" t="s">
        <v>2943</v>
      </c>
      <c r="R2048" t="s">
        <v>2944</v>
      </c>
      <c r="S2048" t="s">
        <v>2965</v>
      </c>
      <c r="T2048" t="s">
        <v>2448</v>
      </c>
      <c r="U2048">
        <v>315001</v>
      </c>
      <c r="V2048" t="s">
        <v>12076</v>
      </c>
      <c r="W2048" t="s">
        <v>2967</v>
      </c>
      <c r="X2048" t="s">
        <v>12077</v>
      </c>
      <c r="Y2048" t="s">
        <v>4097</v>
      </c>
      <c r="Z2048" t="s">
        <v>4098</v>
      </c>
      <c r="AA2048" t="s">
        <v>4099</v>
      </c>
      <c r="AB2048" t="s">
        <v>10807</v>
      </c>
      <c r="AE2048">
        <v>-43.320690450000001</v>
      </c>
      <c r="AF2048">
        <v>172.59793665000001</v>
      </c>
      <c r="AG2048">
        <v>100</v>
      </c>
      <c r="AH2048">
        <v>20</v>
      </c>
      <c r="AI2048">
        <v>2</v>
      </c>
      <c r="AJ2048">
        <v>13</v>
      </c>
      <c r="AK2048">
        <v>14</v>
      </c>
      <c r="AL2048">
        <v>17</v>
      </c>
      <c r="AM2048">
        <v>19</v>
      </c>
      <c r="AN2048">
        <v>1</v>
      </c>
      <c r="AO2048">
        <v>66</v>
      </c>
      <c r="AP2048">
        <v>61</v>
      </c>
      <c r="AQ2048">
        <v>6</v>
      </c>
      <c r="AR2048">
        <v>1</v>
      </c>
      <c r="AS2048">
        <v>1</v>
      </c>
      <c r="AT2048">
        <v>1</v>
      </c>
    </row>
    <row r="2049" spans="1:46">
      <c r="A2049">
        <v>45702</v>
      </c>
      <c r="B2049" t="s">
        <v>12078</v>
      </c>
      <c r="C2049" t="s">
        <v>12079</v>
      </c>
      <c r="D2049" t="s">
        <v>12080</v>
      </c>
      <c r="E2049" t="s">
        <v>12081</v>
      </c>
      <c r="F2049" t="s">
        <v>1393</v>
      </c>
      <c r="G2049" t="s">
        <v>1296</v>
      </c>
      <c r="H2049" t="s">
        <v>3942</v>
      </c>
      <c r="J2049" t="s">
        <v>3962</v>
      </c>
      <c r="K2049" t="s">
        <v>519</v>
      </c>
      <c r="M2049" t="s">
        <v>1297</v>
      </c>
      <c r="N2049" t="s">
        <v>557</v>
      </c>
      <c r="O2049" t="s">
        <v>1298</v>
      </c>
      <c r="P2049" t="s">
        <v>654</v>
      </c>
      <c r="Q2049" t="s">
        <v>1299</v>
      </c>
      <c r="R2049" t="s">
        <v>1300</v>
      </c>
      <c r="S2049" t="s">
        <v>1301</v>
      </c>
      <c r="T2049" t="s">
        <v>1235</v>
      </c>
      <c r="U2049">
        <v>180300</v>
      </c>
      <c r="V2049" t="s">
        <v>12082</v>
      </c>
      <c r="W2049" t="s">
        <v>1303</v>
      </c>
      <c r="X2049" t="s">
        <v>12083</v>
      </c>
      <c r="Y2049" t="s">
        <v>12084</v>
      </c>
      <c r="Z2049" t="s">
        <v>1312</v>
      </c>
      <c r="AA2049" t="s">
        <v>9568</v>
      </c>
      <c r="AB2049" t="s">
        <v>12085</v>
      </c>
      <c r="AE2049">
        <v>-37.81418455</v>
      </c>
      <c r="AF2049">
        <v>175.28599702</v>
      </c>
      <c r="AG2049">
        <v>20</v>
      </c>
      <c r="AH2049">
        <v>0</v>
      </c>
      <c r="AI2049">
        <v>0</v>
      </c>
      <c r="AJ2049">
        <v>0</v>
      </c>
      <c r="AK2049">
        <v>2</v>
      </c>
      <c r="AL2049">
        <v>5</v>
      </c>
      <c r="AM2049">
        <v>12</v>
      </c>
      <c r="AN2049">
        <v>1</v>
      </c>
      <c r="AO2049">
        <v>20</v>
      </c>
      <c r="AP2049">
        <v>3</v>
      </c>
      <c r="AQ2049">
        <v>9</v>
      </c>
      <c r="AR2049">
        <v>1</v>
      </c>
      <c r="AS2049">
        <v>8</v>
      </c>
      <c r="AT2049">
        <v>1</v>
      </c>
    </row>
    <row r="2050" spans="1:46">
      <c r="A2050">
        <v>45704</v>
      </c>
      <c r="B2050" t="s">
        <v>12086</v>
      </c>
      <c r="C2050" t="s">
        <v>12087</v>
      </c>
      <c r="D2050" t="s">
        <v>12088</v>
      </c>
      <c r="E2050" t="s">
        <v>12089</v>
      </c>
      <c r="G2050" t="s">
        <v>4387</v>
      </c>
      <c r="H2050" t="s">
        <v>3942</v>
      </c>
      <c r="J2050" t="s">
        <v>3962</v>
      </c>
      <c r="K2050" t="s">
        <v>519</v>
      </c>
      <c r="M2050" t="s">
        <v>520</v>
      </c>
      <c r="N2050" t="s">
        <v>4519</v>
      </c>
      <c r="O2050" t="s">
        <v>637</v>
      </c>
      <c r="P2050" t="s">
        <v>523</v>
      </c>
      <c r="Q2050" t="s">
        <v>638</v>
      </c>
      <c r="R2050" t="s">
        <v>639</v>
      </c>
      <c r="S2050" t="s">
        <v>640</v>
      </c>
      <c r="T2050" t="s">
        <v>527</v>
      </c>
      <c r="U2050">
        <v>115001</v>
      </c>
      <c r="V2050" t="s">
        <v>6664</v>
      </c>
      <c r="W2050" t="s">
        <v>641</v>
      </c>
      <c r="X2050" t="s">
        <v>12090</v>
      </c>
      <c r="Y2050" t="s">
        <v>12091</v>
      </c>
      <c r="Z2050" t="s">
        <v>5104</v>
      </c>
      <c r="AA2050" t="s">
        <v>5000</v>
      </c>
      <c r="AE2050">
        <v>-36.771392349999999</v>
      </c>
      <c r="AF2050">
        <v>174.54552684999999</v>
      </c>
      <c r="AG2050">
        <v>100</v>
      </c>
      <c r="AH2050">
        <v>25</v>
      </c>
      <c r="AI2050">
        <v>2</v>
      </c>
      <c r="AJ2050">
        <v>12</v>
      </c>
      <c r="AK2050">
        <v>17</v>
      </c>
      <c r="AL2050">
        <v>13</v>
      </c>
      <c r="AM2050">
        <v>13</v>
      </c>
      <c r="AN2050">
        <v>1</v>
      </c>
      <c r="AO2050">
        <v>58</v>
      </c>
      <c r="AP2050">
        <v>38</v>
      </c>
      <c r="AQ2050">
        <v>7</v>
      </c>
      <c r="AR2050">
        <v>4</v>
      </c>
      <c r="AS2050">
        <v>19</v>
      </c>
      <c r="AT2050">
        <v>3</v>
      </c>
    </row>
    <row r="2051" spans="1:46">
      <c r="A2051">
        <v>45706</v>
      </c>
      <c r="B2051" t="s">
        <v>12092</v>
      </c>
      <c r="C2051" t="s">
        <v>12093</v>
      </c>
      <c r="D2051" t="s">
        <v>514</v>
      </c>
      <c r="E2051" t="s">
        <v>12094</v>
      </c>
      <c r="G2051" t="s">
        <v>582</v>
      </c>
      <c r="H2051" t="s">
        <v>517</v>
      </c>
      <c r="J2051" t="s">
        <v>518</v>
      </c>
      <c r="K2051" t="s">
        <v>519</v>
      </c>
      <c r="M2051" t="s">
        <v>520</v>
      </c>
      <c r="N2051" t="s">
        <v>571</v>
      </c>
      <c r="O2051" t="s">
        <v>583</v>
      </c>
      <c r="P2051" t="s">
        <v>572</v>
      </c>
      <c r="Q2051" t="s">
        <v>524</v>
      </c>
      <c r="R2051" t="s">
        <v>525</v>
      </c>
      <c r="S2051" t="s">
        <v>585</v>
      </c>
      <c r="T2051" t="s">
        <v>527</v>
      </c>
      <c r="U2051">
        <v>105101</v>
      </c>
      <c r="V2051" t="s">
        <v>12095</v>
      </c>
      <c r="W2051" t="s">
        <v>612</v>
      </c>
      <c r="X2051" t="s">
        <v>530</v>
      </c>
      <c r="Y2051" t="s">
        <v>531</v>
      </c>
      <c r="Z2051" t="s">
        <v>532</v>
      </c>
      <c r="AA2051" t="s">
        <v>533</v>
      </c>
      <c r="AB2051" t="s">
        <v>534</v>
      </c>
      <c r="AC2051">
        <v>99180</v>
      </c>
      <c r="AD2051" t="s">
        <v>4891</v>
      </c>
      <c r="AE2051">
        <v>-35.658776490000001</v>
      </c>
      <c r="AF2051">
        <v>174.22208642999999</v>
      </c>
      <c r="AG2051">
        <v>40</v>
      </c>
      <c r="AH2051">
        <v>0</v>
      </c>
      <c r="AI2051">
        <v>0</v>
      </c>
      <c r="AJ2051">
        <v>0</v>
      </c>
      <c r="AK2051">
        <v>10</v>
      </c>
      <c r="AL2051">
        <v>22</v>
      </c>
      <c r="AM2051">
        <v>16</v>
      </c>
      <c r="AN2051">
        <v>1</v>
      </c>
      <c r="AO2051">
        <v>49</v>
      </c>
      <c r="AP2051">
        <v>38</v>
      </c>
      <c r="AQ2051">
        <v>12</v>
      </c>
      <c r="AR2051">
        <v>1</v>
      </c>
      <c r="AS2051">
        <v>5</v>
      </c>
      <c r="AT2051">
        <v>6</v>
      </c>
    </row>
    <row r="2052" spans="1:46">
      <c r="A2052">
        <v>45707</v>
      </c>
      <c r="B2052" t="s">
        <v>12096</v>
      </c>
      <c r="C2052" t="s">
        <v>4692</v>
      </c>
      <c r="E2052" t="s">
        <v>12097</v>
      </c>
      <c r="F2052" t="s">
        <v>3421</v>
      </c>
      <c r="G2052" t="s">
        <v>3382</v>
      </c>
      <c r="H2052" t="s">
        <v>3942</v>
      </c>
      <c r="J2052" t="s">
        <v>3962</v>
      </c>
      <c r="K2052" t="s">
        <v>519</v>
      </c>
      <c r="M2052" t="s">
        <v>2287</v>
      </c>
      <c r="N2052" t="s">
        <v>571</v>
      </c>
      <c r="O2052" t="s">
        <v>3383</v>
      </c>
      <c r="P2052" t="s">
        <v>654</v>
      </c>
      <c r="Q2052" t="s">
        <v>3337</v>
      </c>
      <c r="R2052" t="s">
        <v>3338</v>
      </c>
      <c r="S2052" t="s">
        <v>3384</v>
      </c>
      <c r="T2052" t="s">
        <v>2448</v>
      </c>
      <c r="U2052">
        <v>354800</v>
      </c>
      <c r="V2052" t="s">
        <v>3421</v>
      </c>
      <c r="W2052" t="s">
        <v>1652</v>
      </c>
      <c r="X2052" t="s">
        <v>12098</v>
      </c>
      <c r="Y2052" t="s">
        <v>4689</v>
      </c>
      <c r="Z2052" t="s">
        <v>4690</v>
      </c>
      <c r="AA2052" t="s">
        <v>4691</v>
      </c>
      <c r="AE2052">
        <v>-45.90865033</v>
      </c>
      <c r="AF2052">
        <v>170.48718389000001</v>
      </c>
      <c r="AG2052">
        <v>60</v>
      </c>
      <c r="AH2052">
        <v>25</v>
      </c>
      <c r="AI2052">
        <v>4</v>
      </c>
      <c r="AJ2052">
        <v>16</v>
      </c>
      <c r="AK2052">
        <v>23</v>
      </c>
      <c r="AL2052">
        <v>11</v>
      </c>
      <c r="AM2052">
        <v>15</v>
      </c>
      <c r="AN2052">
        <v>0</v>
      </c>
      <c r="AO2052">
        <v>69</v>
      </c>
      <c r="AP2052">
        <v>64</v>
      </c>
      <c r="AQ2052">
        <v>8</v>
      </c>
      <c r="AR2052">
        <v>1</v>
      </c>
      <c r="AS2052">
        <v>6</v>
      </c>
      <c r="AT2052">
        <v>4</v>
      </c>
    </row>
    <row r="2053" spans="1:46">
      <c r="A2053">
        <v>45708</v>
      </c>
      <c r="B2053" t="s">
        <v>12099</v>
      </c>
      <c r="C2053" t="s">
        <v>12100</v>
      </c>
      <c r="E2053" t="s">
        <v>12101</v>
      </c>
      <c r="F2053" t="s">
        <v>737</v>
      </c>
      <c r="G2053" t="s">
        <v>652</v>
      </c>
      <c r="H2053" t="s">
        <v>3942</v>
      </c>
      <c r="J2053" t="s">
        <v>3962</v>
      </c>
      <c r="K2053" t="s">
        <v>519</v>
      </c>
      <c r="M2053" t="s">
        <v>520</v>
      </c>
      <c r="N2053" t="s">
        <v>571</v>
      </c>
      <c r="O2053" t="s">
        <v>738</v>
      </c>
      <c r="P2053" t="s">
        <v>654</v>
      </c>
      <c r="Q2053" t="s">
        <v>638</v>
      </c>
      <c r="R2053" t="s">
        <v>639</v>
      </c>
      <c r="S2053" t="s">
        <v>739</v>
      </c>
      <c r="T2053" t="s">
        <v>527</v>
      </c>
      <c r="U2053">
        <v>123100</v>
      </c>
      <c r="V2053" t="s">
        <v>886</v>
      </c>
      <c r="W2053" t="s">
        <v>741</v>
      </c>
      <c r="X2053" t="s">
        <v>12102</v>
      </c>
      <c r="Y2053" t="s">
        <v>4658</v>
      </c>
      <c r="Z2053" t="s">
        <v>958</v>
      </c>
      <c r="AA2053" t="s">
        <v>4659</v>
      </c>
      <c r="AB2053" t="s">
        <v>12103</v>
      </c>
      <c r="AE2053">
        <v>-36.775361599999997</v>
      </c>
      <c r="AF2053">
        <v>174.72086358999999</v>
      </c>
      <c r="AG2053">
        <v>80</v>
      </c>
      <c r="AH2053">
        <v>20</v>
      </c>
      <c r="AI2053">
        <v>5</v>
      </c>
      <c r="AJ2053">
        <v>13</v>
      </c>
      <c r="AK2053">
        <v>23</v>
      </c>
      <c r="AL2053">
        <v>15</v>
      </c>
      <c r="AM2053">
        <v>4</v>
      </c>
      <c r="AN2053">
        <v>0</v>
      </c>
      <c r="AO2053">
        <v>60</v>
      </c>
      <c r="AP2053">
        <v>17</v>
      </c>
      <c r="AQ2053">
        <v>9</v>
      </c>
      <c r="AR2053">
        <v>6</v>
      </c>
      <c r="AS2053">
        <v>38</v>
      </c>
      <c r="AT2053">
        <v>10</v>
      </c>
    </row>
    <row r="2054" spans="1:46">
      <c r="A2054">
        <v>45712</v>
      </c>
      <c r="B2054" t="s">
        <v>12104</v>
      </c>
      <c r="C2054" t="s">
        <v>12105</v>
      </c>
      <c r="D2054" t="s">
        <v>12106</v>
      </c>
      <c r="E2054" t="s">
        <v>12107</v>
      </c>
      <c r="G2054" t="s">
        <v>2725</v>
      </c>
      <c r="H2054" t="s">
        <v>3942</v>
      </c>
      <c r="I2054" t="s">
        <v>4065</v>
      </c>
      <c r="J2054" t="s">
        <v>3962</v>
      </c>
      <c r="K2054" t="s">
        <v>519</v>
      </c>
      <c r="M2054" t="s">
        <v>2287</v>
      </c>
      <c r="N2054" t="s">
        <v>539</v>
      </c>
      <c r="O2054" t="s">
        <v>2066</v>
      </c>
      <c r="P2054" t="s">
        <v>1262</v>
      </c>
      <c r="Q2054" t="s">
        <v>1636</v>
      </c>
      <c r="R2054" t="s">
        <v>2289</v>
      </c>
      <c r="S2054" t="s">
        <v>2067</v>
      </c>
      <c r="T2054" t="s">
        <v>1485</v>
      </c>
      <c r="U2054">
        <v>235100</v>
      </c>
      <c r="V2054" t="s">
        <v>10291</v>
      </c>
      <c r="W2054" t="s">
        <v>2727</v>
      </c>
      <c r="X2054" t="s">
        <v>10292</v>
      </c>
      <c r="Y2054" t="s">
        <v>10293</v>
      </c>
      <c r="AA2054" t="s">
        <v>10294</v>
      </c>
      <c r="AB2054" t="s">
        <v>10295</v>
      </c>
      <c r="AC2054">
        <v>99058</v>
      </c>
      <c r="AD2054" t="s">
        <v>2728</v>
      </c>
      <c r="AE2054">
        <v>-40.612907960000001</v>
      </c>
      <c r="AF2054">
        <v>175.29982197999999</v>
      </c>
      <c r="AG2054">
        <v>30</v>
      </c>
      <c r="AH2054">
        <v>0</v>
      </c>
      <c r="AI2054">
        <v>0</v>
      </c>
      <c r="AJ2054">
        <v>0</v>
      </c>
      <c r="AK2054">
        <v>5</v>
      </c>
      <c r="AL2054">
        <v>10</v>
      </c>
      <c r="AM2054">
        <v>21</v>
      </c>
      <c r="AN2054">
        <v>0</v>
      </c>
      <c r="AO2054">
        <v>36</v>
      </c>
      <c r="AP2054">
        <v>29</v>
      </c>
      <c r="AQ2054">
        <v>14</v>
      </c>
      <c r="AR2054">
        <v>3</v>
      </c>
      <c r="AS2054">
        <v>5</v>
      </c>
      <c r="AT2054">
        <v>0</v>
      </c>
    </row>
    <row r="2055" spans="1:46">
      <c r="A2055">
        <v>45714</v>
      </c>
      <c r="B2055" t="s">
        <v>12108</v>
      </c>
      <c r="C2055" t="s">
        <v>12109</v>
      </c>
      <c r="D2055" t="s">
        <v>12110</v>
      </c>
      <c r="E2055" t="s">
        <v>12111</v>
      </c>
      <c r="F2055" t="s">
        <v>898</v>
      </c>
      <c r="G2055" t="s">
        <v>652</v>
      </c>
      <c r="H2055" t="s">
        <v>3942</v>
      </c>
      <c r="J2055" t="s">
        <v>3962</v>
      </c>
      <c r="K2055" t="s">
        <v>519</v>
      </c>
      <c r="M2055" t="s">
        <v>520</v>
      </c>
      <c r="N2055" t="s">
        <v>539</v>
      </c>
      <c r="O2055" t="s">
        <v>813</v>
      </c>
      <c r="P2055" t="s">
        <v>654</v>
      </c>
      <c r="Q2055" t="s">
        <v>638</v>
      </c>
      <c r="R2055" t="s">
        <v>639</v>
      </c>
      <c r="S2055" t="s">
        <v>899</v>
      </c>
      <c r="T2055" t="s">
        <v>527</v>
      </c>
      <c r="U2055">
        <v>127500</v>
      </c>
      <c r="V2055" t="s">
        <v>4552</v>
      </c>
      <c r="W2055" t="s">
        <v>815</v>
      </c>
      <c r="X2055" t="s">
        <v>6476</v>
      </c>
      <c r="Y2055" t="s">
        <v>12112</v>
      </c>
      <c r="Z2055" t="s">
        <v>1177</v>
      </c>
      <c r="AA2055" t="s">
        <v>4365</v>
      </c>
      <c r="AE2055">
        <v>-36.889528009999999</v>
      </c>
      <c r="AF2055">
        <v>174.62531730000001</v>
      </c>
      <c r="AG2055">
        <v>60</v>
      </c>
      <c r="AH2055">
        <v>0</v>
      </c>
      <c r="AI2055">
        <v>0</v>
      </c>
      <c r="AJ2055">
        <v>0</v>
      </c>
      <c r="AK2055">
        <v>20</v>
      </c>
      <c r="AL2055">
        <v>22</v>
      </c>
      <c r="AM2055">
        <v>18</v>
      </c>
      <c r="AN2055">
        <v>0</v>
      </c>
      <c r="AO2055">
        <v>60</v>
      </c>
      <c r="AP2055">
        <v>16</v>
      </c>
      <c r="AQ2055">
        <v>16</v>
      </c>
      <c r="AR2055">
        <v>19</v>
      </c>
      <c r="AS2055">
        <v>25</v>
      </c>
      <c r="AT2055">
        <v>0</v>
      </c>
    </row>
    <row r="2056" spans="1:46">
      <c r="A2056">
        <v>45717</v>
      </c>
      <c r="B2056" t="s">
        <v>12113</v>
      </c>
      <c r="C2056" t="s">
        <v>12114</v>
      </c>
      <c r="D2056" t="s">
        <v>12115</v>
      </c>
      <c r="E2056" t="s">
        <v>12116</v>
      </c>
      <c r="F2056" t="s">
        <v>3629</v>
      </c>
      <c r="G2056" t="s">
        <v>2119</v>
      </c>
      <c r="H2056" t="s">
        <v>3942</v>
      </c>
      <c r="I2056" t="s">
        <v>4065</v>
      </c>
      <c r="J2056" t="s">
        <v>3962</v>
      </c>
      <c r="K2056" t="s">
        <v>519</v>
      </c>
      <c r="M2056" t="s">
        <v>1297</v>
      </c>
      <c r="N2056" t="s">
        <v>557</v>
      </c>
      <c r="O2056" t="s">
        <v>2131</v>
      </c>
      <c r="P2056" t="s">
        <v>584</v>
      </c>
      <c r="Q2056" t="s">
        <v>2118</v>
      </c>
      <c r="R2056" t="s">
        <v>2084</v>
      </c>
      <c r="S2056" t="s">
        <v>2119</v>
      </c>
      <c r="T2056" t="s">
        <v>2085</v>
      </c>
      <c r="U2056">
        <v>215200</v>
      </c>
      <c r="V2056" t="s">
        <v>12117</v>
      </c>
      <c r="W2056" t="s">
        <v>2132</v>
      </c>
      <c r="X2056" t="s">
        <v>12118</v>
      </c>
      <c r="Y2056" t="s">
        <v>12119</v>
      </c>
      <c r="AA2056" t="s">
        <v>12120</v>
      </c>
      <c r="AB2056" t="s">
        <v>12114</v>
      </c>
      <c r="AE2056">
        <v>-39.50842943</v>
      </c>
      <c r="AF2056">
        <v>176.91436901</v>
      </c>
      <c r="AG2056">
        <v>30</v>
      </c>
      <c r="AH2056">
        <v>0</v>
      </c>
      <c r="AI2056">
        <v>0</v>
      </c>
      <c r="AJ2056">
        <v>0</v>
      </c>
      <c r="AK2056">
        <v>3</v>
      </c>
      <c r="AL2056">
        <v>14</v>
      </c>
      <c r="AM2056">
        <v>10</v>
      </c>
      <c r="AN2056">
        <v>6</v>
      </c>
      <c r="AO2056">
        <v>33</v>
      </c>
      <c r="AP2056">
        <v>16</v>
      </c>
      <c r="AQ2056">
        <v>13</v>
      </c>
      <c r="AR2056">
        <v>1</v>
      </c>
      <c r="AS2056">
        <v>15</v>
      </c>
      <c r="AT2056">
        <v>4</v>
      </c>
    </row>
    <row r="2057" spans="1:46">
      <c r="A2057">
        <v>45719</v>
      </c>
      <c r="B2057" t="s">
        <v>12121</v>
      </c>
      <c r="C2057" t="s">
        <v>12122</v>
      </c>
      <c r="D2057" t="s">
        <v>12123</v>
      </c>
      <c r="E2057" t="s">
        <v>12124</v>
      </c>
      <c r="F2057" t="s">
        <v>12125</v>
      </c>
      <c r="G2057" t="s">
        <v>2317</v>
      </c>
      <c r="H2057" t="s">
        <v>3942</v>
      </c>
      <c r="J2057" t="s">
        <v>3962</v>
      </c>
      <c r="K2057" t="s">
        <v>519</v>
      </c>
      <c r="M2057" t="s">
        <v>2287</v>
      </c>
      <c r="N2057" t="s">
        <v>571</v>
      </c>
      <c r="O2057" t="s">
        <v>2318</v>
      </c>
      <c r="P2057" t="s">
        <v>1262</v>
      </c>
      <c r="Q2057" t="s">
        <v>2319</v>
      </c>
      <c r="R2057" t="s">
        <v>2289</v>
      </c>
      <c r="S2057" t="s">
        <v>2269</v>
      </c>
      <c r="T2057" t="s">
        <v>2085</v>
      </c>
      <c r="U2057">
        <v>256301</v>
      </c>
      <c r="V2057" t="s">
        <v>2320</v>
      </c>
      <c r="W2057" t="s">
        <v>2321</v>
      </c>
      <c r="X2057" t="s">
        <v>12126</v>
      </c>
      <c r="Y2057" t="s">
        <v>4107</v>
      </c>
      <c r="AA2057" t="s">
        <v>3982</v>
      </c>
      <c r="AB2057" t="s">
        <v>12127</v>
      </c>
      <c r="AC2057">
        <v>99204</v>
      </c>
      <c r="AD2057" t="s">
        <v>2322</v>
      </c>
      <c r="AE2057">
        <v>-40.946423899999999</v>
      </c>
      <c r="AF2057">
        <v>175.67552782000001</v>
      </c>
      <c r="AG2057">
        <v>60</v>
      </c>
      <c r="AH2057">
        <v>20</v>
      </c>
      <c r="AI2057">
        <v>3</v>
      </c>
      <c r="AJ2057">
        <v>9</v>
      </c>
      <c r="AK2057">
        <v>19</v>
      </c>
      <c r="AL2057">
        <v>14</v>
      </c>
      <c r="AM2057">
        <v>12</v>
      </c>
      <c r="AN2057">
        <v>1</v>
      </c>
      <c r="AO2057">
        <v>58</v>
      </c>
      <c r="AP2057">
        <v>50</v>
      </c>
      <c r="AQ2057">
        <v>16</v>
      </c>
      <c r="AR2057">
        <v>6</v>
      </c>
      <c r="AS2057">
        <v>4</v>
      </c>
      <c r="AT2057">
        <v>5</v>
      </c>
    </row>
    <row r="2058" spans="1:46">
      <c r="A2058">
        <v>45720</v>
      </c>
      <c r="B2058" t="s">
        <v>12128</v>
      </c>
      <c r="C2058" t="s">
        <v>12129</v>
      </c>
      <c r="E2058" t="s">
        <v>12130</v>
      </c>
      <c r="G2058" t="s">
        <v>12131</v>
      </c>
      <c r="H2058" t="s">
        <v>3942</v>
      </c>
      <c r="J2058" t="s">
        <v>3962</v>
      </c>
      <c r="K2058" t="s">
        <v>519</v>
      </c>
      <c r="M2058" t="s">
        <v>2287</v>
      </c>
      <c r="N2058" t="s">
        <v>571</v>
      </c>
      <c r="O2058" t="s">
        <v>3218</v>
      </c>
      <c r="P2058" t="s">
        <v>523</v>
      </c>
      <c r="Q2058" t="s">
        <v>2943</v>
      </c>
      <c r="R2058" t="s">
        <v>2944</v>
      </c>
      <c r="S2058" t="s">
        <v>3219</v>
      </c>
      <c r="T2058" t="s">
        <v>2448</v>
      </c>
      <c r="U2058">
        <v>336901</v>
      </c>
      <c r="V2058" t="s">
        <v>12131</v>
      </c>
      <c r="W2058" t="s">
        <v>2461</v>
      </c>
      <c r="X2058" t="s">
        <v>12132</v>
      </c>
      <c r="Y2058" t="s">
        <v>12130</v>
      </c>
      <c r="AA2058" t="s">
        <v>12133</v>
      </c>
      <c r="AB2058" t="s">
        <v>12134</v>
      </c>
      <c r="AC2058">
        <v>99009</v>
      </c>
      <c r="AD2058" t="s">
        <v>10890</v>
      </c>
      <c r="AE2058">
        <v>-43.6334929</v>
      </c>
      <c r="AF2058">
        <v>171.64835124999999</v>
      </c>
      <c r="AG2058">
        <v>41</v>
      </c>
      <c r="AH2058">
        <v>14</v>
      </c>
      <c r="AI2058">
        <v>1</v>
      </c>
      <c r="AJ2058">
        <v>6</v>
      </c>
      <c r="AK2058">
        <v>12</v>
      </c>
      <c r="AL2058">
        <v>14</v>
      </c>
      <c r="AM2058">
        <v>27</v>
      </c>
      <c r="AN2058">
        <v>0</v>
      </c>
      <c r="AO2058">
        <v>60</v>
      </c>
      <c r="AP2058">
        <v>51</v>
      </c>
      <c r="AQ2058">
        <v>11</v>
      </c>
      <c r="AR2058">
        <v>0</v>
      </c>
      <c r="AS2058">
        <v>6</v>
      </c>
      <c r="AT2058">
        <v>3</v>
      </c>
    </row>
    <row r="2059" spans="1:46">
      <c r="A2059">
        <v>45722</v>
      </c>
      <c r="B2059" t="s">
        <v>12135</v>
      </c>
      <c r="C2059" t="s">
        <v>12136</v>
      </c>
      <c r="D2059" t="s">
        <v>12137</v>
      </c>
      <c r="E2059" t="s">
        <v>12138</v>
      </c>
      <c r="F2059" t="s">
        <v>2852</v>
      </c>
      <c r="G2059" t="s">
        <v>2853</v>
      </c>
      <c r="H2059" t="s">
        <v>4716</v>
      </c>
      <c r="J2059" t="s">
        <v>3962</v>
      </c>
      <c r="K2059" t="s">
        <v>519</v>
      </c>
      <c r="M2059" t="s">
        <v>2287</v>
      </c>
      <c r="N2059" t="s">
        <v>571</v>
      </c>
      <c r="O2059" t="s">
        <v>2822</v>
      </c>
      <c r="P2059" t="s">
        <v>523</v>
      </c>
      <c r="Q2059" t="s">
        <v>2823</v>
      </c>
      <c r="R2059" t="s">
        <v>2824</v>
      </c>
      <c r="S2059" t="s">
        <v>2825</v>
      </c>
      <c r="T2059" t="s">
        <v>2448</v>
      </c>
      <c r="U2059">
        <v>307100</v>
      </c>
      <c r="V2059" t="s">
        <v>3867</v>
      </c>
      <c r="W2059" t="s">
        <v>3868</v>
      </c>
      <c r="X2059" t="s">
        <v>12139</v>
      </c>
      <c r="Y2059" t="s">
        <v>12138</v>
      </c>
      <c r="Z2059" t="s">
        <v>2852</v>
      </c>
      <c r="AA2059" t="s">
        <v>11528</v>
      </c>
      <c r="AB2059" t="s">
        <v>12140</v>
      </c>
      <c r="AC2059">
        <v>99006</v>
      </c>
      <c r="AD2059" t="s">
        <v>2831</v>
      </c>
      <c r="AE2059">
        <v>-41.307156169999999</v>
      </c>
      <c r="AF2059">
        <v>173.2292502</v>
      </c>
      <c r="AG2059">
        <v>80</v>
      </c>
      <c r="AH2059">
        <v>80</v>
      </c>
      <c r="AI2059">
        <v>4</v>
      </c>
      <c r="AJ2059">
        <v>9</v>
      </c>
      <c r="AK2059">
        <v>26</v>
      </c>
      <c r="AL2059">
        <v>15</v>
      </c>
      <c r="AM2059">
        <v>8</v>
      </c>
      <c r="AN2059">
        <v>4</v>
      </c>
      <c r="AO2059">
        <v>66</v>
      </c>
      <c r="AP2059">
        <v>65</v>
      </c>
      <c r="AQ2059">
        <v>11</v>
      </c>
      <c r="AR2059">
        <v>1</v>
      </c>
      <c r="AS2059">
        <v>0</v>
      </c>
      <c r="AT2059">
        <v>0</v>
      </c>
    </row>
    <row r="2060" spans="1:46">
      <c r="A2060">
        <v>45723</v>
      </c>
      <c r="B2060" t="s">
        <v>12141</v>
      </c>
      <c r="C2060" t="s">
        <v>12142</v>
      </c>
      <c r="D2060" t="s">
        <v>12143</v>
      </c>
      <c r="E2060" t="s">
        <v>12144</v>
      </c>
      <c r="G2060" t="s">
        <v>3217</v>
      </c>
      <c r="H2060" t="s">
        <v>3942</v>
      </c>
      <c r="J2060" t="s">
        <v>3962</v>
      </c>
      <c r="K2060" t="s">
        <v>519</v>
      </c>
      <c r="M2060" t="s">
        <v>2287</v>
      </c>
      <c r="N2060" t="s">
        <v>571</v>
      </c>
      <c r="O2060" t="s">
        <v>3218</v>
      </c>
      <c r="P2060" t="s">
        <v>1262</v>
      </c>
      <c r="Q2060" t="s">
        <v>2943</v>
      </c>
      <c r="R2060" t="s">
        <v>2944</v>
      </c>
      <c r="S2060" t="s">
        <v>3219</v>
      </c>
      <c r="T2060" t="s">
        <v>2448</v>
      </c>
      <c r="U2060">
        <v>338300</v>
      </c>
      <c r="V2060" t="s">
        <v>12145</v>
      </c>
      <c r="W2060" t="s">
        <v>3221</v>
      </c>
      <c r="X2060" t="s">
        <v>12146</v>
      </c>
      <c r="Y2060" t="s">
        <v>4107</v>
      </c>
      <c r="AA2060" t="s">
        <v>3982</v>
      </c>
      <c r="AB2060" t="s">
        <v>12147</v>
      </c>
      <c r="AC2060">
        <v>99043</v>
      </c>
      <c r="AD2060" t="s">
        <v>3226</v>
      </c>
      <c r="AE2060">
        <v>-43.905843750000003</v>
      </c>
      <c r="AF2060">
        <v>171.75725661000001</v>
      </c>
      <c r="AG2060">
        <v>75</v>
      </c>
      <c r="AH2060">
        <v>25</v>
      </c>
      <c r="AI2060">
        <v>4</v>
      </c>
      <c r="AJ2060">
        <v>17</v>
      </c>
      <c r="AK2060">
        <v>13</v>
      </c>
      <c r="AL2060">
        <v>17</v>
      </c>
      <c r="AM2060">
        <v>22</v>
      </c>
      <c r="AN2060">
        <v>1</v>
      </c>
      <c r="AO2060">
        <v>74</v>
      </c>
      <c r="AP2060">
        <v>54</v>
      </c>
      <c r="AQ2060">
        <v>9</v>
      </c>
      <c r="AR2060">
        <v>3</v>
      </c>
      <c r="AS2060">
        <v>10</v>
      </c>
      <c r="AT2060">
        <v>7</v>
      </c>
    </row>
    <row r="2061" spans="1:46">
      <c r="A2061">
        <v>45727</v>
      </c>
      <c r="B2061" t="s">
        <v>12148</v>
      </c>
      <c r="C2061" t="s">
        <v>12149</v>
      </c>
      <c r="D2061" t="s">
        <v>12150</v>
      </c>
      <c r="E2061" t="s">
        <v>12151</v>
      </c>
      <c r="G2061" t="s">
        <v>3673</v>
      </c>
      <c r="H2061" t="s">
        <v>3942</v>
      </c>
      <c r="J2061" t="s">
        <v>3962</v>
      </c>
      <c r="K2061" t="s">
        <v>519</v>
      </c>
      <c r="M2061" t="s">
        <v>520</v>
      </c>
      <c r="N2061" t="s">
        <v>571</v>
      </c>
      <c r="O2061" t="s">
        <v>522</v>
      </c>
      <c r="P2061" t="s">
        <v>523</v>
      </c>
      <c r="Q2061" t="s">
        <v>524</v>
      </c>
      <c r="R2061" t="s">
        <v>525</v>
      </c>
      <c r="S2061" t="s">
        <v>526</v>
      </c>
      <c r="T2061" t="s">
        <v>527</v>
      </c>
      <c r="U2061">
        <v>103000</v>
      </c>
      <c r="V2061" t="s">
        <v>3674</v>
      </c>
      <c r="W2061" t="s">
        <v>558</v>
      </c>
      <c r="X2061" t="s">
        <v>12152</v>
      </c>
      <c r="Y2061" t="s">
        <v>12153</v>
      </c>
      <c r="AA2061" t="s">
        <v>12154</v>
      </c>
      <c r="AB2061" t="s">
        <v>12155</v>
      </c>
      <c r="AE2061">
        <v>-35.231847999999999</v>
      </c>
      <c r="AF2061">
        <v>173.94476437</v>
      </c>
      <c r="AG2061">
        <v>50</v>
      </c>
      <c r="AH2061">
        <v>14</v>
      </c>
      <c r="AI2061">
        <v>1</v>
      </c>
      <c r="AJ2061">
        <v>3</v>
      </c>
      <c r="AK2061">
        <v>7</v>
      </c>
      <c r="AL2061">
        <v>15</v>
      </c>
      <c r="AM2061">
        <v>8</v>
      </c>
      <c r="AN2061">
        <v>3</v>
      </c>
      <c r="AO2061">
        <v>37</v>
      </c>
      <c r="AP2061">
        <v>30</v>
      </c>
      <c r="AQ2061">
        <v>6</v>
      </c>
      <c r="AR2061">
        <v>0</v>
      </c>
      <c r="AS2061">
        <v>1</v>
      </c>
      <c r="AT2061">
        <v>1</v>
      </c>
    </row>
    <row r="2062" spans="1:46">
      <c r="A2062">
        <v>45728</v>
      </c>
      <c r="B2062" t="s">
        <v>12156</v>
      </c>
      <c r="C2062" t="s">
        <v>12157</v>
      </c>
      <c r="E2062" t="s">
        <v>12158</v>
      </c>
      <c r="G2062" t="s">
        <v>1850</v>
      </c>
      <c r="H2062" t="s">
        <v>343</v>
      </c>
      <c r="J2062" t="s">
        <v>518</v>
      </c>
      <c r="K2062" t="s">
        <v>519</v>
      </c>
      <c r="L2062" t="s">
        <v>4205</v>
      </c>
      <c r="M2062" t="s">
        <v>1297</v>
      </c>
      <c r="N2062" t="s">
        <v>521</v>
      </c>
      <c r="O2062" t="s">
        <v>1851</v>
      </c>
      <c r="P2062" t="s">
        <v>523</v>
      </c>
      <c r="Q2062" t="s">
        <v>1759</v>
      </c>
      <c r="R2062" t="s">
        <v>1760</v>
      </c>
      <c r="S2062" t="s">
        <v>1842</v>
      </c>
      <c r="T2062" t="s">
        <v>1485</v>
      </c>
      <c r="U2062">
        <v>221001</v>
      </c>
      <c r="V2062" t="s">
        <v>1850</v>
      </c>
      <c r="W2062" t="s">
        <v>1852</v>
      </c>
      <c r="X2062" t="s">
        <v>9070</v>
      </c>
      <c r="Y2062" t="s">
        <v>4208</v>
      </c>
      <c r="Z2062" t="s">
        <v>4209</v>
      </c>
      <c r="AA2062" t="s">
        <v>4210</v>
      </c>
      <c r="AB2062" t="s">
        <v>9071</v>
      </c>
      <c r="AE2062">
        <v>-39.431410530000001</v>
      </c>
      <c r="AF2062">
        <v>174.29799449000001</v>
      </c>
      <c r="AG2062">
        <v>45</v>
      </c>
      <c r="AH2062">
        <v>15</v>
      </c>
      <c r="AI2062">
        <v>1</v>
      </c>
      <c r="AJ2062">
        <v>7</v>
      </c>
      <c r="AK2062">
        <v>8</v>
      </c>
      <c r="AL2062">
        <v>10</v>
      </c>
      <c r="AM2062">
        <v>6</v>
      </c>
      <c r="AN2062">
        <v>0</v>
      </c>
      <c r="AO2062">
        <v>32</v>
      </c>
      <c r="AP2062">
        <v>0</v>
      </c>
      <c r="AQ2062">
        <v>32</v>
      </c>
      <c r="AR2062">
        <v>0</v>
      </c>
      <c r="AS2062">
        <v>0</v>
      </c>
      <c r="AT2062">
        <v>0</v>
      </c>
    </row>
    <row r="2063" spans="1:46">
      <c r="A2063">
        <v>45732</v>
      </c>
      <c r="B2063" t="s">
        <v>12159</v>
      </c>
      <c r="C2063" t="s">
        <v>12160</v>
      </c>
      <c r="D2063" t="s">
        <v>12161</v>
      </c>
      <c r="E2063" t="s">
        <v>12162</v>
      </c>
      <c r="F2063" t="s">
        <v>12163</v>
      </c>
      <c r="G2063" t="s">
        <v>2289</v>
      </c>
      <c r="H2063" t="s">
        <v>3942</v>
      </c>
      <c r="I2063" t="s">
        <v>3953</v>
      </c>
      <c r="J2063" t="s">
        <v>518</v>
      </c>
      <c r="K2063" t="s">
        <v>519</v>
      </c>
      <c r="M2063" t="s">
        <v>2287</v>
      </c>
      <c r="N2063" t="s">
        <v>4519</v>
      </c>
      <c r="O2063" t="s">
        <v>2536</v>
      </c>
      <c r="P2063" t="s">
        <v>654</v>
      </c>
      <c r="Q2063" t="s">
        <v>2319</v>
      </c>
      <c r="R2063" t="s">
        <v>2289</v>
      </c>
      <c r="S2063" t="s">
        <v>2553</v>
      </c>
      <c r="T2063" t="s">
        <v>2448</v>
      </c>
      <c r="U2063">
        <v>250700</v>
      </c>
      <c r="V2063" t="s">
        <v>12164</v>
      </c>
      <c r="W2063" t="s">
        <v>2573</v>
      </c>
      <c r="X2063" t="s">
        <v>12165</v>
      </c>
      <c r="Y2063" t="s">
        <v>12166</v>
      </c>
      <c r="Z2063" t="s">
        <v>12163</v>
      </c>
      <c r="AA2063" t="s">
        <v>12167</v>
      </c>
      <c r="AE2063">
        <v>-41.275750700000003</v>
      </c>
      <c r="AF2063">
        <v>174.7805626</v>
      </c>
      <c r="AG2063">
        <v>30</v>
      </c>
      <c r="AH2063">
        <v>15</v>
      </c>
      <c r="AI2063">
        <v>1</v>
      </c>
      <c r="AJ2063">
        <v>7</v>
      </c>
      <c r="AK2063">
        <v>12</v>
      </c>
      <c r="AL2063">
        <v>4</v>
      </c>
      <c r="AM2063">
        <v>4</v>
      </c>
      <c r="AN2063">
        <v>0</v>
      </c>
      <c r="AO2063">
        <v>28</v>
      </c>
      <c r="AP2063">
        <v>28</v>
      </c>
      <c r="AQ2063">
        <v>0</v>
      </c>
      <c r="AR2063">
        <v>0</v>
      </c>
      <c r="AS2063">
        <v>3</v>
      </c>
      <c r="AT2063">
        <v>2</v>
      </c>
    </row>
    <row r="2064" spans="1:46">
      <c r="A2064">
        <v>45734</v>
      </c>
      <c r="B2064" t="s">
        <v>12168</v>
      </c>
      <c r="C2064" t="s">
        <v>12169</v>
      </c>
      <c r="E2064" t="s">
        <v>12170</v>
      </c>
      <c r="F2064" t="s">
        <v>2821</v>
      </c>
      <c r="G2064" t="s">
        <v>2821</v>
      </c>
      <c r="H2064" t="s">
        <v>4716</v>
      </c>
      <c r="J2064" t="s">
        <v>3962</v>
      </c>
      <c r="K2064" t="s">
        <v>519</v>
      </c>
      <c r="M2064" t="s">
        <v>2287</v>
      </c>
      <c r="N2064" t="s">
        <v>571</v>
      </c>
      <c r="O2064" t="s">
        <v>2822</v>
      </c>
      <c r="P2064" t="s">
        <v>1262</v>
      </c>
      <c r="Q2064" t="s">
        <v>2823</v>
      </c>
      <c r="R2064" t="s">
        <v>2824</v>
      </c>
      <c r="S2064" t="s">
        <v>2825</v>
      </c>
      <c r="T2064" t="s">
        <v>2448</v>
      </c>
      <c r="U2064">
        <v>307900</v>
      </c>
      <c r="V2064" t="s">
        <v>11552</v>
      </c>
      <c r="W2064" t="s">
        <v>2826</v>
      </c>
      <c r="X2064" t="s">
        <v>12171</v>
      </c>
      <c r="Y2064" t="s">
        <v>9026</v>
      </c>
      <c r="Z2064" t="s">
        <v>2427</v>
      </c>
      <c r="AA2064" t="s">
        <v>9029</v>
      </c>
      <c r="AE2064">
        <v>-41.514847379999999</v>
      </c>
      <c r="AF2064">
        <v>173.95514534</v>
      </c>
      <c r="AG2064">
        <v>80</v>
      </c>
      <c r="AH2064">
        <v>80</v>
      </c>
      <c r="AI2064">
        <v>0</v>
      </c>
      <c r="AJ2064">
        <v>10</v>
      </c>
      <c r="AK2064">
        <v>11</v>
      </c>
      <c r="AL2064">
        <v>15</v>
      </c>
      <c r="AM2064">
        <v>15</v>
      </c>
      <c r="AN2064">
        <v>0</v>
      </c>
      <c r="AO2064">
        <v>51</v>
      </c>
      <c r="AP2064">
        <v>41</v>
      </c>
      <c r="AQ2064">
        <v>6</v>
      </c>
      <c r="AR2064">
        <v>1</v>
      </c>
      <c r="AS2064">
        <v>6</v>
      </c>
      <c r="AT2064">
        <v>3</v>
      </c>
    </row>
    <row r="2065" spans="1:46">
      <c r="A2065">
        <v>45735</v>
      </c>
      <c r="B2065" t="s">
        <v>12172</v>
      </c>
      <c r="C2065" t="s">
        <v>12173</v>
      </c>
      <c r="D2065" t="s">
        <v>12174</v>
      </c>
      <c r="E2065" t="s">
        <v>12175</v>
      </c>
      <c r="F2065" t="s">
        <v>821</v>
      </c>
      <c r="G2065" t="s">
        <v>652</v>
      </c>
      <c r="H2065" t="s">
        <v>3942</v>
      </c>
      <c r="J2065" t="s">
        <v>3962</v>
      </c>
      <c r="K2065" t="s">
        <v>519</v>
      </c>
      <c r="M2065" t="s">
        <v>520</v>
      </c>
      <c r="N2065" t="s">
        <v>571</v>
      </c>
      <c r="O2065" t="s">
        <v>804</v>
      </c>
      <c r="P2065" t="s">
        <v>654</v>
      </c>
      <c r="Q2065" t="s">
        <v>638</v>
      </c>
      <c r="R2065" t="s">
        <v>708</v>
      </c>
      <c r="S2065" t="s">
        <v>822</v>
      </c>
      <c r="T2065" t="s">
        <v>709</v>
      </c>
      <c r="U2065">
        <v>141000</v>
      </c>
      <c r="V2065" t="s">
        <v>823</v>
      </c>
      <c r="W2065" t="s">
        <v>824</v>
      </c>
      <c r="X2065" t="s">
        <v>12176</v>
      </c>
      <c r="Y2065" t="s">
        <v>7663</v>
      </c>
      <c r="Z2065" t="s">
        <v>644</v>
      </c>
      <c r="AA2065" t="s">
        <v>645</v>
      </c>
      <c r="AB2065" t="s">
        <v>12177</v>
      </c>
      <c r="AE2065">
        <v>-36.886235820000003</v>
      </c>
      <c r="AF2065">
        <v>174.79734535</v>
      </c>
      <c r="AG2065">
        <v>145</v>
      </c>
      <c r="AH2065">
        <v>50</v>
      </c>
      <c r="AI2065">
        <v>2</v>
      </c>
      <c r="AJ2065">
        <v>15</v>
      </c>
      <c r="AK2065">
        <v>21</v>
      </c>
      <c r="AL2065">
        <v>17</v>
      </c>
      <c r="AM2065">
        <v>33</v>
      </c>
      <c r="AN2065">
        <v>3</v>
      </c>
      <c r="AO2065">
        <v>91</v>
      </c>
      <c r="AP2065">
        <v>33</v>
      </c>
      <c r="AQ2065">
        <v>0</v>
      </c>
      <c r="AR2065">
        <v>3</v>
      </c>
      <c r="AS2065">
        <v>68</v>
      </c>
      <c r="AT2065">
        <v>6</v>
      </c>
    </row>
    <row r="2066" spans="1:46">
      <c r="A2066">
        <v>45737</v>
      </c>
      <c r="B2066" t="s">
        <v>12178</v>
      </c>
      <c r="C2066" t="s">
        <v>12179</v>
      </c>
      <c r="D2066" t="s">
        <v>12180</v>
      </c>
      <c r="E2066" t="s">
        <v>12181</v>
      </c>
      <c r="G2066" t="s">
        <v>675</v>
      </c>
      <c r="H2066" t="s">
        <v>3942</v>
      </c>
      <c r="J2066" t="s">
        <v>3962</v>
      </c>
      <c r="K2066" t="s">
        <v>519</v>
      </c>
      <c r="M2066" t="s">
        <v>520</v>
      </c>
      <c r="N2066" t="s">
        <v>571</v>
      </c>
      <c r="O2066" t="s">
        <v>637</v>
      </c>
      <c r="P2066" t="s">
        <v>523</v>
      </c>
      <c r="Q2066" t="s">
        <v>638</v>
      </c>
      <c r="R2066" t="s">
        <v>639</v>
      </c>
      <c r="S2066" t="s">
        <v>640</v>
      </c>
      <c r="T2066" t="s">
        <v>527</v>
      </c>
      <c r="U2066">
        <v>111100</v>
      </c>
      <c r="V2066" t="s">
        <v>676</v>
      </c>
      <c r="W2066" t="s">
        <v>641</v>
      </c>
      <c r="X2066" t="s">
        <v>12182</v>
      </c>
      <c r="Y2066" t="s">
        <v>12183</v>
      </c>
      <c r="Z2066" t="s">
        <v>675</v>
      </c>
      <c r="AA2066" t="s">
        <v>12184</v>
      </c>
      <c r="AB2066" t="s">
        <v>12185</v>
      </c>
      <c r="AE2066">
        <v>-36.410398430000001</v>
      </c>
      <c r="AF2066">
        <v>174.65482510000001</v>
      </c>
      <c r="AG2066">
        <v>80</v>
      </c>
      <c r="AH2066">
        <v>25</v>
      </c>
      <c r="AI2066">
        <v>6</v>
      </c>
      <c r="AJ2066">
        <v>21</v>
      </c>
      <c r="AK2066">
        <v>17</v>
      </c>
      <c r="AL2066">
        <v>19</v>
      </c>
      <c r="AM2066">
        <v>23</v>
      </c>
      <c r="AN2066">
        <v>0</v>
      </c>
      <c r="AO2066">
        <v>86</v>
      </c>
      <c r="AP2066">
        <v>86</v>
      </c>
      <c r="AQ2066">
        <v>12</v>
      </c>
      <c r="AR2066">
        <v>5</v>
      </c>
      <c r="AS2066">
        <v>1</v>
      </c>
      <c r="AT2066">
        <v>1</v>
      </c>
    </row>
    <row r="2067" spans="1:46">
      <c r="A2067">
        <v>45747</v>
      </c>
      <c r="B2067" t="s">
        <v>12186</v>
      </c>
      <c r="C2067" t="s">
        <v>12187</v>
      </c>
      <c r="D2067" t="s">
        <v>12188</v>
      </c>
      <c r="E2067" t="s">
        <v>12189</v>
      </c>
      <c r="F2067" t="s">
        <v>3770</v>
      </c>
      <c r="G2067" t="s">
        <v>1598</v>
      </c>
      <c r="H2067" t="s">
        <v>3942</v>
      </c>
      <c r="J2067" t="s">
        <v>3962</v>
      </c>
      <c r="K2067" t="s">
        <v>519</v>
      </c>
      <c r="M2067" t="s">
        <v>1297</v>
      </c>
      <c r="N2067" t="s">
        <v>571</v>
      </c>
      <c r="O2067" t="s">
        <v>1698</v>
      </c>
      <c r="P2067" t="s">
        <v>654</v>
      </c>
      <c r="Q2067" t="s">
        <v>1471</v>
      </c>
      <c r="R2067" t="s">
        <v>1472</v>
      </c>
      <c r="S2067" t="s">
        <v>1699</v>
      </c>
      <c r="T2067" t="s">
        <v>1474</v>
      </c>
      <c r="U2067">
        <v>197300</v>
      </c>
      <c r="V2067" t="s">
        <v>3771</v>
      </c>
      <c r="W2067" t="s">
        <v>3772</v>
      </c>
      <c r="X2067" t="s">
        <v>12190</v>
      </c>
      <c r="Y2067" t="s">
        <v>12191</v>
      </c>
      <c r="Z2067" t="s">
        <v>12192</v>
      </c>
      <c r="AA2067" t="s">
        <v>12193</v>
      </c>
      <c r="AB2067" t="s">
        <v>12187</v>
      </c>
      <c r="AE2067">
        <v>-37.71340197</v>
      </c>
      <c r="AF2067">
        <v>176.29244152999999</v>
      </c>
      <c r="AG2067">
        <v>100</v>
      </c>
      <c r="AH2067">
        <v>35</v>
      </c>
      <c r="AI2067">
        <v>3</v>
      </c>
      <c r="AJ2067">
        <v>22</v>
      </c>
      <c r="AK2067">
        <v>24</v>
      </c>
      <c r="AL2067">
        <v>35</v>
      </c>
      <c r="AM2067">
        <v>30</v>
      </c>
      <c r="AN2067">
        <v>0</v>
      </c>
      <c r="AO2067">
        <v>114</v>
      </c>
      <c r="AP2067">
        <v>101</v>
      </c>
      <c r="AQ2067">
        <v>16</v>
      </c>
      <c r="AR2067">
        <v>3</v>
      </c>
      <c r="AS2067">
        <v>13</v>
      </c>
      <c r="AT2067">
        <v>9</v>
      </c>
    </row>
    <row r="2068" spans="1:46">
      <c r="A2068">
        <v>45751</v>
      </c>
      <c r="B2068" t="s">
        <v>12194</v>
      </c>
      <c r="C2068" t="s">
        <v>12195</v>
      </c>
      <c r="D2068" t="s">
        <v>12196</v>
      </c>
      <c r="E2068" t="s">
        <v>12197</v>
      </c>
      <c r="F2068" t="s">
        <v>770</v>
      </c>
      <c r="G2068" t="s">
        <v>652</v>
      </c>
      <c r="H2068" t="s">
        <v>517</v>
      </c>
      <c r="J2068" t="s">
        <v>518</v>
      </c>
      <c r="K2068" t="s">
        <v>519</v>
      </c>
      <c r="M2068" t="s">
        <v>520</v>
      </c>
      <c r="N2068" t="s">
        <v>557</v>
      </c>
      <c r="O2068" t="s">
        <v>718</v>
      </c>
      <c r="P2068" t="s">
        <v>654</v>
      </c>
      <c r="Q2068" t="s">
        <v>638</v>
      </c>
      <c r="R2068" t="s">
        <v>639</v>
      </c>
      <c r="S2068" t="s">
        <v>770</v>
      </c>
      <c r="T2068" t="s">
        <v>709</v>
      </c>
      <c r="U2068">
        <v>135600</v>
      </c>
      <c r="V2068" t="s">
        <v>6592</v>
      </c>
      <c r="W2068" t="s">
        <v>721</v>
      </c>
      <c r="X2068" t="s">
        <v>642</v>
      </c>
      <c r="Y2068" t="s">
        <v>643</v>
      </c>
      <c r="Z2068" t="s">
        <v>644</v>
      </c>
      <c r="AA2068" t="s">
        <v>645</v>
      </c>
      <c r="AB2068" t="s">
        <v>646</v>
      </c>
      <c r="AC2068">
        <v>99062</v>
      </c>
      <c r="AD2068" t="s">
        <v>893</v>
      </c>
      <c r="AE2068">
        <v>-36.911478539999997</v>
      </c>
      <c r="AF2068">
        <v>174.67972707999999</v>
      </c>
      <c r="AG2068">
        <v>40</v>
      </c>
      <c r="AH2068">
        <v>0</v>
      </c>
      <c r="AI2068">
        <v>0</v>
      </c>
      <c r="AJ2068">
        <v>0</v>
      </c>
      <c r="AK2068">
        <v>1</v>
      </c>
      <c r="AL2068">
        <v>21</v>
      </c>
      <c r="AM2068">
        <v>29</v>
      </c>
      <c r="AN2068">
        <v>1</v>
      </c>
      <c r="AO2068">
        <v>52</v>
      </c>
      <c r="AP2068">
        <v>13</v>
      </c>
      <c r="AQ2068">
        <v>5</v>
      </c>
      <c r="AR2068">
        <v>7</v>
      </c>
      <c r="AS2068">
        <v>30</v>
      </c>
      <c r="AT2068">
        <v>5</v>
      </c>
    </row>
    <row r="2069" spans="1:46">
      <c r="A2069">
        <v>45753</v>
      </c>
      <c r="B2069" t="s">
        <v>12198</v>
      </c>
      <c r="C2069" t="s">
        <v>12199</v>
      </c>
      <c r="D2069" t="s">
        <v>12200</v>
      </c>
      <c r="E2069" t="s">
        <v>12201</v>
      </c>
      <c r="F2069" t="s">
        <v>3194</v>
      </c>
      <c r="G2069" t="s">
        <v>2941</v>
      </c>
      <c r="H2069" t="s">
        <v>3942</v>
      </c>
      <c r="J2069" t="s">
        <v>518</v>
      </c>
      <c r="K2069" t="s">
        <v>519</v>
      </c>
      <c r="M2069" t="s">
        <v>2287</v>
      </c>
      <c r="N2069" t="s">
        <v>571</v>
      </c>
      <c r="O2069" t="s">
        <v>2942</v>
      </c>
      <c r="P2069" t="s">
        <v>654</v>
      </c>
      <c r="Q2069" t="s">
        <v>2943</v>
      </c>
      <c r="R2069" t="s">
        <v>2944</v>
      </c>
      <c r="S2069" t="s">
        <v>3019</v>
      </c>
      <c r="T2069" t="s">
        <v>2448</v>
      </c>
      <c r="U2069">
        <v>325400</v>
      </c>
      <c r="V2069" t="s">
        <v>12202</v>
      </c>
      <c r="W2069" t="s">
        <v>3196</v>
      </c>
      <c r="X2069" t="s">
        <v>12203</v>
      </c>
      <c r="Y2069" t="s">
        <v>5103</v>
      </c>
      <c r="Z2069" t="s">
        <v>5104</v>
      </c>
      <c r="AA2069" t="s">
        <v>5105</v>
      </c>
      <c r="AB2069" t="s">
        <v>12204</v>
      </c>
      <c r="AC2069">
        <v>99173</v>
      </c>
      <c r="AD2069" t="s">
        <v>12205</v>
      </c>
      <c r="AE2069">
        <v>-43.563834780000001</v>
      </c>
      <c r="AF2069">
        <v>172.57099417000001</v>
      </c>
      <c r="AG2069">
        <v>44</v>
      </c>
      <c r="AH2069">
        <v>0</v>
      </c>
      <c r="AI2069">
        <v>0</v>
      </c>
      <c r="AJ2069">
        <v>0</v>
      </c>
      <c r="AK2069">
        <v>9</v>
      </c>
      <c r="AL2069">
        <v>16</v>
      </c>
      <c r="AM2069">
        <v>18</v>
      </c>
      <c r="AN2069">
        <v>1</v>
      </c>
      <c r="AO2069">
        <v>44</v>
      </c>
      <c r="AP2069">
        <v>24</v>
      </c>
      <c r="AQ2069">
        <v>0</v>
      </c>
      <c r="AR2069">
        <v>0</v>
      </c>
      <c r="AS2069">
        <v>21</v>
      </c>
      <c r="AT2069">
        <v>5</v>
      </c>
    </row>
    <row r="2070" spans="1:46">
      <c r="A2070">
        <v>45757</v>
      </c>
      <c r="B2070" t="s">
        <v>12206</v>
      </c>
      <c r="C2070" t="s">
        <v>8252</v>
      </c>
      <c r="D2070" t="s">
        <v>8253</v>
      </c>
      <c r="E2070" t="s">
        <v>8254</v>
      </c>
      <c r="F2070" t="s">
        <v>12207</v>
      </c>
      <c r="G2070" t="s">
        <v>652</v>
      </c>
      <c r="H2070" t="s">
        <v>4716</v>
      </c>
      <c r="J2070" t="s">
        <v>3962</v>
      </c>
      <c r="K2070" t="s">
        <v>519</v>
      </c>
      <c r="M2070" t="s">
        <v>520</v>
      </c>
      <c r="N2070" t="s">
        <v>571</v>
      </c>
      <c r="O2070" t="s">
        <v>1168</v>
      </c>
      <c r="P2070" t="s">
        <v>654</v>
      </c>
      <c r="Q2070" t="s">
        <v>638</v>
      </c>
      <c r="R2070" t="s">
        <v>639</v>
      </c>
      <c r="S2070" t="s">
        <v>655</v>
      </c>
      <c r="T2070" t="s">
        <v>527</v>
      </c>
      <c r="U2070">
        <v>118600</v>
      </c>
      <c r="V2070" t="s">
        <v>4012</v>
      </c>
      <c r="W2070" t="s">
        <v>657</v>
      </c>
      <c r="X2070" t="s">
        <v>6268</v>
      </c>
      <c r="Y2070" t="s">
        <v>6269</v>
      </c>
      <c r="Z2070" t="s">
        <v>3706</v>
      </c>
      <c r="AA2070" t="s">
        <v>6270</v>
      </c>
      <c r="AB2070" t="s">
        <v>6271</v>
      </c>
      <c r="AC2070">
        <v>99012</v>
      </c>
      <c r="AD2070" t="s">
        <v>772</v>
      </c>
      <c r="AE2070">
        <v>-36.7459609</v>
      </c>
      <c r="AF2070">
        <v>174.70414708000001</v>
      </c>
      <c r="AG2070">
        <v>50</v>
      </c>
      <c r="AH2070">
        <v>50</v>
      </c>
      <c r="AI2070">
        <v>4</v>
      </c>
      <c r="AJ2070">
        <v>10</v>
      </c>
      <c r="AK2070">
        <v>9</v>
      </c>
      <c r="AL2070">
        <v>9</v>
      </c>
      <c r="AM2070">
        <v>10</v>
      </c>
      <c r="AN2070">
        <v>0</v>
      </c>
      <c r="AO2070">
        <v>42</v>
      </c>
      <c r="AP2070">
        <v>0</v>
      </c>
      <c r="AQ2070">
        <v>0</v>
      </c>
      <c r="AR2070">
        <v>0</v>
      </c>
      <c r="AS2070">
        <v>42</v>
      </c>
      <c r="AT2070">
        <v>0</v>
      </c>
    </row>
    <row r="2071" spans="1:46">
      <c r="A2071">
        <v>45760</v>
      </c>
      <c r="B2071" t="s">
        <v>12208</v>
      </c>
      <c r="C2071" t="s">
        <v>12209</v>
      </c>
      <c r="D2071" t="s">
        <v>12210</v>
      </c>
      <c r="E2071" t="s">
        <v>12211</v>
      </c>
      <c r="F2071" t="s">
        <v>1035</v>
      </c>
      <c r="G2071" t="s">
        <v>652</v>
      </c>
      <c r="H2071" t="s">
        <v>3942</v>
      </c>
      <c r="J2071" t="s">
        <v>3962</v>
      </c>
      <c r="K2071" t="s">
        <v>519</v>
      </c>
      <c r="M2071" t="s">
        <v>520</v>
      </c>
      <c r="N2071" t="s">
        <v>557</v>
      </c>
      <c r="O2071" t="s">
        <v>728</v>
      </c>
      <c r="P2071" t="s">
        <v>654</v>
      </c>
      <c r="Q2071" t="s">
        <v>638</v>
      </c>
      <c r="R2071" t="s">
        <v>729</v>
      </c>
      <c r="S2071" t="s">
        <v>730</v>
      </c>
      <c r="T2071" t="s">
        <v>709</v>
      </c>
      <c r="U2071">
        <v>154902</v>
      </c>
      <c r="V2071" t="s">
        <v>7832</v>
      </c>
      <c r="W2071" t="s">
        <v>732</v>
      </c>
      <c r="X2071" t="s">
        <v>12212</v>
      </c>
      <c r="Y2071" t="s">
        <v>12213</v>
      </c>
      <c r="Z2071" t="s">
        <v>12214</v>
      </c>
      <c r="AA2071" t="s">
        <v>12215</v>
      </c>
      <c r="AB2071" t="s">
        <v>12216</v>
      </c>
      <c r="AC2071">
        <v>99102</v>
      </c>
      <c r="AD2071" t="s">
        <v>1038</v>
      </c>
      <c r="AE2071">
        <v>-36.975091050000003</v>
      </c>
      <c r="AF2071">
        <v>174.86116347000001</v>
      </c>
      <c r="AG2071">
        <v>48</v>
      </c>
      <c r="AH2071">
        <v>10</v>
      </c>
      <c r="AI2071">
        <v>0</v>
      </c>
      <c r="AJ2071">
        <v>6</v>
      </c>
      <c r="AK2071">
        <v>7</v>
      </c>
      <c r="AL2071">
        <v>11</v>
      </c>
      <c r="AM2071">
        <v>10</v>
      </c>
      <c r="AN2071">
        <v>1</v>
      </c>
      <c r="AO2071">
        <v>35</v>
      </c>
      <c r="AP2071">
        <v>2</v>
      </c>
      <c r="AQ2071">
        <v>0</v>
      </c>
      <c r="AR2071">
        <v>0</v>
      </c>
      <c r="AS2071">
        <v>33</v>
      </c>
      <c r="AT2071">
        <v>0</v>
      </c>
    </row>
    <row r="2072" spans="1:46">
      <c r="A2072">
        <v>45764</v>
      </c>
      <c r="B2072" t="s">
        <v>12217</v>
      </c>
      <c r="C2072" t="s">
        <v>12218</v>
      </c>
      <c r="D2072" t="s">
        <v>12219</v>
      </c>
      <c r="E2072" t="s">
        <v>12220</v>
      </c>
      <c r="F2072" t="s">
        <v>1036</v>
      </c>
      <c r="G2072" t="s">
        <v>652</v>
      </c>
      <c r="H2072" t="s">
        <v>3942</v>
      </c>
      <c r="I2072" t="s">
        <v>4951</v>
      </c>
      <c r="J2072" t="s">
        <v>518</v>
      </c>
      <c r="K2072" t="s">
        <v>519</v>
      </c>
      <c r="M2072" t="s">
        <v>520</v>
      </c>
      <c r="N2072" t="s">
        <v>557</v>
      </c>
      <c r="O2072" t="s">
        <v>1216</v>
      </c>
      <c r="P2072" t="s">
        <v>654</v>
      </c>
      <c r="Q2072" t="s">
        <v>638</v>
      </c>
      <c r="R2072" t="s">
        <v>729</v>
      </c>
      <c r="S2072" t="s">
        <v>1036</v>
      </c>
      <c r="T2072" t="s">
        <v>709</v>
      </c>
      <c r="U2072">
        <v>157600</v>
      </c>
      <c r="V2072" t="s">
        <v>1256</v>
      </c>
      <c r="W2072" t="s">
        <v>1219</v>
      </c>
      <c r="X2072" t="s">
        <v>5248</v>
      </c>
      <c r="Y2072" t="s">
        <v>5249</v>
      </c>
      <c r="Z2072" t="s">
        <v>1036</v>
      </c>
      <c r="AA2072" t="s">
        <v>5250</v>
      </c>
      <c r="AB2072" t="s">
        <v>5251</v>
      </c>
      <c r="AC2072">
        <v>99187</v>
      </c>
      <c r="AD2072" t="s">
        <v>1257</v>
      </c>
      <c r="AE2072">
        <v>-37.012511029999999</v>
      </c>
      <c r="AF2072">
        <v>174.88023985999999</v>
      </c>
      <c r="AG2072">
        <v>50</v>
      </c>
      <c r="AH2072">
        <v>10</v>
      </c>
      <c r="AI2072">
        <v>0</v>
      </c>
      <c r="AJ2072">
        <v>2</v>
      </c>
      <c r="AK2072">
        <v>5</v>
      </c>
      <c r="AL2072">
        <v>8</v>
      </c>
      <c r="AM2072">
        <v>17</v>
      </c>
      <c r="AN2072">
        <v>0</v>
      </c>
      <c r="AO2072">
        <v>32</v>
      </c>
      <c r="AP2072">
        <v>2</v>
      </c>
      <c r="AQ2072">
        <v>15</v>
      </c>
      <c r="AR2072">
        <v>23</v>
      </c>
      <c r="AS2072">
        <v>5</v>
      </c>
      <c r="AT2072">
        <v>0</v>
      </c>
    </row>
    <row r="2073" spans="1:46">
      <c r="A2073">
        <v>45768</v>
      </c>
      <c r="B2073" t="s">
        <v>12221</v>
      </c>
      <c r="C2073" t="s">
        <v>12222</v>
      </c>
      <c r="E2073" t="s">
        <v>12223</v>
      </c>
      <c r="G2073" t="s">
        <v>1987</v>
      </c>
      <c r="H2073" t="s">
        <v>3942</v>
      </c>
      <c r="J2073" t="s">
        <v>3962</v>
      </c>
      <c r="K2073" t="s">
        <v>519</v>
      </c>
      <c r="M2073" t="s">
        <v>1297</v>
      </c>
      <c r="N2073" t="s">
        <v>571</v>
      </c>
      <c r="O2073" t="s">
        <v>1988</v>
      </c>
      <c r="P2073" t="s">
        <v>572</v>
      </c>
      <c r="Q2073" t="s">
        <v>1636</v>
      </c>
      <c r="R2073" t="s">
        <v>1760</v>
      </c>
      <c r="S2073" t="s">
        <v>1637</v>
      </c>
      <c r="T2073" t="s">
        <v>1485</v>
      </c>
      <c r="U2073">
        <v>228600</v>
      </c>
      <c r="V2073" t="s">
        <v>12224</v>
      </c>
      <c r="W2073" t="s">
        <v>12225</v>
      </c>
      <c r="X2073" t="s">
        <v>12226</v>
      </c>
      <c r="Y2073" t="s">
        <v>12227</v>
      </c>
      <c r="AA2073" t="s">
        <v>12228</v>
      </c>
      <c r="AB2073" t="s">
        <v>12222</v>
      </c>
      <c r="AC2073">
        <v>99134</v>
      </c>
      <c r="AD2073" t="s">
        <v>1991</v>
      </c>
      <c r="AE2073">
        <v>-40.279945220000002</v>
      </c>
      <c r="AF2073">
        <v>175.55495941999999</v>
      </c>
      <c r="AG2073">
        <v>40</v>
      </c>
      <c r="AH2073">
        <v>0</v>
      </c>
      <c r="AI2073">
        <v>0</v>
      </c>
      <c r="AJ2073">
        <v>0</v>
      </c>
      <c r="AK2073">
        <v>4</v>
      </c>
      <c r="AL2073">
        <v>10</v>
      </c>
      <c r="AM2073">
        <v>12</v>
      </c>
      <c r="AN2073">
        <v>0</v>
      </c>
      <c r="AO2073">
        <v>26</v>
      </c>
      <c r="AP2073">
        <v>25</v>
      </c>
      <c r="AQ2073">
        <v>5</v>
      </c>
      <c r="AR2073">
        <v>1</v>
      </c>
      <c r="AS2073">
        <v>0</v>
      </c>
      <c r="AT2073">
        <v>1</v>
      </c>
    </row>
    <row r="2074" spans="1:46">
      <c r="A2074">
        <v>45771</v>
      </c>
      <c r="B2074" t="s">
        <v>12229</v>
      </c>
      <c r="C2074" t="s">
        <v>12230</v>
      </c>
      <c r="D2074" t="s">
        <v>12231</v>
      </c>
      <c r="E2074" t="s">
        <v>12232</v>
      </c>
      <c r="G2074" t="s">
        <v>12233</v>
      </c>
      <c r="H2074" t="s">
        <v>298</v>
      </c>
      <c r="J2074" t="s">
        <v>518</v>
      </c>
      <c r="K2074" t="s">
        <v>519</v>
      </c>
      <c r="M2074" t="s">
        <v>1297</v>
      </c>
      <c r="N2074" t="s">
        <v>571</v>
      </c>
      <c r="O2074" t="s">
        <v>2268</v>
      </c>
      <c r="P2074" t="s">
        <v>540</v>
      </c>
      <c r="Q2074" t="s">
        <v>2118</v>
      </c>
      <c r="R2074" t="s">
        <v>2084</v>
      </c>
      <c r="S2074" t="s">
        <v>2269</v>
      </c>
      <c r="T2074" t="s">
        <v>2085</v>
      </c>
      <c r="U2074">
        <v>215600</v>
      </c>
      <c r="V2074" t="s">
        <v>12234</v>
      </c>
      <c r="W2074" t="s">
        <v>12235</v>
      </c>
      <c r="X2074" t="s">
        <v>12236</v>
      </c>
      <c r="Y2074" t="s">
        <v>5187</v>
      </c>
      <c r="AA2074" t="s">
        <v>5188</v>
      </c>
      <c r="AB2074" t="s">
        <v>12237</v>
      </c>
      <c r="AE2074">
        <v>-40.026282299999998</v>
      </c>
      <c r="AF2074">
        <v>176.35253032</v>
      </c>
      <c r="AG2074">
        <v>30</v>
      </c>
      <c r="AH2074">
        <v>10</v>
      </c>
      <c r="AI2074">
        <v>1</v>
      </c>
      <c r="AJ2074">
        <v>2</v>
      </c>
      <c r="AK2074">
        <v>1</v>
      </c>
      <c r="AL2074">
        <v>1</v>
      </c>
      <c r="AM2074">
        <v>0</v>
      </c>
      <c r="AN2074">
        <v>0</v>
      </c>
      <c r="AO2074">
        <v>5</v>
      </c>
      <c r="AP2074">
        <v>5</v>
      </c>
      <c r="AQ2074">
        <v>2</v>
      </c>
      <c r="AR2074">
        <v>0</v>
      </c>
      <c r="AS2074">
        <v>0</v>
      </c>
      <c r="AT2074">
        <v>0</v>
      </c>
    </row>
    <row r="2075" spans="1:46">
      <c r="A2075">
        <v>45777</v>
      </c>
      <c r="B2075" t="s">
        <v>12238</v>
      </c>
      <c r="C2075" t="s">
        <v>12239</v>
      </c>
      <c r="E2075" t="s">
        <v>12240</v>
      </c>
      <c r="G2075" t="s">
        <v>1579</v>
      </c>
      <c r="H2075" t="s">
        <v>3942</v>
      </c>
      <c r="J2075" t="s">
        <v>3962</v>
      </c>
      <c r="K2075" t="s">
        <v>519</v>
      </c>
      <c r="M2075" t="s">
        <v>1297</v>
      </c>
      <c r="N2075" t="s">
        <v>571</v>
      </c>
      <c r="O2075" t="s">
        <v>1450</v>
      </c>
      <c r="P2075" t="s">
        <v>523</v>
      </c>
      <c r="Q2075" t="s">
        <v>1299</v>
      </c>
      <c r="R2075" t="s">
        <v>1300</v>
      </c>
      <c r="S2075" t="s">
        <v>1300</v>
      </c>
      <c r="T2075" t="s">
        <v>1235</v>
      </c>
      <c r="U2075">
        <v>175001</v>
      </c>
      <c r="V2075" t="s">
        <v>1580</v>
      </c>
      <c r="W2075" t="s">
        <v>1581</v>
      </c>
      <c r="X2075" t="s">
        <v>12241</v>
      </c>
      <c r="Y2075" t="s">
        <v>12240</v>
      </c>
      <c r="AA2075" t="s">
        <v>12242</v>
      </c>
      <c r="AB2075" t="s">
        <v>12243</v>
      </c>
      <c r="AE2075">
        <v>-37.817819720000003</v>
      </c>
      <c r="AF2075">
        <v>175.76248224</v>
      </c>
      <c r="AG2075">
        <v>75</v>
      </c>
      <c r="AH2075">
        <v>25</v>
      </c>
      <c r="AI2075">
        <v>6</v>
      </c>
      <c r="AJ2075">
        <v>15</v>
      </c>
      <c r="AK2075">
        <v>28</v>
      </c>
      <c r="AL2075">
        <v>35</v>
      </c>
      <c r="AM2075">
        <v>21</v>
      </c>
      <c r="AN2075">
        <v>0</v>
      </c>
      <c r="AO2075">
        <v>105</v>
      </c>
      <c r="AP2075">
        <v>94</v>
      </c>
      <c r="AQ2075">
        <v>21</v>
      </c>
      <c r="AR2075">
        <v>0</v>
      </c>
      <c r="AS2075">
        <v>6</v>
      </c>
      <c r="AT2075">
        <v>3</v>
      </c>
    </row>
    <row r="2076" spans="1:46">
      <c r="A2076">
        <v>45779</v>
      </c>
      <c r="B2076" t="s">
        <v>12244</v>
      </c>
      <c r="C2076" t="s">
        <v>12245</v>
      </c>
      <c r="D2076" t="s">
        <v>12246</v>
      </c>
      <c r="E2076" t="s">
        <v>12247</v>
      </c>
      <c r="F2076" t="s">
        <v>2525</v>
      </c>
      <c r="G2076" t="s">
        <v>2526</v>
      </c>
      <c r="H2076" t="s">
        <v>3942</v>
      </c>
      <c r="I2076" t="s">
        <v>12020</v>
      </c>
      <c r="J2076" t="s">
        <v>3962</v>
      </c>
      <c r="K2076" t="s">
        <v>519</v>
      </c>
      <c r="M2076" t="s">
        <v>2287</v>
      </c>
      <c r="N2076" t="s">
        <v>571</v>
      </c>
      <c r="O2076" t="s">
        <v>2527</v>
      </c>
      <c r="P2076" t="s">
        <v>584</v>
      </c>
      <c r="Q2076" t="s">
        <v>2319</v>
      </c>
      <c r="R2076" t="s">
        <v>2289</v>
      </c>
      <c r="S2076" t="s">
        <v>2528</v>
      </c>
      <c r="T2076" t="s">
        <v>1485</v>
      </c>
      <c r="U2076">
        <v>240100</v>
      </c>
      <c r="V2076" t="s">
        <v>12248</v>
      </c>
      <c r="W2076" t="s">
        <v>2529</v>
      </c>
      <c r="X2076" t="s">
        <v>12022</v>
      </c>
      <c r="Y2076" t="s">
        <v>4097</v>
      </c>
      <c r="Z2076" t="s">
        <v>4098</v>
      </c>
      <c r="AA2076" t="s">
        <v>4099</v>
      </c>
      <c r="AE2076">
        <v>-41.126319789999997</v>
      </c>
      <c r="AF2076">
        <v>174.86594099000001</v>
      </c>
      <c r="AG2076">
        <v>110</v>
      </c>
      <c r="AH2076">
        <v>30</v>
      </c>
      <c r="AI2076">
        <v>6</v>
      </c>
      <c r="AJ2076">
        <v>29</v>
      </c>
      <c r="AK2076">
        <v>35</v>
      </c>
      <c r="AL2076">
        <v>23</v>
      </c>
      <c r="AM2076">
        <v>25</v>
      </c>
      <c r="AN2076">
        <v>0</v>
      </c>
      <c r="AO2076">
        <v>118</v>
      </c>
      <c r="AP2076">
        <v>88</v>
      </c>
      <c r="AQ2076">
        <v>20</v>
      </c>
      <c r="AR2076">
        <v>14</v>
      </c>
      <c r="AS2076">
        <v>29</v>
      </c>
      <c r="AT2076">
        <v>5</v>
      </c>
    </row>
    <row r="2077" spans="1:46">
      <c r="A2077">
        <v>45782</v>
      </c>
      <c r="B2077" t="s">
        <v>12249</v>
      </c>
      <c r="C2077" t="s">
        <v>12250</v>
      </c>
      <c r="D2077" t="s">
        <v>12251</v>
      </c>
      <c r="E2077" t="s">
        <v>12252</v>
      </c>
      <c r="F2077" t="s">
        <v>5766</v>
      </c>
      <c r="G2077" t="s">
        <v>652</v>
      </c>
      <c r="H2077" t="s">
        <v>3942</v>
      </c>
      <c r="J2077" t="s">
        <v>3962</v>
      </c>
      <c r="K2077" t="s">
        <v>519</v>
      </c>
      <c r="M2077" t="s">
        <v>520</v>
      </c>
      <c r="N2077" t="s">
        <v>571</v>
      </c>
      <c r="O2077" t="s">
        <v>738</v>
      </c>
      <c r="P2077" t="s">
        <v>654</v>
      </c>
      <c r="Q2077" t="s">
        <v>638</v>
      </c>
      <c r="R2077" t="s">
        <v>639</v>
      </c>
      <c r="S2077" t="s">
        <v>756</v>
      </c>
      <c r="T2077" t="s">
        <v>527</v>
      </c>
      <c r="U2077">
        <v>124401</v>
      </c>
      <c r="V2077" t="s">
        <v>6705</v>
      </c>
      <c r="W2077" t="s">
        <v>741</v>
      </c>
      <c r="X2077" t="s">
        <v>12253</v>
      </c>
      <c r="Y2077" t="s">
        <v>12254</v>
      </c>
      <c r="Z2077" t="s">
        <v>681</v>
      </c>
      <c r="AA2077" t="s">
        <v>4084</v>
      </c>
      <c r="AC2077">
        <v>99214</v>
      </c>
      <c r="AD2077" t="s">
        <v>758</v>
      </c>
      <c r="AE2077">
        <v>-36.793702940000003</v>
      </c>
      <c r="AF2077">
        <v>174.70916265</v>
      </c>
      <c r="AG2077">
        <v>30</v>
      </c>
      <c r="AH2077">
        <v>0</v>
      </c>
      <c r="AI2077">
        <v>0</v>
      </c>
      <c r="AJ2077">
        <v>0</v>
      </c>
      <c r="AK2077">
        <v>6</v>
      </c>
      <c r="AL2077">
        <v>10</v>
      </c>
      <c r="AM2077">
        <v>17</v>
      </c>
      <c r="AN2077">
        <v>1</v>
      </c>
      <c r="AO2077">
        <v>34</v>
      </c>
      <c r="AP2077">
        <v>26</v>
      </c>
      <c r="AQ2077">
        <v>1</v>
      </c>
      <c r="AR2077">
        <v>1</v>
      </c>
      <c r="AS2077">
        <v>7</v>
      </c>
      <c r="AT2077">
        <v>3</v>
      </c>
    </row>
    <row r="2078" spans="1:46">
      <c r="A2078">
        <v>45783</v>
      </c>
      <c r="B2078" t="s">
        <v>12255</v>
      </c>
      <c r="C2078" t="s">
        <v>8326</v>
      </c>
      <c r="D2078" t="s">
        <v>12256</v>
      </c>
      <c r="E2078" t="s">
        <v>12257</v>
      </c>
      <c r="G2078" t="s">
        <v>12258</v>
      </c>
      <c r="H2078" t="s">
        <v>298</v>
      </c>
      <c r="J2078" t="s">
        <v>518</v>
      </c>
      <c r="K2078" t="s">
        <v>519</v>
      </c>
      <c r="M2078" t="s">
        <v>1297</v>
      </c>
      <c r="N2078" t="s">
        <v>571</v>
      </c>
      <c r="O2078" t="s">
        <v>1546</v>
      </c>
      <c r="P2078" t="s">
        <v>572</v>
      </c>
      <c r="Q2078" t="s">
        <v>1299</v>
      </c>
      <c r="R2078" t="s">
        <v>1300</v>
      </c>
      <c r="S2078" t="s">
        <v>1320</v>
      </c>
      <c r="T2078" t="s">
        <v>1485</v>
      </c>
      <c r="U2078">
        <v>187701</v>
      </c>
      <c r="V2078" t="s">
        <v>11471</v>
      </c>
      <c r="W2078" t="s">
        <v>9715</v>
      </c>
      <c r="X2078" t="s">
        <v>8330</v>
      </c>
      <c r="Y2078" t="s">
        <v>5187</v>
      </c>
      <c r="AA2078" t="s">
        <v>5188</v>
      </c>
      <c r="AB2078" t="s">
        <v>8326</v>
      </c>
      <c r="AE2078">
        <v>-38.482138999999997</v>
      </c>
      <c r="AF2078">
        <v>175.7785911</v>
      </c>
      <c r="AG2078">
        <v>27</v>
      </c>
      <c r="AH2078">
        <v>12</v>
      </c>
      <c r="AI2078">
        <v>0</v>
      </c>
      <c r="AJ2078">
        <v>4</v>
      </c>
      <c r="AK2078">
        <v>7</v>
      </c>
      <c r="AL2078">
        <v>4</v>
      </c>
      <c r="AM2078">
        <v>3</v>
      </c>
      <c r="AN2078">
        <v>0</v>
      </c>
      <c r="AO2078">
        <v>18</v>
      </c>
      <c r="AP2078">
        <v>18</v>
      </c>
      <c r="AQ2078">
        <v>2</v>
      </c>
      <c r="AR2078">
        <v>0</v>
      </c>
      <c r="AS2078">
        <v>0</v>
      </c>
      <c r="AT2078">
        <v>0</v>
      </c>
    </row>
    <row r="2079" spans="1:46">
      <c r="A2079">
        <v>45785</v>
      </c>
      <c r="B2079" t="s">
        <v>12259</v>
      </c>
      <c r="C2079" t="s">
        <v>12260</v>
      </c>
      <c r="D2079" t="s">
        <v>12261</v>
      </c>
      <c r="E2079" t="s">
        <v>12262</v>
      </c>
      <c r="F2079" t="s">
        <v>12263</v>
      </c>
      <c r="G2079" t="s">
        <v>2941</v>
      </c>
      <c r="H2079" t="s">
        <v>3942</v>
      </c>
      <c r="J2079" t="s">
        <v>518</v>
      </c>
      <c r="K2079" t="s">
        <v>519</v>
      </c>
      <c r="M2079" t="s">
        <v>2287</v>
      </c>
      <c r="N2079" t="s">
        <v>571</v>
      </c>
      <c r="O2079" t="s">
        <v>2942</v>
      </c>
      <c r="P2079" t="s">
        <v>654</v>
      </c>
      <c r="Q2079" t="s">
        <v>2943</v>
      </c>
      <c r="R2079" t="s">
        <v>2944</v>
      </c>
      <c r="S2079" t="s">
        <v>3019</v>
      </c>
      <c r="T2079" t="s">
        <v>2448</v>
      </c>
      <c r="U2079">
        <v>326900</v>
      </c>
      <c r="V2079" t="s">
        <v>12264</v>
      </c>
      <c r="W2079" t="s">
        <v>3088</v>
      </c>
      <c r="X2079" t="s">
        <v>12265</v>
      </c>
      <c r="Y2079" t="s">
        <v>12266</v>
      </c>
      <c r="Z2079" t="s">
        <v>12263</v>
      </c>
      <c r="AA2079" t="s">
        <v>12267</v>
      </c>
      <c r="AB2079" t="s">
        <v>12268</v>
      </c>
      <c r="AE2079">
        <v>-43.55293683</v>
      </c>
      <c r="AF2079">
        <v>172.60153007</v>
      </c>
      <c r="AG2079">
        <v>30</v>
      </c>
      <c r="AH2079">
        <v>0</v>
      </c>
      <c r="AI2079">
        <v>0</v>
      </c>
      <c r="AJ2079">
        <v>0</v>
      </c>
      <c r="AK2079">
        <v>3</v>
      </c>
      <c r="AL2079">
        <v>9</v>
      </c>
      <c r="AM2079">
        <v>15</v>
      </c>
      <c r="AN2079">
        <v>0</v>
      </c>
      <c r="AO2079">
        <v>27</v>
      </c>
      <c r="AP2079">
        <v>24</v>
      </c>
      <c r="AQ2079">
        <v>1</v>
      </c>
      <c r="AR2079">
        <v>1</v>
      </c>
      <c r="AS2079">
        <v>9</v>
      </c>
      <c r="AT2079">
        <v>1</v>
      </c>
    </row>
    <row r="2080" spans="1:46">
      <c r="A2080">
        <v>45795</v>
      </c>
      <c r="B2080" t="s">
        <v>12269</v>
      </c>
      <c r="C2080" t="s">
        <v>12270</v>
      </c>
      <c r="D2080" t="s">
        <v>12271</v>
      </c>
      <c r="E2080" t="s">
        <v>12272</v>
      </c>
      <c r="F2080" t="s">
        <v>1427</v>
      </c>
      <c r="G2080" t="s">
        <v>1296</v>
      </c>
      <c r="H2080" t="s">
        <v>3942</v>
      </c>
      <c r="J2080" t="s">
        <v>3962</v>
      </c>
      <c r="K2080" t="s">
        <v>519</v>
      </c>
      <c r="M2080" t="s">
        <v>1297</v>
      </c>
      <c r="N2080" t="s">
        <v>571</v>
      </c>
      <c r="O2080" t="s">
        <v>1298</v>
      </c>
      <c r="P2080" t="s">
        <v>654</v>
      </c>
      <c r="Q2080" t="s">
        <v>1299</v>
      </c>
      <c r="R2080" t="s">
        <v>1300</v>
      </c>
      <c r="S2080" t="s">
        <v>1301</v>
      </c>
      <c r="T2080" t="s">
        <v>1235</v>
      </c>
      <c r="U2080">
        <v>181000</v>
      </c>
      <c r="V2080" t="s">
        <v>12273</v>
      </c>
      <c r="W2080" t="s">
        <v>1303</v>
      </c>
      <c r="X2080" t="s">
        <v>12274</v>
      </c>
      <c r="Y2080" t="s">
        <v>12275</v>
      </c>
      <c r="Z2080" t="s">
        <v>1366</v>
      </c>
      <c r="AA2080" t="s">
        <v>9568</v>
      </c>
      <c r="AB2080" t="s">
        <v>12276</v>
      </c>
      <c r="AE2080">
        <v>-37.821977650000001</v>
      </c>
      <c r="AF2080">
        <v>175.28338210000001</v>
      </c>
      <c r="AG2080">
        <v>30</v>
      </c>
      <c r="AH2080">
        <v>0</v>
      </c>
      <c r="AI2080">
        <v>0</v>
      </c>
      <c r="AJ2080">
        <v>0</v>
      </c>
      <c r="AK2080">
        <v>6</v>
      </c>
      <c r="AL2080">
        <v>11</v>
      </c>
      <c r="AM2080">
        <v>5</v>
      </c>
      <c r="AN2080">
        <v>1</v>
      </c>
      <c r="AO2080">
        <v>23</v>
      </c>
      <c r="AP2080">
        <v>7</v>
      </c>
      <c r="AQ2080">
        <v>9</v>
      </c>
      <c r="AR2080">
        <v>3</v>
      </c>
      <c r="AS2080">
        <v>8</v>
      </c>
      <c r="AT2080">
        <v>0</v>
      </c>
    </row>
    <row r="2081" spans="1:46">
      <c r="A2081">
        <v>45796</v>
      </c>
      <c r="B2081" t="s">
        <v>12277</v>
      </c>
      <c r="C2081" t="s">
        <v>12278</v>
      </c>
      <c r="D2081" t="s">
        <v>12279</v>
      </c>
      <c r="E2081" t="s">
        <v>12280</v>
      </c>
      <c r="G2081" t="s">
        <v>7797</v>
      </c>
      <c r="H2081" t="s">
        <v>3942</v>
      </c>
      <c r="J2081" t="s">
        <v>3962</v>
      </c>
      <c r="K2081" t="s">
        <v>519</v>
      </c>
      <c r="M2081" t="s">
        <v>1297</v>
      </c>
      <c r="N2081" t="s">
        <v>571</v>
      </c>
      <c r="O2081" t="s">
        <v>1351</v>
      </c>
      <c r="P2081" t="s">
        <v>523</v>
      </c>
      <c r="Q2081" t="s">
        <v>1299</v>
      </c>
      <c r="R2081" t="s">
        <v>1300</v>
      </c>
      <c r="S2081" t="s">
        <v>1246</v>
      </c>
      <c r="T2081" t="s">
        <v>1235</v>
      </c>
      <c r="U2081">
        <v>171101</v>
      </c>
      <c r="V2081" t="s">
        <v>7798</v>
      </c>
      <c r="W2081" t="s">
        <v>7799</v>
      </c>
      <c r="X2081" t="s">
        <v>12281</v>
      </c>
      <c r="Y2081" t="s">
        <v>12282</v>
      </c>
      <c r="AA2081" t="s">
        <v>12283</v>
      </c>
      <c r="AB2081" t="s">
        <v>12278</v>
      </c>
      <c r="AC2081">
        <v>99193</v>
      </c>
      <c r="AD2081" t="s">
        <v>7800</v>
      </c>
      <c r="AE2081">
        <v>-37.401182059999996</v>
      </c>
      <c r="AF2081">
        <v>175.14996056999999</v>
      </c>
      <c r="AG2081">
        <v>61</v>
      </c>
      <c r="AH2081">
        <v>10</v>
      </c>
      <c r="AI2081">
        <v>2</v>
      </c>
      <c r="AJ2081">
        <v>10</v>
      </c>
      <c r="AK2081">
        <v>13</v>
      </c>
      <c r="AL2081">
        <v>18</v>
      </c>
      <c r="AM2081">
        <v>14</v>
      </c>
      <c r="AN2081">
        <v>3</v>
      </c>
      <c r="AO2081">
        <v>60</v>
      </c>
      <c r="AP2081">
        <v>49</v>
      </c>
      <c r="AQ2081">
        <v>25</v>
      </c>
      <c r="AR2081">
        <v>8</v>
      </c>
      <c r="AS2081">
        <v>5</v>
      </c>
      <c r="AT2081">
        <v>3</v>
      </c>
    </row>
    <row r="2082" spans="1:46">
      <c r="A2082">
        <v>45801</v>
      </c>
      <c r="B2082" t="s">
        <v>12284</v>
      </c>
      <c r="C2082" t="s">
        <v>12285</v>
      </c>
      <c r="D2082" t="s">
        <v>12286</v>
      </c>
      <c r="E2082" t="s">
        <v>12287</v>
      </c>
      <c r="G2082" t="s">
        <v>2306</v>
      </c>
      <c r="H2082" t="s">
        <v>3942</v>
      </c>
      <c r="J2082" t="s">
        <v>3962</v>
      </c>
      <c r="K2082" t="s">
        <v>519</v>
      </c>
      <c r="M2082" t="s">
        <v>2287</v>
      </c>
      <c r="N2082" t="s">
        <v>571</v>
      </c>
      <c r="O2082" t="s">
        <v>2288</v>
      </c>
      <c r="P2082" t="s">
        <v>523</v>
      </c>
      <c r="Q2082" t="s">
        <v>1636</v>
      </c>
      <c r="R2082" t="s">
        <v>2289</v>
      </c>
      <c r="S2082" t="s">
        <v>2269</v>
      </c>
      <c r="T2082" t="s">
        <v>2085</v>
      </c>
      <c r="U2082">
        <v>233600</v>
      </c>
      <c r="V2082" t="s">
        <v>2306</v>
      </c>
      <c r="W2082" t="s">
        <v>2307</v>
      </c>
      <c r="X2082" t="s">
        <v>12288</v>
      </c>
      <c r="Y2082" t="s">
        <v>3981</v>
      </c>
      <c r="AA2082" t="s">
        <v>3982</v>
      </c>
      <c r="AB2082" t="s">
        <v>12289</v>
      </c>
      <c r="AC2082">
        <v>99071</v>
      </c>
      <c r="AD2082" t="s">
        <v>2308</v>
      </c>
      <c r="AE2082">
        <v>-40.450215300000004</v>
      </c>
      <c r="AF2082">
        <v>175.8437227</v>
      </c>
      <c r="AG2082">
        <v>50</v>
      </c>
      <c r="AH2082">
        <v>20</v>
      </c>
      <c r="AI2082">
        <v>2</v>
      </c>
      <c r="AJ2082">
        <v>17</v>
      </c>
      <c r="AK2082">
        <v>12</v>
      </c>
      <c r="AL2082">
        <v>18</v>
      </c>
      <c r="AM2082">
        <v>13</v>
      </c>
      <c r="AN2082">
        <v>0</v>
      </c>
      <c r="AO2082">
        <v>62</v>
      </c>
      <c r="AP2082">
        <v>51</v>
      </c>
      <c r="AQ2082">
        <v>19</v>
      </c>
      <c r="AR2082">
        <v>3</v>
      </c>
      <c r="AS2082">
        <v>2</v>
      </c>
      <c r="AT2082">
        <v>3</v>
      </c>
    </row>
    <row r="2083" spans="1:46">
      <c r="A2083">
        <v>45802</v>
      </c>
      <c r="B2083" t="s">
        <v>12290</v>
      </c>
      <c r="C2083" t="s">
        <v>12291</v>
      </c>
      <c r="D2083" t="s">
        <v>12292</v>
      </c>
      <c r="E2083" t="s">
        <v>12293</v>
      </c>
      <c r="F2083" t="s">
        <v>12294</v>
      </c>
      <c r="G2083" t="s">
        <v>2427</v>
      </c>
      <c r="H2083" t="s">
        <v>3942</v>
      </c>
      <c r="J2083" t="s">
        <v>3962</v>
      </c>
      <c r="K2083" t="s">
        <v>519</v>
      </c>
      <c r="M2083" t="s">
        <v>2287</v>
      </c>
      <c r="N2083" t="s">
        <v>571</v>
      </c>
      <c r="O2083" t="s">
        <v>2428</v>
      </c>
      <c r="P2083" t="s">
        <v>654</v>
      </c>
      <c r="Q2083" t="s">
        <v>2319</v>
      </c>
      <c r="R2083" t="s">
        <v>2289</v>
      </c>
      <c r="S2083" t="s">
        <v>2429</v>
      </c>
      <c r="T2083" t="s">
        <v>2448</v>
      </c>
      <c r="U2083">
        <v>244000</v>
      </c>
      <c r="V2083" t="s">
        <v>12295</v>
      </c>
      <c r="W2083" t="s">
        <v>2461</v>
      </c>
      <c r="X2083" t="s">
        <v>12296</v>
      </c>
      <c r="Y2083" t="s">
        <v>12297</v>
      </c>
      <c r="Z2083" t="s">
        <v>12294</v>
      </c>
      <c r="AA2083" t="s">
        <v>12298</v>
      </c>
      <c r="AB2083" t="s">
        <v>12291</v>
      </c>
      <c r="AE2083">
        <v>-41.209769440000002</v>
      </c>
      <c r="AF2083">
        <v>174.89732917000001</v>
      </c>
      <c r="AG2083">
        <v>77</v>
      </c>
      <c r="AH2083">
        <v>29</v>
      </c>
      <c r="AI2083">
        <v>2</v>
      </c>
      <c r="AJ2083">
        <v>22</v>
      </c>
      <c r="AK2083">
        <v>25</v>
      </c>
      <c r="AL2083">
        <v>14</v>
      </c>
      <c r="AM2083">
        <v>17</v>
      </c>
      <c r="AN2083">
        <v>2</v>
      </c>
      <c r="AO2083">
        <v>82</v>
      </c>
      <c r="AP2083">
        <v>57</v>
      </c>
      <c r="AQ2083">
        <v>19</v>
      </c>
      <c r="AR2083">
        <v>17</v>
      </c>
      <c r="AS2083">
        <v>18</v>
      </c>
      <c r="AT2083">
        <v>6</v>
      </c>
    </row>
    <row r="2084" spans="1:46">
      <c r="A2084">
        <v>45803</v>
      </c>
      <c r="B2084" t="s">
        <v>12299</v>
      </c>
      <c r="C2084" t="s">
        <v>12300</v>
      </c>
      <c r="D2084" t="s">
        <v>12301</v>
      </c>
      <c r="E2084" t="s">
        <v>12302</v>
      </c>
      <c r="G2084" t="s">
        <v>1545</v>
      </c>
      <c r="H2084" t="s">
        <v>3942</v>
      </c>
      <c r="J2084" t="s">
        <v>3962</v>
      </c>
      <c r="K2084" t="s">
        <v>519</v>
      </c>
      <c r="M2084" t="s">
        <v>1297</v>
      </c>
      <c r="N2084" t="s">
        <v>571</v>
      </c>
      <c r="O2084" t="s">
        <v>1546</v>
      </c>
      <c r="P2084" t="s">
        <v>1262</v>
      </c>
      <c r="Q2084" t="s">
        <v>1299</v>
      </c>
      <c r="R2084" t="s">
        <v>1472</v>
      </c>
      <c r="S2084" t="s">
        <v>1320</v>
      </c>
      <c r="T2084" t="s">
        <v>1474</v>
      </c>
      <c r="U2084">
        <v>188900</v>
      </c>
      <c r="V2084" t="s">
        <v>1547</v>
      </c>
      <c r="W2084" t="s">
        <v>1548</v>
      </c>
      <c r="X2084" t="s">
        <v>12303</v>
      </c>
      <c r="Y2084" t="s">
        <v>12304</v>
      </c>
      <c r="AA2084" t="s">
        <v>12305</v>
      </c>
      <c r="AB2084" t="s">
        <v>12306</v>
      </c>
      <c r="AC2084">
        <v>99020</v>
      </c>
      <c r="AD2084" t="s">
        <v>1550</v>
      </c>
      <c r="AE2084">
        <v>-38.688355250000001</v>
      </c>
      <c r="AF2084">
        <v>176.09283443999999</v>
      </c>
      <c r="AG2084">
        <v>56</v>
      </c>
      <c r="AH2084">
        <v>10</v>
      </c>
      <c r="AI2084">
        <v>0</v>
      </c>
      <c r="AJ2084">
        <v>11</v>
      </c>
      <c r="AK2084">
        <v>14</v>
      </c>
      <c r="AL2084">
        <v>18</v>
      </c>
      <c r="AM2084">
        <v>19</v>
      </c>
      <c r="AN2084">
        <v>0</v>
      </c>
      <c r="AO2084">
        <v>62</v>
      </c>
      <c r="AP2084">
        <v>56</v>
      </c>
      <c r="AQ2084">
        <v>15</v>
      </c>
      <c r="AR2084">
        <v>2</v>
      </c>
      <c r="AS2084">
        <v>5</v>
      </c>
      <c r="AT2084">
        <v>2</v>
      </c>
    </row>
    <row r="2085" spans="1:46">
      <c r="A2085">
        <v>45804</v>
      </c>
      <c r="B2085" t="s">
        <v>12307</v>
      </c>
      <c r="C2085" t="s">
        <v>12308</v>
      </c>
      <c r="E2085" t="s">
        <v>12309</v>
      </c>
      <c r="G2085" t="s">
        <v>12310</v>
      </c>
      <c r="H2085" t="s">
        <v>3942</v>
      </c>
      <c r="J2085" t="s">
        <v>3962</v>
      </c>
      <c r="K2085" t="s">
        <v>519</v>
      </c>
      <c r="M2085" t="s">
        <v>520</v>
      </c>
      <c r="N2085" t="s">
        <v>557</v>
      </c>
      <c r="O2085" t="s">
        <v>522</v>
      </c>
      <c r="P2085" t="s">
        <v>540</v>
      </c>
      <c r="Q2085" t="s">
        <v>524</v>
      </c>
      <c r="R2085" t="s">
        <v>525</v>
      </c>
      <c r="S2085" t="s">
        <v>526</v>
      </c>
      <c r="T2085" t="s">
        <v>527</v>
      </c>
      <c r="U2085">
        <v>100100</v>
      </c>
      <c r="V2085" t="s">
        <v>5679</v>
      </c>
      <c r="W2085" t="s">
        <v>529</v>
      </c>
      <c r="X2085" t="s">
        <v>12311</v>
      </c>
      <c r="Y2085" t="s">
        <v>12309</v>
      </c>
      <c r="AA2085" t="s">
        <v>12312</v>
      </c>
      <c r="AB2085" t="s">
        <v>12313</v>
      </c>
      <c r="AE2085">
        <v>-34.82402871</v>
      </c>
      <c r="AF2085">
        <v>173.13052343999999</v>
      </c>
      <c r="AG2085">
        <v>28</v>
      </c>
      <c r="AH2085">
        <v>8</v>
      </c>
      <c r="AI2085">
        <v>0</v>
      </c>
      <c r="AJ2085">
        <v>6</v>
      </c>
      <c r="AK2085">
        <v>11</v>
      </c>
      <c r="AL2085">
        <v>12</v>
      </c>
      <c r="AM2085">
        <v>9</v>
      </c>
      <c r="AN2085">
        <v>0</v>
      </c>
      <c r="AO2085">
        <v>38</v>
      </c>
      <c r="AP2085">
        <v>27</v>
      </c>
      <c r="AQ2085">
        <v>19</v>
      </c>
      <c r="AR2085">
        <v>2</v>
      </c>
      <c r="AS2085">
        <v>1</v>
      </c>
      <c r="AT2085">
        <v>0</v>
      </c>
    </row>
    <row r="2086" spans="1:46">
      <c r="A2086">
        <v>45806</v>
      </c>
      <c r="B2086" t="s">
        <v>12314</v>
      </c>
      <c r="C2086" t="s">
        <v>12315</v>
      </c>
      <c r="D2086" t="s">
        <v>7447</v>
      </c>
      <c r="E2086" t="s">
        <v>12316</v>
      </c>
      <c r="F2086" t="s">
        <v>4203</v>
      </c>
      <c r="G2086" t="s">
        <v>652</v>
      </c>
      <c r="H2086" t="s">
        <v>3942</v>
      </c>
      <c r="J2086" t="s">
        <v>518</v>
      </c>
      <c r="K2086" t="s">
        <v>519</v>
      </c>
      <c r="M2086" t="s">
        <v>520</v>
      </c>
      <c r="N2086" t="s">
        <v>521</v>
      </c>
      <c r="O2086" t="s">
        <v>1216</v>
      </c>
      <c r="P2086" t="s">
        <v>654</v>
      </c>
      <c r="Q2086" t="s">
        <v>638</v>
      </c>
      <c r="R2086" t="s">
        <v>729</v>
      </c>
      <c r="S2086" t="s">
        <v>1036</v>
      </c>
      <c r="T2086" t="s">
        <v>709</v>
      </c>
      <c r="U2086">
        <v>160700</v>
      </c>
      <c r="V2086" t="s">
        <v>7275</v>
      </c>
      <c r="W2086" t="s">
        <v>1219</v>
      </c>
      <c r="X2086" t="s">
        <v>7449</v>
      </c>
      <c r="Y2086" t="s">
        <v>7450</v>
      </c>
      <c r="Z2086" t="s">
        <v>1036</v>
      </c>
      <c r="AA2086" t="s">
        <v>7336</v>
      </c>
      <c r="AC2086">
        <v>99211</v>
      </c>
      <c r="AD2086" t="s">
        <v>7277</v>
      </c>
      <c r="AE2086">
        <v>-37.046753389999999</v>
      </c>
      <c r="AF2086">
        <v>174.86561692999999</v>
      </c>
      <c r="AG2086">
        <v>74</v>
      </c>
      <c r="AH2086">
        <v>10</v>
      </c>
      <c r="AI2086">
        <v>2</v>
      </c>
      <c r="AJ2086">
        <v>3</v>
      </c>
      <c r="AK2086">
        <v>9</v>
      </c>
      <c r="AL2086">
        <v>15</v>
      </c>
      <c r="AM2086">
        <v>27</v>
      </c>
      <c r="AN2086">
        <v>5</v>
      </c>
      <c r="AO2086">
        <v>61</v>
      </c>
      <c r="AP2086">
        <v>19</v>
      </c>
      <c r="AQ2086">
        <v>20</v>
      </c>
      <c r="AR2086">
        <v>41</v>
      </c>
      <c r="AS2086">
        <v>11</v>
      </c>
      <c r="AT2086">
        <v>0</v>
      </c>
    </row>
    <row r="2087" spans="1:46">
      <c r="A2087">
        <v>45807</v>
      </c>
      <c r="B2087" t="s">
        <v>12317</v>
      </c>
      <c r="C2087" t="s">
        <v>6266</v>
      </c>
      <c r="D2087" t="s">
        <v>11087</v>
      </c>
      <c r="E2087" t="s">
        <v>12318</v>
      </c>
      <c r="F2087" t="s">
        <v>3706</v>
      </c>
      <c r="G2087" t="s">
        <v>652</v>
      </c>
      <c r="H2087" t="s">
        <v>4716</v>
      </c>
      <c r="I2087" t="s">
        <v>3644</v>
      </c>
      <c r="J2087" t="s">
        <v>3962</v>
      </c>
      <c r="K2087" t="s">
        <v>519</v>
      </c>
      <c r="M2087" t="s">
        <v>520</v>
      </c>
      <c r="N2087" t="s">
        <v>521</v>
      </c>
      <c r="O2087" t="s">
        <v>1168</v>
      </c>
      <c r="P2087" t="s">
        <v>654</v>
      </c>
      <c r="Q2087" t="s">
        <v>638</v>
      </c>
      <c r="R2087" t="s">
        <v>639</v>
      </c>
      <c r="S2087" t="s">
        <v>655</v>
      </c>
      <c r="T2087" t="s">
        <v>527</v>
      </c>
      <c r="U2087">
        <v>117300</v>
      </c>
      <c r="V2087" t="s">
        <v>5703</v>
      </c>
      <c r="W2087" t="s">
        <v>657</v>
      </c>
      <c r="X2087" t="s">
        <v>6268</v>
      </c>
      <c r="Y2087" t="s">
        <v>6269</v>
      </c>
      <c r="Z2087" t="s">
        <v>3706</v>
      </c>
      <c r="AA2087" t="s">
        <v>6270</v>
      </c>
      <c r="AB2087" t="s">
        <v>6271</v>
      </c>
      <c r="AE2087">
        <v>-36.733572909999999</v>
      </c>
      <c r="AF2087">
        <v>174.71022905000001</v>
      </c>
      <c r="AG2087">
        <v>60</v>
      </c>
      <c r="AH2087">
        <v>60</v>
      </c>
      <c r="AI2087">
        <v>1</v>
      </c>
      <c r="AJ2087">
        <v>0</v>
      </c>
      <c r="AK2087">
        <v>1</v>
      </c>
      <c r="AL2087">
        <v>0</v>
      </c>
      <c r="AM2087">
        <v>0</v>
      </c>
      <c r="AN2087">
        <v>0</v>
      </c>
      <c r="AO2087">
        <v>2</v>
      </c>
      <c r="AP2087">
        <v>2</v>
      </c>
      <c r="AQ2087">
        <v>0</v>
      </c>
      <c r="AR2087">
        <v>0</v>
      </c>
      <c r="AS2087">
        <v>2</v>
      </c>
      <c r="AT2087">
        <v>0</v>
      </c>
    </row>
    <row r="2088" spans="1:46">
      <c r="A2088">
        <v>45808</v>
      </c>
      <c r="B2088" t="s">
        <v>12319</v>
      </c>
      <c r="D2088" t="s">
        <v>12320</v>
      </c>
      <c r="E2088" t="s">
        <v>12321</v>
      </c>
      <c r="F2088" t="s">
        <v>12322</v>
      </c>
      <c r="G2088" t="s">
        <v>2941</v>
      </c>
      <c r="H2088" t="s">
        <v>4716</v>
      </c>
      <c r="J2088" t="s">
        <v>3962</v>
      </c>
      <c r="K2088" t="s">
        <v>519</v>
      </c>
      <c r="M2088" t="s">
        <v>2287</v>
      </c>
      <c r="N2088" t="s">
        <v>571</v>
      </c>
      <c r="O2088" t="s">
        <v>2942</v>
      </c>
      <c r="P2088" t="s">
        <v>654</v>
      </c>
      <c r="Q2088" t="s">
        <v>2943</v>
      </c>
      <c r="R2088" t="s">
        <v>2944</v>
      </c>
      <c r="S2088" t="s">
        <v>2973</v>
      </c>
      <c r="T2088" t="s">
        <v>2448</v>
      </c>
      <c r="U2088">
        <v>326000</v>
      </c>
      <c r="V2088" t="s">
        <v>12322</v>
      </c>
      <c r="W2088" t="s">
        <v>2974</v>
      </c>
      <c r="X2088" t="s">
        <v>12323</v>
      </c>
      <c r="Y2088" t="s">
        <v>12324</v>
      </c>
      <c r="Z2088" t="s">
        <v>2972</v>
      </c>
      <c r="AA2088" t="s">
        <v>12325</v>
      </c>
      <c r="AB2088" t="s">
        <v>12326</v>
      </c>
      <c r="AC2088">
        <v>99009</v>
      </c>
      <c r="AD2088" t="s">
        <v>10890</v>
      </c>
      <c r="AE2088">
        <v>-43.480276699999997</v>
      </c>
      <c r="AF2088">
        <v>172.71740036</v>
      </c>
      <c r="AG2088">
        <v>80</v>
      </c>
      <c r="AH2088">
        <v>80</v>
      </c>
      <c r="AI2088">
        <v>5</v>
      </c>
      <c r="AJ2088">
        <v>13</v>
      </c>
      <c r="AK2088">
        <v>10</v>
      </c>
      <c r="AL2088">
        <v>15</v>
      </c>
      <c r="AM2088">
        <v>9</v>
      </c>
      <c r="AN2088">
        <v>1</v>
      </c>
      <c r="AO2088">
        <v>53</v>
      </c>
      <c r="AP2088">
        <v>48</v>
      </c>
      <c r="AQ2088">
        <v>10</v>
      </c>
      <c r="AR2088">
        <v>1</v>
      </c>
      <c r="AS2088">
        <v>7</v>
      </c>
      <c r="AT2088">
        <v>2</v>
      </c>
    </row>
    <row r="2089" spans="1:46">
      <c r="A2089">
        <v>45809</v>
      </c>
      <c r="B2089" t="s">
        <v>12327</v>
      </c>
      <c r="C2089" t="s">
        <v>12328</v>
      </c>
      <c r="D2089" t="s">
        <v>12329</v>
      </c>
      <c r="E2089" t="s">
        <v>12330</v>
      </c>
      <c r="G2089" t="s">
        <v>1974</v>
      </c>
      <c r="H2089" t="s">
        <v>4716</v>
      </c>
      <c r="J2089" t="s">
        <v>3962</v>
      </c>
      <c r="K2089" t="s">
        <v>519</v>
      </c>
      <c r="M2089" t="s">
        <v>1297</v>
      </c>
      <c r="N2089" t="s">
        <v>557</v>
      </c>
      <c r="O2089" t="s">
        <v>1956</v>
      </c>
      <c r="P2089" t="s">
        <v>584</v>
      </c>
      <c r="Q2089" t="s">
        <v>1636</v>
      </c>
      <c r="R2089" t="s">
        <v>1760</v>
      </c>
      <c r="S2089" t="s">
        <v>1974</v>
      </c>
      <c r="T2089" t="s">
        <v>1485</v>
      </c>
      <c r="U2089">
        <v>230600</v>
      </c>
      <c r="V2089" t="s">
        <v>1975</v>
      </c>
      <c r="W2089" t="s">
        <v>1957</v>
      </c>
      <c r="X2089" t="s">
        <v>12331</v>
      </c>
      <c r="Y2089" t="s">
        <v>12332</v>
      </c>
      <c r="AA2089" t="s">
        <v>1960</v>
      </c>
      <c r="AB2089" t="s">
        <v>12328</v>
      </c>
      <c r="AC2089">
        <v>99134</v>
      </c>
      <c r="AD2089" t="s">
        <v>1991</v>
      </c>
      <c r="AE2089">
        <v>-40.358752989999999</v>
      </c>
      <c r="AF2089">
        <v>175.60482943</v>
      </c>
      <c r="AG2089">
        <v>80</v>
      </c>
      <c r="AH2089">
        <v>80</v>
      </c>
      <c r="AI2089">
        <v>6</v>
      </c>
      <c r="AJ2089">
        <v>10</v>
      </c>
      <c r="AK2089">
        <v>12</v>
      </c>
      <c r="AL2089">
        <v>8</v>
      </c>
      <c r="AM2089">
        <v>8</v>
      </c>
      <c r="AN2089">
        <v>1</v>
      </c>
      <c r="AO2089">
        <v>45</v>
      </c>
      <c r="AP2089">
        <v>36</v>
      </c>
      <c r="AQ2089">
        <v>26</v>
      </c>
      <c r="AR2089">
        <v>4</v>
      </c>
      <c r="AS2089">
        <v>3</v>
      </c>
      <c r="AT2089">
        <v>1</v>
      </c>
    </row>
    <row r="2090" spans="1:46">
      <c r="A2090">
        <v>45810</v>
      </c>
      <c r="B2090" t="s">
        <v>12333</v>
      </c>
      <c r="E2090" t="s">
        <v>12334</v>
      </c>
      <c r="F2090" t="s">
        <v>3662</v>
      </c>
      <c r="G2090" t="s">
        <v>2941</v>
      </c>
      <c r="H2090" t="s">
        <v>3942</v>
      </c>
      <c r="J2090" t="s">
        <v>3962</v>
      </c>
      <c r="K2090" t="s">
        <v>519</v>
      </c>
      <c r="M2090" t="s">
        <v>2287</v>
      </c>
      <c r="N2090" t="s">
        <v>4519</v>
      </c>
      <c r="O2090" t="s">
        <v>3208</v>
      </c>
      <c r="P2090" t="s">
        <v>523</v>
      </c>
      <c r="Q2090" t="s">
        <v>2943</v>
      </c>
      <c r="R2090" t="s">
        <v>2944</v>
      </c>
      <c r="S2090" t="s">
        <v>3179</v>
      </c>
      <c r="T2090" t="s">
        <v>2448</v>
      </c>
      <c r="U2090">
        <v>336001</v>
      </c>
      <c r="V2090" t="s">
        <v>3663</v>
      </c>
      <c r="W2090" t="s">
        <v>3664</v>
      </c>
      <c r="X2090" t="s">
        <v>12335</v>
      </c>
      <c r="Y2090" t="s">
        <v>4404</v>
      </c>
      <c r="Z2090" t="s">
        <v>4405</v>
      </c>
      <c r="AA2090" t="s">
        <v>5377</v>
      </c>
      <c r="AB2090" t="s">
        <v>12336</v>
      </c>
      <c r="AC2090">
        <v>99113</v>
      </c>
      <c r="AD2090" t="s">
        <v>3665</v>
      </c>
      <c r="AE2090">
        <v>-43.641087650000003</v>
      </c>
      <c r="AF2090">
        <v>172.48407857000001</v>
      </c>
      <c r="AG2090">
        <v>75</v>
      </c>
      <c r="AH2090">
        <v>25</v>
      </c>
      <c r="AI2090">
        <v>4</v>
      </c>
      <c r="AJ2090">
        <v>16</v>
      </c>
      <c r="AK2090">
        <v>20</v>
      </c>
      <c r="AL2090">
        <v>18</v>
      </c>
      <c r="AM2090">
        <v>21</v>
      </c>
      <c r="AN2090">
        <v>1</v>
      </c>
      <c r="AO2090">
        <v>80</v>
      </c>
      <c r="AP2090">
        <v>65</v>
      </c>
      <c r="AQ2090">
        <v>15</v>
      </c>
      <c r="AR2090">
        <v>4</v>
      </c>
      <c r="AS2090">
        <v>16</v>
      </c>
      <c r="AT2090">
        <v>0</v>
      </c>
    </row>
    <row r="2091" spans="1:46">
      <c r="A2091">
        <v>45812</v>
      </c>
      <c r="B2091" t="s">
        <v>12337</v>
      </c>
      <c r="C2091" t="s">
        <v>12338</v>
      </c>
      <c r="D2091" t="s">
        <v>12339</v>
      </c>
      <c r="E2091" t="s">
        <v>12340</v>
      </c>
      <c r="F2091" t="s">
        <v>2371</v>
      </c>
      <c r="G2091" t="s">
        <v>2371</v>
      </c>
      <c r="H2091" t="s">
        <v>3942</v>
      </c>
      <c r="I2091" t="s">
        <v>12020</v>
      </c>
      <c r="J2091" t="s">
        <v>3962</v>
      </c>
      <c r="K2091" t="s">
        <v>519</v>
      </c>
      <c r="M2091" t="s">
        <v>2287</v>
      </c>
      <c r="N2091" t="s">
        <v>571</v>
      </c>
      <c r="O2091" t="s">
        <v>2372</v>
      </c>
      <c r="P2091" t="s">
        <v>584</v>
      </c>
      <c r="Q2091" t="s">
        <v>2319</v>
      </c>
      <c r="R2091" t="s">
        <v>2289</v>
      </c>
      <c r="S2091" t="s">
        <v>2373</v>
      </c>
      <c r="T2091" t="s">
        <v>2085</v>
      </c>
      <c r="U2091">
        <v>241600</v>
      </c>
      <c r="V2091" t="s">
        <v>2385</v>
      </c>
      <c r="W2091" t="s">
        <v>1652</v>
      </c>
      <c r="X2091" t="s">
        <v>12341</v>
      </c>
      <c r="Y2091" t="s">
        <v>4097</v>
      </c>
      <c r="Z2091" t="s">
        <v>4098</v>
      </c>
      <c r="AA2091" t="s">
        <v>4099</v>
      </c>
      <c r="AE2091">
        <v>-41.122153750000003</v>
      </c>
      <c r="AF2091">
        <v>175.05065221000001</v>
      </c>
      <c r="AG2091">
        <v>120</v>
      </c>
      <c r="AH2091">
        <v>50</v>
      </c>
      <c r="AI2091">
        <v>5</v>
      </c>
      <c r="AJ2091">
        <v>25</v>
      </c>
      <c r="AK2091">
        <v>29</v>
      </c>
      <c r="AL2091">
        <v>35</v>
      </c>
      <c r="AM2091">
        <v>36</v>
      </c>
      <c r="AN2091">
        <v>1</v>
      </c>
      <c r="AO2091">
        <v>131</v>
      </c>
      <c r="AP2091">
        <v>76</v>
      </c>
      <c r="AQ2091">
        <v>12</v>
      </c>
      <c r="AR2091">
        <v>9</v>
      </c>
      <c r="AS2091">
        <v>48</v>
      </c>
      <c r="AT2091">
        <v>3</v>
      </c>
    </row>
    <row r="2092" spans="1:46">
      <c r="A2092">
        <v>45815</v>
      </c>
      <c r="B2092" t="s">
        <v>6891</v>
      </c>
      <c r="C2092" t="s">
        <v>12342</v>
      </c>
      <c r="D2092" t="s">
        <v>6893</v>
      </c>
      <c r="E2092" t="s">
        <v>12343</v>
      </c>
      <c r="F2092" t="s">
        <v>5860</v>
      </c>
      <c r="G2092" t="s">
        <v>652</v>
      </c>
      <c r="H2092" t="s">
        <v>3942</v>
      </c>
      <c r="J2092" t="s">
        <v>3962</v>
      </c>
      <c r="K2092" t="s">
        <v>519</v>
      </c>
      <c r="M2092" t="s">
        <v>520</v>
      </c>
      <c r="N2092" t="s">
        <v>571</v>
      </c>
      <c r="O2092" t="s">
        <v>748</v>
      </c>
      <c r="P2092" t="s">
        <v>654</v>
      </c>
      <c r="Q2092" t="s">
        <v>638</v>
      </c>
      <c r="R2092" t="s">
        <v>639</v>
      </c>
      <c r="S2092" t="s">
        <v>682</v>
      </c>
      <c r="T2092" t="s">
        <v>527</v>
      </c>
      <c r="U2092">
        <v>121200</v>
      </c>
      <c r="V2092" t="s">
        <v>6573</v>
      </c>
      <c r="W2092" t="s">
        <v>741</v>
      </c>
      <c r="X2092" t="s">
        <v>12344</v>
      </c>
      <c r="Y2092" t="s">
        <v>6894</v>
      </c>
      <c r="Z2092" t="s">
        <v>737</v>
      </c>
      <c r="AA2092" t="s">
        <v>6898</v>
      </c>
      <c r="AE2092">
        <v>-36.760530500000002</v>
      </c>
      <c r="AF2092">
        <v>174.73978023000001</v>
      </c>
      <c r="AG2092">
        <v>75</v>
      </c>
      <c r="AH2092">
        <v>25</v>
      </c>
      <c r="AI2092">
        <v>1</v>
      </c>
      <c r="AJ2092">
        <v>14</v>
      </c>
      <c r="AK2092">
        <v>20</v>
      </c>
      <c r="AL2092">
        <v>20</v>
      </c>
      <c r="AM2092">
        <v>23</v>
      </c>
      <c r="AN2092">
        <v>0</v>
      </c>
      <c r="AO2092">
        <v>78</v>
      </c>
      <c r="AP2092">
        <v>23</v>
      </c>
      <c r="AQ2092">
        <v>3</v>
      </c>
      <c r="AR2092">
        <v>1</v>
      </c>
      <c r="AS2092">
        <v>52</v>
      </c>
      <c r="AT2092">
        <v>5</v>
      </c>
    </row>
    <row r="2093" spans="1:46">
      <c r="A2093">
        <v>45817</v>
      </c>
      <c r="B2093" t="s">
        <v>12345</v>
      </c>
      <c r="C2093" t="s">
        <v>12346</v>
      </c>
      <c r="D2093" t="s">
        <v>12347</v>
      </c>
      <c r="E2093" t="s">
        <v>12348</v>
      </c>
      <c r="G2093" t="s">
        <v>1234</v>
      </c>
      <c r="H2093" t="s">
        <v>3942</v>
      </c>
      <c r="J2093" t="s">
        <v>3962</v>
      </c>
      <c r="K2093" t="s">
        <v>519</v>
      </c>
      <c r="M2093" t="s">
        <v>520</v>
      </c>
      <c r="N2093" t="s">
        <v>557</v>
      </c>
      <c r="O2093" t="s">
        <v>1268</v>
      </c>
      <c r="P2093" t="s">
        <v>654</v>
      </c>
      <c r="Q2093" t="s">
        <v>638</v>
      </c>
      <c r="R2093" t="s">
        <v>729</v>
      </c>
      <c r="S2093" t="s">
        <v>1234</v>
      </c>
      <c r="T2093" t="s">
        <v>1235</v>
      </c>
      <c r="U2093">
        <v>164001</v>
      </c>
      <c r="V2093" t="s">
        <v>12349</v>
      </c>
      <c r="W2093" t="s">
        <v>1219</v>
      </c>
      <c r="X2093" t="s">
        <v>12350</v>
      </c>
      <c r="Y2093" t="s">
        <v>12351</v>
      </c>
      <c r="Z2093" t="s">
        <v>1035</v>
      </c>
      <c r="AA2093" t="s">
        <v>7374</v>
      </c>
      <c r="AC2093">
        <v>99152</v>
      </c>
      <c r="AD2093" t="s">
        <v>1270</v>
      </c>
      <c r="AE2093">
        <v>-37.078231469999999</v>
      </c>
      <c r="AF2093">
        <v>174.95082925</v>
      </c>
      <c r="AG2093">
        <v>35</v>
      </c>
      <c r="AH2093">
        <v>0</v>
      </c>
      <c r="AI2093">
        <v>0</v>
      </c>
      <c r="AJ2093">
        <v>0</v>
      </c>
      <c r="AK2093">
        <v>8</v>
      </c>
      <c r="AL2093">
        <v>6</v>
      </c>
      <c r="AM2093">
        <v>11</v>
      </c>
      <c r="AN2093">
        <v>0</v>
      </c>
      <c r="AO2093">
        <v>25</v>
      </c>
      <c r="AP2093">
        <v>4</v>
      </c>
      <c r="AQ2093">
        <v>3</v>
      </c>
      <c r="AR2093">
        <v>5</v>
      </c>
      <c r="AS2093">
        <v>17</v>
      </c>
      <c r="AT2093">
        <v>0</v>
      </c>
    </row>
    <row r="2094" spans="1:46">
      <c r="A2094">
        <v>45819</v>
      </c>
      <c r="B2094" t="s">
        <v>12352</v>
      </c>
      <c r="C2094" t="s">
        <v>12353</v>
      </c>
      <c r="D2094" t="s">
        <v>12354</v>
      </c>
      <c r="E2094" t="s">
        <v>12355</v>
      </c>
      <c r="G2094" t="s">
        <v>10911</v>
      </c>
      <c r="H2094" t="s">
        <v>4716</v>
      </c>
      <c r="J2094" t="s">
        <v>3962</v>
      </c>
      <c r="K2094" t="s">
        <v>519</v>
      </c>
      <c r="M2094" t="s">
        <v>2287</v>
      </c>
      <c r="N2094" t="s">
        <v>571</v>
      </c>
      <c r="O2094" t="s">
        <v>3208</v>
      </c>
      <c r="P2094" t="s">
        <v>1262</v>
      </c>
      <c r="Q2094" t="s">
        <v>2943</v>
      </c>
      <c r="R2094" t="s">
        <v>2944</v>
      </c>
      <c r="S2094" t="s">
        <v>3179</v>
      </c>
      <c r="T2094" t="s">
        <v>2448</v>
      </c>
      <c r="U2094">
        <v>334801</v>
      </c>
      <c r="V2094" t="s">
        <v>12356</v>
      </c>
      <c r="W2094" t="s">
        <v>10914</v>
      </c>
      <c r="X2094" t="s">
        <v>12357</v>
      </c>
      <c r="Y2094" t="s">
        <v>11878</v>
      </c>
      <c r="AA2094" t="s">
        <v>10917</v>
      </c>
      <c r="AB2094" t="s">
        <v>11879</v>
      </c>
      <c r="AE2094">
        <v>-43.586679429999997</v>
      </c>
      <c r="AF2094">
        <v>172.37445156000001</v>
      </c>
      <c r="AG2094">
        <v>80</v>
      </c>
      <c r="AH2094">
        <v>80</v>
      </c>
      <c r="AI2094">
        <v>0</v>
      </c>
      <c r="AJ2094">
        <v>5</v>
      </c>
      <c r="AK2094">
        <v>6</v>
      </c>
      <c r="AL2094">
        <v>4</v>
      </c>
      <c r="AM2094">
        <v>3</v>
      </c>
      <c r="AN2094">
        <v>0</v>
      </c>
      <c r="AO2094">
        <v>18</v>
      </c>
      <c r="AP2094">
        <v>17</v>
      </c>
      <c r="AQ2094">
        <v>2</v>
      </c>
      <c r="AR2094">
        <v>1</v>
      </c>
      <c r="AS2094">
        <v>2</v>
      </c>
      <c r="AT2094">
        <v>0</v>
      </c>
    </row>
    <row r="2095" spans="1:46">
      <c r="A2095">
        <v>45822</v>
      </c>
      <c r="B2095" t="s">
        <v>12358</v>
      </c>
      <c r="C2095" t="s">
        <v>12359</v>
      </c>
      <c r="D2095" t="s">
        <v>12360</v>
      </c>
      <c r="E2095" t="s">
        <v>12361</v>
      </c>
      <c r="F2095" t="s">
        <v>7155</v>
      </c>
      <c r="G2095" t="s">
        <v>652</v>
      </c>
      <c r="H2095" t="s">
        <v>3942</v>
      </c>
      <c r="J2095" t="s">
        <v>3962</v>
      </c>
      <c r="K2095" t="s">
        <v>519</v>
      </c>
      <c r="M2095" t="s">
        <v>520</v>
      </c>
      <c r="N2095" t="s">
        <v>571</v>
      </c>
      <c r="O2095" t="s">
        <v>857</v>
      </c>
      <c r="P2095" t="s">
        <v>654</v>
      </c>
      <c r="Q2095" t="s">
        <v>638</v>
      </c>
      <c r="R2095" t="s">
        <v>708</v>
      </c>
      <c r="S2095" t="s">
        <v>858</v>
      </c>
      <c r="T2095" t="s">
        <v>709</v>
      </c>
      <c r="U2095">
        <v>133600</v>
      </c>
      <c r="V2095" t="s">
        <v>1012</v>
      </c>
      <c r="W2095" t="s">
        <v>860</v>
      </c>
      <c r="X2095" t="s">
        <v>12362</v>
      </c>
      <c r="Y2095" t="s">
        <v>12363</v>
      </c>
      <c r="Z2095" t="s">
        <v>821</v>
      </c>
      <c r="AA2095" t="s">
        <v>4069</v>
      </c>
      <c r="AB2095" t="s">
        <v>12364</v>
      </c>
      <c r="AE2095">
        <v>-36.872250569999999</v>
      </c>
      <c r="AF2095">
        <v>174.72640168999999</v>
      </c>
      <c r="AG2095">
        <v>80</v>
      </c>
      <c r="AH2095">
        <v>25</v>
      </c>
      <c r="AI2095">
        <v>3</v>
      </c>
      <c r="AJ2095">
        <v>23</v>
      </c>
      <c r="AK2095">
        <v>19</v>
      </c>
      <c r="AL2095">
        <v>13</v>
      </c>
      <c r="AM2095">
        <v>25</v>
      </c>
      <c r="AN2095">
        <v>0</v>
      </c>
      <c r="AO2095">
        <v>83</v>
      </c>
      <c r="AP2095">
        <v>67</v>
      </c>
      <c r="AQ2095">
        <v>9</v>
      </c>
      <c r="AR2095">
        <v>3</v>
      </c>
      <c r="AS2095">
        <v>18</v>
      </c>
      <c r="AT2095">
        <v>5</v>
      </c>
    </row>
    <row r="2096" spans="1:46">
      <c r="A2096">
        <v>45823</v>
      </c>
      <c r="B2096" t="s">
        <v>12365</v>
      </c>
      <c r="C2096" t="s">
        <v>12366</v>
      </c>
      <c r="D2096" t="s">
        <v>12367</v>
      </c>
      <c r="E2096" t="s">
        <v>12368</v>
      </c>
      <c r="F2096" t="s">
        <v>706</v>
      </c>
      <c r="G2096" t="s">
        <v>4204</v>
      </c>
      <c r="H2096" t="s">
        <v>3942</v>
      </c>
      <c r="J2096" t="s">
        <v>3962</v>
      </c>
      <c r="K2096" t="s">
        <v>519</v>
      </c>
      <c r="M2096" t="s">
        <v>520</v>
      </c>
      <c r="N2096" t="s">
        <v>571</v>
      </c>
      <c r="O2096" t="s">
        <v>707</v>
      </c>
      <c r="P2096" t="s">
        <v>654</v>
      </c>
      <c r="Q2096" t="s">
        <v>638</v>
      </c>
      <c r="R2096" t="s">
        <v>708</v>
      </c>
      <c r="S2096" t="s">
        <v>706</v>
      </c>
      <c r="T2096" t="s">
        <v>709</v>
      </c>
      <c r="U2096">
        <v>150700</v>
      </c>
      <c r="V2096" t="s">
        <v>797</v>
      </c>
      <c r="W2096" t="s">
        <v>711</v>
      </c>
      <c r="X2096" t="s">
        <v>12369</v>
      </c>
      <c r="Y2096" t="s">
        <v>12370</v>
      </c>
      <c r="Z2096" t="s">
        <v>3935</v>
      </c>
      <c r="AA2096" t="s">
        <v>12371</v>
      </c>
      <c r="AB2096" t="s">
        <v>12372</v>
      </c>
      <c r="AE2096">
        <v>-36.915545090000002</v>
      </c>
      <c r="AF2096">
        <v>174.89852300000001</v>
      </c>
      <c r="AG2096">
        <v>80</v>
      </c>
      <c r="AH2096">
        <v>25</v>
      </c>
      <c r="AI2096">
        <v>0</v>
      </c>
      <c r="AJ2096">
        <v>7</v>
      </c>
      <c r="AK2096">
        <v>4</v>
      </c>
      <c r="AL2096">
        <v>14</v>
      </c>
      <c r="AM2096">
        <v>3</v>
      </c>
      <c r="AN2096">
        <v>0</v>
      </c>
      <c r="AO2096">
        <v>28</v>
      </c>
      <c r="AP2096">
        <v>3</v>
      </c>
      <c r="AQ2096">
        <v>0</v>
      </c>
      <c r="AR2096">
        <v>13</v>
      </c>
      <c r="AS2096">
        <v>9</v>
      </c>
      <c r="AT2096">
        <v>8</v>
      </c>
    </row>
    <row r="2097" spans="1:46">
      <c r="A2097">
        <v>45826</v>
      </c>
      <c r="B2097" t="s">
        <v>12373</v>
      </c>
      <c r="C2097" t="s">
        <v>12374</v>
      </c>
      <c r="D2097" t="s">
        <v>12375</v>
      </c>
      <c r="E2097" t="s">
        <v>12376</v>
      </c>
      <c r="F2097" t="s">
        <v>3068</v>
      </c>
      <c r="G2097" t="s">
        <v>2941</v>
      </c>
      <c r="H2097" t="s">
        <v>3942</v>
      </c>
      <c r="J2097" t="s">
        <v>518</v>
      </c>
      <c r="K2097" t="s">
        <v>519</v>
      </c>
      <c r="M2097" t="s">
        <v>2287</v>
      </c>
      <c r="N2097" t="s">
        <v>571</v>
      </c>
      <c r="O2097" t="s">
        <v>2942</v>
      </c>
      <c r="P2097" t="s">
        <v>654</v>
      </c>
      <c r="Q2097" t="s">
        <v>2943</v>
      </c>
      <c r="R2097" t="s">
        <v>2944</v>
      </c>
      <c r="S2097" t="s">
        <v>2973</v>
      </c>
      <c r="T2097" t="s">
        <v>2448</v>
      </c>
      <c r="U2097">
        <v>324600</v>
      </c>
      <c r="V2097" t="s">
        <v>12377</v>
      </c>
      <c r="W2097" t="s">
        <v>3126</v>
      </c>
      <c r="X2097" t="s">
        <v>10801</v>
      </c>
      <c r="Y2097" t="s">
        <v>3944</v>
      </c>
      <c r="Z2097" t="s">
        <v>3945</v>
      </c>
      <c r="AA2097" t="s">
        <v>3946</v>
      </c>
      <c r="AC2097">
        <v>99175</v>
      </c>
      <c r="AD2097" t="s">
        <v>3071</v>
      </c>
      <c r="AE2097">
        <v>-43.503025460000003</v>
      </c>
      <c r="AF2097">
        <v>172.6627215</v>
      </c>
      <c r="AG2097">
        <v>75</v>
      </c>
      <c r="AH2097">
        <v>25</v>
      </c>
      <c r="AI2097">
        <v>5</v>
      </c>
      <c r="AJ2097">
        <v>10</v>
      </c>
      <c r="AK2097">
        <v>20</v>
      </c>
      <c r="AL2097">
        <v>22</v>
      </c>
      <c r="AM2097">
        <v>18</v>
      </c>
      <c r="AN2097">
        <v>1</v>
      </c>
      <c r="AO2097">
        <v>76</v>
      </c>
      <c r="AP2097">
        <v>42</v>
      </c>
      <c r="AQ2097">
        <v>17</v>
      </c>
      <c r="AR2097">
        <v>11</v>
      </c>
      <c r="AS2097">
        <v>29</v>
      </c>
      <c r="AT2097">
        <v>0</v>
      </c>
    </row>
    <row r="2098" spans="1:46">
      <c r="A2098">
        <v>45829</v>
      </c>
      <c r="B2098" t="s">
        <v>12378</v>
      </c>
      <c r="C2098" t="s">
        <v>12379</v>
      </c>
      <c r="E2098" t="s">
        <v>12380</v>
      </c>
      <c r="F2098" t="s">
        <v>4950</v>
      </c>
      <c r="G2098" t="s">
        <v>582</v>
      </c>
      <c r="H2098" t="s">
        <v>3942</v>
      </c>
      <c r="J2098" t="s">
        <v>3962</v>
      </c>
      <c r="K2098" t="s">
        <v>519</v>
      </c>
      <c r="M2098" t="s">
        <v>520</v>
      </c>
      <c r="N2098" t="s">
        <v>571</v>
      </c>
      <c r="O2098" t="s">
        <v>583</v>
      </c>
      <c r="P2098" t="s">
        <v>584</v>
      </c>
      <c r="Q2098" t="s">
        <v>524</v>
      </c>
      <c r="R2098" t="s">
        <v>525</v>
      </c>
      <c r="S2098" t="s">
        <v>585</v>
      </c>
      <c r="T2098" t="s">
        <v>527</v>
      </c>
      <c r="U2098">
        <v>107501</v>
      </c>
      <c r="V2098" t="s">
        <v>4952</v>
      </c>
      <c r="W2098" t="s">
        <v>587</v>
      </c>
      <c r="X2098" t="s">
        <v>4403</v>
      </c>
      <c r="Y2098" t="s">
        <v>4404</v>
      </c>
      <c r="Z2098" t="s">
        <v>4405</v>
      </c>
      <c r="AA2098" t="s">
        <v>4529</v>
      </c>
      <c r="AB2098" t="s">
        <v>4407</v>
      </c>
      <c r="AC2098">
        <v>99181</v>
      </c>
      <c r="AD2098" t="s">
        <v>594</v>
      </c>
      <c r="AE2098">
        <v>-35.734593009999998</v>
      </c>
      <c r="AF2098">
        <v>174.32625332000001</v>
      </c>
      <c r="AG2098">
        <v>70</v>
      </c>
      <c r="AH2098">
        <v>20</v>
      </c>
      <c r="AI2098">
        <v>2</v>
      </c>
      <c r="AJ2098">
        <v>10</v>
      </c>
      <c r="AK2098">
        <v>19</v>
      </c>
      <c r="AL2098">
        <v>17</v>
      </c>
      <c r="AM2098">
        <v>17</v>
      </c>
      <c r="AN2098">
        <v>0</v>
      </c>
      <c r="AO2098">
        <v>65</v>
      </c>
      <c r="AP2098">
        <v>48</v>
      </c>
      <c r="AQ2098">
        <v>27</v>
      </c>
      <c r="AR2098">
        <v>1</v>
      </c>
      <c r="AS2098">
        <v>3</v>
      </c>
      <c r="AT2098">
        <v>6</v>
      </c>
    </row>
    <row r="2099" spans="1:46">
      <c r="A2099">
        <v>45832</v>
      </c>
      <c r="B2099" t="s">
        <v>12381</v>
      </c>
      <c r="C2099" t="s">
        <v>12382</v>
      </c>
      <c r="E2099" t="s">
        <v>12383</v>
      </c>
      <c r="G2099" t="s">
        <v>5549</v>
      </c>
      <c r="H2099" t="s">
        <v>3942</v>
      </c>
      <c r="J2099" t="s">
        <v>3962</v>
      </c>
      <c r="K2099" t="s">
        <v>519</v>
      </c>
      <c r="M2099" t="s">
        <v>520</v>
      </c>
      <c r="N2099" t="s">
        <v>557</v>
      </c>
      <c r="O2099" t="s">
        <v>564</v>
      </c>
      <c r="P2099" t="s">
        <v>540</v>
      </c>
      <c r="Q2099" t="s">
        <v>524</v>
      </c>
      <c r="R2099" t="s">
        <v>525</v>
      </c>
      <c r="S2099" t="s">
        <v>526</v>
      </c>
      <c r="T2099" t="s">
        <v>527</v>
      </c>
      <c r="U2099">
        <v>109700</v>
      </c>
      <c r="V2099" t="s">
        <v>5549</v>
      </c>
      <c r="W2099" t="s">
        <v>5310</v>
      </c>
      <c r="X2099" t="s">
        <v>12384</v>
      </c>
      <c r="Y2099" t="s">
        <v>12385</v>
      </c>
      <c r="AA2099" t="s">
        <v>12386</v>
      </c>
      <c r="AB2099" t="s">
        <v>12382</v>
      </c>
      <c r="AE2099">
        <v>-36.16156608</v>
      </c>
      <c r="AF2099">
        <v>174.44468083000001</v>
      </c>
      <c r="AG2099">
        <v>53</v>
      </c>
      <c r="AH2099">
        <v>17</v>
      </c>
      <c r="AI2099">
        <v>2</v>
      </c>
      <c r="AJ2099">
        <v>4</v>
      </c>
      <c r="AK2099">
        <v>8</v>
      </c>
      <c r="AL2099">
        <v>18</v>
      </c>
      <c r="AM2099">
        <v>13</v>
      </c>
      <c r="AN2099">
        <v>1</v>
      </c>
      <c r="AO2099">
        <v>46</v>
      </c>
      <c r="AP2099">
        <v>42</v>
      </c>
      <c r="AQ2099">
        <v>13</v>
      </c>
      <c r="AR2099">
        <v>2</v>
      </c>
      <c r="AS2099">
        <v>3</v>
      </c>
      <c r="AT2099">
        <v>2</v>
      </c>
    </row>
    <row r="2100" spans="1:46">
      <c r="A2100">
        <v>45835</v>
      </c>
      <c r="B2100" t="s">
        <v>12387</v>
      </c>
      <c r="C2100" t="s">
        <v>11681</v>
      </c>
      <c r="D2100" t="s">
        <v>12388</v>
      </c>
      <c r="E2100" t="s">
        <v>11682</v>
      </c>
      <c r="F2100" t="s">
        <v>3990</v>
      </c>
      <c r="G2100" t="s">
        <v>652</v>
      </c>
      <c r="H2100" t="s">
        <v>4716</v>
      </c>
      <c r="J2100" t="s">
        <v>3962</v>
      </c>
      <c r="K2100" t="s">
        <v>519</v>
      </c>
      <c r="M2100" t="s">
        <v>520</v>
      </c>
      <c r="N2100" t="s">
        <v>521</v>
      </c>
      <c r="O2100" t="s">
        <v>728</v>
      </c>
      <c r="P2100" t="s">
        <v>654</v>
      </c>
      <c r="Q2100" t="s">
        <v>638</v>
      </c>
      <c r="R2100" t="s">
        <v>729</v>
      </c>
      <c r="S2100" t="s">
        <v>778</v>
      </c>
      <c r="T2100" t="s">
        <v>709</v>
      </c>
      <c r="U2100">
        <v>156000</v>
      </c>
      <c r="V2100" t="s">
        <v>6408</v>
      </c>
      <c r="W2100" t="s">
        <v>732</v>
      </c>
      <c r="X2100" t="s">
        <v>11683</v>
      </c>
      <c r="Y2100" t="s">
        <v>11684</v>
      </c>
      <c r="Z2100" t="s">
        <v>828</v>
      </c>
      <c r="AA2100" t="s">
        <v>6880</v>
      </c>
      <c r="AE2100">
        <v>-36.960511680000003</v>
      </c>
      <c r="AF2100">
        <v>174.8960366</v>
      </c>
      <c r="AG2100">
        <v>60</v>
      </c>
      <c r="AH2100">
        <v>60</v>
      </c>
      <c r="AI2100">
        <v>5</v>
      </c>
      <c r="AJ2100">
        <v>7</v>
      </c>
      <c r="AK2100">
        <v>8</v>
      </c>
      <c r="AL2100">
        <v>12</v>
      </c>
      <c r="AM2100">
        <v>9</v>
      </c>
      <c r="AN2100">
        <v>2</v>
      </c>
      <c r="AO2100">
        <v>43</v>
      </c>
      <c r="AP2100">
        <v>0</v>
      </c>
      <c r="AQ2100">
        <v>1</v>
      </c>
      <c r="AR2100">
        <v>42</v>
      </c>
      <c r="AS2100">
        <v>1</v>
      </c>
      <c r="AT2100">
        <v>0</v>
      </c>
    </row>
    <row r="2101" spans="1:46">
      <c r="A2101">
        <v>45836</v>
      </c>
      <c r="B2101" t="s">
        <v>12389</v>
      </c>
      <c r="C2101" t="s">
        <v>12390</v>
      </c>
      <c r="D2101" t="s">
        <v>12391</v>
      </c>
      <c r="E2101" t="s">
        <v>12392</v>
      </c>
      <c r="F2101" t="s">
        <v>12393</v>
      </c>
      <c r="G2101" t="s">
        <v>2289</v>
      </c>
      <c r="H2101" t="s">
        <v>3942</v>
      </c>
      <c r="I2101" t="s">
        <v>3953</v>
      </c>
      <c r="J2101" t="s">
        <v>3962</v>
      </c>
      <c r="K2101" t="s">
        <v>519</v>
      </c>
      <c r="M2101" t="s">
        <v>2287</v>
      </c>
      <c r="N2101" t="s">
        <v>571</v>
      </c>
      <c r="O2101" t="s">
        <v>2536</v>
      </c>
      <c r="P2101" t="s">
        <v>654</v>
      </c>
      <c r="Q2101" t="s">
        <v>2319</v>
      </c>
      <c r="R2101" t="s">
        <v>2289</v>
      </c>
      <c r="S2101" t="s">
        <v>2537</v>
      </c>
      <c r="T2101" t="s">
        <v>2448</v>
      </c>
      <c r="U2101">
        <v>253800</v>
      </c>
      <c r="V2101" t="s">
        <v>12394</v>
      </c>
      <c r="W2101" t="s">
        <v>2538</v>
      </c>
      <c r="X2101" t="s">
        <v>12395</v>
      </c>
      <c r="Y2101" t="s">
        <v>12396</v>
      </c>
      <c r="Z2101" t="s">
        <v>12397</v>
      </c>
      <c r="AA2101" t="s">
        <v>12398</v>
      </c>
      <c r="AE2101">
        <v>-41.333446500000001</v>
      </c>
      <c r="AF2101">
        <v>174.77323909</v>
      </c>
      <c r="AG2101">
        <v>106</v>
      </c>
      <c r="AH2101">
        <v>30</v>
      </c>
      <c r="AI2101">
        <v>4</v>
      </c>
      <c r="AJ2101">
        <v>20</v>
      </c>
      <c r="AK2101">
        <v>30</v>
      </c>
      <c r="AL2101">
        <v>14</v>
      </c>
      <c r="AM2101">
        <v>20</v>
      </c>
      <c r="AN2101">
        <v>1</v>
      </c>
      <c r="AO2101">
        <v>89</v>
      </c>
      <c r="AP2101">
        <v>81</v>
      </c>
      <c r="AQ2101">
        <v>5</v>
      </c>
      <c r="AR2101">
        <v>6</v>
      </c>
      <c r="AS2101">
        <v>8</v>
      </c>
      <c r="AT2101">
        <v>13</v>
      </c>
    </row>
    <row r="2102" spans="1:46">
      <c r="A2102">
        <v>45837</v>
      </c>
      <c r="B2102" t="s">
        <v>12399</v>
      </c>
      <c r="C2102" t="s">
        <v>12400</v>
      </c>
      <c r="E2102" t="s">
        <v>12401</v>
      </c>
      <c r="F2102" t="s">
        <v>2657</v>
      </c>
      <c r="G2102" t="s">
        <v>2289</v>
      </c>
      <c r="H2102" t="s">
        <v>3942</v>
      </c>
      <c r="J2102" t="s">
        <v>3962</v>
      </c>
      <c r="K2102" t="s">
        <v>519</v>
      </c>
      <c r="M2102" t="s">
        <v>2287</v>
      </c>
      <c r="N2102" t="s">
        <v>571</v>
      </c>
      <c r="O2102" t="s">
        <v>2536</v>
      </c>
      <c r="P2102" t="s">
        <v>654</v>
      </c>
      <c r="Q2102" t="s">
        <v>2319</v>
      </c>
      <c r="R2102" t="s">
        <v>2289</v>
      </c>
      <c r="S2102" t="s">
        <v>2545</v>
      </c>
      <c r="T2102" t="s">
        <v>2448</v>
      </c>
      <c r="U2102">
        <v>249501</v>
      </c>
      <c r="V2102" t="s">
        <v>2658</v>
      </c>
      <c r="W2102" t="s">
        <v>2547</v>
      </c>
      <c r="X2102" t="s">
        <v>12402</v>
      </c>
      <c r="Y2102" t="s">
        <v>12403</v>
      </c>
      <c r="Z2102" t="s">
        <v>2566</v>
      </c>
      <c r="AA2102" t="s">
        <v>12404</v>
      </c>
      <c r="AB2102" t="s">
        <v>12400</v>
      </c>
      <c r="AE2102">
        <v>-41.222440900000002</v>
      </c>
      <c r="AF2102">
        <v>174.82213365999999</v>
      </c>
      <c r="AG2102">
        <v>43</v>
      </c>
      <c r="AH2102">
        <v>11</v>
      </c>
      <c r="AI2102">
        <v>0</v>
      </c>
      <c r="AJ2102">
        <v>9</v>
      </c>
      <c r="AK2102">
        <v>17</v>
      </c>
      <c r="AL2102">
        <v>11</v>
      </c>
      <c r="AM2102">
        <v>9</v>
      </c>
      <c r="AN2102">
        <v>0</v>
      </c>
      <c r="AO2102">
        <v>46</v>
      </c>
      <c r="AP2102">
        <v>29</v>
      </c>
      <c r="AQ2102">
        <v>4</v>
      </c>
      <c r="AR2102">
        <v>4</v>
      </c>
      <c r="AS2102">
        <v>16</v>
      </c>
      <c r="AT2102">
        <v>4</v>
      </c>
    </row>
    <row r="2103" spans="1:46">
      <c r="A2103">
        <v>45842</v>
      </c>
      <c r="B2103" t="s">
        <v>12405</v>
      </c>
      <c r="C2103" t="s">
        <v>12406</v>
      </c>
      <c r="D2103" t="s">
        <v>12407</v>
      </c>
      <c r="E2103" t="s">
        <v>12408</v>
      </c>
      <c r="G2103" t="s">
        <v>5532</v>
      </c>
      <c r="H2103" t="s">
        <v>3942</v>
      </c>
      <c r="I2103" t="s">
        <v>4951</v>
      </c>
      <c r="J2103" t="s">
        <v>518</v>
      </c>
      <c r="K2103" t="s">
        <v>519</v>
      </c>
      <c r="M2103" t="s">
        <v>520</v>
      </c>
      <c r="N2103" t="s">
        <v>727</v>
      </c>
      <c r="O2103" t="s">
        <v>522</v>
      </c>
      <c r="P2103" t="s">
        <v>523</v>
      </c>
      <c r="Q2103" t="s">
        <v>524</v>
      </c>
      <c r="R2103" t="s">
        <v>525</v>
      </c>
      <c r="S2103" t="s">
        <v>526</v>
      </c>
      <c r="T2103" t="s">
        <v>527</v>
      </c>
      <c r="U2103">
        <v>104600</v>
      </c>
      <c r="V2103" t="s">
        <v>5532</v>
      </c>
      <c r="W2103" t="s">
        <v>558</v>
      </c>
      <c r="X2103" t="s">
        <v>12409</v>
      </c>
      <c r="Y2103" t="s">
        <v>12410</v>
      </c>
      <c r="AA2103" t="s">
        <v>5296</v>
      </c>
      <c r="AB2103" t="s">
        <v>12411</v>
      </c>
      <c r="AE2103">
        <v>-35.379381789999996</v>
      </c>
      <c r="AF2103">
        <v>174.06340957</v>
      </c>
      <c r="AG2103">
        <v>80</v>
      </c>
      <c r="AH2103">
        <v>15</v>
      </c>
      <c r="AI2103">
        <v>3</v>
      </c>
      <c r="AJ2103">
        <v>10</v>
      </c>
      <c r="AK2103">
        <v>9</v>
      </c>
      <c r="AL2103">
        <v>13</v>
      </c>
      <c r="AM2103">
        <v>17</v>
      </c>
      <c r="AN2103">
        <v>2</v>
      </c>
      <c r="AO2103">
        <v>54</v>
      </c>
      <c r="AP2103">
        <v>14</v>
      </c>
      <c r="AQ2103">
        <v>39</v>
      </c>
      <c r="AR2103">
        <v>8</v>
      </c>
      <c r="AS2103">
        <v>8</v>
      </c>
      <c r="AT2103">
        <v>0</v>
      </c>
    </row>
    <row r="2104" spans="1:46">
      <c r="A2104">
        <v>45843</v>
      </c>
      <c r="B2104" t="s">
        <v>12412</v>
      </c>
      <c r="C2104" t="s">
        <v>12413</v>
      </c>
      <c r="D2104" t="s">
        <v>12414</v>
      </c>
      <c r="E2104" t="s">
        <v>12415</v>
      </c>
      <c r="F2104" t="s">
        <v>2668</v>
      </c>
      <c r="G2104" t="s">
        <v>2289</v>
      </c>
      <c r="H2104" t="s">
        <v>3942</v>
      </c>
      <c r="J2104" t="s">
        <v>3962</v>
      </c>
      <c r="K2104" t="s">
        <v>519</v>
      </c>
      <c r="M2104" t="s">
        <v>2287</v>
      </c>
      <c r="N2104" t="s">
        <v>571</v>
      </c>
      <c r="O2104" t="s">
        <v>2536</v>
      </c>
      <c r="P2104" t="s">
        <v>654</v>
      </c>
      <c r="Q2104" t="s">
        <v>2319</v>
      </c>
      <c r="R2104" t="s">
        <v>2289</v>
      </c>
      <c r="S2104" t="s">
        <v>2537</v>
      </c>
      <c r="T2104" t="s">
        <v>2448</v>
      </c>
      <c r="U2104">
        <v>253300</v>
      </c>
      <c r="V2104" t="s">
        <v>2535</v>
      </c>
      <c r="W2104" t="s">
        <v>2538</v>
      </c>
      <c r="X2104" t="s">
        <v>12416</v>
      </c>
      <c r="Y2104" t="s">
        <v>12417</v>
      </c>
      <c r="Z2104" t="s">
        <v>1096</v>
      </c>
      <c r="AA2104" t="s">
        <v>4537</v>
      </c>
      <c r="AB2104" t="s">
        <v>12418</v>
      </c>
      <c r="AE2104">
        <v>-41.316543410000001</v>
      </c>
      <c r="AF2104">
        <v>174.77783703</v>
      </c>
      <c r="AG2104">
        <v>150</v>
      </c>
      <c r="AH2104">
        <v>50</v>
      </c>
      <c r="AI2104">
        <v>6</v>
      </c>
      <c r="AJ2104">
        <v>28</v>
      </c>
      <c r="AK2104">
        <v>50</v>
      </c>
      <c r="AL2104">
        <v>37</v>
      </c>
      <c r="AM2104">
        <v>44</v>
      </c>
      <c r="AN2104">
        <v>1</v>
      </c>
      <c r="AO2104">
        <v>166</v>
      </c>
      <c r="AP2104">
        <v>134</v>
      </c>
      <c r="AQ2104">
        <v>13</v>
      </c>
      <c r="AR2104">
        <v>10</v>
      </c>
      <c r="AS2104">
        <v>37</v>
      </c>
      <c r="AT2104">
        <v>7</v>
      </c>
    </row>
    <row r="2105" spans="1:46">
      <c r="A2105">
        <v>45845</v>
      </c>
      <c r="B2105" t="s">
        <v>12419</v>
      </c>
      <c r="C2105" t="s">
        <v>12420</v>
      </c>
      <c r="D2105" t="s">
        <v>12421</v>
      </c>
      <c r="E2105" t="s">
        <v>12422</v>
      </c>
      <c r="G2105" t="s">
        <v>3673</v>
      </c>
      <c r="H2105" t="s">
        <v>3942</v>
      </c>
      <c r="J2105" t="s">
        <v>3962</v>
      </c>
      <c r="K2105" t="s">
        <v>519</v>
      </c>
      <c r="M2105" t="s">
        <v>520</v>
      </c>
      <c r="N2105" t="s">
        <v>571</v>
      </c>
      <c r="O2105" t="s">
        <v>522</v>
      </c>
      <c r="P2105" t="s">
        <v>572</v>
      </c>
      <c r="Q2105" t="s">
        <v>524</v>
      </c>
      <c r="R2105" t="s">
        <v>525</v>
      </c>
      <c r="S2105" t="s">
        <v>526</v>
      </c>
      <c r="T2105" t="s">
        <v>527</v>
      </c>
      <c r="U2105">
        <v>102201</v>
      </c>
      <c r="V2105" t="s">
        <v>5712</v>
      </c>
      <c r="W2105" t="s">
        <v>558</v>
      </c>
      <c r="X2105" t="s">
        <v>12423</v>
      </c>
      <c r="Y2105" t="s">
        <v>12424</v>
      </c>
      <c r="AA2105" t="s">
        <v>12425</v>
      </c>
      <c r="AB2105" t="s">
        <v>12426</v>
      </c>
      <c r="AE2105">
        <v>-35.191329830000001</v>
      </c>
      <c r="AF2105">
        <v>173.93879476999999</v>
      </c>
      <c r="AG2105">
        <v>40</v>
      </c>
      <c r="AH2105">
        <v>15</v>
      </c>
      <c r="AI2105">
        <v>4</v>
      </c>
      <c r="AJ2105">
        <v>4</v>
      </c>
      <c r="AK2105">
        <v>9</v>
      </c>
      <c r="AL2105">
        <v>9</v>
      </c>
      <c r="AM2105">
        <v>8</v>
      </c>
      <c r="AN2105">
        <v>3</v>
      </c>
      <c r="AO2105">
        <v>37</v>
      </c>
      <c r="AP2105">
        <v>32</v>
      </c>
      <c r="AQ2105">
        <v>14</v>
      </c>
      <c r="AR2105">
        <v>6</v>
      </c>
      <c r="AS2105">
        <v>2</v>
      </c>
      <c r="AT2105">
        <v>0</v>
      </c>
    </row>
    <row r="2106" spans="1:46">
      <c r="A2106">
        <v>45847</v>
      </c>
      <c r="B2106" t="s">
        <v>12427</v>
      </c>
      <c r="C2106" t="s">
        <v>12428</v>
      </c>
      <c r="D2106" t="s">
        <v>12429</v>
      </c>
      <c r="E2106" t="s">
        <v>12430</v>
      </c>
      <c r="F2106" t="s">
        <v>1140</v>
      </c>
      <c r="G2106" t="s">
        <v>652</v>
      </c>
      <c r="H2106" t="s">
        <v>3942</v>
      </c>
      <c r="J2106" t="s">
        <v>3962</v>
      </c>
      <c r="K2106" t="s">
        <v>519</v>
      </c>
      <c r="M2106" t="s">
        <v>520</v>
      </c>
      <c r="N2106" t="s">
        <v>4519</v>
      </c>
      <c r="O2106" t="s">
        <v>804</v>
      </c>
      <c r="P2106" t="s">
        <v>654</v>
      </c>
      <c r="Q2106" t="s">
        <v>638</v>
      </c>
      <c r="R2106" t="s">
        <v>708</v>
      </c>
      <c r="S2106" t="s">
        <v>880</v>
      </c>
      <c r="T2106" t="s">
        <v>709</v>
      </c>
      <c r="U2106">
        <v>142700</v>
      </c>
      <c r="V2106" t="s">
        <v>6028</v>
      </c>
      <c r="W2106" t="s">
        <v>824</v>
      </c>
      <c r="X2106" t="s">
        <v>12431</v>
      </c>
      <c r="Y2106" t="s">
        <v>12432</v>
      </c>
      <c r="Z2106" t="s">
        <v>2620</v>
      </c>
      <c r="AA2106" t="s">
        <v>12433</v>
      </c>
      <c r="AE2106">
        <v>-36.854035500000002</v>
      </c>
      <c r="AF2106">
        <v>174.85132608000001</v>
      </c>
      <c r="AG2106">
        <v>30</v>
      </c>
      <c r="AH2106">
        <v>8</v>
      </c>
      <c r="AI2106">
        <v>0</v>
      </c>
      <c r="AJ2106">
        <v>0</v>
      </c>
      <c r="AK2106">
        <v>2</v>
      </c>
      <c r="AL2106">
        <v>3</v>
      </c>
      <c r="AM2106">
        <v>5</v>
      </c>
      <c r="AN2106">
        <v>0</v>
      </c>
      <c r="AO2106">
        <v>10</v>
      </c>
      <c r="AP2106">
        <v>9</v>
      </c>
      <c r="AQ2106">
        <v>2</v>
      </c>
      <c r="AR2106">
        <v>0</v>
      </c>
      <c r="AS2106">
        <v>1</v>
      </c>
      <c r="AT2106">
        <v>0</v>
      </c>
    </row>
    <row r="2107" spans="1:46">
      <c r="A2107">
        <v>45851</v>
      </c>
      <c r="B2107" t="s">
        <v>12434</v>
      </c>
      <c r="C2107" t="s">
        <v>12435</v>
      </c>
      <c r="D2107" t="s">
        <v>12436</v>
      </c>
      <c r="E2107" t="s">
        <v>12437</v>
      </c>
      <c r="F2107" t="s">
        <v>898</v>
      </c>
      <c r="G2107" t="s">
        <v>652</v>
      </c>
      <c r="H2107" t="s">
        <v>3942</v>
      </c>
      <c r="J2107" t="s">
        <v>518</v>
      </c>
      <c r="K2107" t="s">
        <v>519</v>
      </c>
      <c r="M2107" t="s">
        <v>520</v>
      </c>
      <c r="N2107" t="s">
        <v>571</v>
      </c>
      <c r="O2107" t="s">
        <v>813</v>
      </c>
      <c r="P2107" t="s">
        <v>654</v>
      </c>
      <c r="Q2107" t="s">
        <v>638</v>
      </c>
      <c r="R2107" t="s">
        <v>639</v>
      </c>
      <c r="S2107" t="s">
        <v>899</v>
      </c>
      <c r="T2107" t="s">
        <v>527</v>
      </c>
      <c r="U2107">
        <v>125100</v>
      </c>
      <c r="V2107" t="s">
        <v>4305</v>
      </c>
      <c r="W2107" t="s">
        <v>815</v>
      </c>
      <c r="X2107" t="s">
        <v>6588</v>
      </c>
      <c r="Y2107" t="s">
        <v>4097</v>
      </c>
      <c r="Z2107" t="s">
        <v>4098</v>
      </c>
      <c r="AA2107" t="s">
        <v>3956</v>
      </c>
      <c r="AB2107" t="s">
        <v>4100</v>
      </c>
      <c r="AE2107">
        <v>-36.856730929999998</v>
      </c>
      <c r="AF2107">
        <v>174.62957700000001</v>
      </c>
      <c r="AG2107">
        <v>125</v>
      </c>
      <c r="AH2107">
        <v>50</v>
      </c>
      <c r="AI2107">
        <v>9</v>
      </c>
      <c r="AJ2107">
        <v>24</v>
      </c>
      <c r="AK2107">
        <v>25</v>
      </c>
      <c r="AL2107">
        <v>27</v>
      </c>
      <c r="AM2107">
        <v>29</v>
      </c>
      <c r="AN2107">
        <v>1</v>
      </c>
      <c r="AO2107">
        <v>115</v>
      </c>
      <c r="AP2107">
        <v>62</v>
      </c>
      <c r="AQ2107">
        <v>33</v>
      </c>
      <c r="AR2107">
        <v>19</v>
      </c>
      <c r="AS2107">
        <v>33</v>
      </c>
      <c r="AT2107">
        <v>9</v>
      </c>
    </row>
    <row r="2108" spans="1:46">
      <c r="A2108">
        <v>45852</v>
      </c>
      <c r="B2108" t="s">
        <v>12438</v>
      </c>
      <c r="C2108" t="s">
        <v>12439</v>
      </c>
      <c r="D2108" t="s">
        <v>12440</v>
      </c>
      <c r="E2108" t="s">
        <v>12441</v>
      </c>
      <c r="F2108" t="s">
        <v>769</v>
      </c>
      <c r="G2108" t="s">
        <v>652</v>
      </c>
      <c r="H2108" t="s">
        <v>3942</v>
      </c>
      <c r="J2108" t="s">
        <v>3962</v>
      </c>
      <c r="K2108" t="s">
        <v>519</v>
      </c>
      <c r="M2108" t="s">
        <v>520</v>
      </c>
      <c r="N2108" t="s">
        <v>4519</v>
      </c>
      <c r="O2108" t="s">
        <v>718</v>
      </c>
      <c r="P2108" t="s">
        <v>654</v>
      </c>
      <c r="Q2108" t="s">
        <v>638</v>
      </c>
      <c r="R2108" t="s">
        <v>708</v>
      </c>
      <c r="S2108" t="s">
        <v>770</v>
      </c>
      <c r="T2108" t="s">
        <v>709</v>
      </c>
      <c r="U2108">
        <v>137202</v>
      </c>
      <c r="V2108" t="s">
        <v>771</v>
      </c>
      <c r="W2108" t="s">
        <v>721</v>
      </c>
      <c r="X2108" t="s">
        <v>12442</v>
      </c>
      <c r="Y2108" t="s">
        <v>12443</v>
      </c>
      <c r="AA2108" t="s">
        <v>12444</v>
      </c>
      <c r="AE2108">
        <v>-36.917199269999998</v>
      </c>
      <c r="AF2108">
        <v>174.70812303</v>
      </c>
      <c r="AG2108">
        <v>49</v>
      </c>
      <c r="AH2108">
        <v>15</v>
      </c>
      <c r="AI2108">
        <v>2</v>
      </c>
      <c r="AJ2108">
        <v>7</v>
      </c>
      <c r="AK2108">
        <v>7</v>
      </c>
      <c r="AL2108">
        <v>13</v>
      </c>
      <c r="AM2108">
        <v>15</v>
      </c>
      <c r="AN2108">
        <v>0</v>
      </c>
      <c r="AO2108">
        <v>44</v>
      </c>
      <c r="AP2108">
        <v>8</v>
      </c>
      <c r="AQ2108">
        <v>3</v>
      </c>
      <c r="AR2108">
        <v>8</v>
      </c>
      <c r="AS2108">
        <v>36</v>
      </c>
      <c r="AT2108">
        <v>0</v>
      </c>
    </row>
    <row r="2109" spans="1:46">
      <c r="A2109">
        <v>45853</v>
      </c>
      <c r="B2109" t="s">
        <v>12445</v>
      </c>
      <c r="C2109" t="s">
        <v>12446</v>
      </c>
      <c r="D2109" t="s">
        <v>12447</v>
      </c>
      <c r="E2109" t="s">
        <v>12448</v>
      </c>
      <c r="F2109" t="s">
        <v>5176</v>
      </c>
      <c r="G2109" t="s">
        <v>652</v>
      </c>
      <c r="H2109" t="s">
        <v>4716</v>
      </c>
      <c r="J2109" t="s">
        <v>3962</v>
      </c>
      <c r="K2109" t="s">
        <v>519</v>
      </c>
      <c r="M2109" t="s">
        <v>520</v>
      </c>
      <c r="N2109" t="s">
        <v>571</v>
      </c>
      <c r="O2109" t="s">
        <v>804</v>
      </c>
      <c r="P2109" t="s">
        <v>654</v>
      </c>
      <c r="Q2109" t="s">
        <v>638</v>
      </c>
      <c r="R2109" t="s">
        <v>708</v>
      </c>
      <c r="S2109" t="s">
        <v>880</v>
      </c>
      <c r="T2109" t="s">
        <v>709</v>
      </c>
      <c r="U2109">
        <v>141801</v>
      </c>
      <c r="V2109" t="s">
        <v>6505</v>
      </c>
      <c r="W2109" t="s">
        <v>824</v>
      </c>
      <c r="X2109" t="s">
        <v>12449</v>
      </c>
      <c r="Y2109" t="s">
        <v>12450</v>
      </c>
      <c r="Z2109" t="s">
        <v>12451</v>
      </c>
      <c r="AA2109" t="s">
        <v>12452</v>
      </c>
      <c r="AE2109">
        <v>-36.852834010000002</v>
      </c>
      <c r="AF2109">
        <v>174.83816302</v>
      </c>
      <c r="AG2109">
        <v>80</v>
      </c>
      <c r="AH2109">
        <v>80</v>
      </c>
      <c r="AI2109">
        <v>4</v>
      </c>
      <c r="AJ2109">
        <v>13</v>
      </c>
      <c r="AK2109">
        <v>11</v>
      </c>
      <c r="AL2109">
        <v>10</v>
      </c>
      <c r="AM2109">
        <v>8</v>
      </c>
      <c r="AN2109">
        <v>0</v>
      </c>
      <c r="AO2109">
        <v>46</v>
      </c>
      <c r="AP2109">
        <v>39</v>
      </c>
      <c r="AQ2109">
        <v>1</v>
      </c>
      <c r="AR2109">
        <v>1</v>
      </c>
      <c r="AS2109">
        <v>7</v>
      </c>
      <c r="AT2109">
        <v>2</v>
      </c>
    </row>
    <row r="2110" spans="1:46">
      <c r="A2110">
        <v>45855</v>
      </c>
      <c r="B2110" t="s">
        <v>12453</v>
      </c>
      <c r="C2110" t="s">
        <v>12454</v>
      </c>
      <c r="E2110" t="s">
        <v>12455</v>
      </c>
      <c r="F2110" t="s">
        <v>660</v>
      </c>
      <c r="G2110" t="s">
        <v>652</v>
      </c>
      <c r="H2110" t="s">
        <v>3942</v>
      </c>
      <c r="J2110" t="s">
        <v>3962</v>
      </c>
      <c r="K2110" t="s">
        <v>519</v>
      </c>
      <c r="M2110" t="s">
        <v>520</v>
      </c>
      <c r="N2110" t="s">
        <v>571</v>
      </c>
      <c r="O2110" t="s">
        <v>653</v>
      </c>
      <c r="P2110" t="s">
        <v>654</v>
      </c>
      <c r="Q2110" t="s">
        <v>638</v>
      </c>
      <c r="R2110" t="s">
        <v>639</v>
      </c>
      <c r="S2110" t="s">
        <v>655</v>
      </c>
      <c r="T2110" t="s">
        <v>527</v>
      </c>
      <c r="U2110">
        <v>118300</v>
      </c>
      <c r="V2110" t="s">
        <v>689</v>
      </c>
      <c r="W2110" t="s">
        <v>657</v>
      </c>
      <c r="X2110" t="s">
        <v>12456</v>
      </c>
      <c r="Y2110" t="s">
        <v>4658</v>
      </c>
      <c r="Z2110" t="s">
        <v>958</v>
      </c>
      <c r="AA2110" t="s">
        <v>4659</v>
      </c>
      <c r="AB2110" t="s">
        <v>4176</v>
      </c>
      <c r="AE2110">
        <v>-36.714248060000003</v>
      </c>
      <c r="AF2110">
        <v>174.7432216</v>
      </c>
      <c r="AG2110">
        <v>75</v>
      </c>
      <c r="AH2110">
        <v>25</v>
      </c>
      <c r="AI2110">
        <v>4</v>
      </c>
      <c r="AJ2110">
        <v>7</v>
      </c>
      <c r="AK2110">
        <v>20</v>
      </c>
      <c r="AL2110">
        <v>15</v>
      </c>
      <c r="AM2110">
        <v>19</v>
      </c>
      <c r="AN2110">
        <v>0</v>
      </c>
      <c r="AO2110">
        <v>65</v>
      </c>
      <c r="AP2110">
        <v>34</v>
      </c>
      <c r="AQ2110">
        <v>9</v>
      </c>
      <c r="AR2110">
        <v>2</v>
      </c>
      <c r="AS2110">
        <v>31</v>
      </c>
      <c r="AT2110">
        <v>2</v>
      </c>
    </row>
    <row r="2111" spans="1:46">
      <c r="A2111">
        <v>45856</v>
      </c>
      <c r="B2111" t="s">
        <v>12457</v>
      </c>
      <c r="C2111" t="s">
        <v>12458</v>
      </c>
      <c r="D2111" t="s">
        <v>12459</v>
      </c>
      <c r="E2111" t="s">
        <v>12460</v>
      </c>
      <c r="G2111" t="s">
        <v>7192</v>
      </c>
      <c r="H2111" t="s">
        <v>3942</v>
      </c>
      <c r="J2111" t="s">
        <v>3962</v>
      </c>
      <c r="K2111" t="s">
        <v>519</v>
      </c>
      <c r="M2111" t="s">
        <v>520</v>
      </c>
      <c r="N2111" t="s">
        <v>571</v>
      </c>
      <c r="O2111" t="s">
        <v>637</v>
      </c>
      <c r="P2111" t="s">
        <v>572</v>
      </c>
      <c r="Q2111" t="s">
        <v>638</v>
      </c>
      <c r="R2111" t="s">
        <v>639</v>
      </c>
      <c r="S2111" t="s">
        <v>640</v>
      </c>
      <c r="T2111" t="s">
        <v>527</v>
      </c>
      <c r="U2111">
        <v>115501</v>
      </c>
      <c r="V2111" t="s">
        <v>7192</v>
      </c>
      <c r="W2111" t="s">
        <v>641</v>
      </c>
      <c r="X2111" t="s">
        <v>12461</v>
      </c>
      <c r="Y2111" t="s">
        <v>4658</v>
      </c>
      <c r="Z2111" t="s">
        <v>958</v>
      </c>
      <c r="AA2111" t="s">
        <v>4659</v>
      </c>
      <c r="AB2111" t="s">
        <v>12462</v>
      </c>
      <c r="AE2111">
        <v>-36.717927029999998</v>
      </c>
      <c r="AF2111">
        <v>174.63901847</v>
      </c>
      <c r="AG2111">
        <v>50</v>
      </c>
      <c r="AH2111">
        <v>10</v>
      </c>
      <c r="AI2111">
        <v>2</v>
      </c>
      <c r="AJ2111">
        <v>2</v>
      </c>
      <c r="AK2111">
        <v>4</v>
      </c>
      <c r="AL2111">
        <v>12</v>
      </c>
      <c r="AM2111">
        <v>8</v>
      </c>
      <c r="AN2111">
        <v>0</v>
      </c>
      <c r="AO2111">
        <v>28</v>
      </c>
      <c r="AP2111">
        <v>23</v>
      </c>
      <c r="AQ2111">
        <v>3</v>
      </c>
      <c r="AR2111">
        <v>3</v>
      </c>
      <c r="AS2111">
        <v>5</v>
      </c>
      <c r="AT2111">
        <v>0</v>
      </c>
    </row>
    <row r="2112" spans="1:46">
      <c r="A2112">
        <v>45857</v>
      </c>
      <c r="B2112" t="s">
        <v>12463</v>
      </c>
      <c r="C2112" t="s">
        <v>12464</v>
      </c>
      <c r="D2112" t="s">
        <v>12465</v>
      </c>
      <c r="E2112" t="s">
        <v>12466</v>
      </c>
      <c r="F2112" t="s">
        <v>1017</v>
      </c>
      <c r="G2112" t="s">
        <v>652</v>
      </c>
      <c r="H2112" t="s">
        <v>3942</v>
      </c>
      <c r="J2112" t="s">
        <v>3962</v>
      </c>
      <c r="K2112" t="s">
        <v>519</v>
      </c>
      <c r="M2112" t="s">
        <v>520</v>
      </c>
      <c r="N2112" t="s">
        <v>571</v>
      </c>
      <c r="O2112" t="s">
        <v>857</v>
      </c>
      <c r="P2112" t="s">
        <v>654</v>
      </c>
      <c r="Q2112" t="s">
        <v>638</v>
      </c>
      <c r="R2112" t="s">
        <v>708</v>
      </c>
      <c r="S2112" t="s">
        <v>913</v>
      </c>
      <c r="T2112" t="s">
        <v>709</v>
      </c>
      <c r="U2112">
        <v>139300</v>
      </c>
      <c r="V2112" t="s">
        <v>6761</v>
      </c>
      <c r="W2112" t="s">
        <v>860</v>
      </c>
      <c r="X2112" t="s">
        <v>12467</v>
      </c>
      <c r="Y2112" t="s">
        <v>12468</v>
      </c>
      <c r="Z2112" t="s">
        <v>821</v>
      </c>
      <c r="AA2112" t="s">
        <v>4069</v>
      </c>
      <c r="AE2112">
        <v>-36.887836</v>
      </c>
      <c r="AF2112">
        <v>174.75005135000001</v>
      </c>
      <c r="AG2112">
        <v>33</v>
      </c>
      <c r="AH2112">
        <v>8</v>
      </c>
      <c r="AI2112">
        <v>0</v>
      </c>
      <c r="AJ2112">
        <v>5</v>
      </c>
      <c r="AK2112">
        <v>7</v>
      </c>
      <c r="AL2112">
        <v>10</v>
      </c>
      <c r="AM2112">
        <v>5</v>
      </c>
      <c r="AN2112">
        <v>0</v>
      </c>
      <c r="AO2112">
        <v>27</v>
      </c>
      <c r="AP2112">
        <v>21</v>
      </c>
      <c r="AQ2112">
        <v>2</v>
      </c>
      <c r="AR2112">
        <v>0</v>
      </c>
      <c r="AS2112">
        <v>12</v>
      </c>
      <c r="AT2112">
        <v>1</v>
      </c>
    </row>
    <row r="2113" spans="1:46">
      <c r="A2113">
        <v>45861</v>
      </c>
      <c r="B2113" t="s">
        <v>12469</v>
      </c>
      <c r="C2113" t="s">
        <v>12470</v>
      </c>
      <c r="E2113" t="s">
        <v>12471</v>
      </c>
      <c r="G2113" t="s">
        <v>12472</v>
      </c>
      <c r="H2113" t="s">
        <v>3942</v>
      </c>
      <c r="J2113" t="s">
        <v>3962</v>
      </c>
      <c r="K2113" t="s">
        <v>519</v>
      </c>
      <c r="M2113" t="s">
        <v>2287</v>
      </c>
      <c r="N2113" t="s">
        <v>557</v>
      </c>
      <c r="O2113" t="s">
        <v>2288</v>
      </c>
      <c r="P2113" t="s">
        <v>540</v>
      </c>
      <c r="Q2113" t="s">
        <v>1636</v>
      </c>
      <c r="R2113" t="s">
        <v>2289</v>
      </c>
      <c r="S2113" t="s">
        <v>2269</v>
      </c>
      <c r="T2113" t="s">
        <v>2085</v>
      </c>
      <c r="U2113">
        <v>232800</v>
      </c>
      <c r="V2113" t="s">
        <v>12472</v>
      </c>
      <c r="W2113" t="s">
        <v>2291</v>
      </c>
      <c r="X2113" t="s">
        <v>8934</v>
      </c>
      <c r="Y2113" t="s">
        <v>8935</v>
      </c>
      <c r="Z2113" t="s">
        <v>2267</v>
      </c>
      <c r="AA2113" t="s">
        <v>8936</v>
      </c>
      <c r="AB2113" t="s">
        <v>8937</v>
      </c>
      <c r="AC2113">
        <v>99047</v>
      </c>
      <c r="AD2113" t="s">
        <v>2296</v>
      </c>
      <c r="AE2113">
        <v>-40.0688016</v>
      </c>
      <c r="AF2113">
        <v>176.21506686999999</v>
      </c>
      <c r="AG2113">
        <v>35</v>
      </c>
      <c r="AH2113">
        <v>12</v>
      </c>
      <c r="AI2113">
        <v>2</v>
      </c>
      <c r="AJ2113">
        <v>5</v>
      </c>
      <c r="AK2113">
        <v>10</v>
      </c>
      <c r="AL2113">
        <v>12</v>
      </c>
      <c r="AM2113">
        <v>13</v>
      </c>
      <c r="AN2113">
        <v>2</v>
      </c>
      <c r="AO2113">
        <v>44</v>
      </c>
      <c r="AP2113">
        <v>37</v>
      </c>
      <c r="AQ2113">
        <v>16</v>
      </c>
      <c r="AR2113">
        <v>0</v>
      </c>
      <c r="AS2113">
        <v>1</v>
      </c>
      <c r="AT2113">
        <v>0</v>
      </c>
    </row>
    <row r="2114" spans="1:46">
      <c r="A2114">
        <v>45863</v>
      </c>
      <c r="B2114" t="s">
        <v>12473</v>
      </c>
      <c r="C2114" t="s">
        <v>12474</v>
      </c>
      <c r="D2114" t="s">
        <v>12475</v>
      </c>
      <c r="E2114" t="s">
        <v>12476</v>
      </c>
      <c r="F2114" t="s">
        <v>9007</v>
      </c>
      <c r="G2114" t="s">
        <v>2081</v>
      </c>
      <c r="H2114" t="s">
        <v>8824</v>
      </c>
      <c r="I2114" t="s">
        <v>4951</v>
      </c>
      <c r="J2114" t="s">
        <v>518</v>
      </c>
      <c r="K2114" t="s">
        <v>519</v>
      </c>
      <c r="M2114" t="s">
        <v>1297</v>
      </c>
      <c r="N2114" t="s">
        <v>539</v>
      </c>
      <c r="O2114" t="s">
        <v>2082</v>
      </c>
      <c r="P2114" t="s">
        <v>584</v>
      </c>
      <c r="Q2114" t="s">
        <v>2083</v>
      </c>
      <c r="R2114" t="s">
        <v>2084</v>
      </c>
      <c r="S2114" t="s">
        <v>1473</v>
      </c>
      <c r="T2114" t="s">
        <v>2085</v>
      </c>
      <c r="U2114">
        <v>206000</v>
      </c>
      <c r="V2114" t="s">
        <v>2086</v>
      </c>
      <c r="W2114" t="s">
        <v>2087</v>
      </c>
      <c r="X2114" t="s">
        <v>12477</v>
      </c>
      <c r="Y2114" t="s">
        <v>8598</v>
      </c>
      <c r="Z2114" t="s">
        <v>8599</v>
      </c>
      <c r="AA2114" t="s">
        <v>8600</v>
      </c>
      <c r="AB2114" t="s">
        <v>12478</v>
      </c>
      <c r="AE2114">
        <v>-38.657862100000003</v>
      </c>
      <c r="AF2114">
        <v>177.99843304000001</v>
      </c>
      <c r="AG2114">
        <v>50</v>
      </c>
      <c r="AH2114">
        <v>14</v>
      </c>
      <c r="AI2114">
        <v>2</v>
      </c>
      <c r="AJ2114">
        <v>5</v>
      </c>
      <c r="AK2114">
        <v>10</v>
      </c>
      <c r="AL2114">
        <v>10</v>
      </c>
      <c r="AM2114">
        <v>6</v>
      </c>
      <c r="AN2114">
        <v>0</v>
      </c>
      <c r="AO2114">
        <v>33</v>
      </c>
      <c r="AP2114">
        <v>4</v>
      </c>
      <c r="AQ2114">
        <v>33</v>
      </c>
      <c r="AR2114">
        <v>3</v>
      </c>
      <c r="AS2114">
        <v>0</v>
      </c>
      <c r="AT2114">
        <v>0</v>
      </c>
    </row>
    <row r="2115" spans="1:46">
      <c r="A2115">
        <v>45864</v>
      </c>
      <c r="B2115" t="s">
        <v>12479</v>
      </c>
      <c r="C2115" t="s">
        <v>12480</v>
      </c>
      <c r="D2115" t="s">
        <v>12481</v>
      </c>
      <c r="E2115" t="s">
        <v>12482</v>
      </c>
      <c r="F2115" t="s">
        <v>3662</v>
      </c>
      <c r="G2115" t="s">
        <v>2941</v>
      </c>
      <c r="H2115" t="s">
        <v>3942</v>
      </c>
      <c r="J2115" t="s">
        <v>3962</v>
      </c>
      <c r="K2115" t="s">
        <v>519</v>
      </c>
      <c r="M2115" t="s">
        <v>2287</v>
      </c>
      <c r="N2115" t="s">
        <v>4519</v>
      </c>
      <c r="O2115" t="s">
        <v>3208</v>
      </c>
      <c r="P2115" t="s">
        <v>523</v>
      </c>
      <c r="Q2115" t="s">
        <v>2943</v>
      </c>
      <c r="R2115" t="s">
        <v>2944</v>
      </c>
      <c r="S2115" t="s">
        <v>3179</v>
      </c>
      <c r="T2115" t="s">
        <v>2448</v>
      </c>
      <c r="U2115">
        <v>336102</v>
      </c>
      <c r="V2115" t="s">
        <v>12483</v>
      </c>
      <c r="W2115" t="s">
        <v>3664</v>
      </c>
      <c r="X2115" t="s">
        <v>12484</v>
      </c>
      <c r="Y2115" t="s">
        <v>12485</v>
      </c>
      <c r="Z2115" t="s">
        <v>3662</v>
      </c>
      <c r="AA2115" t="s">
        <v>12486</v>
      </c>
      <c r="AB2115" t="s">
        <v>12487</v>
      </c>
      <c r="AC2115">
        <v>99113</v>
      </c>
      <c r="AD2115" t="s">
        <v>3665</v>
      </c>
      <c r="AE2115">
        <v>-43.642479379999997</v>
      </c>
      <c r="AF2115">
        <v>172.49465638000001</v>
      </c>
      <c r="AG2115">
        <v>80</v>
      </c>
      <c r="AH2115">
        <v>20</v>
      </c>
      <c r="AI2115">
        <v>4</v>
      </c>
      <c r="AJ2115">
        <v>13</v>
      </c>
      <c r="AK2115">
        <v>19</v>
      </c>
      <c r="AL2115">
        <v>24</v>
      </c>
      <c r="AM2115">
        <v>21</v>
      </c>
      <c r="AN2115">
        <v>2</v>
      </c>
      <c r="AO2115">
        <v>83</v>
      </c>
      <c r="AP2115">
        <v>76</v>
      </c>
      <c r="AQ2115">
        <v>9</v>
      </c>
      <c r="AR2115">
        <v>1</v>
      </c>
      <c r="AS2115">
        <v>2</v>
      </c>
      <c r="AT2115">
        <v>5</v>
      </c>
    </row>
    <row r="2116" spans="1:46">
      <c r="A2116">
        <v>45865</v>
      </c>
      <c r="B2116" t="s">
        <v>12488</v>
      </c>
      <c r="C2116" t="s">
        <v>12489</v>
      </c>
      <c r="D2116" t="s">
        <v>12490</v>
      </c>
      <c r="E2116" t="s">
        <v>12491</v>
      </c>
      <c r="F2116" t="s">
        <v>7549</v>
      </c>
      <c r="G2116" t="s">
        <v>652</v>
      </c>
      <c r="H2116" t="s">
        <v>3942</v>
      </c>
      <c r="I2116" t="s">
        <v>4951</v>
      </c>
      <c r="J2116" t="s">
        <v>518</v>
      </c>
      <c r="K2116" t="s">
        <v>519</v>
      </c>
      <c r="M2116" t="s">
        <v>520</v>
      </c>
      <c r="N2116" t="s">
        <v>727</v>
      </c>
      <c r="O2116" t="s">
        <v>1216</v>
      </c>
      <c r="P2116" t="s">
        <v>654</v>
      </c>
      <c r="Q2116" t="s">
        <v>638</v>
      </c>
      <c r="R2116" t="s">
        <v>729</v>
      </c>
      <c r="S2116" t="s">
        <v>1036</v>
      </c>
      <c r="T2116" t="s">
        <v>709</v>
      </c>
      <c r="U2116">
        <v>159201</v>
      </c>
      <c r="V2116" t="s">
        <v>12492</v>
      </c>
      <c r="W2116" t="s">
        <v>1219</v>
      </c>
      <c r="X2116" t="s">
        <v>12493</v>
      </c>
      <c r="Y2116" t="s">
        <v>4954</v>
      </c>
      <c r="Z2116" t="s">
        <v>4955</v>
      </c>
      <c r="AA2116" t="s">
        <v>4956</v>
      </c>
      <c r="AB2116" t="s">
        <v>12494</v>
      </c>
      <c r="AE2116">
        <v>-37.017870889999998</v>
      </c>
      <c r="AF2116">
        <v>174.87078410999999</v>
      </c>
      <c r="AG2116">
        <v>45</v>
      </c>
      <c r="AH2116">
        <v>0</v>
      </c>
      <c r="AI2116">
        <v>0</v>
      </c>
      <c r="AJ2116">
        <v>0</v>
      </c>
      <c r="AK2116">
        <v>8</v>
      </c>
      <c r="AL2116">
        <v>18</v>
      </c>
      <c r="AM2116">
        <v>17</v>
      </c>
      <c r="AN2116">
        <v>1</v>
      </c>
      <c r="AO2116">
        <v>44</v>
      </c>
      <c r="AP2116">
        <v>14</v>
      </c>
      <c r="AQ2116">
        <v>28</v>
      </c>
      <c r="AR2116">
        <v>27</v>
      </c>
      <c r="AS2116">
        <v>6</v>
      </c>
      <c r="AT2116">
        <v>0</v>
      </c>
    </row>
    <row r="2117" spans="1:46">
      <c r="A2117">
        <v>45866</v>
      </c>
      <c r="B2117" t="s">
        <v>12495</v>
      </c>
      <c r="C2117" t="s">
        <v>12496</v>
      </c>
      <c r="D2117" t="s">
        <v>12497</v>
      </c>
      <c r="E2117" t="s">
        <v>12498</v>
      </c>
      <c r="F2117" t="s">
        <v>1146</v>
      </c>
      <c r="G2117" t="s">
        <v>652</v>
      </c>
      <c r="H2117" t="s">
        <v>3942</v>
      </c>
      <c r="I2117" t="s">
        <v>4065</v>
      </c>
      <c r="J2117" t="s">
        <v>3962</v>
      </c>
      <c r="K2117" t="s">
        <v>519</v>
      </c>
      <c r="M2117" t="s">
        <v>520</v>
      </c>
      <c r="N2117" t="s">
        <v>4519</v>
      </c>
      <c r="O2117" t="s">
        <v>957</v>
      </c>
      <c r="P2117" t="s">
        <v>654</v>
      </c>
      <c r="Q2117" t="s">
        <v>638</v>
      </c>
      <c r="R2117" t="s">
        <v>708</v>
      </c>
      <c r="S2117" t="s">
        <v>858</v>
      </c>
      <c r="T2117" t="s">
        <v>709</v>
      </c>
      <c r="U2117">
        <v>132100</v>
      </c>
      <c r="V2117" t="s">
        <v>5814</v>
      </c>
      <c r="W2117" t="s">
        <v>959</v>
      </c>
      <c r="X2117" t="s">
        <v>12499</v>
      </c>
      <c r="Y2117" t="s">
        <v>4107</v>
      </c>
      <c r="AA2117" t="s">
        <v>3982</v>
      </c>
      <c r="AB2117" t="s">
        <v>12500</v>
      </c>
      <c r="AE2117">
        <v>-36.8624048</v>
      </c>
      <c r="AF2117">
        <v>174.73445140000001</v>
      </c>
      <c r="AG2117">
        <v>50</v>
      </c>
      <c r="AH2117">
        <v>0</v>
      </c>
      <c r="AI2117">
        <v>0</v>
      </c>
      <c r="AJ2117">
        <v>0</v>
      </c>
      <c r="AK2117">
        <v>11</v>
      </c>
      <c r="AL2117">
        <v>17</v>
      </c>
      <c r="AM2117">
        <v>14</v>
      </c>
      <c r="AN2117">
        <v>0</v>
      </c>
      <c r="AO2117">
        <v>42</v>
      </c>
      <c r="AP2117">
        <v>29</v>
      </c>
      <c r="AQ2117">
        <v>3</v>
      </c>
      <c r="AR2117">
        <v>7</v>
      </c>
      <c r="AS2117">
        <v>7</v>
      </c>
      <c r="AT2117">
        <v>8</v>
      </c>
    </row>
    <row r="2118" spans="1:46">
      <c r="A2118">
        <v>45868</v>
      </c>
      <c r="B2118" t="s">
        <v>12501</v>
      </c>
      <c r="C2118" t="s">
        <v>12502</v>
      </c>
      <c r="E2118" t="s">
        <v>12503</v>
      </c>
      <c r="F2118" t="s">
        <v>1981</v>
      </c>
      <c r="G2118" t="s">
        <v>1974</v>
      </c>
      <c r="H2118" t="s">
        <v>3942</v>
      </c>
      <c r="J2118" t="s">
        <v>518</v>
      </c>
      <c r="K2118" t="s">
        <v>519</v>
      </c>
      <c r="M2118" t="s">
        <v>1297</v>
      </c>
      <c r="N2118" t="s">
        <v>557</v>
      </c>
      <c r="O2118" t="s">
        <v>1956</v>
      </c>
      <c r="P2118" t="s">
        <v>584</v>
      </c>
      <c r="Q2118" t="s">
        <v>1636</v>
      </c>
      <c r="R2118" t="s">
        <v>1760</v>
      </c>
      <c r="S2118" t="s">
        <v>1974</v>
      </c>
      <c r="T2118" t="s">
        <v>1485</v>
      </c>
      <c r="U2118">
        <v>229201</v>
      </c>
      <c r="V2118" t="s">
        <v>12504</v>
      </c>
      <c r="W2118" t="s">
        <v>1957</v>
      </c>
      <c r="X2118" t="s">
        <v>12505</v>
      </c>
      <c r="Y2118" t="s">
        <v>12506</v>
      </c>
      <c r="Z2118" t="s">
        <v>12507</v>
      </c>
      <c r="AA2118" t="s">
        <v>1960</v>
      </c>
      <c r="AB2118" t="s">
        <v>12508</v>
      </c>
      <c r="AE2118">
        <v>-40.351125279999998</v>
      </c>
      <c r="AF2118">
        <v>175.58129661999999</v>
      </c>
      <c r="AG2118">
        <v>50</v>
      </c>
      <c r="AH2118">
        <v>16</v>
      </c>
      <c r="AI2118">
        <v>1</v>
      </c>
      <c r="AJ2118">
        <v>5</v>
      </c>
      <c r="AK2118">
        <v>11</v>
      </c>
      <c r="AL2118">
        <v>12</v>
      </c>
      <c r="AM2118">
        <v>18</v>
      </c>
      <c r="AN2118">
        <v>0</v>
      </c>
      <c r="AO2118">
        <v>47</v>
      </c>
      <c r="AP2118">
        <v>33</v>
      </c>
      <c r="AQ2118">
        <v>16</v>
      </c>
      <c r="AR2118">
        <v>9</v>
      </c>
      <c r="AS2118">
        <v>9</v>
      </c>
      <c r="AT2118">
        <v>3</v>
      </c>
    </row>
    <row r="2119" spans="1:46">
      <c r="A2119">
        <v>45870</v>
      </c>
      <c r="B2119" t="s">
        <v>12509</v>
      </c>
      <c r="C2119" t="s">
        <v>12510</v>
      </c>
      <c r="D2119" t="s">
        <v>12511</v>
      </c>
      <c r="E2119" t="s">
        <v>12512</v>
      </c>
      <c r="G2119" t="s">
        <v>1545</v>
      </c>
      <c r="H2119" t="s">
        <v>3942</v>
      </c>
      <c r="J2119" t="s">
        <v>518</v>
      </c>
      <c r="K2119" t="s">
        <v>519</v>
      </c>
      <c r="M2119" t="s">
        <v>1297</v>
      </c>
      <c r="N2119" t="s">
        <v>4519</v>
      </c>
      <c r="O2119" t="s">
        <v>1546</v>
      </c>
      <c r="P2119" t="s">
        <v>1262</v>
      </c>
      <c r="Q2119" t="s">
        <v>1299</v>
      </c>
      <c r="R2119" t="s">
        <v>1472</v>
      </c>
      <c r="S2119" t="s">
        <v>1320</v>
      </c>
      <c r="T2119" t="s">
        <v>1474</v>
      </c>
      <c r="U2119">
        <v>188600</v>
      </c>
      <c r="V2119" t="s">
        <v>9836</v>
      </c>
      <c r="W2119" t="s">
        <v>1548</v>
      </c>
      <c r="X2119" t="s">
        <v>10487</v>
      </c>
      <c r="Y2119" t="s">
        <v>3944</v>
      </c>
      <c r="Z2119" t="s">
        <v>3945</v>
      </c>
      <c r="AA2119" t="s">
        <v>3946</v>
      </c>
      <c r="AB2119" t="s">
        <v>10488</v>
      </c>
      <c r="AC2119">
        <v>99020</v>
      </c>
      <c r="AD2119" t="s">
        <v>1550</v>
      </c>
      <c r="AE2119">
        <v>-38.689034599999999</v>
      </c>
      <c r="AF2119">
        <v>176.07502550000001</v>
      </c>
      <c r="AG2119">
        <v>50</v>
      </c>
      <c r="AH2119">
        <v>0</v>
      </c>
      <c r="AI2119">
        <v>0</v>
      </c>
      <c r="AJ2119">
        <v>0</v>
      </c>
      <c r="AK2119">
        <v>7</v>
      </c>
      <c r="AL2119">
        <v>20</v>
      </c>
      <c r="AM2119">
        <v>19</v>
      </c>
      <c r="AN2119">
        <v>2</v>
      </c>
      <c r="AO2119">
        <v>48</v>
      </c>
      <c r="AP2119">
        <v>14</v>
      </c>
      <c r="AQ2119">
        <v>13</v>
      </c>
      <c r="AR2119">
        <v>2</v>
      </c>
      <c r="AS2119">
        <v>24</v>
      </c>
      <c r="AT2119">
        <v>2</v>
      </c>
    </row>
    <row r="2120" spans="1:46">
      <c r="A2120">
        <v>45871</v>
      </c>
      <c r="B2120" t="s">
        <v>12513</v>
      </c>
      <c r="C2120" t="s">
        <v>12514</v>
      </c>
      <c r="D2120" t="s">
        <v>12515</v>
      </c>
      <c r="E2120" t="s">
        <v>12516</v>
      </c>
      <c r="G2120" t="s">
        <v>4316</v>
      </c>
      <c r="H2120" t="s">
        <v>3942</v>
      </c>
      <c r="J2120" t="s">
        <v>3962</v>
      </c>
      <c r="K2120" t="s">
        <v>519</v>
      </c>
      <c r="M2120" t="s">
        <v>520</v>
      </c>
      <c r="N2120" t="s">
        <v>4519</v>
      </c>
      <c r="O2120" t="s">
        <v>637</v>
      </c>
      <c r="P2120" t="s">
        <v>572</v>
      </c>
      <c r="Q2120" t="s">
        <v>638</v>
      </c>
      <c r="R2120" t="s">
        <v>639</v>
      </c>
      <c r="S2120" t="s">
        <v>640</v>
      </c>
      <c r="T2120" t="s">
        <v>527</v>
      </c>
      <c r="U2120">
        <v>113201</v>
      </c>
      <c r="V2120" t="s">
        <v>4317</v>
      </c>
      <c r="W2120" t="s">
        <v>641</v>
      </c>
      <c r="X2120" t="s">
        <v>12517</v>
      </c>
      <c r="Y2120" t="s">
        <v>12518</v>
      </c>
      <c r="AA2120" t="s">
        <v>6212</v>
      </c>
      <c r="AB2120" t="s">
        <v>12514</v>
      </c>
      <c r="AC2120">
        <v>99097</v>
      </c>
      <c r="AD2120" t="s">
        <v>6213</v>
      </c>
      <c r="AE2120">
        <v>-36.78806204</v>
      </c>
      <c r="AF2120">
        <v>174.46720440999999</v>
      </c>
      <c r="AG2120">
        <v>34</v>
      </c>
      <c r="AH2120">
        <v>0</v>
      </c>
      <c r="AI2120">
        <v>0</v>
      </c>
      <c r="AJ2120">
        <v>0</v>
      </c>
      <c r="AK2120">
        <v>12</v>
      </c>
      <c r="AL2120">
        <v>15</v>
      </c>
      <c r="AM2120">
        <v>20</v>
      </c>
      <c r="AN2120">
        <v>1</v>
      </c>
      <c r="AO2120">
        <v>48</v>
      </c>
      <c r="AP2120">
        <v>42</v>
      </c>
      <c r="AQ2120">
        <v>10</v>
      </c>
      <c r="AR2120">
        <v>3</v>
      </c>
      <c r="AS2120">
        <v>5</v>
      </c>
      <c r="AT2120">
        <v>6</v>
      </c>
    </row>
    <row r="2121" spans="1:46">
      <c r="A2121">
        <v>45872</v>
      </c>
      <c r="B2121" t="s">
        <v>12519</v>
      </c>
      <c r="C2121" t="s">
        <v>12520</v>
      </c>
      <c r="E2121" t="s">
        <v>12521</v>
      </c>
      <c r="G2121" t="s">
        <v>1261</v>
      </c>
      <c r="H2121" t="s">
        <v>3942</v>
      </c>
      <c r="J2121" t="s">
        <v>3962</v>
      </c>
      <c r="K2121" t="s">
        <v>519</v>
      </c>
      <c r="M2121" t="s">
        <v>520</v>
      </c>
      <c r="N2121" t="s">
        <v>571</v>
      </c>
      <c r="O2121" t="s">
        <v>1233</v>
      </c>
      <c r="P2121" t="s">
        <v>1262</v>
      </c>
      <c r="Q2121" t="s">
        <v>638</v>
      </c>
      <c r="R2121" t="s">
        <v>729</v>
      </c>
      <c r="S2121" t="s">
        <v>1246</v>
      </c>
      <c r="T2121" t="s">
        <v>1235</v>
      </c>
      <c r="U2121">
        <v>166000</v>
      </c>
      <c r="V2121" t="s">
        <v>1280</v>
      </c>
      <c r="W2121" t="s">
        <v>1237</v>
      </c>
      <c r="X2121" t="s">
        <v>12522</v>
      </c>
      <c r="Y2121" t="s">
        <v>12523</v>
      </c>
      <c r="Z2121" t="s">
        <v>1245</v>
      </c>
      <c r="AA2121" t="s">
        <v>12524</v>
      </c>
      <c r="AC2121">
        <v>99075</v>
      </c>
      <c r="AD2121" t="s">
        <v>1264</v>
      </c>
      <c r="AE2121">
        <v>-37.2130467</v>
      </c>
      <c r="AF2121">
        <v>174.9081262</v>
      </c>
      <c r="AG2121">
        <v>150</v>
      </c>
      <c r="AH2121">
        <v>25</v>
      </c>
      <c r="AI2121">
        <v>2</v>
      </c>
      <c r="AJ2121">
        <v>12</v>
      </c>
      <c r="AK2121">
        <v>24</v>
      </c>
      <c r="AL2121">
        <v>20</v>
      </c>
      <c r="AM2121">
        <v>23</v>
      </c>
      <c r="AN2121">
        <v>1</v>
      </c>
      <c r="AO2121">
        <v>82</v>
      </c>
      <c r="AP2121">
        <v>70</v>
      </c>
      <c r="AQ2121">
        <v>19</v>
      </c>
      <c r="AR2121">
        <v>8</v>
      </c>
      <c r="AS2121">
        <v>14</v>
      </c>
      <c r="AT2121">
        <v>1</v>
      </c>
    </row>
    <row r="2122" spans="1:46">
      <c r="A2122">
        <v>45873</v>
      </c>
      <c r="B2122" t="s">
        <v>12525</v>
      </c>
      <c r="C2122" t="s">
        <v>12526</v>
      </c>
      <c r="D2122" t="s">
        <v>12527</v>
      </c>
      <c r="E2122" t="s">
        <v>12528</v>
      </c>
      <c r="F2122" t="s">
        <v>681</v>
      </c>
      <c r="G2122" t="s">
        <v>652</v>
      </c>
      <c r="H2122" t="s">
        <v>3942</v>
      </c>
      <c r="I2122" t="s">
        <v>5772</v>
      </c>
      <c r="J2122" t="s">
        <v>3962</v>
      </c>
      <c r="K2122" t="s">
        <v>519</v>
      </c>
      <c r="M2122" t="s">
        <v>520</v>
      </c>
      <c r="N2122" t="s">
        <v>571</v>
      </c>
      <c r="O2122" t="s">
        <v>1168</v>
      </c>
      <c r="P2122" t="s">
        <v>654</v>
      </c>
      <c r="Q2122" t="s">
        <v>638</v>
      </c>
      <c r="R2122" t="s">
        <v>639</v>
      </c>
      <c r="S2122" t="s">
        <v>655</v>
      </c>
      <c r="T2122" t="s">
        <v>527</v>
      </c>
      <c r="U2122">
        <v>119700</v>
      </c>
      <c r="V2122" t="s">
        <v>4860</v>
      </c>
      <c r="W2122" t="s">
        <v>657</v>
      </c>
      <c r="X2122" t="s">
        <v>12529</v>
      </c>
      <c r="Y2122" t="s">
        <v>12530</v>
      </c>
      <c r="Z2122" t="s">
        <v>681</v>
      </c>
      <c r="AA2122" t="s">
        <v>4084</v>
      </c>
      <c r="AC2122">
        <v>99000</v>
      </c>
      <c r="AD2122" t="s">
        <v>684</v>
      </c>
      <c r="AE2122">
        <v>-36.73896517</v>
      </c>
      <c r="AF2122">
        <v>174.74159990000001</v>
      </c>
      <c r="AG2122">
        <v>138</v>
      </c>
      <c r="AH2122">
        <v>25</v>
      </c>
      <c r="AI2122">
        <v>3</v>
      </c>
      <c r="AJ2122">
        <v>15</v>
      </c>
      <c r="AK2122">
        <v>17</v>
      </c>
      <c r="AL2122">
        <v>24</v>
      </c>
      <c r="AM2122">
        <v>24</v>
      </c>
      <c r="AN2122">
        <v>0</v>
      </c>
      <c r="AO2122">
        <v>83</v>
      </c>
      <c r="AP2122">
        <v>36</v>
      </c>
      <c r="AQ2122">
        <v>3</v>
      </c>
      <c r="AR2122">
        <v>0</v>
      </c>
      <c r="AS2122">
        <v>47</v>
      </c>
      <c r="AT2122">
        <v>4</v>
      </c>
    </row>
    <row r="2123" spans="1:46">
      <c r="A2123">
        <v>45875</v>
      </c>
      <c r="B2123" t="s">
        <v>12531</v>
      </c>
      <c r="C2123" t="s">
        <v>12532</v>
      </c>
      <c r="D2123" t="s">
        <v>12533</v>
      </c>
      <c r="E2123" t="s">
        <v>12534</v>
      </c>
      <c r="F2123" t="s">
        <v>4428</v>
      </c>
      <c r="G2123" t="s">
        <v>652</v>
      </c>
      <c r="H2123" t="s">
        <v>3942</v>
      </c>
      <c r="I2123" t="s">
        <v>4065</v>
      </c>
      <c r="J2123" t="s">
        <v>3962</v>
      </c>
      <c r="K2123" t="s">
        <v>519</v>
      </c>
      <c r="M2123" t="s">
        <v>520</v>
      </c>
      <c r="N2123" t="s">
        <v>4519</v>
      </c>
      <c r="O2123" t="s">
        <v>829</v>
      </c>
      <c r="P2123" t="s">
        <v>654</v>
      </c>
      <c r="Q2123" t="s">
        <v>638</v>
      </c>
      <c r="R2123" t="s">
        <v>708</v>
      </c>
      <c r="S2123" t="s">
        <v>880</v>
      </c>
      <c r="T2123" t="s">
        <v>709</v>
      </c>
      <c r="U2123">
        <v>145800</v>
      </c>
      <c r="V2123" t="s">
        <v>881</v>
      </c>
      <c r="W2123" t="s">
        <v>807</v>
      </c>
      <c r="X2123" t="s">
        <v>11124</v>
      </c>
      <c r="Y2123" t="s">
        <v>12534</v>
      </c>
      <c r="Z2123" t="s">
        <v>4428</v>
      </c>
      <c r="AA2123" t="s">
        <v>4356</v>
      </c>
      <c r="AB2123" t="s">
        <v>11126</v>
      </c>
      <c r="AE2123">
        <v>-36.869602110000002</v>
      </c>
      <c r="AF2123">
        <v>174.87452139999999</v>
      </c>
      <c r="AG2123">
        <v>37</v>
      </c>
      <c r="AH2123">
        <v>0</v>
      </c>
      <c r="AI2123">
        <v>0</v>
      </c>
      <c r="AJ2123">
        <v>0</v>
      </c>
      <c r="AK2123">
        <v>1</v>
      </c>
      <c r="AL2123">
        <v>12</v>
      </c>
      <c r="AM2123">
        <v>6</v>
      </c>
      <c r="AN2123">
        <v>1</v>
      </c>
      <c r="AO2123">
        <v>20</v>
      </c>
      <c r="AP2123">
        <v>8</v>
      </c>
      <c r="AQ2123">
        <v>3</v>
      </c>
      <c r="AR2123">
        <v>3</v>
      </c>
      <c r="AS2123">
        <v>13</v>
      </c>
      <c r="AT2123">
        <v>0</v>
      </c>
    </row>
    <row r="2124" spans="1:46">
      <c r="A2124">
        <v>45877</v>
      </c>
      <c r="B2124" t="s">
        <v>12535</v>
      </c>
      <c r="C2124" t="s">
        <v>12536</v>
      </c>
      <c r="D2124" t="s">
        <v>12537</v>
      </c>
      <c r="E2124" t="s">
        <v>12538</v>
      </c>
      <c r="F2124" t="s">
        <v>5104</v>
      </c>
      <c r="G2124" t="s">
        <v>4204</v>
      </c>
      <c r="H2124" t="s">
        <v>3942</v>
      </c>
      <c r="J2124" t="s">
        <v>518</v>
      </c>
      <c r="K2124" t="s">
        <v>519</v>
      </c>
      <c r="M2124" t="s">
        <v>520</v>
      </c>
      <c r="N2124" t="s">
        <v>571</v>
      </c>
      <c r="O2124" t="s">
        <v>707</v>
      </c>
      <c r="P2124" t="s">
        <v>654</v>
      </c>
      <c r="Q2124" t="s">
        <v>638</v>
      </c>
      <c r="R2124" t="s">
        <v>729</v>
      </c>
      <c r="S2124" t="s">
        <v>1217</v>
      </c>
      <c r="T2124" t="s">
        <v>709</v>
      </c>
      <c r="U2124">
        <v>158101</v>
      </c>
      <c r="V2124" t="s">
        <v>12539</v>
      </c>
      <c r="W2124" t="s">
        <v>711</v>
      </c>
      <c r="X2124" t="s">
        <v>3943</v>
      </c>
      <c r="Y2124" t="s">
        <v>3944</v>
      </c>
      <c r="Z2124" t="s">
        <v>3945</v>
      </c>
      <c r="AA2124" t="s">
        <v>3946</v>
      </c>
      <c r="AB2124" t="s">
        <v>3947</v>
      </c>
      <c r="AE2124">
        <v>-36.97356173</v>
      </c>
      <c r="AF2124">
        <v>174.91813622999999</v>
      </c>
      <c r="AG2124">
        <v>100</v>
      </c>
      <c r="AH2124">
        <v>25</v>
      </c>
      <c r="AI2124">
        <v>1</v>
      </c>
      <c r="AJ2124">
        <v>12</v>
      </c>
      <c r="AK2124">
        <v>22</v>
      </c>
      <c r="AL2124">
        <v>38</v>
      </c>
      <c r="AM2124">
        <v>47</v>
      </c>
      <c r="AN2124">
        <v>7</v>
      </c>
      <c r="AO2124">
        <v>127</v>
      </c>
      <c r="AP2124">
        <v>23</v>
      </c>
      <c r="AQ2124">
        <v>4</v>
      </c>
      <c r="AR2124">
        <v>9</v>
      </c>
      <c r="AS2124">
        <v>110</v>
      </c>
      <c r="AT2124">
        <v>6</v>
      </c>
    </row>
    <row r="2125" spans="1:46">
      <c r="A2125">
        <v>45881</v>
      </c>
      <c r="B2125" t="s">
        <v>12540</v>
      </c>
      <c r="C2125" t="s">
        <v>12541</v>
      </c>
      <c r="D2125" t="s">
        <v>12542</v>
      </c>
      <c r="E2125" t="s">
        <v>12543</v>
      </c>
      <c r="F2125" t="s">
        <v>898</v>
      </c>
      <c r="G2125" t="s">
        <v>652</v>
      </c>
      <c r="H2125" t="s">
        <v>3942</v>
      </c>
      <c r="J2125" t="s">
        <v>518</v>
      </c>
      <c r="K2125" t="s">
        <v>519</v>
      </c>
      <c r="M2125" t="s">
        <v>520</v>
      </c>
      <c r="N2125" t="s">
        <v>571</v>
      </c>
      <c r="O2125" t="s">
        <v>813</v>
      </c>
      <c r="P2125" t="s">
        <v>654</v>
      </c>
      <c r="Q2125" t="s">
        <v>638</v>
      </c>
      <c r="R2125" t="s">
        <v>639</v>
      </c>
      <c r="S2125" t="s">
        <v>899</v>
      </c>
      <c r="T2125" t="s">
        <v>527</v>
      </c>
      <c r="U2125">
        <v>126702</v>
      </c>
      <c r="V2125" t="s">
        <v>900</v>
      </c>
      <c r="W2125" t="s">
        <v>815</v>
      </c>
      <c r="X2125" t="s">
        <v>12544</v>
      </c>
      <c r="Y2125" t="s">
        <v>6369</v>
      </c>
      <c r="Z2125" t="s">
        <v>4555</v>
      </c>
      <c r="AA2125" t="s">
        <v>4556</v>
      </c>
      <c r="AB2125" t="s">
        <v>12545</v>
      </c>
      <c r="AE2125">
        <v>-36.881657410000003</v>
      </c>
      <c r="AF2125">
        <v>174.62812851000001</v>
      </c>
      <c r="AG2125">
        <v>30</v>
      </c>
      <c r="AH2125">
        <v>25</v>
      </c>
      <c r="AI2125">
        <v>3</v>
      </c>
      <c r="AJ2125">
        <v>8</v>
      </c>
      <c r="AK2125">
        <v>4</v>
      </c>
      <c r="AL2125">
        <v>1</v>
      </c>
      <c r="AM2125">
        <v>9</v>
      </c>
      <c r="AN2125">
        <v>2</v>
      </c>
      <c r="AO2125">
        <v>27</v>
      </c>
      <c r="AP2125">
        <v>12</v>
      </c>
      <c r="AQ2125">
        <v>12</v>
      </c>
      <c r="AR2125">
        <v>8</v>
      </c>
      <c r="AS2125">
        <v>9</v>
      </c>
      <c r="AT2125">
        <v>0</v>
      </c>
    </row>
    <row r="2126" spans="1:46">
      <c r="A2126">
        <v>45883</v>
      </c>
      <c r="B2126" t="s">
        <v>12546</v>
      </c>
      <c r="C2126" t="s">
        <v>12547</v>
      </c>
      <c r="D2126" t="s">
        <v>12548</v>
      </c>
      <c r="E2126" t="s">
        <v>12549</v>
      </c>
      <c r="G2126" t="s">
        <v>1987</v>
      </c>
      <c r="H2126" t="s">
        <v>3942</v>
      </c>
      <c r="I2126" t="s">
        <v>12550</v>
      </c>
      <c r="J2126" t="s">
        <v>3962</v>
      </c>
      <c r="K2126" t="s">
        <v>519</v>
      </c>
      <c r="M2126" t="s">
        <v>1297</v>
      </c>
      <c r="N2126" t="s">
        <v>571</v>
      </c>
      <c r="O2126" t="s">
        <v>1988</v>
      </c>
      <c r="P2126" t="s">
        <v>1262</v>
      </c>
      <c r="Q2126" t="s">
        <v>1636</v>
      </c>
      <c r="R2126" t="s">
        <v>1760</v>
      </c>
      <c r="S2126" t="s">
        <v>1637</v>
      </c>
      <c r="T2126" t="s">
        <v>1485</v>
      </c>
      <c r="U2126">
        <v>228400</v>
      </c>
      <c r="V2126" t="s">
        <v>12551</v>
      </c>
      <c r="W2126" t="s">
        <v>12225</v>
      </c>
      <c r="X2126" t="s">
        <v>12552</v>
      </c>
      <c r="Y2126" t="s">
        <v>12553</v>
      </c>
      <c r="AA2126" t="s">
        <v>12554</v>
      </c>
      <c r="AB2126" t="s">
        <v>12555</v>
      </c>
      <c r="AC2126">
        <v>99134</v>
      </c>
      <c r="AD2126" t="s">
        <v>1991</v>
      </c>
      <c r="AE2126">
        <v>-40.241292639999998</v>
      </c>
      <c r="AF2126">
        <v>175.58175326</v>
      </c>
      <c r="AG2126">
        <v>50</v>
      </c>
      <c r="AH2126">
        <v>14</v>
      </c>
      <c r="AI2126">
        <v>3</v>
      </c>
      <c r="AJ2126">
        <v>11</v>
      </c>
      <c r="AK2126">
        <v>15</v>
      </c>
      <c r="AL2126">
        <v>17</v>
      </c>
      <c r="AM2126">
        <v>15</v>
      </c>
      <c r="AN2126">
        <v>1</v>
      </c>
      <c r="AO2126">
        <v>62</v>
      </c>
      <c r="AP2126">
        <v>57</v>
      </c>
      <c r="AQ2126">
        <v>13</v>
      </c>
      <c r="AR2126">
        <v>0</v>
      </c>
      <c r="AS2126">
        <v>1</v>
      </c>
      <c r="AT2126">
        <v>0</v>
      </c>
    </row>
    <row r="2127" spans="1:46">
      <c r="A2127">
        <v>45886</v>
      </c>
      <c r="B2127" t="s">
        <v>12556</v>
      </c>
      <c r="C2127" t="s">
        <v>12557</v>
      </c>
      <c r="D2127" t="s">
        <v>12558</v>
      </c>
      <c r="E2127" t="s">
        <v>12559</v>
      </c>
      <c r="F2127" t="s">
        <v>6145</v>
      </c>
      <c r="G2127" t="s">
        <v>652</v>
      </c>
      <c r="H2127" t="s">
        <v>3942</v>
      </c>
      <c r="J2127" t="s">
        <v>3962</v>
      </c>
      <c r="K2127" t="s">
        <v>519</v>
      </c>
      <c r="M2127" t="s">
        <v>520</v>
      </c>
      <c r="N2127" t="s">
        <v>571</v>
      </c>
      <c r="O2127" t="s">
        <v>829</v>
      </c>
      <c r="P2127" t="s">
        <v>654</v>
      </c>
      <c r="Q2127" t="s">
        <v>638</v>
      </c>
      <c r="R2127" t="s">
        <v>708</v>
      </c>
      <c r="S2127" t="s">
        <v>805</v>
      </c>
      <c r="T2127" t="s">
        <v>709</v>
      </c>
      <c r="U2127">
        <v>142802</v>
      </c>
      <c r="V2127" t="s">
        <v>12560</v>
      </c>
      <c r="W2127" t="s">
        <v>807</v>
      </c>
      <c r="X2127" t="s">
        <v>4861</v>
      </c>
      <c r="Y2127" t="s">
        <v>12561</v>
      </c>
      <c r="Z2127" t="s">
        <v>6145</v>
      </c>
      <c r="AA2127" t="s">
        <v>4537</v>
      </c>
      <c r="AE2127">
        <v>-36.90689106</v>
      </c>
      <c r="AF2127">
        <v>174.79317986999999</v>
      </c>
      <c r="AG2127">
        <v>30</v>
      </c>
      <c r="AH2127">
        <v>0</v>
      </c>
      <c r="AI2127">
        <v>0</v>
      </c>
      <c r="AJ2127">
        <v>0</v>
      </c>
      <c r="AK2127">
        <v>8</v>
      </c>
      <c r="AL2127">
        <v>11</v>
      </c>
      <c r="AM2127">
        <v>8</v>
      </c>
      <c r="AN2127">
        <v>0</v>
      </c>
      <c r="AO2127">
        <v>27</v>
      </c>
      <c r="AP2127">
        <v>21</v>
      </c>
      <c r="AQ2127">
        <v>0</v>
      </c>
      <c r="AR2127">
        <v>2</v>
      </c>
      <c r="AS2127">
        <v>9</v>
      </c>
      <c r="AT2127">
        <v>3</v>
      </c>
    </row>
    <row r="2128" spans="1:46">
      <c r="A2128">
        <v>45888</v>
      </c>
      <c r="B2128" t="s">
        <v>12562</v>
      </c>
      <c r="C2128" t="s">
        <v>12563</v>
      </c>
      <c r="E2128" t="s">
        <v>12564</v>
      </c>
      <c r="F2128" t="s">
        <v>12565</v>
      </c>
      <c r="G2128" t="s">
        <v>1634</v>
      </c>
      <c r="H2128" t="s">
        <v>343</v>
      </c>
      <c r="J2128" t="s">
        <v>518</v>
      </c>
      <c r="K2128" t="s">
        <v>519</v>
      </c>
      <c r="L2128" t="s">
        <v>4205</v>
      </c>
      <c r="M2128" t="s">
        <v>1297</v>
      </c>
      <c r="N2128" t="s">
        <v>539</v>
      </c>
      <c r="O2128" t="s">
        <v>1635</v>
      </c>
      <c r="P2128" t="s">
        <v>523</v>
      </c>
      <c r="Q2128" t="s">
        <v>1636</v>
      </c>
      <c r="R2128" t="s">
        <v>1472</v>
      </c>
      <c r="S2128" t="s">
        <v>1637</v>
      </c>
      <c r="T2128" t="s">
        <v>1485</v>
      </c>
      <c r="U2128">
        <v>222600</v>
      </c>
      <c r="V2128" t="s">
        <v>1638</v>
      </c>
      <c r="W2128" t="s">
        <v>1639</v>
      </c>
      <c r="X2128" t="s">
        <v>8447</v>
      </c>
      <c r="Y2128" t="s">
        <v>4208</v>
      </c>
      <c r="Z2128" t="s">
        <v>4209</v>
      </c>
      <c r="AA2128" t="s">
        <v>4210</v>
      </c>
      <c r="AB2128" t="s">
        <v>8448</v>
      </c>
      <c r="AE2128">
        <v>-38.88409463</v>
      </c>
      <c r="AF2128">
        <v>175.27174199000001</v>
      </c>
      <c r="AG2128">
        <v>16</v>
      </c>
      <c r="AH2128">
        <v>3</v>
      </c>
      <c r="AI2128">
        <v>1</v>
      </c>
      <c r="AJ2128">
        <v>3</v>
      </c>
      <c r="AK2128">
        <v>6</v>
      </c>
      <c r="AL2128">
        <v>3</v>
      </c>
      <c r="AM2128">
        <v>1</v>
      </c>
      <c r="AN2128">
        <v>0</v>
      </c>
      <c r="AO2128">
        <v>14</v>
      </c>
      <c r="AP2128">
        <v>0</v>
      </c>
      <c r="AQ2128">
        <v>11</v>
      </c>
      <c r="AR2128">
        <v>0</v>
      </c>
      <c r="AS2128">
        <v>0</v>
      </c>
      <c r="AT2128">
        <v>3</v>
      </c>
    </row>
    <row r="2129" spans="1:46">
      <c r="A2129">
        <v>45895</v>
      </c>
      <c r="B2129" t="s">
        <v>11375</v>
      </c>
      <c r="C2129" t="s">
        <v>12566</v>
      </c>
      <c r="D2129" t="s">
        <v>12567</v>
      </c>
      <c r="E2129" t="s">
        <v>12568</v>
      </c>
      <c r="G2129" t="s">
        <v>1757</v>
      </c>
      <c r="H2129" t="s">
        <v>3942</v>
      </c>
      <c r="J2129" t="s">
        <v>3962</v>
      </c>
      <c r="K2129" t="s">
        <v>519</v>
      </c>
      <c r="M2129" t="s">
        <v>1297</v>
      </c>
      <c r="N2129" t="s">
        <v>4519</v>
      </c>
      <c r="O2129" t="s">
        <v>1758</v>
      </c>
      <c r="P2129" t="s">
        <v>584</v>
      </c>
      <c r="Q2129" t="s">
        <v>1759</v>
      </c>
      <c r="R2129" t="s">
        <v>1760</v>
      </c>
      <c r="S2129" t="s">
        <v>1757</v>
      </c>
      <c r="T2129" t="s">
        <v>1485</v>
      </c>
      <c r="U2129">
        <v>217701</v>
      </c>
      <c r="V2129" t="s">
        <v>12569</v>
      </c>
      <c r="W2129" t="s">
        <v>1762</v>
      </c>
      <c r="X2129" t="s">
        <v>12570</v>
      </c>
      <c r="Y2129" t="s">
        <v>12571</v>
      </c>
      <c r="Z2129" t="s">
        <v>3635</v>
      </c>
      <c r="AA2129" t="s">
        <v>12572</v>
      </c>
      <c r="AB2129" t="s">
        <v>12573</v>
      </c>
      <c r="AE2129">
        <v>-39.047293949999997</v>
      </c>
      <c r="AF2129">
        <v>174.1226972</v>
      </c>
      <c r="AG2129">
        <v>60</v>
      </c>
      <c r="AH2129">
        <v>0</v>
      </c>
      <c r="AI2129">
        <v>0</v>
      </c>
      <c r="AJ2129">
        <v>0</v>
      </c>
      <c r="AK2129">
        <v>25</v>
      </c>
      <c r="AL2129">
        <v>24</v>
      </c>
      <c r="AM2129">
        <v>10</v>
      </c>
      <c r="AN2129">
        <v>2</v>
      </c>
      <c r="AO2129">
        <v>61</v>
      </c>
      <c r="AP2129">
        <v>38</v>
      </c>
      <c r="AQ2129">
        <v>17</v>
      </c>
      <c r="AR2129">
        <v>4</v>
      </c>
      <c r="AS2129">
        <v>9</v>
      </c>
      <c r="AT2129">
        <v>9</v>
      </c>
    </row>
    <row r="2130" spans="1:46">
      <c r="A2130">
        <v>45896</v>
      </c>
      <c r="B2130" t="s">
        <v>12574</v>
      </c>
      <c r="C2130" t="s">
        <v>12575</v>
      </c>
      <c r="D2130" t="s">
        <v>12576</v>
      </c>
      <c r="E2130" t="s">
        <v>12577</v>
      </c>
      <c r="F2130" t="s">
        <v>2038</v>
      </c>
      <c r="G2130" t="s">
        <v>1974</v>
      </c>
      <c r="H2130" t="s">
        <v>3942</v>
      </c>
      <c r="J2130" t="s">
        <v>3962</v>
      </c>
      <c r="K2130" t="s">
        <v>519</v>
      </c>
      <c r="M2130" t="s">
        <v>1297</v>
      </c>
      <c r="N2130" t="s">
        <v>571</v>
      </c>
      <c r="O2130" t="s">
        <v>1956</v>
      </c>
      <c r="P2130" t="s">
        <v>584</v>
      </c>
      <c r="Q2130" t="s">
        <v>1636</v>
      </c>
      <c r="R2130" t="s">
        <v>1760</v>
      </c>
      <c r="S2130" t="s">
        <v>1974</v>
      </c>
      <c r="T2130" t="s">
        <v>1485</v>
      </c>
      <c r="U2130">
        <v>230600</v>
      </c>
      <c r="V2130" t="s">
        <v>1975</v>
      </c>
      <c r="W2130" t="s">
        <v>1957</v>
      </c>
      <c r="X2130" t="s">
        <v>12578</v>
      </c>
      <c r="Y2130" t="s">
        <v>4658</v>
      </c>
      <c r="Z2130" t="s">
        <v>958</v>
      </c>
      <c r="AA2130" t="s">
        <v>4659</v>
      </c>
      <c r="AB2130" t="s">
        <v>12579</v>
      </c>
      <c r="AC2130">
        <v>99052</v>
      </c>
      <c r="AD2130" t="s">
        <v>1962</v>
      </c>
      <c r="AE2130">
        <v>-40.349415280000002</v>
      </c>
      <c r="AF2130">
        <v>175.61725756999999</v>
      </c>
      <c r="AG2130">
        <v>50</v>
      </c>
      <c r="AH2130">
        <v>25</v>
      </c>
      <c r="AI2130">
        <v>1</v>
      </c>
      <c r="AJ2130">
        <v>15</v>
      </c>
      <c r="AK2130">
        <v>14</v>
      </c>
      <c r="AL2130">
        <v>10</v>
      </c>
      <c r="AM2130">
        <v>14</v>
      </c>
      <c r="AN2130">
        <v>0</v>
      </c>
      <c r="AO2130">
        <v>54</v>
      </c>
      <c r="AP2130">
        <v>33</v>
      </c>
      <c r="AQ2130">
        <v>25</v>
      </c>
      <c r="AR2130">
        <v>8</v>
      </c>
      <c r="AS2130">
        <v>6</v>
      </c>
      <c r="AT2130">
        <v>2</v>
      </c>
    </row>
    <row r="2131" spans="1:46">
      <c r="A2131">
        <v>45900</v>
      </c>
      <c r="B2131" t="s">
        <v>12580</v>
      </c>
      <c r="C2131" t="s">
        <v>12581</v>
      </c>
      <c r="D2131" t="s">
        <v>12582</v>
      </c>
      <c r="E2131" t="s">
        <v>12583</v>
      </c>
      <c r="G2131" t="s">
        <v>9697</v>
      </c>
      <c r="H2131" t="s">
        <v>3942</v>
      </c>
      <c r="J2131" t="s">
        <v>3962</v>
      </c>
      <c r="K2131" t="s">
        <v>519</v>
      </c>
      <c r="M2131" t="s">
        <v>1297</v>
      </c>
      <c r="N2131" t="s">
        <v>557</v>
      </c>
      <c r="O2131" t="s">
        <v>8637</v>
      </c>
      <c r="P2131" t="s">
        <v>540</v>
      </c>
      <c r="Q2131" t="s">
        <v>1299</v>
      </c>
      <c r="R2131" t="s">
        <v>1300</v>
      </c>
      <c r="S2131" t="s">
        <v>1417</v>
      </c>
      <c r="T2131" t="s">
        <v>1485</v>
      </c>
      <c r="U2131">
        <v>187200</v>
      </c>
      <c r="V2131" t="s">
        <v>9134</v>
      </c>
      <c r="W2131" t="s">
        <v>9135</v>
      </c>
      <c r="X2131" t="s">
        <v>12584</v>
      </c>
      <c r="Y2131" t="s">
        <v>12585</v>
      </c>
      <c r="AA2131" t="s">
        <v>12586</v>
      </c>
      <c r="AC2131">
        <v>99106</v>
      </c>
      <c r="AD2131" t="s">
        <v>8644</v>
      </c>
      <c r="AE2131">
        <v>-38.464711180000002</v>
      </c>
      <c r="AF2131">
        <v>175.01503450999999</v>
      </c>
      <c r="AG2131">
        <v>40</v>
      </c>
      <c r="AH2131">
        <v>16</v>
      </c>
      <c r="AI2131">
        <v>0</v>
      </c>
      <c r="AJ2131">
        <v>4</v>
      </c>
      <c r="AK2131">
        <v>15</v>
      </c>
      <c r="AL2131">
        <v>16</v>
      </c>
      <c r="AM2131">
        <v>15</v>
      </c>
      <c r="AN2131">
        <v>0</v>
      </c>
      <c r="AO2131">
        <v>50</v>
      </c>
      <c r="AP2131">
        <v>43</v>
      </c>
      <c r="AQ2131">
        <v>15</v>
      </c>
      <c r="AR2131">
        <v>1</v>
      </c>
      <c r="AS2131">
        <v>1</v>
      </c>
      <c r="AT2131">
        <v>1</v>
      </c>
    </row>
    <row r="2132" spans="1:46">
      <c r="A2132">
        <v>45902</v>
      </c>
      <c r="B2132" t="s">
        <v>12587</v>
      </c>
      <c r="C2132" t="s">
        <v>12588</v>
      </c>
      <c r="E2132" t="s">
        <v>12589</v>
      </c>
      <c r="F2132" t="s">
        <v>10124</v>
      </c>
      <c r="G2132" t="s">
        <v>1598</v>
      </c>
      <c r="H2132" t="s">
        <v>3942</v>
      </c>
      <c r="J2132" t="s">
        <v>518</v>
      </c>
      <c r="K2132" t="s">
        <v>519</v>
      </c>
      <c r="M2132" t="s">
        <v>1297</v>
      </c>
      <c r="N2132" t="s">
        <v>571</v>
      </c>
      <c r="O2132" t="s">
        <v>1698</v>
      </c>
      <c r="P2132" t="s">
        <v>654</v>
      </c>
      <c r="Q2132" t="s">
        <v>1471</v>
      </c>
      <c r="R2132" t="s">
        <v>1472</v>
      </c>
      <c r="S2132" t="s">
        <v>1699</v>
      </c>
      <c r="T2132" t="s">
        <v>1474</v>
      </c>
      <c r="U2132">
        <v>196000</v>
      </c>
      <c r="V2132" t="s">
        <v>10124</v>
      </c>
      <c r="W2132" t="s">
        <v>1731</v>
      </c>
      <c r="X2132" t="s">
        <v>12590</v>
      </c>
      <c r="Y2132" t="s">
        <v>12589</v>
      </c>
      <c r="Z2132" t="s">
        <v>10124</v>
      </c>
      <c r="AA2132" t="s">
        <v>8884</v>
      </c>
      <c r="AB2132" t="s">
        <v>12588</v>
      </c>
      <c r="AC2132">
        <v>99085</v>
      </c>
      <c r="AD2132" t="s">
        <v>1718</v>
      </c>
      <c r="AE2132">
        <v>-37.737131099999999</v>
      </c>
      <c r="AF2132">
        <v>176.15240874</v>
      </c>
      <c r="AG2132">
        <v>32</v>
      </c>
      <c r="AH2132">
        <v>7</v>
      </c>
      <c r="AI2132">
        <v>0</v>
      </c>
      <c r="AJ2132">
        <v>4</v>
      </c>
      <c r="AK2132">
        <v>11</v>
      </c>
      <c r="AL2132">
        <v>12</v>
      </c>
      <c r="AM2132">
        <v>16</v>
      </c>
      <c r="AN2132">
        <v>0</v>
      </c>
      <c r="AO2132">
        <v>43</v>
      </c>
      <c r="AP2132">
        <v>40</v>
      </c>
      <c r="AQ2132">
        <v>7</v>
      </c>
      <c r="AR2132">
        <v>1</v>
      </c>
      <c r="AS2132">
        <v>3</v>
      </c>
      <c r="AT2132">
        <v>1</v>
      </c>
    </row>
    <row r="2133" spans="1:46">
      <c r="A2133">
        <v>45904</v>
      </c>
      <c r="B2133" t="s">
        <v>12591</v>
      </c>
      <c r="C2133" t="s">
        <v>12592</v>
      </c>
      <c r="E2133" t="s">
        <v>12593</v>
      </c>
      <c r="F2133" t="s">
        <v>1715</v>
      </c>
      <c r="G2133" t="s">
        <v>1598</v>
      </c>
      <c r="H2133" t="s">
        <v>3942</v>
      </c>
      <c r="J2133" t="s">
        <v>3962</v>
      </c>
      <c r="K2133" t="s">
        <v>519</v>
      </c>
      <c r="M2133" t="s">
        <v>1297</v>
      </c>
      <c r="N2133" t="s">
        <v>571</v>
      </c>
      <c r="O2133" t="s">
        <v>1698</v>
      </c>
      <c r="P2133" t="s">
        <v>654</v>
      </c>
      <c r="Q2133" t="s">
        <v>1471</v>
      </c>
      <c r="R2133" t="s">
        <v>1472</v>
      </c>
      <c r="S2133" t="s">
        <v>1598</v>
      </c>
      <c r="T2133" t="s">
        <v>1474</v>
      </c>
      <c r="U2133">
        <v>195200</v>
      </c>
      <c r="V2133" t="s">
        <v>8882</v>
      </c>
      <c r="W2133" t="s">
        <v>1717</v>
      </c>
      <c r="X2133" t="s">
        <v>12594</v>
      </c>
      <c r="Y2133" t="s">
        <v>12595</v>
      </c>
      <c r="Z2133" t="s">
        <v>10532</v>
      </c>
      <c r="AA2133" t="s">
        <v>8708</v>
      </c>
      <c r="AB2133" t="s">
        <v>12596</v>
      </c>
      <c r="AC2133">
        <v>99085</v>
      </c>
      <c r="AD2133" t="s">
        <v>1718</v>
      </c>
      <c r="AE2133">
        <v>-37.730572299999999</v>
      </c>
      <c r="AF2133">
        <v>176.12849499999999</v>
      </c>
      <c r="AG2133">
        <v>84</v>
      </c>
      <c r="AH2133">
        <v>23</v>
      </c>
      <c r="AI2133">
        <v>2</v>
      </c>
      <c r="AJ2133">
        <v>5</v>
      </c>
      <c r="AK2133">
        <v>12</v>
      </c>
      <c r="AL2133">
        <v>17</v>
      </c>
      <c r="AM2133">
        <v>18</v>
      </c>
      <c r="AN2133">
        <v>1</v>
      </c>
      <c r="AO2133">
        <v>55</v>
      </c>
      <c r="AP2133">
        <v>16</v>
      </c>
      <c r="AQ2133">
        <v>11</v>
      </c>
      <c r="AR2133">
        <v>2</v>
      </c>
      <c r="AS2133">
        <v>37</v>
      </c>
      <c r="AT2133">
        <v>0</v>
      </c>
    </row>
    <row r="2134" spans="1:46">
      <c r="A2134">
        <v>45905</v>
      </c>
      <c r="B2134" t="s">
        <v>12597</v>
      </c>
      <c r="C2134" t="s">
        <v>12598</v>
      </c>
      <c r="D2134" t="s">
        <v>12599</v>
      </c>
      <c r="E2134" t="s">
        <v>12600</v>
      </c>
      <c r="F2134" t="s">
        <v>777</v>
      </c>
      <c r="G2134" t="s">
        <v>652</v>
      </c>
      <c r="H2134" t="s">
        <v>3942</v>
      </c>
      <c r="J2134" t="s">
        <v>3962</v>
      </c>
      <c r="K2134" t="s">
        <v>519</v>
      </c>
      <c r="M2134" t="s">
        <v>520</v>
      </c>
      <c r="N2134" t="s">
        <v>4519</v>
      </c>
      <c r="O2134" t="s">
        <v>707</v>
      </c>
      <c r="P2134" t="s">
        <v>654</v>
      </c>
      <c r="Q2134" t="s">
        <v>638</v>
      </c>
      <c r="R2134" t="s">
        <v>708</v>
      </c>
      <c r="S2134" t="s">
        <v>706</v>
      </c>
      <c r="T2134" t="s">
        <v>709</v>
      </c>
      <c r="U2134">
        <v>152400</v>
      </c>
      <c r="V2134" t="s">
        <v>5168</v>
      </c>
      <c r="W2134" t="s">
        <v>711</v>
      </c>
      <c r="X2134" t="s">
        <v>7295</v>
      </c>
      <c r="Y2134" t="s">
        <v>12601</v>
      </c>
      <c r="Z2134" t="s">
        <v>777</v>
      </c>
      <c r="AA2134" t="s">
        <v>7504</v>
      </c>
      <c r="AB2134" t="s">
        <v>7297</v>
      </c>
      <c r="AC2134">
        <v>99119</v>
      </c>
      <c r="AD2134" t="s">
        <v>780</v>
      </c>
      <c r="AE2134">
        <v>-36.902380999999998</v>
      </c>
      <c r="AF2134">
        <v>174.92713458</v>
      </c>
      <c r="AG2134">
        <v>50</v>
      </c>
      <c r="AH2134">
        <v>14</v>
      </c>
      <c r="AI2134">
        <v>3</v>
      </c>
      <c r="AJ2134">
        <v>6</v>
      </c>
      <c r="AK2134">
        <v>13</v>
      </c>
      <c r="AL2134">
        <v>19</v>
      </c>
      <c r="AM2134">
        <v>15</v>
      </c>
      <c r="AN2134">
        <v>0</v>
      </c>
      <c r="AO2134">
        <v>56</v>
      </c>
      <c r="AP2134">
        <v>44</v>
      </c>
      <c r="AQ2134">
        <v>3</v>
      </c>
      <c r="AR2134">
        <v>2</v>
      </c>
      <c r="AS2134">
        <v>15</v>
      </c>
      <c r="AT2134">
        <v>3</v>
      </c>
    </row>
    <row r="2135" spans="1:46">
      <c r="A2135">
        <v>45907</v>
      </c>
      <c r="B2135" t="s">
        <v>12602</v>
      </c>
      <c r="C2135" t="s">
        <v>12603</v>
      </c>
      <c r="E2135" t="s">
        <v>12604</v>
      </c>
      <c r="G2135" t="s">
        <v>12605</v>
      </c>
      <c r="H2135" t="s">
        <v>3942</v>
      </c>
      <c r="J2135" t="s">
        <v>518</v>
      </c>
      <c r="K2135" t="s">
        <v>519</v>
      </c>
      <c r="M2135" t="s">
        <v>2287</v>
      </c>
      <c r="N2135" t="s">
        <v>4519</v>
      </c>
      <c r="O2135" t="s">
        <v>3208</v>
      </c>
      <c r="P2135" t="s">
        <v>523</v>
      </c>
      <c r="Q2135" t="s">
        <v>2943</v>
      </c>
      <c r="R2135" t="s">
        <v>2944</v>
      </c>
      <c r="S2135" t="s">
        <v>3179</v>
      </c>
      <c r="T2135" t="s">
        <v>2448</v>
      </c>
      <c r="U2135">
        <v>334601</v>
      </c>
      <c r="V2135" t="s">
        <v>12605</v>
      </c>
      <c r="W2135" t="s">
        <v>12606</v>
      </c>
      <c r="X2135" t="s">
        <v>10801</v>
      </c>
      <c r="Y2135" t="s">
        <v>3944</v>
      </c>
      <c r="Z2135" t="s">
        <v>3945</v>
      </c>
      <c r="AA2135" t="s">
        <v>3946</v>
      </c>
      <c r="AC2135">
        <v>99206</v>
      </c>
      <c r="AD2135" t="s">
        <v>3211</v>
      </c>
      <c r="AE2135">
        <v>-43.520423049999998</v>
      </c>
      <c r="AF2135">
        <v>172.36577057</v>
      </c>
      <c r="AG2135">
        <v>94</v>
      </c>
      <c r="AH2135">
        <v>20</v>
      </c>
      <c r="AI2135">
        <v>2</v>
      </c>
      <c r="AJ2135">
        <v>13</v>
      </c>
      <c r="AK2135">
        <v>23</v>
      </c>
      <c r="AL2135">
        <v>18</v>
      </c>
      <c r="AM2135">
        <v>24</v>
      </c>
      <c r="AN2135">
        <v>0</v>
      </c>
      <c r="AO2135">
        <v>80</v>
      </c>
      <c r="AP2135">
        <v>71</v>
      </c>
      <c r="AQ2135">
        <v>10</v>
      </c>
      <c r="AR2135">
        <v>1</v>
      </c>
      <c r="AS2135">
        <v>2</v>
      </c>
      <c r="AT2135">
        <v>7</v>
      </c>
    </row>
    <row r="2136" spans="1:46">
      <c r="A2136">
        <v>45909</v>
      </c>
      <c r="B2136" t="s">
        <v>12607</v>
      </c>
      <c r="C2136" t="s">
        <v>12608</v>
      </c>
      <c r="D2136" t="s">
        <v>12609</v>
      </c>
      <c r="E2136" t="s">
        <v>12610</v>
      </c>
      <c r="F2136" t="s">
        <v>12611</v>
      </c>
      <c r="G2136" t="s">
        <v>582</v>
      </c>
      <c r="H2136" t="s">
        <v>3942</v>
      </c>
      <c r="J2136" t="s">
        <v>518</v>
      </c>
      <c r="K2136" t="s">
        <v>519</v>
      </c>
      <c r="M2136" t="s">
        <v>520</v>
      </c>
      <c r="N2136" t="s">
        <v>571</v>
      </c>
      <c r="O2136" t="s">
        <v>583</v>
      </c>
      <c r="P2136" t="s">
        <v>584</v>
      </c>
      <c r="Q2136" t="s">
        <v>524</v>
      </c>
      <c r="R2136" t="s">
        <v>525</v>
      </c>
      <c r="S2136" t="s">
        <v>585</v>
      </c>
      <c r="T2136" t="s">
        <v>527</v>
      </c>
      <c r="U2136">
        <v>106901</v>
      </c>
      <c r="V2136" t="s">
        <v>12611</v>
      </c>
      <c r="W2136" t="s">
        <v>587</v>
      </c>
      <c r="X2136" t="s">
        <v>4436</v>
      </c>
      <c r="Y2136" t="s">
        <v>3944</v>
      </c>
      <c r="Z2136" t="s">
        <v>3945</v>
      </c>
      <c r="AA2136" t="s">
        <v>3946</v>
      </c>
      <c r="AC2136">
        <v>99181</v>
      </c>
      <c r="AD2136" t="s">
        <v>594</v>
      </c>
      <c r="AE2136">
        <v>-35.740152199999997</v>
      </c>
      <c r="AF2136">
        <v>174.28135710000001</v>
      </c>
      <c r="AG2136">
        <v>150</v>
      </c>
      <c r="AH2136">
        <v>30</v>
      </c>
      <c r="AI2136">
        <v>3</v>
      </c>
      <c r="AJ2136">
        <v>35</v>
      </c>
      <c r="AK2136">
        <v>35</v>
      </c>
      <c r="AL2136">
        <v>55</v>
      </c>
      <c r="AM2136">
        <v>62</v>
      </c>
      <c r="AN2136">
        <v>3</v>
      </c>
      <c r="AO2136">
        <v>193</v>
      </c>
      <c r="AP2136">
        <v>126</v>
      </c>
      <c r="AQ2136">
        <v>36</v>
      </c>
      <c r="AR2136">
        <v>3</v>
      </c>
      <c r="AS2136">
        <v>54</v>
      </c>
      <c r="AT2136">
        <v>5</v>
      </c>
    </row>
    <row r="2137" spans="1:46">
      <c r="A2137">
        <v>45911</v>
      </c>
      <c r="B2137" t="s">
        <v>12612</v>
      </c>
      <c r="C2137" t="s">
        <v>12613</v>
      </c>
      <c r="E2137" t="s">
        <v>12614</v>
      </c>
      <c r="F2137" t="s">
        <v>945</v>
      </c>
      <c r="G2137" t="s">
        <v>652</v>
      </c>
      <c r="H2137" t="s">
        <v>3942</v>
      </c>
      <c r="J2137" t="s">
        <v>3962</v>
      </c>
      <c r="K2137" t="s">
        <v>519</v>
      </c>
      <c r="M2137" t="s">
        <v>520</v>
      </c>
      <c r="N2137" t="s">
        <v>539</v>
      </c>
      <c r="O2137" t="s">
        <v>728</v>
      </c>
      <c r="P2137" t="s">
        <v>654</v>
      </c>
      <c r="Q2137" t="s">
        <v>638</v>
      </c>
      <c r="R2137" t="s">
        <v>729</v>
      </c>
      <c r="S2137" t="s">
        <v>849</v>
      </c>
      <c r="T2137" t="s">
        <v>709</v>
      </c>
      <c r="U2137">
        <v>153600</v>
      </c>
      <c r="V2137" t="s">
        <v>4869</v>
      </c>
      <c r="W2137" t="s">
        <v>732</v>
      </c>
      <c r="X2137" t="s">
        <v>8129</v>
      </c>
      <c r="Y2137" t="s">
        <v>4658</v>
      </c>
      <c r="Z2137" t="s">
        <v>958</v>
      </c>
      <c r="AA2137" t="s">
        <v>4659</v>
      </c>
      <c r="AB2137" t="s">
        <v>8127</v>
      </c>
      <c r="AE2137">
        <v>-36.972737180000003</v>
      </c>
      <c r="AF2137">
        <v>174.83305243000001</v>
      </c>
      <c r="AG2137">
        <v>39</v>
      </c>
      <c r="AH2137">
        <v>0</v>
      </c>
      <c r="AI2137">
        <v>0</v>
      </c>
      <c r="AJ2137">
        <v>0</v>
      </c>
      <c r="AK2137">
        <v>7</v>
      </c>
      <c r="AL2137">
        <v>7</v>
      </c>
      <c r="AM2137">
        <v>6</v>
      </c>
      <c r="AN2137">
        <v>2</v>
      </c>
      <c r="AO2137">
        <v>22</v>
      </c>
      <c r="AP2137">
        <v>1</v>
      </c>
      <c r="AQ2137">
        <v>5</v>
      </c>
      <c r="AR2137">
        <v>9</v>
      </c>
      <c r="AS2137">
        <v>10</v>
      </c>
      <c r="AT2137">
        <v>3</v>
      </c>
    </row>
    <row r="2138" spans="1:46">
      <c r="A2138">
        <v>45913</v>
      </c>
      <c r="B2138" t="s">
        <v>12615</v>
      </c>
      <c r="C2138" t="s">
        <v>12616</v>
      </c>
      <c r="D2138" t="s">
        <v>12617</v>
      </c>
      <c r="E2138" t="s">
        <v>12618</v>
      </c>
      <c r="F2138" t="s">
        <v>975</v>
      </c>
      <c r="G2138" t="s">
        <v>652</v>
      </c>
      <c r="H2138" t="s">
        <v>3942</v>
      </c>
      <c r="J2138" t="s">
        <v>3962</v>
      </c>
      <c r="K2138" t="s">
        <v>519</v>
      </c>
      <c r="M2138" t="s">
        <v>520</v>
      </c>
      <c r="N2138" t="s">
        <v>539</v>
      </c>
      <c r="O2138" t="s">
        <v>848</v>
      </c>
      <c r="P2138" t="s">
        <v>654</v>
      </c>
      <c r="Q2138" t="s">
        <v>638</v>
      </c>
      <c r="R2138" t="s">
        <v>708</v>
      </c>
      <c r="S2138" t="s">
        <v>849</v>
      </c>
      <c r="T2138" t="s">
        <v>709</v>
      </c>
      <c r="U2138">
        <v>146800</v>
      </c>
      <c r="V2138" t="s">
        <v>4943</v>
      </c>
      <c r="W2138" t="s">
        <v>732</v>
      </c>
      <c r="X2138" t="s">
        <v>6878</v>
      </c>
      <c r="Y2138" t="s">
        <v>6879</v>
      </c>
      <c r="Z2138" t="s">
        <v>828</v>
      </c>
      <c r="AA2138" t="s">
        <v>6880</v>
      </c>
      <c r="AE2138">
        <v>-36.946157329999998</v>
      </c>
      <c r="AF2138">
        <v>174.78682246</v>
      </c>
      <c r="AG2138">
        <v>46</v>
      </c>
      <c r="AH2138">
        <v>10</v>
      </c>
      <c r="AI2138">
        <v>2</v>
      </c>
      <c r="AJ2138">
        <v>4</v>
      </c>
      <c r="AK2138">
        <v>9</v>
      </c>
      <c r="AL2138">
        <v>15</v>
      </c>
      <c r="AM2138">
        <v>20</v>
      </c>
      <c r="AN2138">
        <v>0</v>
      </c>
      <c r="AO2138">
        <v>50</v>
      </c>
      <c r="AP2138">
        <v>14</v>
      </c>
      <c r="AQ2138">
        <v>22</v>
      </c>
      <c r="AR2138">
        <v>35</v>
      </c>
      <c r="AS2138">
        <v>7</v>
      </c>
      <c r="AT2138">
        <v>1</v>
      </c>
    </row>
    <row r="2139" spans="1:46">
      <c r="A2139">
        <v>45914</v>
      </c>
      <c r="B2139" t="s">
        <v>12619</v>
      </c>
      <c r="C2139" t="s">
        <v>12620</v>
      </c>
      <c r="D2139" t="s">
        <v>12621</v>
      </c>
      <c r="E2139" t="s">
        <v>12622</v>
      </c>
      <c r="F2139" t="s">
        <v>717</v>
      </c>
      <c r="G2139" t="s">
        <v>652</v>
      </c>
      <c r="H2139" t="s">
        <v>3942</v>
      </c>
      <c r="J2139" t="s">
        <v>3962</v>
      </c>
      <c r="K2139" t="s">
        <v>519</v>
      </c>
      <c r="M2139" t="s">
        <v>520</v>
      </c>
      <c r="N2139" t="s">
        <v>557</v>
      </c>
      <c r="O2139" t="s">
        <v>718</v>
      </c>
      <c r="P2139" t="s">
        <v>654</v>
      </c>
      <c r="Q2139" t="s">
        <v>638</v>
      </c>
      <c r="R2139" t="s">
        <v>708</v>
      </c>
      <c r="S2139" t="s">
        <v>770</v>
      </c>
      <c r="T2139" t="s">
        <v>709</v>
      </c>
      <c r="U2139">
        <v>133100</v>
      </c>
      <c r="V2139" t="s">
        <v>11579</v>
      </c>
      <c r="W2139" t="s">
        <v>721</v>
      </c>
      <c r="X2139" t="s">
        <v>12623</v>
      </c>
      <c r="Y2139" t="s">
        <v>12624</v>
      </c>
      <c r="Z2139" t="s">
        <v>717</v>
      </c>
      <c r="AA2139" t="s">
        <v>12625</v>
      </c>
      <c r="AB2139" t="s">
        <v>12620</v>
      </c>
      <c r="AE2139">
        <v>-36.893757669999999</v>
      </c>
      <c r="AF2139">
        <v>174.6966639</v>
      </c>
      <c r="AG2139">
        <v>50</v>
      </c>
      <c r="AH2139">
        <v>15</v>
      </c>
      <c r="AI2139">
        <v>4</v>
      </c>
      <c r="AJ2139">
        <v>11</v>
      </c>
      <c r="AK2139">
        <v>13</v>
      </c>
      <c r="AL2139">
        <v>8</v>
      </c>
      <c r="AM2139">
        <v>18</v>
      </c>
      <c r="AN2139">
        <v>1</v>
      </c>
      <c r="AO2139">
        <v>55</v>
      </c>
      <c r="AP2139">
        <v>40</v>
      </c>
      <c r="AQ2139">
        <v>6</v>
      </c>
      <c r="AR2139">
        <v>11</v>
      </c>
      <c r="AS2139">
        <v>17</v>
      </c>
      <c r="AT2139">
        <v>3</v>
      </c>
    </row>
    <row r="2140" spans="1:46">
      <c r="A2140">
        <v>45915</v>
      </c>
      <c r="B2140" t="s">
        <v>12626</v>
      </c>
      <c r="C2140" t="s">
        <v>12627</v>
      </c>
      <c r="D2140" t="s">
        <v>7706</v>
      </c>
      <c r="E2140" t="s">
        <v>12628</v>
      </c>
      <c r="F2140" t="s">
        <v>6903</v>
      </c>
      <c r="G2140" t="s">
        <v>3763</v>
      </c>
      <c r="H2140" t="s">
        <v>3942</v>
      </c>
      <c r="J2140" t="s">
        <v>3962</v>
      </c>
      <c r="K2140" t="s">
        <v>519</v>
      </c>
      <c r="M2140" t="s">
        <v>520</v>
      </c>
      <c r="N2140" t="s">
        <v>4519</v>
      </c>
      <c r="O2140" t="s">
        <v>3764</v>
      </c>
      <c r="P2140" t="s">
        <v>523</v>
      </c>
      <c r="Q2140" t="s">
        <v>638</v>
      </c>
      <c r="R2140" t="s">
        <v>708</v>
      </c>
      <c r="S2140" t="s">
        <v>958</v>
      </c>
      <c r="T2140" t="s">
        <v>709</v>
      </c>
      <c r="U2140">
        <v>144600</v>
      </c>
      <c r="V2140" t="s">
        <v>6904</v>
      </c>
      <c r="W2140" t="s">
        <v>959</v>
      </c>
      <c r="X2140" t="s">
        <v>7708</v>
      </c>
      <c r="Y2140" t="s">
        <v>7709</v>
      </c>
      <c r="Z2140" t="s">
        <v>3763</v>
      </c>
      <c r="AA2140" t="s">
        <v>7710</v>
      </c>
      <c r="AB2140" t="s">
        <v>7711</v>
      </c>
      <c r="AC2140">
        <v>99088</v>
      </c>
      <c r="AD2140" t="s">
        <v>3765</v>
      </c>
      <c r="AE2140">
        <v>-36.783439860000001</v>
      </c>
      <c r="AF2140">
        <v>175.0090916</v>
      </c>
      <c r="AG2140">
        <v>43</v>
      </c>
      <c r="AH2140">
        <v>14</v>
      </c>
      <c r="AI2140">
        <v>2</v>
      </c>
      <c r="AJ2140">
        <v>17</v>
      </c>
      <c r="AK2140">
        <v>7</v>
      </c>
      <c r="AL2140">
        <v>10</v>
      </c>
      <c r="AM2140">
        <v>14</v>
      </c>
      <c r="AN2140">
        <v>0</v>
      </c>
      <c r="AO2140">
        <v>50</v>
      </c>
      <c r="AP2140">
        <v>44</v>
      </c>
      <c r="AQ2140">
        <v>5</v>
      </c>
      <c r="AR2140">
        <v>0</v>
      </c>
      <c r="AS2140">
        <v>2</v>
      </c>
      <c r="AT2140">
        <v>4</v>
      </c>
    </row>
    <row r="2141" spans="1:46">
      <c r="A2141">
        <v>45918</v>
      </c>
      <c r="B2141" t="s">
        <v>12629</v>
      </c>
      <c r="C2141" t="s">
        <v>12630</v>
      </c>
      <c r="D2141" t="s">
        <v>12631</v>
      </c>
      <c r="E2141" t="s">
        <v>12632</v>
      </c>
      <c r="F2141" t="s">
        <v>10612</v>
      </c>
      <c r="G2141" t="s">
        <v>1598</v>
      </c>
      <c r="H2141" t="s">
        <v>3942</v>
      </c>
      <c r="I2141" t="s">
        <v>4065</v>
      </c>
      <c r="J2141" t="s">
        <v>3962</v>
      </c>
      <c r="K2141" t="s">
        <v>519</v>
      </c>
      <c r="M2141" t="s">
        <v>1297</v>
      </c>
      <c r="N2141" t="s">
        <v>4519</v>
      </c>
      <c r="O2141" t="s">
        <v>1698</v>
      </c>
      <c r="P2141" t="s">
        <v>654</v>
      </c>
      <c r="Q2141" t="s">
        <v>1471</v>
      </c>
      <c r="R2141" t="s">
        <v>1472</v>
      </c>
      <c r="S2141" t="s">
        <v>1598</v>
      </c>
      <c r="T2141" t="s">
        <v>1474</v>
      </c>
      <c r="U2141">
        <v>194000</v>
      </c>
      <c r="V2141" t="s">
        <v>10612</v>
      </c>
      <c r="W2141" t="s">
        <v>1709</v>
      </c>
      <c r="X2141" t="s">
        <v>12633</v>
      </c>
      <c r="Y2141" t="s">
        <v>12632</v>
      </c>
      <c r="AA2141" t="s">
        <v>8884</v>
      </c>
      <c r="AB2141" t="s">
        <v>12634</v>
      </c>
      <c r="AC2141">
        <v>99036</v>
      </c>
      <c r="AD2141" t="s">
        <v>1710</v>
      </c>
      <c r="AE2141">
        <v>-37.696204479999999</v>
      </c>
      <c r="AF2141">
        <v>176.14478219</v>
      </c>
      <c r="AG2141">
        <v>30</v>
      </c>
      <c r="AH2141">
        <v>5</v>
      </c>
      <c r="AI2141">
        <v>0</v>
      </c>
      <c r="AJ2141">
        <v>3</v>
      </c>
      <c r="AK2141">
        <v>5</v>
      </c>
      <c r="AL2141">
        <v>15</v>
      </c>
      <c r="AM2141">
        <v>6</v>
      </c>
      <c r="AN2141">
        <v>0</v>
      </c>
      <c r="AO2141">
        <v>29</v>
      </c>
      <c r="AP2141">
        <v>15</v>
      </c>
      <c r="AQ2141">
        <v>3</v>
      </c>
      <c r="AR2141">
        <v>4</v>
      </c>
      <c r="AS2141">
        <v>12</v>
      </c>
      <c r="AT2141">
        <v>1</v>
      </c>
    </row>
    <row r="2142" spans="1:46">
      <c r="A2142">
        <v>45919</v>
      </c>
      <c r="B2142" t="s">
        <v>12635</v>
      </c>
      <c r="C2142" t="s">
        <v>12636</v>
      </c>
      <c r="D2142" t="s">
        <v>12637</v>
      </c>
      <c r="E2142" t="s">
        <v>12638</v>
      </c>
      <c r="G2142" t="s">
        <v>12639</v>
      </c>
      <c r="H2142" t="s">
        <v>517</v>
      </c>
      <c r="J2142" t="s">
        <v>518</v>
      </c>
      <c r="K2142" t="s">
        <v>519</v>
      </c>
      <c r="M2142" t="s">
        <v>2287</v>
      </c>
      <c r="N2142" t="s">
        <v>571</v>
      </c>
      <c r="O2142" t="s">
        <v>3360</v>
      </c>
      <c r="P2142" t="s">
        <v>540</v>
      </c>
      <c r="Q2142" t="s">
        <v>3337</v>
      </c>
      <c r="R2142" t="s">
        <v>3338</v>
      </c>
      <c r="S2142" t="s">
        <v>3250</v>
      </c>
      <c r="T2142" t="s">
        <v>2448</v>
      </c>
      <c r="U2142">
        <v>345700</v>
      </c>
      <c r="V2142" t="s">
        <v>12640</v>
      </c>
      <c r="W2142" t="s">
        <v>12641</v>
      </c>
      <c r="X2142" t="s">
        <v>2948</v>
      </c>
      <c r="Y2142" t="s">
        <v>2949</v>
      </c>
      <c r="Z2142" t="s">
        <v>2950</v>
      </c>
      <c r="AA2142" t="s">
        <v>2951</v>
      </c>
      <c r="AB2142" t="s">
        <v>2952</v>
      </c>
      <c r="AC2142">
        <v>99049</v>
      </c>
      <c r="AD2142" t="s">
        <v>3364</v>
      </c>
      <c r="AE2142">
        <v>-45.123823129999998</v>
      </c>
      <c r="AF2142">
        <v>170.10026726000001</v>
      </c>
      <c r="AG2142">
        <v>30</v>
      </c>
      <c r="AH2142">
        <v>0</v>
      </c>
      <c r="AI2142">
        <v>0</v>
      </c>
      <c r="AJ2142">
        <v>0</v>
      </c>
      <c r="AK2142">
        <v>9</v>
      </c>
      <c r="AL2142">
        <v>16</v>
      </c>
      <c r="AM2142">
        <v>16</v>
      </c>
      <c r="AN2142">
        <v>0</v>
      </c>
      <c r="AO2142">
        <v>41</v>
      </c>
      <c r="AP2142">
        <v>39</v>
      </c>
      <c r="AQ2142">
        <v>16</v>
      </c>
      <c r="AR2142">
        <v>1</v>
      </c>
      <c r="AS2142">
        <v>2</v>
      </c>
      <c r="AT2142">
        <v>0</v>
      </c>
    </row>
    <row r="2143" spans="1:46">
      <c r="A2143">
        <v>45920</v>
      </c>
      <c r="B2143" t="s">
        <v>12642</v>
      </c>
      <c r="C2143" t="s">
        <v>12643</v>
      </c>
      <c r="D2143" t="s">
        <v>12644</v>
      </c>
      <c r="E2143" t="s">
        <v>12645</v>
      </c>
      <c r="F2143" t="s">
        <v>4203</v>
      </c>
      <c r="G2143" t="s">
        <v>652</v>
      </c>
      <c r="H2143" t="s">
        <v>3942</v>
      </c>
      <c r="J2143" t="s">
        <v>3962</v>
      </c>
      <c r="K2143" t="s">
        <v>519</v>
      </c>
      <c r="M2143" t="s">
        <v>520</v>
      </c>
      <c r="N2143" t="s">
        <v>727</v>
      </c>
      <c r="O2143" t="s">
        <v>1216</v>
      </c>
      <c r="P2143" t="s">
        <v>654</v>
      </c>
      <c r="Q2143" t="s">
        <v>638</v>
      </c>
      <c r="R2143" t="s">
        <v>729</v>
      </c>
      <c r="S2143" t="s">
        <v>1036</v>
      </c>
      <c r="T2143" t="s">
        <v>709</v>
      </c>
      <c r="U2143">
        <v>160700</v>
      </c>
      <c r="V2143" t="s">
        <v>7275</v>
      </c>
      <c r="W2143" t="s">
        <v>1219</v>
      </c>
      <c r="X2143" t="s">
        <v>12646</v>
      </c>
      <c r="Y2143" t="s">
        <v>12647</v>
      </c>
      <c r="Z2143" t="s">
        <v>836</v>
      </c>
      <c r="AA2143" t="s">
        <v>4282</v>
      </c>
      <c r="AB2143" t="s">
        <v>12648</v>
      </c>
      <c r="AE2143">
        <v>-37.045357170000003</v>
      </c>
      <c r="AF2143">
        <v>174.86400796000001</v>
      </c>
      <c r="AG2143">
        <v>50</v>
      </c>
      <c r="AH2143">
        <v>0</v>
      </c>
      <c r="AI2143">
        <v>0</v>
      </c>
      <c r="AJ2143">
        <v>0</v>
      </c>
      <c r="AK2143">
        <v>19</v>
      </c>
      <c r="AL2143">
        <v>21</v>
      </c>
      <c r="AM2143">
        <v>29</v>
      </c>
      <c r="AN2143">
        <v>6</v>
      </c>
      <c r="AO2143">
        <v>75</v>
      </c>
      <c r="AP2143">
        <v>16</v>
      </c>
      <c r="AQ2143">
        <v>58</v>
      </c>
      <c r="AR2143">
        <v>30</v>
      </c>
      <c r="AS2143">
        <v>3</v>
      </c>
      <c r="AT2143">
        <v>1</v>
      </c>
    </row>
    <row r="2144" spans="1:46">
      <c r="A2144">
        <v>45922</v>
      </c>
      <c r="B2144" t="s">
        <v>12649</v>
      </c>
      <c r="C2144" t="s">
        <v>12650</v>
      </c>
      <c r="D2144" t="s">
        <v>12651</v>
      </c>
      <c r="E2144" t="s">
        <v>12652</v>
      </c>
      <c r="F2144" t="s">
        <v>1366</v>
      </c>
      <c r="G2144" t="s">
        <v>652</v>
      </c>
      <c r="H2144" t="s">
        <v>3942</v>
      </c>
      <c r="J2144" t="s">
        <v>3962</v>
      </c>
      <c r="K2144" t="s">
        <v>519</v>
      </c>
      <c r="M2144" t="s">
        <v>520</v>
      </c>
      <c r="N2144" t="s">
        <v>571</v>
      </c>
      <c r="O2144" t="s">
        <v>738</v>
      </c>
      <c r="P2144" t="s">
        <v>654</v>
      </c>
      <c r="Q2144" t="s">
        <v>638</v>
      </c>
      <c r="R2144" t="s">
        <v>639</v>
      </c>
      <c r="S2144" t="s">
        <v>756</v>
      </c>
      <c r="T2144" t="s">
        <v>527</v>
      </c>
      <c r="U2144">
        <v>125800</v>
      </c>
      <c r="V2144" t="s">
        <v>12653</v>
      </c>
      <c r="W2144" t="s">
        <v>741</v>
      </c>
      <c r="X2144" t="s">
        <v>12654</v>
      </c>
      <c r="Y2144" t="s">
        <v>12652</v>
      </c>
      <c r="Z2144" t="s">
        <v>1366</v>
      </c>
      <c r="AA2144" t="s">
        <v>5899</v>
      </c>
      <c r="AE2144">
        <v>-36.802254480000002</v>
      </c>
      <c r="AF2144">
        <v>174.72611950999999</v>
      </c>
      <c r="AG2144">
        <v>50</v>
      </c>
      <c r="AH2144">
        <v>16</v>
      </c>
      <c r="AI2144">
        <v>5</v>
      </c>
      <c r="AJ2144">
        <v>15</v>
      </c>
      <c r="AK2144">
        <v>16</v>
      </c>
      <c r="AL2144">
        <v>20</v>
      </c>
      <c r="AM2144">
        <v>7</v>
      </c>
      <c r="AN2144">
        <v>0</v>
      </c>
      <c r="AO2144">
        <v>63</v>
      </c>
      <c r="AP2144">
        <v>52</v>
      </c>
      <c r="AQ2144">
        <v>6</v>
      </c>
      <c r="AR2144">
        <v>5</v>
      </c>
      <c r="AS2144">
        <v>11</v>
      </c>
      <c r="AT2144">
        <v>5</v>
      </c>
    </row>
    <row r="2145" spans="1:46">
      <c r="A2145">
        <v>45923</v>
      </c>
      <c r="B2145" t="s">
        <v>12655</v>
      </c>
      <c r="C2145" t="s">
        <v>12656</v>
      </c>
      <c r="D2145" t="s">
        <v>12657</v>
      </c>
      <c r="E2145" t="s">
        <v>12658</v>
      </c>
      <c r="F2145" t="s">
        <v>1218</v>
      </c>
      <c r="G2145" t="s">
        <v>652</v>
      </c>
      <c r="H2145" t="s">
        <v>3942</v>
      </c>
      <c r="J2145" t="s">
        <v>3962</v>
      </c>
      <c r="K2145" t="s">
        <v>519</v>
      </c>
      <c r="M2145" t="s">
        <v>520</v>
      </c>
      <c r="N2145" t="s">
        <v>521</v>
      </c>
      <c r="O2145" t="s">
        <v>1216</v>
      </c>
      <c r="P2145" t="s">
        <v>654</v>
      </c>
      <c r="Q2145" t="s">
        <v>638</v>
      </c>
      <c r="R2145" t="s">
        <v>729</v>
      </c>
      <c r="S2145" t="s">
        <v>1036</v>
      </c>
      <c r="T2145" t="s">
        <v>709</v>
      </c>
      <c r="U2145">
        <v>160300</v>
      </c>
      <c r="V2145" t="s">
        <v>1252</v>
      </c>
      <c r="W2145" t="s">
        <v>1219</v>
      </c>
      <c r="X2145" t="s">
        <v>12659</v>
      </c>
      <c r="Y2145" t="s">
        <v>3981</v>
      </c>
      <c r="AA2145" t="s">
        <v>3982</v>
      </c>
      <c r="AB2145" t="s">
        <v>12660</v>
      </c>
      <c r="AE2145">
        <v>-37.021173070000003</v>
      </c>
      <c r="AF2145">
        <v>174.90477718</v>
      </c>
      <c r="AG2145">
        <v>90</v>
      </c>
      <c r="AH2145">
        <v>20</v>
      </c>
      <c r="AI2145">
        <v>2</v>
      </c>
      <c r="AJ2145">
        <v>12</v>
      </c>
      <c r="AK2145">
        <v>27</v>
      </c>
      <c r="AL2145">
        <v>19</v>
      </c>
      <c r="AM2145">
        <v>32</v>
      </c>
      <c r="AN2145">
        <v>2</v>
      </c>
      <c r="AO2145">
        <v>94</v>
      </c>
      <c r="AP2145">
        <v>12</v>
      </c>
      <c r="AQ2145">
        <v>16</v>
      </c>
      <c r="AR2145">
        <v>34</v>
      </c>
      <c r="AS2145">
        <v>50</v>
      </c>
      <c r="AT2145">
        <v>3</v>
      </c>
    </row>
    <row r="2146" spans="1:46">
      <c r="A2146">
        <v>45924</v>
      </c>
      <c r="B2146" t="s">
        <v>12661</v>
      </c>
      <c r="C2146" t="s">
        <v>12662</v>
      </c>
      <c r="D2146" t="s">
        <v>12663</v>
      </c>
      <c r="E2146" t="s">
        <v>12664</v>
      </c>
      <c r="G2146" t="s">
        <v>3811</v>
      </c>
      <c r="H2146" t="s">
        <v>3942</v>
      </c>
      <c r="J2146" t="s">
        <v>3962</v>
      </c>
      <c r="K2146" t="s">
        <v>519</v>
      </c>
      <c r="M2146" t="s">
        <v>520</v>
      </c>
      <c r="N2146" t="s">
        <v>539</v>
      </c>
      <c r="O2146" t="s">
        <v>1351</v>
      </c>
      <c r="P2146" t="s">
        <v>523</v>
      </c>
      <c r="Q2146" t="s">
        <v>1299</v>
      </c>
      <c r="R2146" t="s">
        <v>729</v>
      </c>
      <c r="S2146" t="s">
        <v>1246</v>
      </c>
      <c r="T2146" t="s">
        <v>1235</v>
      </c>
      <c r="U2146">
        <v>170001</v>
      </c>
      <c r="V2146" t="s">
        <v>4542</v>
      </c>
      <c r="W2146" t="s">
        <v>3813</v>
      </c>
      <c r="X2146" t="s">
        <v>12665</v>
      </c>
      <c r="Y2146" t="s">
        <v>12666</v>
      </c>
      <c r="AA2146" t="s">
        <v>7740</v>
      </c>
      <c r="AE2146">
        <v>-37.250236440000002</v>
      </c>
      <c r="AF2146">
        <v>174.95067584</v>
      </c>
      <c r="AG2146">
        <v>38</v>
      </c>
      <c r="AH2146">
        <v>10</v>
      </c>
      <c r="AI2146">
        <v>0</v>
      </c>
      <c r="AJ2146">
        <v>4</v>
      </c>
      <c r="AK2146">
        <v>4</v>
      </c>
      <c r="AL2146">
        <v>2</v>
      </c>
      <c r="AM2146">
        <v>4</v>
      </c>
      <c r="AN2146">
        <v>0</v>
      </c>
      <c r="AO2146">
        <v>14</v>
      </c>
      <c r="AP2146">
        <v>6</v>
      </c>
      <c r="AQ2146">
        <v>6</v>
      </c>
      <c r="AR2146">
        <v>4</v>
      </c>
      <c r="AS2146">
        <v>5</v>
      </c>
      <c r="AT2146">
        <v>1</v>
      </c>
    </row>
    <row r="2147" spans="1:46">
      <c r="A2147">
        <v>45925</v>
      </c>
      <c r="B2147" t="s">
        <v>12667</v>
      </c>
      <c r="C2147" t="s">
        <v>12668</v>
      </c>
      <c r="E2147" t="s">
        <v>12669</v>
      </c>
      <c r="F2147" t="s">
        <v>945</v>
      </c>
      <c r="G2147" t="s">
        <v>652</v>
      </c>
      <c r="H2147" t="s">
        <v>3942</v>
      </c>
      <c r="J2147" t="s">
        <v>3962</v>
      </c>
      <c r="K2147" t="s">
        <v>519</v>
      </c>
      <c r="M2147" t="s">
        <v>520</v>
      </c>
      <c r="N2147" t="s">
        <v>521</v>
      </c>
      <c r="O2147" t="s">
        <v>848</v>
      </c>
      <c r="P2147" t="s">
        <v>654</v>
      </c>
      <c r="Q2147" t="s">
        <v>638</v>
      </c>
      <c r="R2147" t="s">
        <v>729</v>
      </c>
      <c r="S2147" t="s">
        <v>849</v>
      </c>
      <c r="T2147" t="s">
        <v>709</v>
      </c>
      <c r="U2147">
        <v>153200</v>
      </c>
      <c r="V2147" t="s">
        <v>12670</v>
      </c>
      <c r="W2147" t="s">
        <v>732</v>
      </c>
      <c r="X2147" t="s">
        <v>4806</v>
      </c>
      <c r="Y2147" t="s">
        <v>3989</v>
      </c>
      <c r="Z2147" t="s">
        <v>3990</v>
      </c>
      <c r="AA2147" t="s">
        <v>3991</v>
      </c>
      <c r="AC2147">
        <v>99102</v>
      </c>
      <c r="AD2147" t="s">
        <v>1038</v>
      </c>
      <c r="AE2147">
        <v>-36.972216639999999</v>
      </c>
      <c r="AF2147">
        <v>174.82910093999999</v>
      </c>
      <c r="AG2147">
        <v>30</v>
      </c>
      <c r="AH2147">
        <v>0</v>
      </c>
      <c r="AI2147">
        <v>0</v>
      </c>
      <c r="AJ2147">
        <v>0</v>
      </c>
      <c r="AK2147">
        <v>4</v>
      </c>
      <c r="AL2147">
        <v>6</v>
      </c>
      <c r="AM2147">
        <v>12</v>
      </c>
      <c r="AN2147">
        <v>3</v>
      </c>
      <c r="AO2147">
        <v>25</v>
      </c>
      <c r="AP2147">
        <v>1</v>
      </c>
      <c r="AQ2147">
        <v>2</v>
      </c>
      <c r="AR2147">
        <v>18</v>
      </c>
      <c r="AS2147">
        <v>3</v>
      </c>
      <c r="AT2147">
        <v>2</v>
      </c>
    </row>
    <row r="2148" spans="1:46">
      <c r="A2148">
        <v>45926</v>
      </c>
      <c r="B2148" t="s">
        <v>12671</v>
      </c>
      <c r="C2148" t="s">
        <v>12672</v>
      </c>
      <c r="D2148" t="s">
        <v>12673</v>
      </c>
      <c r="E2148" t="s">
        <v>12674</v>
      </c>
      <c r="F2148" t="s">
        <v>2544</v>
      </c>
      <c r="G2148" t="s">
        <v>2289</v>
      </c>
      <c r="H2148" t="s">
        <v>4716</v>
      </c>
      <c r="I2148" t="s">
        <v>4165</v>
      </c>
      <c r="J2148" t="s">
        <v>518</v>
      </c>
      <c r="K2148" t="s">
        <v>519</v>
      </c>
      <c r="M2148" t="s">
        <v>2287</v>
      </c>
      <c r="N2148" t="s">
        <v>4519</v>
      </c>
      <c r="O2148" t="s">
        <v>2536</v>
      </c>
      <c r="P2148" t="s">
        <v>654</v>
      </c>
      <c r="Q2148" t="s">
        <v>2319</v>
      </c>
      <c r="R2148" t="s">
        <v>2289</v>
      </c>
      <c r="S2148" t="s">
        <v>2545</v>
      </c>
      <c r="T2148" t="s">
        <v>1485</v>
      </c>
      <c r="U2148">
        <v>247900</v>
      </c>
      <c r="V2148" t="s">
        <v>2778</v>
      </c>
      <c r="W2148" t="s">
        <v>2547</v>
      </c>
      <c r="X2148" t="s">
        <v>1889</v>
      </c>
      <c r="Y2148" t="s">
        <v>1890</v>
      </c>
      <c r="AA2148" t="s">
        <v>1891</v>
      </c>
      <c r="AB2148" t="s">
        <v>1892</v>
      </c>
      <c r="AE2148">
        <v>-41.168806920000002</v>
      </c>
      <c r="AF2148">
        <v>174.82474361000001</v>
      </c>
      <c r="AG2148">
        <v>0</v>
      </c>
      <c r="AH2148">
        <v>0</v>
      </c>
      <c r="AI2148">
        <v>4</v>
      </c>
      <c r="AJ2148">
        <v>11</v>
      </c>
      <c r="AK2148">
        <v>9</v>
      </c>
      <c r="AL2148">
        <v>6</v>
      </c>
      <c r="AM2148">
        <v>6</v>
      </c>
      <c r="AN2148">
        <v>0</v>
      </c>
      <c r="AO2148">
        <v>36</v>
      </c>
      <c r="AP2148">
        <v>3</v>
      </c>
      <c r="AQ2148">
        <v>14</v>
      </c>
      <c r="AR2148">
        <v>24</v>
      </c>
      <c r="AS2148">
        <v>1</v>
      </c>
      <c r="AT2148">
        <v>4</v>
      </c>
    </row>
    <row r="2149" spans="1:46">
      <c r="A2149">
        <v>45929</v>
      </c>
      <c r="B2149" t="s">
        <v>12675</v>
      </c>
      <c r="C2149" t="s">
        <v>12676</v>
      </c>
      <c r="D2149" t="s">
        <v>8035</v>
      </c>
      <c r="E2149" t="s">
        <v>12677</v>
      </c>
      <c r="F2149" t="s">
        <v>1072</v>
      </c>
      <c r="G2149" t="s">
        <v>652</v>
      </c>
      <c r="H2149" t="s">
        <v>3942</v>
      </c>
      <c r="J2149" t="s">
        <v>3962</v>
      </c>
      <c r="K2149" t="s">
        <v>519</v>
      </c>
      <c r="M2149" t="s">
        <v>520</v>
      </c>
      <c r="N2149" t="s">
        <v>521</v>
      </c>
      <c r="O2149" t="s">
        <v>848</v>
      </c>
      <c r="P2149" t="s">
        <v>654</v>
      </c>
      <c r="Q2149" t="s">
        <v>638</v>
      </c>
      <c r="R2149" t="s">
        <v>729</v>
      </c>
      <c r="S2149" t="s">
        <v>730</v>
      </c>
      <c r="T2149" t="s">
        <v>709</v>
      </c>
      <c r="U2149">
        <v>150301</v>
      </c>
      <c r="V2149" t="s">
        <v>7867</v>
      </c>
      <c r="W2149" t="s">
        <v>732</v>
      </c>
      <c r="X2149" t="s">
        <v>8037</v>
      </c>
      <c r="Y2149" t="s">
        <v>8038</v>
      </c>
      <c r="AA2149" t="s">
        <v>8039</v>
      </c>
      <c r="AB2149" t="s">
        <v>8040</v>
      </c>
      <c r="AE2149">
        <v>-36.940580310000001</v>
      </c>
      <c r="AF2149">
        <v>174.84256310000001</v>
      </c>
      <c r="AG2149">
        <v>70</v>
      </c>
      <c r="AH2149">
        <v>20</v>
      </c>
      <c r="AI2149">
        <v>5</v>
      </c>
      <c r="AJ2149">
        <v>14</v>
      </c>
      <c r="AK2149">
        <v>20</v>
      </c>
      <c r="AL2149">
        <v>12</v>
      </c>
      <c r="AM2149">
        <v>15</v>
      </c>
      <c r="AN2149">
        <v>2</v>
      </c>
      <c r="AO2149">
        <v>68</v>
      </c>
      <c r="AP2149">
        <v>1</v>
      </c>
      <c r="AQ2149">
        <v>13</v>
      </c>
      <c r="AR2149">
        <v>44</v>
      </c>
      <c r="AS2149">
        <v>24</v>
      </c>
      <c r="AT2149">
        <v>0</v>
      </c>
    </row>
    <row r="2150" spans="1:46">
      <c r="A2150">
        <v>45930</v>
      </c>
      <c r="B2150" t="s">
        <v>12678</v>
      </c>
      <c r="C2150" t="s">
        <v>12679</v>
      </c>
      <c r="D2150" t="s">
        <v>12680</v>
      </c>
      <c r="E2150" t="s">
        <v>12681</v>
      </c>
      <c r="F2150" t="s">
        <v>2597</v>
      </c>
      <c r="G2150" t="s">
        <v>2289</v>
      </c>
      <c r="H2150" t="s">
        <v>3942</v>
      </c>
      <c r="J2150" t="s">
        <v>3962</v>
      </c>
      <c r="K2150" t="s">
        <v>519</v>
      </c>
      <c r="M2150" t="s">
        <v>2287</v>
      </c>
      <c r="N2150" t="s">
        <v>571</v>
      </c>
      <c r="O2150" t="s">
        <v>2536</v>
      </c>
      <c r="P2150" t="s">
        <v>654</v>
      </c>
      <c r="Q2150" t="s">
        <v>2319</v>
      </c>
      <c r="R2150" t="s">
        <v>2289</v>
      </c>
      <c r="S2150" t="s">
        <v>2545</v>
      </c>
      <c r="T2150" t="s">
        <v>2448</v>
      </c>
      <c r="U2150">
        <v>249200</v>
      </c>
      <c r="V2150" t="s">
        <v>12682</v>
      </c>
      <c r="W2150" t="s">
        <v>2547</v>
      </c>
      <c r="X2150" t="s">
        <v>12341</v>
      </c>
      <c r="Y2150" t="s">
        <v>4097</v>
      </c>
      <c r="Z2150" t="s">
        <v>4098</v>
      </c>
      <c r="AA2150" t="s">
        <v>4099</v>
      </c>
      <c r="AE2150">
        <v>-41.233409029999997</v>
      </c>
      <c r="AF2150">
        <v>174.79792785000001</v>
      </c>
      <c r="AG2150">
        <v>100</v>
      </c>
      <c r="AH2150">
        <v>40</v>
      </c>
      <c r="AI2150">
        <v>4</v>
      </c>
      <c r="AJ2150">
        <v>21</v>
      </c>
      <c r="AK2150">
        <v>22</v>
      </c>
      <c r="AL2150">
        <v>32</v>
      </c>
      <c r="AM2150">
        <v>26</v>
      </c>
      <c r="AN2150">
        <v>0</v>
      </c>
      <c r="AO2150">
        <v>105</v>
      </c>
      <c r="AP2150">
        <v>71</v>
      </c>
      <c r="AQ2150">
        <v>5</v>
      </c>
      <c r="AR2150">
        <v>5</v>
      </c>
      <c r="AS2150">
        <v>39</v>
      </c>
      <c r="AT2150">
        <v>12</v>
      </c>
    </row>
    <row r="2151" spans="1:46">
      <c r="A2151">
        <v>45931</v>
      </c>
      <c r="B2151" t="s">
        <v>12683</v>
      </c>
      <c r="C2151" t="s">
        <v>12684</v>
      </c>
      <c r="D2151" t="s">
        <v>12685</v>
      </c>
      <c r="E2151" t="s">
        <v>12686</v>
      </c>
      <c r="G2151" t="s">
        <v>10433</v>
      </c>
      <c r="H2151" t="s">
        <v>3942</v>
      </c>
      <c r="J2151" t="s">
        <v>3962</v>
      </c>
      <c r="K2151" t="s">
        <v>519</v>
      </c>
      <c r="M2151" t="s">
        <v>2287</v>
      </c>
      <c r="N2151" t="s">
        <v>539</v>
      </c>
      <c r="O2151" t="s">
        <v>2066</v>
      </c>
      <c r="P2151" t="s">
        <v>523</v>
      </c>
      <c r="Q2151" t="s">
        <v>1636</v>
      </c>
      <c r="R2151" t="s">
        <v>2289</v>
      </c>
      <c r="S2151" t="s">
        <v>2067</v>
      </c>
      <c r="T2151" t="s">
        <v>1485</v>
      </c>
      <c r="U2151">
        <v>234100</v>
      </c>
      <c r="V2151" t="s">
        <v>10433</v>
      </c>
      <c r="W2151" t="s">
        <v>2069</v>
      </c>
      <c r="X2151" t="s">
        <v>10292</v>
      </c>
      <c r="Y2151" t="s">
        <v>10293</v>
      </c>
      <c r="AA2151" t="s">
        <v>12687</v>
      </c>
      <c r="AB2151" t="s">
        <v>10295</v>
      </c>
      <c r="AC2151">
        <v>99058</v>
      </c>
      <c r="AD2151" t="s">
        <v>2728</v>
      </c>
      <c r="AE2151">
        <v>-40.45666567</v>
      </c>
      <c r="AF2151">
        <v>175.22632909999999</v>
      </c>
      <c r="AG2151">
        <v>90</v>
      </c>
      <c r="AH2151">
        <v>18</v>
      </c>
      <c r="AI2151">
        <v>5</v>
      </c>
      <c r="AJ2151">
        <v>16</v>
      </c>
      <c r="AK2151">
        <v>23</v>
      </c>
      <c r="AL2151">
        <v>28</v>
      </c>
      <c r="AM2151">
        <v>28</v>
      </c>
      <c r="AN2151">
        <v>0</v>
      </c>
      <c r="AO2151">
        <v>100</v>
      </c>
      <c r="AP2151">
        <v>84</v>
      </c>
      <c r="AQ2151">
        <v>58</v>
      </c>
      <c r="AR2151">
        <v>5</v>
      </c>
      <c r="AS2151">
        <v>2</v>
      </c>
      <c r="AT2151">
        <v>0</v>
      </c>
    </row>
    <row r="2152" spans="1:46">
      <c r="A2152">
        <v>45933</v>
      </c>
      <c r="B2152" t="s">
        <v>12688</v>
      </c>
      <c r="C2152" t="s">
        <v>12689</v>
      </c>
      <c r="E2152" t="s">
        <v>12690</v>
      </c>
      <c r="F2152" t="s">
        <v>4690</v>
      </c>
      <c r="G2152" t="s">
        <v>652</v>
      </c>
      <c r="H2152" t="s">
        <v>3942</v>
      </c>
      <c r="J2152" t="s">
        <v>3962</v>
      </c>
      <c r="K2152" t="s">
        <v>519</v>
      </c>
      <c r="M2152" t="s">
        <v>520</v>
      </c>
      <c r="N2152" t="s">
        <v>571</v>
      </c>
      <c r="O2152" t="s">
        <v>957</v>
      </c>
      <c r="P2152" t="s">
        <v>654</v>
      </c>
      <c r="Q2152" t="s">
        <v>638</v>
      </c>
      <c r="R2152" t="s">
        <v>708</v>
      </c>
      <c r="S2152" t="s">
        <v>822</v>
      </c>
      <c r="T2152" t="s">
        <v>709</v>
      </c>
      <c r="U2152">
        <v>138501</v>
      </c>
      <c r="V2152" t="s">
        <v>4690</v>
      </c>
      <c r="W2152" t="s">
        <v>824</v>
      </c>
      <c r="X2152" t="s">
        <v>12691</v>
      </c>
      <c r="Y2152" t="s">
        <v>12692</v>
      </c>
      <c r="Z2152" t="s">
        <v>6161</v>
      </c>
      <c r="AA2152" t="s">
        <v>4431</v>
      </c>
      <c r="AB2152" t="s">
        <v>12693</v>
      </c>
      <c r="AE2152">
        <v>-36.870187489999999</v>
      </c>
      <c r="AF2152">
        <v>174.77637759999999</v>
      </c>
      <c r="AG2152">
        <v>70</v>
      </c>
      <c r="AH2152">
        <v>20</v>
      </c>
      <c r="AI2152">
        <v>0</v>
      </c>
      <c r="AJ2152">
        <v>14</v>
      </c>
      <c r="AK2152">
        <v>15</v>
      </c>
      <c r="AL2152">
        <v>12</v>
      </c>
      <c r="AM2152">
        <v>13</v>
      </c>
      <c r="AN2152">
        <v>0</v>
      </c>
      <c r="AO2152">
        <v>54</v>
      </c>
      <c r="AP2152">
        <v>18</v>
      </c>
      <c r="AQ2152">
        <v>3</v>
      </c>
      <c r="AR2152">
        <v>6</v>
      </c>
      <c r="AS2152">
        <v>33</v>
      </c>
      <c r="AT2152">
        <v>3</v>
      </c>
    </row>
    <row r="2153" spans="1:46">
      <c r="A2153">
        <v>45934</v>
      </c>
      <c r="B2153" t="s">
        <v>12694</v>
      </c>
      <c r="C2153" t="s">
        <v>12695</v>
      </c>
      <c r="D2153" t="s">
        <v>12696</v>
      </c>
      <c r="E2153" t="s">
        <v>12697</v>
      </c>
      <c r="F2153" t="s">
        <v>1036</v>
      </c>
      <c r="G2153" t="s">
        <v>652</v>
      </c>
      <c r="H2153" t="s">
        <v>3942</v>
      </c>
      <c r="J2153" t="s">
        <v>518</v>
      </c>
      <c r="K2153" t="s">
        <v>519</v>
      </c>
      <c r="M2153" t="s">
        <v>520</v>
      </c>
      <c r="N2153" t="s">
        <v>521</v>
      </c>
      <c r="O2153" t="s">
        <v>1216</v>
      </c>
      <c r="P2153" t="s">
        <v>654</v>
      </c>
      <c r="Q2153" t="s">
        <v>638</v>
      </c>
      <c r="R2153" t="s">
        <v>729</v>
      </c>
      <c r="S2153" t="s">
        <v>1036</v>
      </c>
      <c r="T2153" t="s">
        <v>709</v>
      </c>
      <c r="U2153">
        <v>160100</v>
      </c>
      <c r="V2153" t="s">
        <v>6877</v>
      </c>
      <c r="W2153" t="s">
        <v>1219</v>
      </c>
      <c r="X2153" t="s">
        <v>4603</v>
      </c>
      <c r="Y2153" t="s">
        <v>4604</v>
      </c>
      <c r="AA2153" t="s">
        <v>4037</v>
      </c>
      <c r="AB2153" t="s">
        <v>4605</v>
      </c>
      <c r="AE2153">
        <v>-37.024936500000003</v>
      </c>
      <c r="AF2153">
        <v>174.8862378</v>
      </c>
      <c r="AG2153">
        <v>50</v>
      </c>
      <c r="AH2153">
        <v>0</v>
      </c>
      <c r="AI2153">
        <v>0</v>
      </c>
      <c r="AJ2153">
        <v>0</v>
      </c>
      <c r="AK2153">
        <v>2</v>
      </c>
      <c r="AL2153">
        <v>12</v>
      </c>
      <c r="AM2153">
        <v>16</v>
      </c>
      <c r="AN2153">
        <v>0</v>
      </c>
      <c r="AO2153">
        <v>30</v>
      </c>
      <c r="AP2153">
        <v>1</v>
      </c>
      <c r="AQ2153">
        <v>7</v>
      </c>
      <c r="AR2153">
        <v>17</v>
      </c>
      <c r="AS2153">
        <v>9</v>
      </c>
      <c r="AT2153">
        <v>0</v>
      </c>
    </row>
    <row r="2154" spans="1:46">
      <c r="A2154">
        <v>45935</v>
      </c>
      <c r="B2154" t="s">
        <v>12698</v>
      </c>
      <c r="C2154" t="s">
        <v>12699</v>
      </c>
      <c r="D2154" t="s">
        <v>12700</v>
      </c>
      <c r="E2154" t="s">
        <v>12701</v>
      </c>
      <c r="G2154" t="s">
        <v>12702</v>
      </c>
      <c r="H2154" t="s">
        <v>3942</v>
      </c>
      <c r="I2154" t="s">
        <v>4231</v>
      </c>
      <c r="J2154" t="s">
        <v>518</v>
      </c>
      <c r="K2154" t="s">
        <v>519</v>
      </c>
      <c r="M2154" t="s">
        <v>520</v>
      </c>
      <c r="N2154" t="s">
        <v>571</v>
      </c>
      <c r="O2154" t="s">
        <v>522</v>
      </c>
      <c r="P2154" t="s">
        <v>572</v>
      </c>
      <c r="Q2154" t="s">
        <v>524</v>
      </c>
      <c r="R2154" t="s">
        <v>525</v>
      </c>
      <c r="S2154" t="s">
        <v>526</v>
      </c>
      <c r="T2154" t="s">
        <v>527</v>
      </c>
      <c r="U2154">
        <v>103301</v>
      </c>
      <c r="V2154" t="s">
        <v>12703</v>
      </c>
      <c r="W2154" t="s">
        <v>558</v>
      </c>
      <c r="X2154" t="s">
        <v>12704</v>
      </c>
      <c r="Y2154" t="s">
        <v>12705</v>
      </c>
      <c r="AA2154" t="s">
        <v>4856</v>
      </c>
      <c r="AB2154" t="s">
        <v>12706</v>
      </c>
      <c r="AC2154">
        <v>99117</v>
      </c>
      <c r="AD2154" t="s">
        <v>559</v>
      </c>
      <c r="AE2154">
        <v>-35.320500099999997</v>
      </c>
      <c r="AF2154">
        <v>173.9779738</v>
      </c>
      <c r="AG2154">
        <v>30</v>
      </c>
      <c r="AH2154">
        <v>0</v>
      </c>
      <c r="AI2154">
        <v>0</v>
      </c>
      <c r="AJ2154">
        <v>0</v>
      </c>
      <c r="AK2154">
        <v>6</v>
      </c>
      <c r="AL2154">
        <v>10</v>
      </c>
      <c r="AM2154">
        <v>9</v>
      </c>
      <c r="AN2154">
        <v>4</v>
      </c>
      <c r="AO2154">
        <v>29</v>
      </c>
      <c r="AP2154">
        <v>26</v>
      </c>
      <c r="AQ2154">
        <v>7</v>
      </c>
      <c r="AR2154">
        <v>1</v>
      </c>
      <c r="AS2154">
        <v>5</v>
      </c>
      <c r="AT2154">
        <v>0</v>
      </c>
    </row>
    <row r="2155" spans="1:46">
      <c r="A2155">
        <v>45936</v>
      </c>
      <c r="B2155" t="s">
        <v>12707</v>
      </c>
      <c r="C2155" t="s">
        <v>12708</v>
      </c>
      <c r="D2155" t="s">
        <v>12709</v>
      </c>
      <c r="E2155" t="s">
        <v>12710</v>
      </c>
      <c r="F2155" t="s">
        <v>945</v>
      </c>
      <c r="G2155" t="s">
        <v>652</v>
      </c>
      <c r="H2155" t="s">
        <v>3942</v>
      </c>
      <c r="I2155" t="s">
        <v>3644</v>
      </c>
      <c r="J2155" t="s">
        <v>518</v>
      </c>
      <c r="K2155" t="s">
        <v>519</v>
      </c>
      <c r="M2155" t="s">
        <v>520</v>
      </c>
      <c r="N2155" t="s">
        <v>727</v>
      </c>
      <c r="O2155" t="s">
        <v>848</v>
      </c>
      <c r="P2155" t="s">
        <v>654</v>
      </c>
      <c r="Q2155" t="s">
        <v>638</v>
      </c>
      <c r="R2155" t="s">
        <v>729</v>
      </c>
      <c r="S2155" t="s">
        <v>849</v>
      </c>
      <c r="T2155" t="s">
        <v>709</v>
      </c>
      <c r="U2155">
        <v>149600</v>
      </c>
      <c r="V2155" t="s">
        <v>7670</v>
      </c>
      <c r="W2155" t="s">
        <v>732</v>
      </c>
      <c r="X2155" t="s">
        <v>12711</v>
      </c>
      <c r="Y2155" t="s">
        <v>12710</v>
      </c>
      <c r="Z2155" t="s">
        <v>847</v>
      </c>
      <c r="AA2155" t="s">
        <v>7456</v>
      </c>
      <c r="AB2155" t="s">
        <v>12712</v>
      </c>
      <c r="AE2155">
        <v>-36.957897150000001</v>
      </c>
      <c r="AF2155">
        <v>174.82735597999999</v>
      </c>
      <c r="AG2155">
        <v>0</v>
      </c>
      <c r="AH2155">
        <v>0</v>
      </c>
      <c r="AI2155">
        <v>1</v>
      </c>
      <c r="AJ2155">
        <v>2</v>
      </c>
      <c r="AK2155">
        <v>3</v>
      </c>
      <c r="AL2155">
        <v>7</v>
      </c>
      <c r="AM2155">
        <v>5</v>
      </c>
      <c r="AN2155">
        <v>0</v>
      </c>
      <c r="AO2155">
        <v>18</v>
      </c>
      <c r="AP2155">
        <v>0</v>
      </c>
      <c r="AQ2155">
        <v>0</v>
      </c>
      <c r="AR2155">
        <v>18</v>
      </c>
      <c r="AS2155">
        <v>0</v>
      </c>
      <c r="AT2155">
        <v>0</v>
      </c>
    </row>
    <row r="2156" spans="1:46">
      <c r="A2156">
        <v>45940</v>
      </c>
      <c r="B2156" t="s">
        <v>12713</v>
      </c>
      <c r="C2156" t="s">
        <v>12714</v>
      </c>
      <c r="D2156" t="s">
        <v>12715</v>
      </c>
      <c r="E2156" t="s">
        <v>12716</v>
      </c>
      <c r="F2156" t="s">
        <v>847</v>
      </c>
      <c r="G2156" t="s">
        <v>652</v>
      </c>
      <c r="H2156" t="s">
        <v>3942</v>
      </c>
      <c r="J2156" t="s">
        <v>3962</v>
      </c>
      <c r="K2156" t="s">
        <v>519</v>
      </c>
      <c r="M2156" t="s">
        <v>520</v>
      </c>
      <c r="N2156" t="s">
        <v>727</v>
      </c>
      <c r="O2156" t="s">
        <v>848</v>
      </c>
      <c r="P2156" t="s">
        <v>654</v>
      </c>
      <c r="Q2156" t="s">
        <v>638</v>
      </c>
      <c r="R2156" t="s">
        <v>729</v>
      </c>
      <c r="S2156" t="s">
        <v>849</v>
      </c>
      <c r="T2156" t="s">
        <v>709</v>
      </c>
      <c r="U2156">
        <v>150000</v>
      </c>
      <c r="V2156" t="s">
        <v>970</v>
      </c>
      <c r="W2156" t="s">
        <v>732</v>
      </c>
      <c r="X2156" t="s">
        <v>12717</v>
      </c>
      <c r="Y2156" t="s">
        <v>12716</v>
      </c>
      <c r="Z2156" t="s">
        <v>945</v>
      </c>
      <c r="AA2156" t="s">
        <v>7456</v>
      </c>
      <c r="AC2156">
        <v>99102</v>
      </c>
      <c r="AD2156" t="s">
        <v>1038</v>
      </c>
      <c r="AE2156">
        <v>-36.957711080000003</v>
      </c>
      <c r="AF2156">
        <v>174.81463685</v>
      </c>
      <c r="AG2156">
        <v>40</v>
      </c>
      <c r="AH2156">
        <v>5</v>
      </c>
      <c r="AI2156">
        <v>1</v>
      </c>
      <c r="AJ2156">
        <v>2</v>
      </c>
      <c r="AK2156">
        <v>7</v>
      </c>
      <c r="AL2156">
        <v>14</v>
      </c>
      <c r="AM2156">
        <v>8</v>
      </c>
      <c r="AN2156">
        <v>1</v>
      </c>
      <c r="AO2156">
        <v>33</v>
      </c>
      <c r="AP2156">
        <v>2</v>
      </c>
      <c r="AQ2156">
        <v>10</v>
      </c>
      <c r="AR2156">
        <v>29</v>
      </c>
      <c r="AS2156">
        <v>5</v>
      </c>
      <c r="AT2156">
        <v>0</v>
      </c>
    </row>
    <row r="2157" spans="1:46">
      <c r="A2157">
        <v>45941</v>
      </c>
      <c r="B2157" t="s">
        <v>12718</v>
      </c>
      <c r="C2157" t="s">
        <v>12719</v>
      </c>
      <c r="D2157" t="s">
        <v>12720</v>
      </c>
      <c r="E2157" t="s">
        <v>12721</v>
      </c>
      <c r="F2157" t="s">
        <v>2733</v>
      </c>
      <c r="G2157" t="s">
        <v>2427</v>
      </c>
      <c r="H2157" t="s">
        <v>3942</v>
      </c>
      <c r="J2157" t="s">
        <v>3962</v>
      </c>
      <c r="K2157" t="s">
        <v>519</v>
      </c>
      <c r="M2157" t="s">
        <v>2287</v>
      </c>
      <c r="N2157" t="s">
        <v>571</v>
      </c>
      <c r="O2157" t="s">
        <v>2428</v>
      </c>
      <c r="P2157" t="s">
        <v>654</v>
      </c>
      <c r="Q2157" t="s">
        <v>2319</v>
      </c>
      <c r="R2157" t="s">
        <v>2289</v>
      </c>
      <c r="S2157" t="s">
        <v>2429</v>
      </c>
      <c r="T2157" t="s">
        <v>2448</v>
      </c>
      <c r="U2157">
        <v>245000</v>
      </c>
      <c r="V2157" t="s">
        <v>2815</v>
      </c>
      <c r="W2157" t="s">
        <v>2491</v>
      </c>
      <c r="X2157" t="s">
        <v>12722</v>
      </c>
      <c r="Y2157" t="s">
        <v>12723</v>
      </c>
      <c r="AA2157" t="s">
        <v>12298</v>
      </c>
      <c r="AE2157">
        <v>-41.227336940000001</v>
      </c>
      <c r="AF2157">
        <v>174.88167888999999</v>
      </c>
      <c r="AG2157">
        <v>75</v>
      </c>
      <c r="AH2157">
        <v>20</v>
      </c>
      <c r="AI2157">
        <v>1</v>
      </c>
      <c r="AJ2157">
        <v>23</v>
      </c>
      <c r="AK2157">
        <v>21</v>
      </c>
      <c r="AL2157">
        <v>21</v>
      </c>
      <c r="AM2157">
        <v>19</v>
      </c>
      <c r="AN2157">
        <v>0</v>
      </c>
      <c r="AO2157">
        <v>85</v>
      </c>
      <c r="AP2157">
        <v>65</v>
      </c>
      <c r="AQ2157">
        <v>21</v>
      </c>
      <c r="AR2157">
        <v>15</v>
      </c>
      <c r="AS2157">
        <v>13</v>
      </c>
      <c r="AT2157">
        <v>1</v>
      </c>
    </row>
    <row r="2158" spans="1:46">
      <c r="A2158">
        <v>45943</v>
      </c>
      <c r="B2158" t="s">
        <v>12724</v>
      </c>
      <c r="C2158" t="s">
        <v>12725</v>
      </c>
      <c r="D2158" t="s">
        <v>12447</v>
      </c>
      <c r="E2158" t="s">
        <v>12448</v>
      </c>
      <c r="F2158" t="s">
        <v>5176</v>
      </c>
      <c r="G2158" t="s">
        <v>652</v>
      </c>
      <c r="H2158" t="s">
        <v>4716</v>
      </c>
      <c r="J2158" t="s">
        <v>3962</v>
      </c>
      <c r="K2158" t="s">
        <v>519</v>
      </c>
      <c r="M2158" t="s">
        <v>520</v>
      </c>
      <c r="N2158" t="s">
        <v>571</v>
      </c>
      <c r="O2158" t="s">
        <v>804</v>
      </c>
      <c r="P2158" t="s">
        <v>654</v>
      </c>
      <c r="Q2158" t="s">
        <v>638</v>
      </c>
      <c r="R2158" t="s">
        <v>708</v>
      </c>
      <c r="S2158" t="s">
        <v>880</v>
      </c>
      <c r="T2158" t="s">
        <v>709</v>
      </c>
      <c r="U2158">
        <v>141801</v>
      </c>
      <c r="V2158" t="s">
        <v>6505</v>
      </c>
      <c r="W2158" t="s">
        <v>824</v>
      </c>
      <c r="X2158" t="s">
        <v>12449</v>
      </c>
      <c r="Y2158" t="s">
        <v>12450</v>
      </c>
      <c r="Z2158" t="s">
        <v>12451</v>
      </c>
      <c r="AA2158" t="s">
        <v>12452</v>
      </c>
      <c r="AE2158">
        <v>-36.852834010000002</v>
      </c>
      <c r="AF2158">
        <v>174.83816302</v>
      </c>
      <c r="AG2158">
        <v>80</v>
      </c>
      <c r="AH2158">
        <v>80</v>
      </c>
      <c r="AI2158">
        <v>2</v>
      </c>
      <c r="AJ2158">
        <v>21</v>
      </c>
      <c r="AK2158">
        <v>24</v>
      </c>
      <c r="AL2158">
        <v>21</v>
      </c>
      <c r="AM2158">
        <v>16</v>
      </c>
      <c r="AN2158">
        <v>1</v>
      </c>
      <c r="AO2158">
        <v>85</v>
      </c>
      <c r="AP2158">
        <v>73</v>
      </c>
      <c r="AQ2158">
        <v>3</v>
      </c>
      <c r="AR2158">
        <v>1</v>
      </c>
      <c r="AS2158">
        <v>12</v>
      </c>
      <c r="AT2158">
        <v>3</v>
      </c>
    </row>
    <row r="2159" spans="1:46">
      <c r="A2159">
        <v>45944</v>
      </c>
      <c r="B2159" t="s">
        <v>12726</v>
      </c>
      <c r="C2159" t="s">
        <v>12727</v>
      </c>
      <c r="E2159" t="s">
        <v>12728</v>
      </c>
      <c r="G2159" t="s">
        <v>3834</v>
      </c>
      <c r="H2159" t="s">
        <v>4716</v>
      </c>
      <c r="J2159" t="s">
        <v>3962</v>
      </c>
      <c r="K2159" t="s">
        <v>519</v>
      </c>
      <c r="M2159" t="s">
        <v>2287</v>
      </c>
      <c r="N2159" t="s">
        <v>571</v>
      </c>
      <c r="O2159" t="s">
        <v>3835</v>
      </c>
      <c r="P2159" t="s">
        <v>1262</v>
      </c>
      <c r="Q2159" t="s">
        <v>3337</v>
      </c>
      <c r="R2159" t="s">
        <v>3338</v>
      </c>
      <c r="S2159" t="s">
        <v>3361</v>
      </c>
      <c r="T2159" t="s">
        <v>2448</v>
      </c>
      <c r="U2159">
        <v>348100</v>
      </c>
      <c r="V2159" t="s">
        <v>11809</v>
      </c>
      <c r="W2159" t="s">
        <v>3837</v>
      </c>
      <c r="X2159" t="s">
        <v>12729</v>
      </c>
      <c r="Y2159" t="s">
        <v>9026</v>
      </c>
      <c r="Z2159" t="s">
        <v>2427</v>
      </c>
      <c r="AA2159" t="s">
        <v>9029</v>
      </c>
      <c r="AB2159" t="s">
        <v>12730</v>
      </c>
      <c r="AE2159">
        <v>-45.030465229999997</v>
      </c>
      <c r="AF2159">
        <v>168.66031479</v>
      </c>
      <c r="AG2159">
        <v>80</v>
      </c>
      <c r="AH2159">
        <v>80</v>
      </c>
      <c r="AI2159">
        <v>2</v>
      </c>
      <c r="AJ2159">
        <v>9</v>
      </c>
      <c r="AK2159">
        <v>14</v>
      </c>
      <c r="AL2159">
        <v>10</v>
      </c>
      <c r="AM2159">
        <v>7</v>
      </c>
      <c r="AN2159">
        <v>0</v>
      </c>
      <c r="AO2159">
        <v>42</v>
      </c>
      <c r="AP2159">
        <v>37</v>
      </c>
      <c r="AQ2159">
        <v>7</v>
      </c>
      <c r="AR2159">
        <v>3</v>
      </c>
      <c r="AS2159">
        <v>4</v>
      </c>
      <c r="AT2159">
        <v>0</v>
      </c>
    </row>
    <row r="2160" spans="1:46">
      <c r="A2160">
        <v>45945</v>
      </c>
      <c r="B2160" t="s">
        <v>12731</v>
      </c>
      <c r="C2160" t="s">
        <v>12732</v>
      </c>
      <c r="D2160" t="s">
        <v>12733</v>
      </c>
      <c r="E2160" t="s">
        <v>12734</v>
      </c>
      <c r="F2160" t="s">
        <v>5860</v>
      </c>
      <c r="G2160" t="s">
        <v>652</v>
      </c>
      <c r="H2160" t="s">
        <v>3942</v>
      </c>
      <c r="J2160" t="s">
        <v>3962</v>
      </c>
      <c r="K2160" t="s">
        <v>519</v>
      </c>
      <c r="M2160" t="s">
        <v>520</v>
      </c>
      <c r="N2160" t="s">
        <v>571</v>
      </c>
      <c r="O2160" t="s">
        <v>748</v>
      </c>
      <c r="P2160" t="s">
        <v>654</v>
      </c>
      <c r="Q2160" t="s">
        <v>638</v>
      </c>
      <c r="R2160" t="s">
        <v>639</v>
      </c>
      <c r="S2160" t="s">
        <v>682</v>
      </c>
      <c r="T2160" t="s">
        <v>527</v>
      </c>
      <c r="U2160">
        <v>121300</v>
      </c>
      <c r="V2160" t="s">
        <v>785</v>
      </c>
      <c r="W2160" t="s">
        <v>741</v>
      </c>
      <c r="X2160" t="s">
        <v>12735</v>
      </c>
      <c r="Y2160" t="s">
        <v>12734</v>
      </c>
      <c r="Z2160" t="s">
        <v>5860</v>
      </c>
      <c r="AA2160" t="s">
        <v>4911</v>
      </c>
      <c r="AB2160" t="s">
        <v>12732</v>
      </c>
      <c r="AC2160">
        <v>99188</v>
      </c>
      <c r="AD2160" t="s">
        <v>786</v>
      </c>
      <c r="AE2160">
        <v>-36.754745610000001</v>
      </c>
      <c r="AF2160">
        <v>174.74031959000001</v>
      </c>
      <c r="AG2160">
        <v>80</v>
      </c>
      <c r="AH2160">
        <v>35</v>
      </c>
      <c r="AI2160">
        <v>2</v>
      </c>
      <c r="AJ2160">
        <v>13</v>
      </c>
      <c r="AK2160">
        <v>33</v>
      </c>
      <c r="AL2160">
        <v>16</v>
      </c>
      <c r="AM2160">
        <v>24</v>
      </c>
      <c r="AN2160">
        <v>1</v>
      </c>
      <c r="AO2160">
        <v>89</v>
      </c>
      <c r="AP2160">
        <v>54</v>
      </c>
      <c r="AQ2160">
        <v>4</v>
      </c>
      <c r="AR2160">
        <v>1</v>
      </c>
      <c r="AS2160">
        <v>34</v>
      </c>
      <c r="AT2160">
        <v>8</v>
      </c>
    </row>
    <row r="2161" spans="1:46">
      <c r="A2161">
        <v>45946</v>
      </c>
      <c r="B2161" t="s">
        <v>12736</v>
      </c>
      <c r="C2161" t="s">
        <v>12737</v>
      </c>
      <c r="D2161" t="s">
        <v>12738</v>
      </c>
      <c r="E2161" t="s">
        <v>12739</v>
      </c>
      <c r="G2161" t="s">
        <v>1974</v>
      </c>
      <c r="H2161" t="s">
        <v>3942</v>
      </c>
      <c r="J2161" t="s">
        <v>3962</v>
      </c>
      <c r="K2161" t="s">
        <v>519</v>
      </c>
      <c r="M2161" t="s">
        <v>1297</v>
      </c>
      <c r="N2161" t="s">
        <v>4519</v>
      </c>
      <c r="O2161" t="s">
        <v>1956</v>
      </c>
      <c r="P2161" t="s">
        <v>584</v>
      </c>
      <c r="Q2161" t="s">
        <v>1636</v>
      </c>
      <c r="R2161" t="s">
        <v>1760</v>
      </c>
      <c r="S2161" t="s">
        <v>1974</v>
      </c>
      <c r="T2161" t="s">
        <v>1485</v>
      </c>
      <c r="U2161">
        <v>230700</v>
      </c>
      <c r="V2161" t="s">
        <v>2060</v>
      </c>
      <c r="W2161" t="s">
        <v>1957</v>
      </c>
      <c r="X2161" t="s">
        <v>12740</v>
      </c>
      <c r="Y2161" t="s">
        <v>12741</v>
      </c>
      <c r="Z2161" t="s">
        <v>12742</v>
      </c>
      <c r="AA2161" t="s">
        <v>1960</v>
      </c>
      <c r="AB2161" t="s">
        <v>12743</v>
      </c>
      <c r="AE2161">
        <v>-40.369788239999998</v>
      </c>
      <c r="AF2161">
        <v>175.59843308999999</v>
      </c>
      <c r="AG2161">
        <v>42</v>
      </c>
      <c r="AH2161">
        <v>15</v>
      </c>
      <c r="AI2161">
        <v>6</v>
      </c>
      <c r="AJ2161">
        <v>4</v>
      </c>
      <c r="AK2161">
        <v>16</v>
      </c>
      <c r="AL2161">
        <v>5</v>
      </c>
      <c r="AM2161">
        <v>12</v>
      </c>
      <c r="AN2161">
        <v>0</v>
      </c>
      <c r="AO2161">
        <v>43</v>
      </c>
      <c r="AP2161">
        <v>22</v>
      </c>
      <c r="AQ2161">
        <v>14</v>
      </c>
      <c r="AR2161">
        <v>0</v>
      </c>
      <c r="AS2161">
        <v>21</v>
      </c>
      <c r="AT2161">
        <v>0</v>
      </c>
    </row>
    <row r="2162" spans="1:46">
      <c r="A2162">
        <v>45947</v>
      </c>
      <c r="B2162" t="s">
        <v>11021</v>
      </c>
      <c r="C2162" t="s">
        <v>12744</v>
      </c>
      <c r="D2162" t="s">
        <v>12745</v>
      </c>
      <c r="E2162" t="s">
        <v>12746</v>
      </c>
      <c r="F2162" t="s">
        <v>1023</v>
      </c>
      <c r="G2162" t="s">
        <v>652</v>
      </c>
      <c r="H2162" t="s">
        <v>3942</v>
      </c>
      <c r="J2162" t="s">
        <v>3962</v>
      </c>
      <c r="K2162" t="s">
        <v>519</v>
      </c>
      <c r="M2162" t="s">
        <v>520</v>
      </c>
      <c r="N2162" t="s">
        <v>557</v>
      </c>
      <c r="O2162" t="s">
        <v>912</v>
      </c>
      <c r="P2162" t="s">
        <v>654</v>
      </c>
      <c r="Q2162" t="s">
        <v>638</v>
      </c>
      <c r="R2162" t="s">
        <v>708</v>
      </c>
      <c r="S2162" t="s">
        <v>913</v>
      </c>
      <c r="T2162" t="s">
        <v>709</v>
      </c>
      <c r="U2162">
        <v>139802</v>
      </c>
      <c r="V2162" t="s">
        <v>12747</v>
      </c>
      <c r="W2162" t="s">
        <v>860</v>
      </c>
      <c r="X2162" t="s">
        <v>12748</v>
      </c>
      <c r="Y2162" t="s">
        <v>7465</v>
      </c>
      <c r="AA2162" t="s">
        <v>7466</v>
      </c>
      <c r="AE2162">
        <v>-36.911815400000002</v>
      </c>
      <c r="AF2162">
        <v>174.72756686</v>
      </c>
      <c r="AG2162">
        <v>53</v>
      </c>
      <c r="AH2162">
        <v>10</v>
      </c>
      <c r="AI2162">
        <v>0</v>
      </c>
      <c r="AJ2162">
        <v>10</v>
      </c>
      <c r="AK2162">
        <v>6</v>
      </c>
      <c r="AL2162">
        <v>9</v>
      </c>
      <c r="AM2162">
        <v>15</v>
      </c>
      <c r="AN2162">
        <v>1</v>
      </c>
      <c r="AO2162">
        <v>41</v>
      </c>
      <c r="AP2162">
        <v>0</v>
      </c>
      <c r="AQ2162">
        <v>1</v>
      </c>
      <c r="AR2162">
        <v>4</v>
      </c>
      <c r="AS2162">
        <v>30</v>
      </c>
      <c r="AT2162">
        <v>7</v>
      </c>
    </row>
    <row r="2163" spans="1:46">
      <c r="A2163">
        <v>45949</v>
      </c>
      <c r="B2163" t="s">
        <v>12749</v>
      </c>
      <c r="C2163" t="s">
        <v>12750</v>
      </c>
      <c r="D2163" t="s">
        <v>12751</v>
      </c>
      <c r="E2163" t="s">
        <v>12752</v>
      </c>
      <c r="F2163" t="s">
        <v>8402</v>
      </c>
      <c r="G2163" t="s">
        <v>1598</v>
      </c>
      <c r="H2163" t="s">
        <v>3942</v>
      </c>
      <c r="J2163" t="s">
        <v>3962</v>
      </c>
      <c r="K2163" t="s">
        <v>519</v>
      </c>
      <c r="M2163" t="s">
        <v>1297</v>
      </c>
      <c r="N2163" t="s">
        <v>571</v>
      </c>
      <c r="O2163" t="s">
        <v>1698</v>
      </c>
      <c r="P2163" t="s">
        <v>654</v>
      </c>
      <c r="Q2163" t="s">
        <v>1471</v>
      </c>
      <c r="R2163" t="s">
        <v>1472</v>
      </c>
      <c r="S2163" t="s">
        <v>1598</v>
      </c>
      <c r="T2163" t="s">
        <v>1474</v>
      </c>
      <c r="U2163">
        <v>193800</v>
      </c>
      <c r="V2163" t="s">
        <v>8402</v>
      </c>
      <c r="W2163" t="s">
        <v>3724</v>
      </c>
      <c r="X2163" t="s">
        <v>12753</v>
      </c>
      <c r="Y2163" t="s">
        <v>11270</v>
      </c>
      <c r="AA2163" t="s">
        <v>10864</v>
      </c>
      <c r="AE2163">
        <v>-37.687733299999998</v>
      </c>
      <c r="AF2163">
        <v>176.16640243000001</v>
      </c>
      <c r="AG2163">
        <v>60</v>
      </c>
      <c r="AH2163">
        <v>20</v>
      </c>
      <c r="AI2163">
        <v>3</v>
      </c>
      <c r="AJ2163">
        <v>12</v>
      </c>
      <c r="AK2163">
        <v>5</v>
      </c>
      <c r="AL2163">
        <v>5</v>
      </c>
      <c r="AM2163">
        <v>13</v>
      </c>
      <c r="AN2163">
        <v>3</v>
      </c>
      <c r="AO2163">
        <v>41</v>
      </c>
      <c r="AP2163">
        <v>27</v>
      </c>
      <c r="AQ2163">
        <v>11</v>
      </c>
      <c r="AR2163">
        <v>2</v>
      </c>
      <c r="AS2163">
        <v>8</v>
      </c>
      <c r="AT2163">
        <v>2</v>
      </c>
    </row>
    <row r="2164" spans="1:46">
      <c r="A2164">
        <v>45951</v>
      </c>
      <c r="B2164" t="s">
        <v>12754</v>
      </c>
      <c r="C2164" t="s">
        <v>12755</v>
      </c>
      <c r="E2164" t="s">
        <v>12756</v>
      </c>
      <c r="G2164" t="s">
        <v>3359</v>
      </c>
      <c r="H2164" t="s">
        <v>4716</v>
      </c>
      <c r="J2164" t="s">
        <v>3962</v>
      </c>
      <c r="K2164" t="s">
        <v>519</v>
      </c>
      <c r="M2164" t="s">
        <v>2287</v>
      </c>
      <c r="N2164" t="s">
        <v>4519</v>
      </c>
      <c r="O2164" t="s">
        <v>3360</v>
      </c>
      <c r="P2164" t="s">
        <v>572</v>
      </c>
      <c r="Q2164" t="s">
        <v>3337</v>
      </c>
      <c r="R2164" t="s">
        <v>3338</v>
      </c>
      <c r="S2164" t="s">
        <v>3361</v>
      </c>
      <c r="T2164" t="s">
        <v>2448</v>
      </c>
      <c r="U2164">
        <v>345300</v>
      </c>
      <c r="V2164" t="s">
        <v>12757</v>
      </c>
      <c r="W2164" t="s">
        <v>3363</v>
      </c>
      <c r="X2164" t="s">
        <v>12758</v>
      </c>
      <c r="Y2164" t="s">
        <v>12756</v>
      </c>
      <c r="AA2164" t="s">
        <v>12759</v>
      </c>
      <c r="AB2164" t="s">
        <v>12760</v>
      </c>
      <c r="AE2164">
        <v>-45.2031615</v>
      </c>
      <c r="AF2164">
        <v>169.46048039999999</v>
      </c>
      <c r="AG2164">
        <v>80</v>
      </c>
      <c r="AH2164">
        <v>80</v>
      </c>
      <c r="AI2164">
        <v>2</v>
      </c>
      <c r="AJ2164">
        <v>12</v>
      </c>
      <c r="AK2164">
        <v>15</v>
      </c>
      <c r="AL2164">
        <v>29</v>
      </c>
      <c r="AM2164">
        <v>21</v>
      </c>
      <c r="AN2164">
        <v>2</v>
      </c>
      <c r="AO2164">
        <v>81</v>
      </c>
      <c r="AP2164">
        <v>74</v>
      </c>
      <c r="AQ2164">
        <v>17</v>
      </c>
      <c r="AR2164">
        <v>1</v>
      </c>
      <c r="AS2164">
        <v>1</v>
      </c>
      <c r="AT2164">
        <v>0</v>
      </c>
    </row>
    <row r="2165" spans="1:46">
      <c r="A2165">
        <v>45952</v>
      </c>
      <c r="B2165" t="s">
        <v>12761</v>
      </c>
      <c r="C2165" t="s">
        <v>12762</v>
      </c>
      <c r="E2165" t="s">
        <v>12763</v>
      </c>
      <c r="G2165" t="s">
        <v>3498</v>
      </c>
      <c r="H2165" t="s">
        <v>3942</v>
      </c>
      <c r="J2165" t="s">
        <v>518</v>
      </c>
      <c r="K2165" t="s">
        <v>519</v>
      </c>
      <c r="M2165" t="s">
        <v>2287</v>
      </c>
      <c r="N2165" t="s">
        <v>571</v>
      </c>
      <c r="O2165" t="s">
        <v>3496</v>
      </c>
      <c r="P2165" t="s">
        <v>584</v>
      </c>
      <c r="Q2165" t="s">
        <v>3497</v>
      </c>
      <c r="R2165" t="s">
        <v>3338</v>
      </c>
      <c r="S2165" t="s">
        <v>3498</v>
      </c>
      <c r="T2165" t="s">
        <v>2448</v>
      </c>
      <c r="U2165">
        <v>360601</v>
      </c>
      <c r="V2165" t="s">
        <v>3540</v>
      </c>
      <c r="W2165" t="s">
        <v>1652</v>
      </c>
      <c r="X2165" t="s">
        <v>12764</v>
      </c>
      <c r="Y2165" t="s">
        <v>3944</v>
      </c>
      <c r="Z2165" t="s">
        <v>3945</v>
      </c>
      <c r="AA2165" t="s">
        <v>3946</v>
      </c>
      <c r="AB2165" t="s">
        <v>12765</v>
      </c>
      <c r="AE2165">
        <v>-46.384297699999998</v>
      </c>
      <c r="AF2165">
        <v>168.34692369999999</v>
      </c>
      <c r="AG2165">
        <v>67</v>
      </c>
      <c r="AH2165">
        <v>20</v>
      </c>
      <c r="AI2165">
        <v>1</v>
      </c>
      <c r="AJ2165">
        <v>15</v>
      </c>
      <c r="AK2165">
        <v>14</v>
      </c>
      <c r="AL2165">
        <v>21</v>
      </c>
      <c r="AM2165">
        <v>22</v>
      </c>
      <c r="AN2165">
        <v>0</v>
      </c>
      <c r="AO2165">
        <v>73</v>
      </c>
      <c r="AP2165">
        <v>51</v>
      </c>
      <c r="AQ2165">
        <v>17</v>
      </c>
      <c r="AR2165">
        <v>4</v>
      </c>
      <c r="AS2165">
        <v>8</v>
      </c>
      <c r="AT2165">
        <v>10</v>
      </c>
    </row>
    <row r="2166" spans="1:46">
      <c r="A2166">
        <v>45953</v>
      </c>
      <c r="B2166" t="s">
        <v>12766</v>
      </c>
      <c r="C2166" t="s">
        <v>12767</v>
      </c>
      <c r="E2166" t="s">
        <v>12768</v>
      </c>
      <c r="G2166" t="s">
        <v>12769</v>
      </c>
      <c r="H2166" t="s">
        <v>3942</v>
      </c>
      <c r="J2166" t="s">
        <v>3962</v>
      </c>
      <c r="K2166" t="s">
        <v>519</v>
      </c>
      <c r="M2166" t="s">
        <v>1297</v>
      </c>
      <c r="N2166" t="s">
        <v>571</v>
      </c>
      <c r="O2166" t="s">
        <v>1758</v>
      </c>
      <c r="P2166" t="s">
        <v>540</v>
      </c>
      <c r="Q2166" t="s">
        <v>1759</v>
      </c>
      <c r="R2166" t="s">
        <v>1760</v>
      </c>
      <c r="S2166" t="s">
        <v>1757</v>
      </c>
      <c r="T2166" t="s">
        <v>1485</v>
      </c>
      <c r="U2166">
        <v>216700</v>
      </c>
      <c r="V2166" t="s">
        <v>12770</v>
      </c>
      <c r="W2166" t="s">
        <v>1762</v>
      </c>
      <c r="X2166" t="s">
        <v>12771</v>
      </c>
      <c r="Y2166" t="s">
        <v>12772</v>
      </c>
      <c r="AA2166" t="s">
        <v>12773</v>
      </c>
      <c r="AB2166" t="s">
        <v>12767</v>
      </c>
      <c r="AE2166">
        <v>-39.190708319999999</v>
      </c>
      <c r="AF2166">
        <v>173.86670928999999</v>
      </c>
      <c r="AG2166">
        <v>49</v>
      </c>
      <c r="AH2166">
        <v>12</v>
      </c>
      <c r="AI2166">
        <v>0</v>
      </c>
      <c r="AJ2166">
        <v>7</v>
      </c>
      <c r="AK2166">
        <v>13</v>
      </c>
      <c r="AL2166">
        <v>18</v>
      </c>
      <c r="AM2166">
        <v>17</v>
      </c>
      <c r="AN2166">
        <v>2</v>
      </c>
      <c r="AO2166">
        <v>57</v>
      </c>
      <c r="AP2166">
        <v>54</v>
      </c>
      <c r="AQ2166">
        <v>11</v>
      </c>
      <c r="AR2166">
        <v>0</v>
      </c>
      <c r="AS2166">
        <v>0</v>
      </c>
      <c r="AT2166">
        <v>0</v>
      </c>
    </row>
    <row r="2167" spans="1:46">
      <c r="A2167">
        <v>45957</v>
      </c>
      <c r="B2167" t="s">
        <v>12774</v>
      </c>
      <c r="C2167" t="s">
        <v>12775</v>
      </c>
      <c r="E2167" t="s">
        <v>12776</v>
      </c>
      <c r="G2167" t="s">
        <v>3498</v>
      </c>
      <c r="H2167" t="s">
        <v>3942</v>
      </c>
      <c r="J2167" t="s">
        <v>518</v>
      </c>
      <c r="K2167" t="s">
        <v>519</v>
      </c>
      <c r="M2167" t="s">
        <v>2287</v>
      </c>
      <c r="N2167" t="s">
        <v>539</v>
      </c>
      <c r="O2167" t="s">
        <v>3496</v>
      </c>
      <c r="P2167" t="s">
        <v>584</v>
      </c>
      <c r="Q2167" t="s">
        <v>3497</v>
      </c>
      <c r="R2167" t="s">
        <v>3338</v>
      </c>
      <c r="S2167" t="s">
        <v>3498</v>
      </c>
      <c r="T2167" t="s">
        <v>2448</v>
      </c>
      <c r="U2167">
        <v>362501</v>
      </c>
      <c r="V2167" t="s">
        <v>3522</v>
      </c>
      <c r="W2167" t="s">
        <v>1652</v>
      </c>
      <c r="X2167" t="s">
        <v>12764</v>
      </c>
      <c r="Y2167" t="s">
        <v>3944</v>
      </c>
      <c r="Z2167" t="s">
        <v>3945</v>
      </c>
      <c r="AA2167" t="s">
        <v>3946</v>
      </c>
      <c r="AB2167" t="s">
        <v>12765</v>
      </c>
      <c r="AE2167">
        <v>-46.425152599999997</v>
      </c>
      <c r="AF2167">
        <v>168.36176309999999</v>
      </c>
      <c r="AG2167">
        <v>75</v>
      </c>
      <c r="AH2167">
        <v>25</v>
      </c>
      <c r="AI2167">
        <v>4</v>
      </c>
      <c r="AJ2167">
        <v>16</v>
      </c>
      <c r="AK2167">
        <v>27</v>
      </c>
      <c r="AL2167">
        <v>22</v>
      </c>
      <c r="AM2167">
        <v>17</v>
      </c>
      <c r="AN2167">
        <v>2</v>
      </c>
      <c r="AO2167">
        <v>88</v>
      </c>
      <c r="AP2167">
        <v>53</v>
      </c>
      <c r="AQ2167">
        <v>31</v>
      </c>
      <c r="AR2167">
        <v>5</v>
      </c>
      <c r="AS2167">
        <v>11</v>
      </c>
      <c r="AT2167">
        <v>6</v>
      </c>
    </row>
    <row r="2168" spans="1:46">
      <c r="A2168">
        <v>45958</v>
      </c>
      <c r="B2168" t="s">
        <v>12777</v>
      </c>
      <c r="C2168" t="s">
        <v>12778</v>
      </c>
      <c r="D2168" t="s">
        <v>12779</v>
      </c>
      <c r="E2168" t="s">
        <v>12780</v>
      </c>
      <c r="F2168" t="s">
        <v>2552</v>
      </c>
      <c r="G2168" t="s">
        <v>2289</v>
      </c>
      <c r="H2168" t="s">
        <v>3942</v>
      </c>
      <c r="J2168" t="s">
        <v>3962</v>
      </c>
      <c r="K2168" t="s">
        <v>519</v>
      </c>
      <c r="M2168" t="s">
        <v>2287</v>
      </c>
      <c r="N2168" t="s">
        <v>4519</v>
      </c>
      <c r="O2168" t="s">
        <v>2536</v>
      </c>
      <c r="P2168" t="s">
        <v>654</v>
      </c>
      <c r="Q2168" t="s">
        <v>2319</v>
      </c>
      <c r="R2168" t="s">
        <v>2289</v>
      </c>
      <c r="S2168" t="s">
        <v>2553</v>
      </c>
      <c r="T2168" t="s">
        <v>2448</v>
      </c>
      <c r="U2168">
        <v>251900</v>
      </c>
      <c r="V2168" t="s">
        <v>12781</v>
      </c>
      <c r="W2168" t="s">
        <v>2538</v>
      </c>
      <c r="X2168" t="s">
        <v>12782</v>
      </c>
      <c r="Y2168" t="s">
        <v>4107</v>
      </c>
      <c r="AA2168" t="s">
        <v>3982</v>
      </c>
      <c r="AB2168" t="s">
        <v>12783</v>
      </c>
      <c r="AE2168">
        <v>-41.305206300000002</v>
      </c>
      <c r="AF2168">
        <v>174.76464240000001</v>
      </c>
      <c r="AG2168">
        <v>114</v>
      </c>
      <c r="AH2168">
        <v>35</v>
      </c>
      <c r="AI2168">
        <v>4</v>
      </c>
      <c r="AJ2168">
        <v>31</v>
      </c>
      <c r="AK2168">
        <v>26</v>
      </c>
      <c r="AL2168">
        <v>29</v>
      </c>
      <c r="AM2168">
        <v>28</v>
      </c>
      <c r="AN2168">
        <v>1</v>
      </c>
      <c r="AO2168">
        <v>119</v>
      </c>
      <c r="AP2168">
        <v>73</v>
      </c>
      <c r="AQ2168">
        <v>34</v>
      </c>
      <c r="AR2168">
        <v>7</v>
      </c>
      <c r="AS2168">
        <v>32</v>
      </c>
      <c r="AT2168">
        <v>15</v>
      </c>
    </row>
    <row r="2169" spans="1:46">
      <c r="A2169">
        <v>45972</v>
      </c>
      <c r="B2169" t="s">
        <v>6039</v>
      </c>
      <c r="C2169" t="s">
        <v>12784</v>
      </c>
      <c r="E2169" t="s">
        <v>12785</v>
      </c>
      <c r="F2169" t="s">
        <v>803</v>
      </c>
      <c r="G2169" t="s">
        <v>652</v>
      </c>
      <c r="H2169" t="s">
        <v>3942</v>
      </c>
      <c r="J2169" t="s">
        <v>518</v>
      </c>
      <c r="K2169" t="s">
        <v>519</v>
      </c>
      <c r="M2169" t="s">
        <v>520</v>
      </c>
      <c r="N2169" t="s">
        <v>4519</v>
      </c>
      <c r="O2169" t="s">
        <v>804</v>
      </c>
      <c r="P2169" t="s">
        <v>654</v>
      </c>
      <c r="Q2169" t="s">
        <v>638</v>
      </c>
      <c r="R2169" t="s">
        <v>708</v>
      </c>
      <c r="S2169" t="s">
        <v>805</v>
      </c>
      <c r="T2169" t="s">
        <v>709</v>
      </c>
      <c r="U2169">
        <v>144800</v>
      </c>
      <c r="V2169" t="s">
        <v>4379</v>
      </c>
      <c r="W2169" t="s">
        <v>807</v>
      </c>
      <c r="X2169" t="s">
        <v>4460</v>
      </c>
      <c r="Y2169" t="s">
        <v>12785</v>
      </c>
      <c r="Z2169" t="s">
        <v>803</v>
      </c>
      <c r="AA2169" t="s">
        <v>4537</v>
      </c>
      <c r="AB2169" t="s">
        <v>4462</v>
      </c>
      <c r="AE2169">
        <v>-36.900148180000002</v>
      </c>
      <c r="AF2169">
        <v>174.81680101000001</v>
      </c>
      <c r="AG2169">
        <v>60</v>
      </c>
      <c r="AH2169">
        <v>20</v>
      </c>
      <c r="AI2169">
        <v>0</v>
      </c>
      <c r="AJ2169">
        <v>9</v>
      </c>
      <c r="AK2169">
        <v>13</v>
      </c>
      <c r="AL2169">
        <v>4</v>
      </c>
      <c r="AM2169">
        <v>17</v>
      </c>
      <c r="AN2169">
        <v>2</v>
      </c>
      <c r="AO2169">
        <v>45</v>
      </c>
      <c r="AP2169">
        <v>12</v>
      </c>
      <c r="AQ2169">
        <v>2</v>
      </c>
      <c r="AR2169">
        <v>5</v>
      </c>
      <c r="AS2169">
        <v>29</v>
      </c>
      <c r="AT2169">
        <v>3</v>
      </c>
    </row>
    <row r="2170" spans="1:46">
      <c r="A2170">
        <v>45976</v>
      </c>
      <c r="B2170" t="s">
        <v>12786</v>
      </c>
      <c r="C2170" t="s">
        <v>12787</v>
      </c>
      <c r="D2170" t="s">
        <v>12788</v>
      </c>
      <c r="E2170" t="s">
        <v>12789</v>
      </c>
      <c r="F2170" t="s">
        <v>769</v>
      </c>
      <c r="G2170" t="s">
        <v>652</v>
      </c>
      <c r="H2170" t="s">
        <v>3942</v>
      </c>
      <c r="J2170" t="s">
        <v>3962</v>
      </c>
      <c r="K2170" t="s">
        <v>519</v>
      </c>
      <c r="M2170" t="s">
        <v>520</v>
      </c>
      <c r="N2170" t="s">
        <v>571</v>
      </c>
      <c r="O2170" t="s">
        <v>718</v>
      </c>
      <c r="P2170" t="s">
        <v>654</v>
      </c>
      <c r="Q2170" t="s">
        <v>638</v>
      </c>
      <c r="R2170" t="s">
        <v>708</v>
      </c>
      <c r="S2170" t="s">
        <v>913</v>
      </c>
      <c r="T2170" t="s">
        <v>709</v>
      </c>
      <c r="U2170">
        <v>139501</v>
      </c>
      <c r="V2170" t="s">
        <v>12790</v>
      </c>
      <c r="W2170" t="s">
        <v>721</v>
      </c>
      <c r="X2170" t="s">
        <v>12791</v>
      </c>
      <c r="Y2170" t="s">
        <v>10566</v>
      </c>
      <c r="Z2170" t="s">
        <v>891</v>
      </c>
      <c r="AA2170" t="s">
        <v>10567</v>
      </c>
      <c r="AB2170" t="s">
        <v>12792</v>
      </c>
      <c r="AC2170">
        <v>99012</v>
      </c>
      <c r="AD2170" t="s">
        <v>772</v>
      </c>
      <c r="AE2170">
        <v>-36.91882519</v>
      </c>
      <c r="AF2170">
        <v>174.71348058999999</v>
      </c>
      <c r="AG2170">
        <v>60</v>
      </c>
      <c r="AH2170">
        <v>15</v>
      </c>
      <c r="AI2170">
        <v>3</v>
      </c>
      <c r="AJ2170">
        <v>14</v>
      </c>
      <c r="AK2170">
        <v>14</v>
      </c>
      <c r="AL2170">
        <v>16</v>
      </c>
      <c r="AM2170">
        <v>16</v>
      </c>
      <c r="AN2170">
        <v>1</v>
      </c>
      <c r="AO2170">
        <v>64</v>
      </c>
      <c r="AP2170">
        <v>18</v>
      </c>
      <c r="AQ2170">
        <v>3</v>
      </c>
      <c r="AR2170">
        <v>4</v>
      </c>
      <c r="AS2170">
        <v>46</v>
      </c>
      <c r="AT2170">
        <v>3</v>
      </c>
    </row>
    <row r="2171" spans="1:46">
      <c r="A2171">
        <v>45977</v>
      </c>
      <c r="B2171" t="s">
        <v>12793</v>
      </c>
      <c r="C2171" t="s">
        <v>12794</v>
      </c>
      <c r="D2171" t="s">
        <v>12795</v>
      </c>
      <c r="E2171" t="s">
        <v>12796</v>
      </c>
      <c r="G2171" t="s">
        <v>1555</v>
      </c>
      <c r="H2171" t="s">
        <v>3942</v>
      </c>
      <c r="J2171" t="s">
        <v>3962</v>
      </c>
      <c r="K2171" t="s">
        <v>519</v>
      </c>
      <c r="M2171" t="s">
        <v>1297</v>
      </c>
      <c r="N2171" t="s">
        <v>539</v>
      </c>
      <c r="O2171" t="s">
        <v>1351</v>
      </c>
      <c r="P2171" t="s">
        <v>523</v>
      </c>
      <c r="Q2171" t="s">
        <v>1299</v>
      </c>
      <c r="R2171" t="s">
        <v>1300</v>
      </c>
      <c r="S2171" t="s">
        <v>1300</v>
      </c>
      <c r="T2171" t="s">
        <v>1235</v>
      </c>
      <c r="U2171">
        <v>171502</v>
      </c>
      <c r="V2171" t="s">
        <v>1556</v>
      </c>
      <c r="W2171" t="s">
        <v>1557</v>
      </c>
      <c r="X2171" t="s">
        <v>12797</v>
      </c>
      <c r="Y2171" t="s">
        <v>12796</v>
      </c>
      <c r="AA2171" t="s">
        <v>12283</v>
      </c>
      <c r="AB2171" t="s">
        <v>12798</v>
      </c>
      <c r="AE2171">
        <v>-37.556886419999998</v>
      </c>
      <c r="AF2171">
        <v>175.16171204</v>
      </c>
      <c r="AG2171">
        <v>49</v>
      </c>
      <c r="AH2171">
        <v>15</v>
      </c>
      <c r="AI2171">
        <v>1</v>
      </c>
      <c r="AJ2171">
        <v>6</v>
      </c>
      <c r="AK2171">
        <v>10</v>
      </c>
      <c r="AL2171">
        <v>12</v>
      </c>
      <c r="AM2171">
        <v>13</v>
      </c>
      <c r="AN2171">
        <v>0</v>
      </c>
      <c r="AO2171">
        <v>42</v>
      </c>
      <c r="AP2171">
        <v>14</v>
      </c>
      <c r="AQ2171">
        <v>25</v>
      </c>
      <c r="AR2171">
        <v>11</v>
      </c>
      <c r="AS2171">
        <v>11</v>
      </c>
      <c r="AT2171">
        <v>2</v>
      </c>
    </row>
    <row r="2172" spans="1:46">
      <c r="A2172">
        <v>45980</v>
      </c>
      <c r="B2172" t="s">
        <v>12799</v>
      </c>
      <c r="E2172" t="s">
        <v>12800</v>
      </c>
      <c r="G2172" t="s">
        <v>3834</v>
      </c>
      <c r="H2172" t="s">
        <v>3942</v>
      </c>
      <c r="J2172" t="s">
        <v>3962</v>
      </c>
      <c r="K2172" t="s">
        <v>519</v>
      </c>
      <c r="M2172" t="s">
        <v>2287</v>
      </c>
      <c r="N2172" t="s">
        <v>4519</v>
      </c>
      <c r="O2172" t="s">
        <v>3835</v>
      </c>
      <c r="P2172" t="s">
        <v>1262</v>
      </c>
      <c r="Q2172" t="s">
        <v>3337</v>
      </c>
      <c r="R2172" t="s">
        <v>3338</v>
      </c>
      <c r="S2172" t="s">
        <v>3361</v>
      </c>
      <c r="T2172" t="s">
        <v>2448</v>
      </c>
      <c r="U2172">
        <v>348801</v>
      </c>
      <c r="V2172" t="s">
        <v>12801</v>
      </c>
      <c r="W2172" t="s">
        <v>11506</v>
      </c>
      <c r="X2172" t="s">
        <v>12802</v>
      </c>
      <c r="Y2172" t="s">
        <v>12396</v>
      </c>
      <c r="Z2172" t="s">
        <v>4555</v>
      </c>
      <c r="AA2172" t="s">
        <v>4556</v>
      </c>
      <c r="AB2172" t="s">
        <v>12803</v>
      </c>
      <c r="AE2172">
        <v>-45.002657910000003</v>
      </c>
      <c r="AF2172">
        <v>168.78897273999999</v>
      </c>
      <c r="AG2172">
        <v>70</v>
      </c>
      <c r="AH2172">
        <v>25</v>
      </c>
      <c r="AI2172">
        <v>8</v>
      </c>
      <c r="AJ2172">
        <v>9</v>
      </c>
      <c r="AK2172">
        <v>10</v>
      </c>
      <c r="AL2172">
        <v>20</v>
      </c>
      <c r="AM2172">
        <v>17</v>
      </c>
      <c r="AN2172">
        <v>1</v>
      </c>
      <c r="AO2172">
        <v>65</v>
      </c>
      <c r="AP2172">
        <v>56</v>
      </c>
      <c r="AQ2172">
        <v>2</v>
      </c>
      <c r="AR2172">
        <v>0</v>
      </c>
      <c r="AS2172">
        <v>7</v>
      </c>
      <c r="AT2172">
        <v>8</v>
      </c>
    </row>
    <row r="2173" spans="1:46">
      <c r="A2173">
        <v>45985</v>
      </c>
      <c r="B2173" t="s">
        <v>12804</v>
      </c>
      <c r="C2173" t="s">
        <v>12805</v>
      </c>
      <c r="E2173" t="s">
        <v>12806</v>
      </c>
      <c r="F2173" t="s">
        <v>855</v>
      </c>
      <c r="G2173" t="s">
        <v>652</v>
      </c>
      <c r="H2173" t="s">
        <v>343</v>
      </c>
      <c r="J2173" t="s">
        <v>518</v>
      </c>
      <c r="K2173" t="s">
        <v>519</v>
      </c>
      <c r="L2173" t="s">
        <v>4205</v>
      </c>
      <c r="M2173" t="s">
        <v>520</v>
      </c>
      <c r="N2173" t="s">
        <v>571</v>
      </c>
      <c r="O2173" t="s">
        <v>857</v>
      </c>
      <c r="P2173" t="s">
        <v>654</v>
      </c>
      <c r="Q2173" t="s">
        <v>638</v>
      </c>
      <c r="R2173" t="s">
        <v>708</v>
      </c>
      <c r="S2173" t="s">
        <v>858</v>
      </c>
      <c r="T2173" t="s">
        <v>709</v>
      </c>
      <c r="U2173">
        <v>134200</v>
      </c>
      <c r="V2173" t="s">
        <v>859</v>
      </c>
      <c r="W2173" t="s">
        <v>860</v>
      </c>
      <c r="X2173" t="s">
        <v>4207</v>
      </c>
      <c r="Y2173" t="s">
        <v>4208</v>
      </c>
      <c r="Z2173" t="s">
        <v>4209</v>
      </c>
      <c r="AA2173" t="s">
        <v>4210</v>
      </c>
      <c r="AE2173">
        <v>-36.888286290000003</v>
      </c>
      <c r="AF2173">
        <v>174.72699763</v>
      </c>
      <c r="AG2173">
        <v>25</v>
      </c>
      <c r="AH2173">
        <v>5</v>
      </c>
      <c r="AI2173">
        <v>1</v>
      </c>
      <c r="AJ2173">
        <v>2</v>
      </c>
      <c r="AK2173">
        <v>7</v>
      </c>
      <c r="AL2173">
        <v>6</v>
      </c>
      <c r="AM2173">
        <v>7</v>
      </c>
      <c r="AN2173">
        <v>0</v>
      </c>
      <c r="AO2173">
        <v>23</v>
      </c>
      <c r="AP2173">
        <v>0</v>
      </c>
      <c r="AQ2173">
        <v>23</v>
      </c>
      <c r="AR2173">
        <v>0</v>
      </c>
      <c r="AS2173">
        <v>0</v>
      </c>
      <c r="AT2173">
        <v>0</v>
      </c>
    </row>
    <row r="2174" spans="1:46">
      <c r="A2174">
        <v>45988</v>
      </c>
      <c r="B2174" t="s">
        <v>12807</v>
      </c>
      <c r="C2174" t="s">
        <v>12808</v>
      </c>
      <c r="D2174" t="s">
        <v>12809</v>
      </c>
      <c r="E2174" t="s">
        <v>12810</v>
      </c>
      <c r="F2174" t="s">
        <v>2733</v>
      </c>
      <c r="G2174" t="s">
        <v>2427</v>
      </c>
      <c r="H2174" t="s">
        <v>3942</v>
      </c>
      <c r="J2174" t="s">
        <v>3962</v>
      </c>
      <c r="K2174" t="s">
        <v>519</v>
      </c>
      <c r="M2174" t="s">
        <v>2287</v>
      </c>
      <c r="N2174" t="s">
        <v>571</v>
      </c>
      <c r="O2174" t="s">
        <v>2428</v>
      </c>
      <c r="P2174" t="s">
        <v>654</v>
      </c>
      <c r="Q2174" t="s">
        <v>2319</v>
      </c>
      <c r="R2174" t="s">
        <v>2289</v>
      </c>
      <c r="S2174" t="s">
        <v>2429</v>
      </c>
      <c r="T2174" t="s">
        <v>2448</v>
      </c>
      <c r="U2174">
        <v>243700</v>
      </c>
      <c r="V2174" t="s">
        <v>10956</v>
      </c>
      <c r="W2174" t="s">
        <v>2491</v>
      </c>
      <c r="X2174" t="s">
        <v>12811</v>
      </c>
      <c r="Y2174" t="s">
        <v>12810</v>
      </c>
      <c r="Z2174" t="s">
        <v>2733</v>
      </c>
      <c r="AA2174" t="s">
        <v>12812</v>
      </c>
      <c r="AE2174">
        <v>-41.220337100000002</v>
      </c>
      <c r="AF2174">
        <v>174.87647835000001</v>
      </c>
      <c r="AG2174">
        <v>47</v>
      </c>
      <c r="AH2174">
        <v>14</v>
      </c>
      <c r="AI2174">
        <v>0</v>
      </c>
      <c r="AJ2174">
        <v>11</v>
      </c>
      <c r="AK2174">
        <v>18</v>
      </c>
      <c r="AL2174">
        <v>15</v>
      </c>
      <c r="AM2174">
        <v>17</v>
      </c>
      <c r="AN2174">
        <v>0</v>
      </c>
      <c r="AO2174">
        <v>61</v>
      </c>
      <c r="AP2174">
        <v>58</v>
      </c>
      <c r="AQ2174">
        <v>10</v>
      </c>
      <c r="AR2174">
        <v>0</v>
      </c>
      <c r="AS2174">
        <v>2</v>
      </c>
      <c r="AT2174">
        <v>1</v>
      </c>
    </row>
    <row r="2175" spans="1:46">
      <c r="A2175">
        <v>45998</v>
      </c>
      <c r="B2175" t="s">
        <v>12813</v>
      </c>
      <c r="C2175" t="s">
        <v>12814</v>
      </c>
      <c r="E2175" t="s">
        <v>12815</v>
      </c>
      <c r="G2175" t="s">
        <v>2031</v>
      </c>
      <c r="H2175" t="s">
        <v>3942</v>
      </c>
      <c r="J2175" t="s">
        <v>3962</v>
      </c>
      <c r="K2175" t="s">
        <v>519</v>
      </c>
      <c r="M2175" t="s">
        <v>1297</v>
      </c>
      <c r="N2175" t="s">
        <v>557</v>
      </c>
      <c r="O2175" t="s">
        <v>1967</v>
      </c>
      <c r="P2175" t="s">
        <v>523</v>
      </c>
      <c r="Q2175" t="s">
        <v>1636</v>
      </c>
      <c r="R2175" t="s">
        <v>1760</v>
      </c>
      <c r="S2175" t="s">
        <v>1637</v>
      </c>
      <c r="T2175" t="s">
        <v>1485</v>
      </c>
      <c r="U2175">
        <v>226701</v>
      </c>
      <c r="V2175" t="s">
        <v>3599</v>
      </c>
      <c r="W2175" t="s">
        <v>2033</v>
      </c>
      <c r="X2175" t="s">
        <v>12816</v>
      </c>
      <c r="Y2175" t="s">
        <v>4634</v>
      </c>
      <c r="AA2175" t="s">
        <v>4635</v>
      </c>
      <c r="AB2175" t="s">
        <v>12817</v>
      </c>
      <c r="AC2175">
        <v>99078</v>
      </c>
      <c r="AD2175" t="s">
        <v>1969</v>
      </c>
      <c r="AE2175">
        <v>-40.07295482</v>
      </c>
      <c r="AF2175">
        <v>175.37830020999999</v>
      </c>
      <c r="AG2175">
        <v>59</v>
      </c>
      <c r="AH2175">
        <v>15</v>
      </c>
      <c r="AI2175">
        <v>5</v>
      </c>
      <c r="AJ2175">
        <v>9</v>
      </c>
      <c r="AK2175">
        <v>15</v>
      </c>
      <c r="AL2175">
        <v>13</v>
      </c>
      <c r="AM2175">
        <v>13</v>
      </c>
      <c r="AN2175">
        <v>0</v>
      </c>
      <c r="AO2175">
        <v>55</v>
      </c>
      <c r="AP2175">
        <v>38</v>
      </c>
      <c r="AQ2175">
        <v>22</v>
      </c>
      <c r="AR2175">
        <v>6</v>
      </c>
      <c r="AS2175">
        <v>3</v>
      </c>
      <c r="AT2175">
        <v>5</v>
      </c>
    </row>
    <row r="2176" spans="1:46">
      <c r="A2176">
        <v>46003</v>
      </c>
      <c r="B2176" t="s">
        <v>12818</v>
      </c>
      <c r="C2176" t="s">
        <v>12819</v>
      </c>
      <c r="D2176" t="s">
        <v>12820</v>
      </c>
      <c r="E2176" t="s">
        <v>12821</v>
      </c>
      <c r="G2176" t="s">
        <v>12822</v>
      </c>
      <c r="H2176" t="s">
        <v>3942</v>
      </c>
      <c r="J2176" t="s">
        <v>3962</v>
      </c>
      <c r="K2176" t="s">
        <v>519</v>
      </c>
      <c r="M2176" t="s">
        <v>2287</v>
      </c>
      <c r="N2176" t="s">
        <v>571</v>
      </c>
      <c r="O2176" t="s">
        <v>2868</v>
      </c>
      <c r="P2176" t="s">
        <v>523</v>
      </c>
      <c r="Q2176" t="s">
        <v>2869</v>
      </c>
      <c r="R2176" t="s">
        <v>2824</v>
      </c>
      <c r="S2176" t="s">
        <v>2853</v>
      </c>
      <c r="T2176" t="s">
        <v>2448</v>
      </c>
      <c r="U2176">
        <v>302701</v>
      </c>
      <c r="V2176" t="s">
        <v>12822</v>
      </c>
      <c r="W2176" t="s">
        <v>2884</v>
      </c>
      <c r="X2176" t="s">
        <v>12823</v>
      </c>
      <c r="Y2176" t="s">
        <v>12821</v>
      </c>
      <c r="Z2176" t="s">
        <v>12822</v>
      </c>
      <c r="AA2176" t="s">
        <v>12824</v>
      </c>
      <c r="AB2176" t="s">
        <v>12819</v>
      </c>
      <c r="AC2176">
        <v>99142</v>
      </c>
      <c r="AD2176" t="s">
        <v>2885</v>
      </c>
      <c r="AE2176">
        <v>-41.354664560000003</v>
      </c>
      <c r="AF2176">
        <v>173.1535701</v>
      </c>
      <c r="AG2176">
        <v>60</v>
      </c>
      <c r="AH2176">
        <v>10</v>
      </c>
      <c r="AI2176">
        <v>0</v>
      </c>
      <c r="AJ2176">
        <v>0</v>
      </c>
      <c r="AK2176">
        <v>10</v>
      </c>
      <c r="AL2176">
        <v>18</v>
      </c>
      <c r="AM2176">
        <v>22</v>
      </c>
      <c r="AN2176">
        <v>2</v>
      </c>
      <c r="AO2176">
        <v>52</v>
      </c>
      <c r="AP2176">
        <v>49</v>
      </c>
      <c r="AQ2176">
        <v>14</v>
      </c>
      <c r="AR2176">
        <v>4</v>
      </c>
      <c r="AS2176">
        <v>1</v>
      </c>
      <c r="AT2176">
        <v>0</v>
      </c>
    </row>
    <row r="2177" spans="1:46">
      <c r="A2177">
        <v>46005</v>
      </c>
      <c r="B2177" t="s">
        <v>12825</v>
      </c>
      <c r="C2177" t="s">
        <v>12826</v>
      </c>
      <c r="D2177" t="s">
        <v>12827</v>
      </c>
      <c r="E2177" t="s">
        <v>12828</v>
      </c>
      <c r="F2177" t="s">
        <v>3990</v>
      </c>
      <c r="G2177" t="s">
        <v>652</v>
      </c>
      <c r="H2177" t="s">
        <v>3942</v>
      </c>
      <c r="J2177" t="s">
        <v>3962</v>
      </c>
      <c r="K2177" t="s">
        <v>519</v>
      </c>
      <c r="M2177" t="s">
        <v>520</v>
      </c>
      <c r="N2177" t="s">
        <v>571</v>
      </c>
      <c r="O2177" t="s">
        <v>707</v>
      </c>
      <c r="P2177" t="s">
        <v>654</v>
      </c>
      <c r="Q2177" t="s">
        <v>638</v>
      </c>
      <c r="R2177" t="s">
        <v>708</v>
      </c>
      <c r="S2177" t="s">
        <v>778</v>
      </c>
      <c r="T2177" t="s">
        <v>709</v>
      </c>
      <c r="U2177">
        <v>152300</v>
      </c>
      <c r="V2177" t="s">
        <v>3990</v>
      </c>
      <c r="W2177" t="s">
        <v>711</v>
      </c>
      <c r="X2177" t="s">
        <v>12829</v>
      </c>
      <c r="Y2177" t="s">
        <v>12830</v>
      </c>
      <c r="Z2177" t="s">
        <v>5104</v>
      </c>
      <c r="AA2177" t="s">
        <v>12831</v>
      </c>
      <c r="AB2177" t="s">
        <v>12826</v>
      </c>
      <c r="AE2177">
        <v>-36.924923139999997</v>
      </c>
      <c r="AF2177">
        <v>174.8952816</v>
      </c>
      <c r="AG2177">
        <v>45</v>
      </c>
      <c r="AH2177">
        <v>5</v>
      </c>
      <c r="AI2177">
        <v>2</v>
      </c>
      <c r="AJ2177">
        <v>1</v>
      </c>
      <c r="AK2177">
        <v>4</v>
      </c>
      <c r="AL2177">
        <v>7</v>
      </c>
      <c r="AM2177">
        <v>9</v>
      </c>
      <c r="AN2177">
        <v>0</v>
      </c>
      <c r="AO2177">
        <v>23</v>
      </c>
      <c r="AP2177">
        <v>6</v>
      </c>
      <c r="AQ2177">
        <v>2</v>
      </c>
      <c r="AR2177">
        <v>5</v>
      </c>
      <c r="AS2177">
        <v>12</v>
      </c>
      <c r="AT2177">
        <v>3</v>
      </c>
    </row>
    <row r="2178" spans="1:46">
      <c r="A2178">
        <v>46008</v>
      </c>
      <c r="B2178" t="s">
        <v>12832</v>
      </c>
      <c r="C2178" t="s">
        <v>12833</v>
      </c>
      <c r="E2178" t="s">
        <v>12834</v>
      </c>
      <c r="G2178" t="s">
        <v>1742</v>
      </c>
      <c r="H2178" t="s">
        <v>343</v>
      </c>
      <c r="J2178" t="s">
        <v>518</v>
      </c>
      <c r="K2178" t="s">
        <v>519</v>
      </c>
      <c r="L2178" t="s">
        <v>4205</v>
      </c>
      <c r="M2178" t="s">
        <v>1297</v>
      </c>
      <c r="N2178" t="s">
        <v>4519</v>
      </c>
      <c r="O2178" t="s">
        <v>1743</v>
      </c>
      <c r="P2178" t="s">
        <v>572</v>
      </c>
      <c r="Q2178" t="s">
        <v>1471</v>
      </c>
      <c r="R2178" t="s">
        <v>1472</v>
      </c>
      <c r="S2178" t="s">
        <v>1521</v>
      </c>
      <c r="T2178" t="s">
        <v>1474</v>
      </c>
      <c r="U2178">
        <v>192000</v>
      </c>
      <c r="V2178" t="s">
        <v>10722</v>
      </c>
      <c r="W2178" t="s">
        <v>1745</v>
      </c>
      <c r="X2178" t="s">
        <v>8447</v>
      </c>
      <c r="Y2178" t="s">
        <v>4208</v>
      </c>
      <c r="Z2178" t="s">
        <v>4209</v>
      </c>
      <c r="AA2178" t="s">
        <v>4210</v>
      </c>
      <c r="AB2178" t="s">
        <v>8448</v>
      </c>
      <c r="AC2178">
        <v>99212</v>
      </c>
      <c r="AD2178" t="s">
        <v>12835</v>
      </c>
      <c r="AE2178">
        <v>-37.793922180000003</v>
      </c>
      <c r="AF2178">
        <v>176.34176792</v>
      </c>
      <c r="AG2178">
        <v>20</v>
      </c>
      <c r="AH2178">
        <v>6</v>
      </c>
      <c r="AI2178">
        <v>0</v>
      </c>
      <c r="AJ2178">
        <v>2</v>
      </c>
      <c r="AK2178">
        <v>4</v>
      </c>
      <c r="AL2178">
        <v>3</v>
      </c>
      <c r="AM2178">
        <v>4</v>
      </c>
      <c r="AN2178">
        <v>0</v>
      </c>
      <c r="AO2178">
        <v>13</v>
      </c>
      <c r="AP2178">
        <v>0</v>
      </c>
      <c r="AQ2178">
        <v>13</v>
      </c>
      <c r="AR2178">
        <v>0</v>
      </c>
      <c r="AS2178">
        <v>0</v>
      </c>
      <c r="AT2178">
        <v>0</v>
      </c>
    </row>
    <row r="2179" spans="1:46">
      <c r="A2179">
        <v>46009</v>
      </c>
      <c r="B2179" t="s">
        <v>12836</v>
      </c>
      <c r="C2179" t="s">
        <v>12837</v>
      </c>
      <c r="E2179" t="s">
        <v>12838</v>
      </c>
      <c r="G2179" t="s">
        <v>12839</v>
      </c>
      <c r="H2179" t="s">
        <v>3942</v>
      </c>
      <c r="J2179" t="s">
        <v>3962</v>
      </c>
      <c r="K2179" t="s">
        <v>519</v>
      </c>
      <c r="M2179" t="s">
        <v>2287</v>
      </c>
      <c r="N2179" t="s">
        <v>571</v>
      </c>
      <c r="O2179" t="s">
        <v>2964</v>
      </c>
      <c r="P2179" t="s">
        <v>523</v>
      </c>
      <c r="Q2179" t="s">
        <v>2943</v>
      </c>
      <c r="R2179" t="s">
        <v>2944</v>
      </c>
      <c r="S2179" t="s">
        <v>2965</v>
      </c>
      <c r="T2179" t="s">
        <v>2448</v>
      </c>
      <c r="U2179">
        <v>315301</v>
      </c>
      <c r="V2179" t="s">
        <v>12839</v>
      </c>
      <c r="W2179" t="s">
        <v>3189</v>
      </c>
      <c r="X2179" t="s">
        <v>12840</v>
      </c>
      <c r="Y2179" t="s">
        <v>4107</v>
      </c>
      <c r="AA2179" t="s">
        <v>3982</v>
      </c>
      <c r="AB2179" t="s">
        <v>12837</v>
      </c>
      <c r="AC2179">
        <v>99061</v>
      </c>
      <c r="AD2179" t="s">
        <v>3190</v>
      </c>
      <c r="AE2179">
        <v>-43.329308189999999</v>
      </c>
      <c r="AF2179">
        <v>172.66741614</v>
      </c>
      <c r="AG2179">
        <v>75</v>
      </c>
      <c r="AH2179">
        <v>25</v>
      </c>
      <c r="AI2179">
        <v>5</v>
      </c>
      <c r="AJ2179">
        <v>16</v>
      </c>
      <c r="AK2179">
        <v>17</v>
      </c>
      <c r="AL2179">
        <v>24</v>
      </c>
      <c r="AM2179">
        <v>29</v>
      </c>
      <c r="AN2179">
        <v>1</v>
      </c>
      <c r="AO2179">
        <v>92</v>
      </c>
      <c r="AP2179">
        <v>90</v>
      </c>
      <c r="AQ2179">
        <v>17</v>
      </c>
      <c r="AR2179">
        <v>1</v>
      </c>
      <c r="AS2179">
        <v>4</v>
      </c>
      <c r="AT2179">
        <v>5</v>
      </c>
    </row>
    <row r="2180" spans="1:46">
      <c r="A2180">
        <v>46011</v>
      </c>
      <c r="B2180" t="s">
        <v>12841</v>
      </c>
      <c r="C2180" t="s">
        <v>12842</v>
      </c>
      <c r="D2180" t="s">
        <v>12843</v>
      </c>
      <c r="E2180" t="s">
        <v>12844</v>
      </c>
      <c r="F2180" t="s">
        <v>1036</v>
      </c>
      <c r="G2180" t="s">
        <v>652</v>
      </c>
      <c r="H2180" t="s">
        <v>3942</v>
      </c>
      <c r="J2180" t="s">
        <v>518</v>
      </c>
      <c r="K2180" t="s">
        <v>519</v>
      </c>
      <c r="M2180" t="s">
        <v>520</v>
      </c>
      <c r="N2180" t="s">
        <v>521</v>
      </c>
      <c r="O2180" t="s">
        <v>1216</v>
      </c>
      <c r="P2180" t="s">
        <v>654</v>
      </c>
      <c r="Q2180" t="s">
        <v>638</v>
      </c>
      <c r="R2180" t="s">
        <v>729</v>
      </c>
      <c r="S2180" t="s">
        <v>1217</v>
      </c>
      <c r="T2180" t="s">
        <v>709</v>
      </c>
      <c r="U2180">
        <v>160901</v>
      </c>
      <c r="V2180" t="s">
        <v>4961</v>
      </c>
      <c r="W2180" t="s">
        <v>1219</v>
      </c>
      <c r="X2180" t="s">
        <v>3943</v>
      </c>
      <c r="Y2180" t="s">
        <v>3944</v>
      </c>
      <c r="Z2180" t="s">
        <v>3945</v>
      </c>
      <c r="AA2180" t="s">
        <v>3946</v>
      </c>
      <c r="AB2180" t="s">
        <v>3947</v>
      </c>
      <c r="AE2180">
        <v>-37.026022159999997</v>
      </c>
      <c r="AF2180">
        <v>174.89439530000001</v>
      </c>
      <c r="AG2180">
        <v>122</v>
      </c>
      <c r="AH2180">
        <v>20</v>
      </c>
      <c r="AI2180">
        <v>4</v>
      </c>
      <c r="AJ2180">
        <v>8</v>
      </c>
      <c r="AK2180">
        <v>21</v>
      </c>
      <c r="AL2180">
        <v>24</v>
      </c>
      <c r="AM2180">
        <v>37</v>
      </c>
      <c r="AN2180">
        <v>4</v>
      </c>
      <c r="AO2180">
        <v>98</v>
      </c>
      <c r="AP2180">
        <v>20</v>
      </c>
      <c r="AQ2180">
        <v>26</v>
      </c>
      <c r="AR2180">
        <v>38</v>
      </c>
      <c r="AS2180">
        <v>33</v>
      </c>
      <c r="AT2180">
        <v>2</v>
      </c>
    </row>
    <row r="2181" spans="1:46">
      <c r="A2181">
        <v>46012</v>
      </c>
      <c r="B2181" t="s">
        <v>12845</v>
      </c>
      <c r="C2181" t="s">
        <v>12846</v>
      </c>
      <c r="D2181" t="s">
        <v>12847</v>
      </c>
      <c r="E2181" t="s">
        <v>12848</v>
      </c>
      <c r="G2181" t="s">
        <v>4509</v>
      </c>
      <c r="H2181" t="s">
        <v>3942</v>
      </c>
      <c r="J2181" t="s">
        <v>3962</v>
      </c>
      <c r="K2181" t="s">
        <v>519</v>
      </c>
      <c r="M2181" t="s">
        <v>520</v>
      </c>
      <c r="N2181" t="s">
        <v>4519</v>
      </c>
      <c r="O2181" t="s">
        <v>653</v>
      </c>
      <c r="P2181" t="s">
        <v>584</v>
      </c>
      <c r="Q2181" t="s">
        <v>638</v>
      </c>
      <c r="R2181" t="s">
        <v>639</v>
      </c>
      <c r="S2181" t="s">
        <v>668</v>
      </c>
      <c r="T2181" t="s">
        <v>527</v>
      </c>
      <c r="U2181">
        <v>113101</v>
      </c>
      <c r="V2181" t="s">
        <v>12849</v>
      </c>
      <c r="W2181" t="s">
        <v>657</v>
      </c>
      <c r="X2181" t="s">
        <v>12850</v>
      </c>
      <c r="Y2181" t="s">
        <v>12851</v>
      </c>
      <c r="AA2181" t="s">
        <v>12386</v>
      </c>
      <c r="AE2181">
        <v>-36.599271510000001</v>
      </c>
      <c r="AF2181">
        <v>174.66838403</v>
      </c>
      <c r="AG2181">
        <v>30</v>
      </c>
      <c r="AH2181">
        <v>10</v>
      </c>
      <c r="AI2181">
        <v>0</v>
      </c>
      <c r="AJ2181">
        <v>3</v>
      </c>
      <c r="AK2181">
        <v>7</v>
      </c>
      <c r="AL2181">
        <v>12</v>
      </c>
      <c r="AM2181">
        <v>6</v>
      </c>
      <c r="AN2181">
        <v>0</v>
      </c>
      <c r="AO2181">
        <v>28</v>
      </c>
      <c r="AP2181">
        <v>25</v>
      </c>
      <c r="AQ2181">
        <v>4</v>
      </c>
      <c r="AR2181">
        <v>0</v>
      </c>
      <c r="AS2181">
        <v>4</v>
      </c>
      <c r="AT2181">
        <v>1</v>
      </c>
    </row>
    <row r="2182" spans="1:46">
      <c r="A2182">
        <v>46015</v>
      </c>
      <c r="B2182" t="s">
        <v>12852</v>
      </c>
      <c r="C2182" t="s">
        <v>12853</v>
      </c>
      <c r="D2182" t="s">
        <v>12854</v>
      </c>
      <c r="E2182" t="s">
        <v>12855</v>
      </c>
      <c r="G2182" t="s">
        <v>1538</v>
      </c>
      <c r="H2182" t="s">
        <v>3942</v>
      </c>
      <c r="J2182" t="s">
        <v>3962</v>
      </c>
      <c r="K2182" t="s">
        <v>519</v>
      </c>
      <c r="M2182" t="s">
        <v>1297</v>
      </c>
      <c r="N2182" t="s">
        <v>557</v>
      </c>
      <c r="O2182" t="s">
        <v>1319</v>
      </c>
      <c r="P2182" t="s">
        <v>1262</v>
      </c>
      <c r="Q2182" t="s">
        <v>1299</v>
      </c>
      <c r="R2182" t="s">
        <v>1300</v>
      </c>
      <c r="S2182" t="s">
        <v>1417</v>
      </c>
      <c r="T2182" t="s">
        <v>1235</v>
      </c>
      <c r="U2182">
        <v>183600</v>
      </c>
      <c r="V2182" t="s">
        <v>1660</v>
      </c>
      <c r="W2182" t="s">
        <v>1540</v>
      </c>
      <c r="X2182" t="s">
        <v>12856</v>
      </c>
      <c r="Y2182" t="s">
        <v>12857</v>
      </c>
      <c r="Z2182" t="s">
        <v>6203</v>
      </c>
      <c r="AA2182" t="s">
        <v>4356</v>
      </c>
      <c r="AB2182" t="s">
        <v>12858</v>
      </c>
      <c r="AE2182">
        <v>-38.006020329999998</v>
      </c>
      <c r="AF2182">
        <v>175.31386357</v>
      </c>
      <c r="AG2182">
        <v>47</v>
      </c>
      <c r="AH2182">
        <v>16</v>
      </c>
      <c r="AI2182">
        <v>4</v>
      </c>
      <c r="AJ2182">
        <v>7</v>
      </c>
      <c r="AK2182">
        <v>3</v>
      </c>
      <c r="AL2182">
        <v>6</v>
      </c>
      <c r="AM2182">
        <v>5</v>
      </c>
      <c r="AN2182">
        <v>1</v>
      </c>
      <c r="AO2182">
        <v>26</v>
      </c>
      <c r="AP2182">
        <v>21</v>
      </c>
      <c r="AQ2182">
        <v>15</v>
      </c>
      <c r="AR2182">
        <v>2</v>
      </c>
      <c r="AS2182">
        <v>2</v>
      </c>
      <c r="AT2182">
        <v>0</v>
      </c>
    </row>
    <row r="2183" spans="1:46">
      <c r="A2183">
        <v>46017</v>
      </c>
      <c r="B2183" t="s">
        <v>12859</v>
      </c>
      <c r="C2183" t="s">
        <v>12860</v>
      </c>
      <c r="D2183" t="s">
        <v>12861</v>
      </c>
      <c r="E2183" t="s">
        <v>12862</v>
      </c>
      <c r="F2183" t="s">
        <v>8483</v>
      </c>
      <c r="G2183" t="s">
        <v>1598</v>
      </c>
      <c r="H2183" t="s">
        <v>3942</v>
      </c>
      <c r="J2183" t="s">
        <v>3962</v>
      </c>
      <c r="K2183" t="s">
        <v>519</v>
      </c>
      <c r="M2183" t="s">
        <v>1297</v>
      </c>
      <c r="N2183" t="s">
        <v>539</v>
      </c>
      <c r="O2183" t="s">
        <v>1698</v>
      </c>
      <c r="P2183" t="s">
        <v>654</v>
      </c>
      <c r="Q2183" t="s">
        <v>1471</v>
      </c>
      <c r="R2183" t="s">
        <v>1472</v>
      </c>
      <c r="S2183" t="s">
        <v>1598</v>
      </c>
      <c r="T2183" t="s">
        <v>1474</v>
      </c>
      <c r="U2183">
        <v>194601</v>
      </c>
      <c r="V2183" t="s">
        <v>8483</v>
      </c>
      <c r="W2183" t="s">
        <v>3724</v>
      </c>
      <c r="X2183" t="s">
        <v>12863</v>
      </c>
      <c r="Y2183" t="s">
        <v>12862</v>
      </c>
      <c r="Z2183" t="s">
        <v>8483</v>
      </c>
      <c r="AA2183" t="s">
        <v>8884</v>
      </c>
      <c r="AB2183" t="s">
        <v>12864</v>
      </c>
      <c r="AC2183">
        <v>99085</v>
      </c>
      <c r="AD2183" t="s">
        <v>1718</v>
      </c>
      <c r="AE2183">
        <v>-37.718102620000003</v>
      </c>
      <c r="AF2183">
        <v>176.13796081999999</v>
      </c>
      <c r="AG2183">
        <v>30</v>
      </c>
      <c r="AH2183">
        <v>10</v>
      </c>
      <c r="AI2183">
        <v>0</v>
      </c>
      <c r="AJ2183">
        <v>12</v>
      </c>
      <c r="AK2183">
        <v>9</v>
      </c>
      <c r="AL2183">
        <v>11</v>
      </c>
      <c r="AM2183">
        <v>9</v>
      </c>
      <c r="AN2183">
        <v>1</v>
      </c>
      <c r="AO2183">
        <v>42</v>
      </c>
      <c r="AP2183">
        <v>27</v>
      </c>
      <c r="AQ2183">
        <v>23</v>
      </c>
      <c r="AR2183">
        <v>10</v>
      </c>
      <c r="AS2183">
        <v>5</v>
      </c>
      <c r="AT2183">
        <v>0</v>
      </c>
    </row>
    <row r="2184" spans="1:46">
      <c r="A2184">
        <v>46018</v>
      </c>
      <c r="B2184" t="s">
        <v>12865</v>
      </c>
      <c r="C2184" t="s">
        <v>12866</v>
      </c>
      <c r="D2184" t="s">
        <v>12867</v>
      </c>
      <c r="E2184" t="s">
        <v>12868</v>
      </c>
      <c r="F2184" t="s">
        <v>2122</v>
      </c>
      <c r="G2184" t="s">
        <v>2119</v>
      </c>
      <c r="H2184" t="s">
        <v>3942</v>
      </c>
      <c r="J2184" t="s">
        <v>518</v>
      </c>
      <c r="K2184" t="s">
        <v>519</v>
      </c>
      <c r="M2184" t="s">
        <v>1297</v>
      </c>
      <c r="N2184" t="s">
        <v>521</v>
      </c>
      <c r="O2184" t="s">
        <v>2131</v>
      </c>
      <c r="P2184" t="s">
        <v>584</v>
      </c>
      <c r="Q2184" t="s">
        <v>2118</v>
      </c>
      <c r="R2184" t="s">
        <v>2084</v>
      </c>
      <c r="S2184" t="s">
        <v>2119</v>
      </c>
      <c r="T2184" t="s">
        <v>2085</v>
      </c>
      <c r="U2184">
        <v>213900</v>
      </c>
      <c r="V2184" t="s">
        <v>12869</v>
      </c>
      <c r="W2184" t="s">
        <v>2163</v>
      </c>
      <c r="X2184" t="s">
        <v>12870</v>
      </c>
      <c r="Y2184" t="s">
        <v>12871</v>
      </c>
      <c r="Z2184" t="s">
        <v>2122</v>
      </c>
      <c r="AA2184" t="s">
        <v>2123</v>
      </c>
      <c r="AB2184" t="s">
        <v>12872</v>
      </c>
      <c r="AE2184">
        <v>-39.501037320000002</v>
      </c>
      <c r="AF2184">
        <v>176.89311189</v>
      </c>
      <c r="AG2184">
        <v>15</v>
      </c>
      <c r="AH2184">
        <v>15</v>
      </c>
      <c r="AI2184">
        <v>2</v>
      </c>
      <c r="AJ2184">
        <v>9</v>
      </c>
      <c r="AK2184">
        <v>1</v>
      </c>
      <c r="AL2184">
        <v>0</v>
      </c>
      <c r="AM2184">
        <v>0</v>
      </c>
      <c r="AN2184">
        <v>0</v>
      </c>
      <c r="AO2184">
        <v>12</v>
      </c>
      <c r="AP2184">
        <v>7</v>
      </c>
      <c r="AQ2184">
        <v>7</v>
      </c>
      <c r="AR2184">
        <v>2</v>
      </c>
      <c r="AS2184">
        <v>4</v>
      </c>
      <c r="AT2184">
        <v>0</v>
      </c>
    </row>
    <row r="2185" spans="1:46">
      <c r="A2185">
        <v>46019</v>
      </c>
      <c r="B2185" t="s">
        <v>12873</v>
      </c>
      <c r="C2185" t="s">
        <v>12874</v>
      </c>
      <c r="D2185" t="s">
        <v>12875</v>
      </c>
      <c r="E2185" t="s">
        <v>12876</v>
      </c>
      <c r="F2185" t="s">
        <v>5976</v>
      </c>
      <c r="G2185" t="s">
        <v>652</v>
      </c>
      <c r="H2185" t="s">
        <v>3942</v>
      </c>
      <c r="J2185" t="s">
        <v>3962</v>
      </c>
      <c r="K2185" t="s">
        <v>519</v>
      </c>
      <c r="M2185" t="s">
        <v>520</v>
      </c>
      <c r="N2185" t="s">
        <v>571</v>
      </c>
      <c r="O2185" t="s">
        <v>857</v>
      </c>
      <c r="P2185" t="s">
        <v>654</v>
      </c>
      <c r="Q2185" t="s">
        <v>638</v>
      </c>
      <c r="R2185" t="s">
        <v>708</v>
      </c>
      <c r="S2185" t="s">
        <v>858</v>
      </c>
      <c r="T2185" t="s">
        <v>709</v>
      </c>
      <c r="U2185">
        <v>129902</v>
      </c>
      <c r="V2185" t="s">
        <v>6520</v>
      </c>
      <c r="W2185" t="s">
        <v>860</v>
      </c>
      <c r="X2185" t="s">
        <v>12877</v>
      </c>
      <c r="Y2185" t="s">
        <v>12876</v>
      </c>
      <c r="Z2185" t="s">
        <v>5976</v>
      </c>
      <c r="AA2185" t="s">
        <v>6522</v>
      </c>
      <c r="AE2185">
        <v>-36.868354220000001</v>
      </c>
      <c r="AF2185">
        <v>174.71465137999999</v>
      </c>
      <c r="AG2185">
        <v>49</v>
      </c>
      <c r="AH2185">
        <v>15</v>
      </c>
      <c r="AI2185">
        <v>3</v>
      </c>
      <c r="AJ2185">
        <v>11</v>
      </c>
      <c r="AK2185">
        <v>15</v>
      </c>
      <c r="AL2185">
        <v>13</v>
      </c>
      <c r="AM2185">
        <v>13</v>
      </c>
      <c r="AN2185">
        <v>0</v>
      </c>
      <c r="AO2185">
        <v>55</v>
      </c>
      <c r="AP2185">
        <v>42</v>
      </c>
      <c r="AQ2185">
        <v>1</v>
      </c>
      <c r="AR2185">
        <v>1</v>
      </c>
      <c r="AS2185">
        <v>4</v>
      </c>
      <c r="AT2185">
        <v>10</v>
      </c>
    </row>
    <row r="2186" spans="1:46">
      <c r="A2186">
        <v>46020</v>
      </c>
      <c r="B2186" t="s">
        <v>12878</v>
      </c>
      <c r="C2186" t="s">
        <v>12879</v>
      </c>
      <c r="E2186" t="s">
        <v>12880</v>
      </c>
      <c r="G2186" t="s">
        <v>2853</v>
      </c>
      <c r="H2186" t="s">
        <v>3942</v>
      </c>
      <c r="I2186" t="s">
        <v>4065</v>
      </c>
      <c r="J2186" t="s">
        <v>3962</v>
      </c>
      <c r="K2186" t="s">
        <v>519</v>
      </c>
      <c r="M2186" t="s">
        <v>2287</v>
      </c>
      <c r="N2186" t="s">
        <v>571</v>
      </c>
      <c r="O2186" t="s">
        <v>2854</v>
      </c>
      <c r="P2186" t="s">
        <v>584</v>
      </c>
      <c r="Q2186" t="s">
        <v>2855</v>
      </c>
      <c r="R2186" t="s">
        <v>2824</v>
      </c>
      <c r="S2186" t="s">
        <v>2853</v>
      </c>
      <c r="T2186" t="s">
        <v>2448</v>
      </c>
      <c r="U2186">
        <v>305600</v>
      </c>
      <c r="V2186" t="s">
        <v>2900</v>
      </c>
      <c r="W2186" t="s">
        <v>2033</v>
      </c>
      <c r="X2186" t="s">
        <v>12881</v>
      </c>
      <c r="Y2186" t="s">
        <v>12882</v>
      </c>
      <c r="AA2186" t="s">
        <v>2860</v>
      </c>
      <c r="AC2186">
        <v>99005</v>
      </c>
      <c r="AD2186" t="s">
        <v>2878</v>
      </c>
      <c r="AE2186">
        <v>-41.290656509999998</v>
      </c>
      <c r="AF2186">
        <v>173.26952381000001</v>
      </c>
      <c r="AG2186">
        <v>42</v>
      </c>
      <c r="AH2186">
        <v>10</v>
      </c>
      <c r="AI2186">
        <v>1</v>
      </c>
      <c r="AJ2186">
        <v>11</v>
      </c>
      <c r="AK2186">
        <v>10</v>
      </c>
      <c r="AL2186">
        <v>12</v>
      </c>
      <c r="AM2186">
        <v>5</v>
      </c>
      <c r="AN2186">
        <v>0</v>
      </c>
      <c r="AO2186">
        <v>39</v>
      </c>
      <c r="AP2186">
        <v>24</v>
      </c>
      <c r="AQ2186">
        <v>2</v>
      </c>
      <c r="AR2186">
        <v>1</v>
      </c>
      <c r="AS2186">
        <v>5</v>
      </c>
      <c r="AT2186">
        <v>19</v>
      </c>
    </row>
    <row r="2187" spans="1:46">
      <c r="A2187">
        <v>46023</v>
      </c>
      <c r="B2187" t="s">
        <v>12883</v>
      </c>
      <c r="C2187" t="s">
        <v>12884</v>
      </c>
      <c r="D2187" t="s">
        <v>12885</v>
      </c>
      <c r="E2187" t="s">
        <v>12886</v>
      </c>
      <c r="F2187" t="s">
        <v>6885</v>
      </c>
      <c r="G2187" t="s">
        <v>652</v>
      </c>
      <c r="H2187" t="s">
        <v>517</v>
      </c>
      <c r="I2187" t="s">
        <v>856</v>
      </c>
      <c r="J2187" t="s">
        <v>518</v>
      </c>
      <c r="K2187" t="s">
        <v>519</v>
      </c>
      <c r="M2187" t="s">
        <v>520</v>
      </c>
      <c r="N2187" t="s">
        <v>557</v>
      </c>
      <c r="O2187" t="s">
        <v>857</v>
      </c>
      <c r="P2187" t="s">
        <v>654</v>
      </c>
      <c r="Q2187" t="s">
        <v>638</v>
      </c>
      <c r="R2187" t="s">
        <v>708</v>
      </c>
      <c r="S2187" t="s">
        <v>719</v>
      </c>
      <c r="T2187" t="s">
        <v>709</v>
      </c>
      <c r="U2187">
        <v>131100</v>
      </c>
      <c r="V2187" t="s">
        <v>6885</v>
      </c>
      <c r="W2187" t="s">
        <v>860</v>
      </c>
      <c r="X2187" t="s">
        <v>642</v>
      </c>
      <c r="Y2187" t="s">
        <v>643</v>
      </c>
      <c r="Z2187" t="s">
        <v>644</v>
      </c>
      <c r="AA2187" t="s">
        <v>645</v>
      </c>
      <c r="AB2187" t="s">
        <v>646</v>
      </c>
      <c r="AE2187">
        <v>-36.877419629999999</v>
      </c>
      <c r="AF2187">
        <v>174.70065367999999</v>
      </c>
      <c r="AG2187">
        <v>40</v>
      </c>
      <c r="AH2187">
        <v>0</v>
      </c>
      <c r="AI2187">
        <v>0</v>
      </c>
      <c r="AJ2187">
        <v>0</v>
      </c>
      <c r="AK2187">
        <v>7</v>
      </c>
      <c r="AL2187">
        <v>13</v>
      </c>
      <c r="AM2187">
        <v>29</v>
      </c>
      <c r="AN2187">
        <v>0</v>
      </c>
      <c r="AO2187">
        <v>49</v>
      </c>
      <c r="AP2187">
        <v>21</v>
      </c>
      <c r="AQ2187">
        <v>7</v>
      </c>
      <c r="AR2187">
        <v>18</v>
      </c>
      <c r="AS2187">
        <v>8</v>
      </c>
      <c r="AT2187">
        <v>6</v>
      </c>
    </row>
    <row r="2188" spans="1:46">
      <c r="A2188">
        <v>46026</v>
      </c>
      <c r="B2188" t="s">
        <v>12887</v>
      </c>
      <c r="C2188" t="s">
        <v>12888</v>
      </c>
      <c r="D2188" t="s">
        <v>12889</v>
      </c>
      <c r="E2188" t="s">
        <v>12890</v>
      </c>
      <c r="F2188" t="s">
        <v>12258</v>
      </c>
      <c r="G2188" t="s">
        <v>9714</v>
      </c>
      <c r="H2188" t="s">
        <v>3942</v>
      </c>
      <c r="J2188" t="s">
        <v>3962</v>
      </c>
      <c r="K2188" t="s">
        <v>519</v>
      </c>
      <c r="M2188" t="s">
        <v>1297</v>
      </c>
      <c r="N2188" t="s">
        <v>557</v>
      </c>
      <c r="O2188" t="s">
        <v>1546</v>
      </c>
      <c r="P2188" t="s">
        <v>572</v>
      </c>
      <c r="Q2188" t="s">
        <v>1299</v>
      </c>
      <c r="R2188" t="s">
        <v>1472</v>
      </c>
      <c r="S2188" t="s">
        <v>1320</v>
      </c>
      <c r="T2188" t="s">
        <v>1485</v>
      </c>
      <c r="U2188">
        <v>187701</v>
      </c>
      <c r="V2188" t="s">
        <v>11471</v>
      </c>
      <c r="W2188" t="s">
        <v>9715</v>
      </c>
      <c r="X2188" t="s">
        <v>12891</v>
      </c>
      <c r="Y2188" t="s">
        <v>12892</v>
      </c>
      <c r="AA2188" t="s">
        <v>12893</v>
      </c>
      <c r="AB2188" t="s">
        <v>12894</v>
      </c>
      <c r="AC2188">
        <v>99020</v>
      </c>
      <c r="AD2188" t="s">
        <v>1550</v>
      </c>
      <c r="AE2188">
        <v>-38.423763119999997</v>
      </c>
      <c r="AF2188">
        <v>175.79136765999999</v>
      </c>
      <c r="AG2188">
        <v>40</v>
      </c>
      <c r="AH2188">
        <v>10</v>
      </c>
      <c r="AI2188">
        <v>1</v>
      </c>
      <c r="AJ2188">
        <v>5</v>
      </c>
      <c r="AK2188">
        <v>9</v>
      </c>
      <c r="AL2188">
        <v>13</v>
      </c>
      <c r="AM2188">
        <v>8</v>
      </c>
      <c r="AN2188">
        <v>0</v>
      </c>
      <c r="AO2188">
        <v>36</v>
      </c>
      <c r="AP2188">
        <v>22</v>
      </c>
      <c r="AQ2188">
        <v>15</v>
      </c>
      <c r="AR2188">
        <v>2</v>
      </c>
      <c r="AS2188">
        <v>4</v>
      </c>
      <c r="AT2188">
        <v>2</v>
      </c>
    </row>
    <row r="2189" spans="1:46">
      <c r="A2189">
        <v>46027</v>
      </c>
      <c r="B2189" t="s">
        <v>12895</v>
      </c>
      <c r="C2189" t="s">
        <v>12896</v>
      </c>
      <c r="D2189" t="s">
        <v>12897</v>
      </c>
      <c r="E2189" t="s">
        <v>12898</v>
      </c>
      <c r="F2189" t="s">
        <v>2733</v>
      </c>
      <c r="G2189" t="s">
        <v>2427</v>
      </c>
      <c r="H2189" t="s">
        <v>3942</v>
      </c>
      <c r="J2189" t="s">
        <v>3962</v>
      </c>
      <c r="K2189" t="s">
        <v>519</v>
      </c>
      <c r="M2189" t="s">
        <v>2287</v>
      </c>
      <c r="N2189" t="s">
        <v>8995</v>
      </c>
      <c r="O2189" t="s">
        <v>2428</v>
      </c>
      <c r="P2189" t="s">
        <v>654</v>
      </c>
      <c r="Q2189" t="s">
        <v>2319</v>
      </c>
      <c r="R2189" t="s">
        <v>2289</v>
      </c>
      <c r="S2189" t="s">
        <v>2429</v>
      </c>
      <c r="T2189" t="s">
        <v>2448</v>
      </c>
      <c r="U2189">
        <v>243700</v>
      </c>
      <c r="V2189" t="s">
        <v>10956</v>
      </c>
      <c r="W2189" t="s">
        <v>2491</v>
      </c>
      <c r="X2189" t="s">
        <v>12899</v>
      </c>
      <c r="Y2189" t="s">
        <v>4658</v>
      </c>
      <c r="Z2189" t="s">
        <v>958</v>
      </c>
      <c r="AA2189" t="s">
        <v>4659</v>
      </c>
      <c r="AE2189">
        <v>-41.226833980000002</v>
      </c>
      <c r="AF2189">
        <v>174.87278886000001</v>
      </c>
      <c r="AG2189">
        <v>110</v>
      </c>
      <c r="AH2189">
        <v>40</v>
      </c>
      <c r="AI2189">
        <v>4</v>
      </c>
      <c r="AJ2189">
        <v>23</v>
      </c>
      <c r="AK2189">
        <v>18</v>
      </c>
      <c r="AL2189">
        <v>20</v>
      </c>
      <c r="AM2189">
        <v>21</v>
      </c>
      <c r="AN2189">
        <v>0</v>
      </c>
      <c r="AO2189">
        <v>86</v>
      </c>
      <c r="AP2189">
        <v>56</v>
      </c>
      <c r="AQ2189">
        <v>16</v>
      </c>
      <c r="AR2189">
        <v>4</v>
      </c>
      <c r="AS2189">
        <v>22</v>
      </c>
      <c r="AT2189">
        <v>5</v>
      </c>
    </row>
    <row r="2190" spans="1:46">
      <c r="A2190">
        <v>46029</v>
      </c>
      <c r="B2190" t="s">
        <v>12900</v>
      </c>
      <c r="C2190" t="s">
        <v>12901</v>
      </c>
      <c r="D2190" t="s">
        <v>12902</v>
      </c>
      <c r="E2190" t="s">
        <v>12903</v>
      </c>
      <c r="F2190" t="s">
        <v>12904</v>
      </c>
      <c r="G2190" t="s">
        <v>2427</v>
      </c>
      <c r="H2190" t="s">
        <v>3942</v>
      </c>
      <c r="J2190" t="s">
        <v>3962</v>
      </c>
      <c r="K2190" t="s">
        <v>519</v>
      </c>
      <c r="M2190" t="s">
        <v>2287</v>
      </c>
      <c r="N2190" t="s">
        <v>557</v>
      </c>
      <c r="O2190" t="s">
        <v>2428</v>
      </c>
      <c r="P2190" t="s">
        <v>654</v>
      </c>
      <c r="Q2190" t="s">
        <v>2319</v>
      </c>
      <c r="R2190" t="s">
        <v>2289</v>
      </c>
      <c r="S2190" t="s">
        <v>2429</v>
      </c>
      <c r="T2190" t="s">
        <v>2448</v>
      </c>
      <c r="U2190">
        <v>246002</v>
      </c>
      <c r="V2190" t="s">
        <v>12905</v>
      </c>
      <c r="W2190" t="s">
        <v>2491</v>
      </c>
      <c r="X2190" t="s">
        <v>12906</v>
      </c>
      <c r="Y2190" t="s">
        <v>4658</v>
      </c>
      <c r="Z2190" t="s">
        <v>958</v>
      </c>
      <c r="AA2190" t="s">
        <v>4659</v>
      </c>
      <c r="AB2190" t="s">
        <v>12907</v>
      </c>
      <c r="AE2190">
        <v>-41.225031309999999</v>
      </c>
      <c r="AF2190">
        <v>174.91352555</v>
      </c>
      <c r="AG2190">
        <v>75</v>
      </c>
      <c r="AH2190">
        <v>25</v>
      </c>
      <c r="AI2190">
        <v>6</v>
      </c>
      <c r="AJ2190">
        <v>18</v>
      </c>
      <c r="AK2190">
        <v>20</v>
      </c>
      <c r="AL2190">
        <v>16</v>
      </c>
      <c r="AM2190">
        <v>15</v>
      </c>
      <c r="AN2190">
        <v>1</v>
      </c>
      <c r="AO2190">
        <v>76</v>
      </c>
      <c r="AP2190">
        <v>43</v>
      </c>
      <c r="AQ2190">
        <v>20</v>
      </c>
      <c r="AR2190">
        <v>7</v>
      </c>
      <c r="AS2190">
        <v>24</v>
      </c>
      <c r="AT2190">
        <v>3</v>
      </c>
    </row>
    <row r="2191" spans="1:46">
      <c r="A2191">
        <v>46032</v>
      </c>
      <c r="B2191" t="s">
        <v>12908</v>
      </c>
      <c r="C2191" t="s">
        <v>12909</v>
      </c>
      <c r="D2191" t="s">
        <v>12910</v>
      </c>
      <c r="E2191" t="s">
        <v>12911</v>
      </c>
      <c r="G2191" t="s">
        <v>1234</v>
      </c>
      <c r="H2191" t="s">
        <v>3942</v>
      </c>
      <c r="J2191" t="s">
        <v>3962</v>
      </c>
      <c r="K2191" t="s">
        <v>519</v>
      </c>
      <c r="M2191" t="s">
        <v>520</v>
      </c>
      <c r="N2191" t="s">
        <v>727</v>
      </c>
      <c r="O2191" t="s">
        <v>1268</v>
      </c>
      <c r="P2191" t="s">
        <v>654</v>
      </c>
      <c r="Q2191" t="s">
        <v>638</v>
      </c>
      <c r="R2191" t="s">
        <v>729</v>
      </c>
      <c r="S2191" t="s">
        <v>1234</v>
      </c>
      <c r="T2191" t="s">
        <v>1235</v>
      </c>
      <c r="U2191">
        <v>163200</v>
      </c>
      <c r="V2191" t="s">
        <v>4044</v>
      </c>
      <c r="W2191" t="s">
        <v>1219</v>
      </c>
      <c r="X2191" t="s">
        <v>12646</v>
      </c>
      <c r="Y2191" t="s">
        <v>12647</v>
      </c>
      <c r="Z2191" t="s">
        <v>836</v>
      </c>
      <c r="AA2191" t="s">
        <v>4282</v>
      </c>
      <c r="AB2191" t="s">
        <v>12648</v>
      </c>
      <c r="AC2191">
        <v>99152</v>
      </c>
      <c r="AD2191" t="s">
        <v>1270</v>
      </c>
      <c r="AE2191">
        <v>-37.070157819999999</v>
      </c>
      <c r="AF2191">
        <v>174.95204108999999</v>
      </c>
      <c r="AG2191">
        <v>117</v>
      </c>
      <c r="AH2191">
        <v>20</v>
      </c>
      <c r="AI2191">
        <v>1</v>
      </c>
      <c r="AJ2191">
        <v>18</v>
      </c>
      <c r="AK2191">
        <v>33</v>
      </c>
      <c r="AL2191">
        <v>48</v>
      </c>
      <c r="AM2191">
        <v>48</v>
      </c>
      <c r="AN2191">
        <v>3</v>
      </c>
      <c r="AO2191">
        <v>151</v>
      </c>
      <c r="AP2191">
        <v>46</v>
      </c>
      <c r="AQ2191">
        <v>109</v>
      </c>
      <c r="AR2191">
        <v>51</v>
      </c>
      <c r="AS2191">
        <v>19</v>
      </c>
      <c r="AT2191">
        <v>3</v>
      </c>
    </row>
    <row r="2192" spans="1:46">
      <c r="A2192">
        <v>46033</v>
      </c>
      <c r="B2192" t="s">
        <v>12912</v>
      </c>
      <c r="C2192" t="s">
        <v>12913</v>
      </c>
      <c r="D2192" t="s">
        <v>12914</v>
      </c>
      <c r="E2192" t="s">
        <v>12915</v>
      </c>
      <c r="F2192" t="s">
        <v>791</v>
      </c>
      <c r="G2192" t="s">
        <v>652</v>
      </c>
      <c r="H2192" t="s">
        <v>3942</v>
      </c>
      <c r="J2192" t="s">
        <v>3962</v>
      </c>
      <c r="K2192" t="s">
        <v>519</v>
      </c>
      <c r="M2192" t="s">
        <v>520</v>
      </c>
      <c r="N2192" t="s">
        <v>571</v>
      </c>
      <c r="O2192" t="s">
        <v>707</v>
      </c>
      <c r="P2192" t="s">
        <v>654</v>
      </c>
      <c r="Q2192" t="s">
        <v>638</v>
      </c>
      <c r="R2192" t="s">
        <v>708</v>
      </c>
      <c r="S2192" t="s">
        <v>706</v>
      </c>
      <c r="T2192" t="s">
        <v>709</v>
      </c>
      <c r="U2192">
        <v>148300</v>
      </c>
      <c r="V2192" t="s">
        <v>12916</v>
      </c>
      <c r="W2192" t="s">
        <v>711</v>
      </c>
      <c r="X2192" t="s">
        <v>6397</v>
      </c>
      <c r="Y2192" t="s">
        <v>12917</v>
      </c>
      <c r="Z2192" t="s">
        <v>6203</v>
      </c>
      <c r="AA2192" t="s">
        <v>4356</v>
      </c>
      <c r="AB2192" t="s">
        <v>6399</v>
      </c>
      <c r="AE2192">
        <v>-36.881769839999997</v>
      </c>
      <c r="AF2192">
        <v>174.91082947999999</v>
      </c>
      <c r="AG2192">
        <v>30</v>
      </c>
      <c r="AH2192">
        <v>0</v>
      </c>
      <c r="AI2192">
        <v>0</v>
      </c>
      <c r="AJ2192">
        <v>0</v>
      </c>
      <c r="AK2192">
        <v>9</v>
      </c>
      <c r="AL2192">
        <v>4</v>
      </c>
      <c r="AM2192">
        <v>9</v>
      </c>
      <c r="AN2192">
        <v>0</v>
      </c>
      <c r="AO2192">
        <v>22</v>
      </c>
      <c r="AP2192">
        <v>2</v>
      </c>
      <c r="AQ2192">
        <v>1</v>
      </c>
      <c r="AR2192">
        <v>1</v>
      </c>
      <c r="AS2192">
        <v>19</v>
      </c>
      <c r="AT2192">
        <v>0</v>
      </c>
    </row>
    <row r="2193" spans="1:46">
      <c r="A2193">
        <v>46035</v>
      </c>
      <c r="B2193" t="s">
        <v>12918</v>
      </c>
      <c r="C2193" t="s">
        <v>12919</v>
      </c>
      <c r="D2193" t="s">
        <v>12920</v>
      </c>
      <c r="E2193" t="s">
        <v>12921</v>
      </c>
      <c r="F2193" t="s">
        <v>2223</v>
      </c>
      <c r="G2193" t="s">
        <v>2197</v>
      </c>
      <c r="H2193" t="s">
        <v>3942</v>
      </c>
      <c r="J2193" t="s">
        <v>3962</v>
      </c>
      <c r="K2193" t="s">
        <v>519</v>
      </c>
      <c r="M2193" t="s">
        <v>1297</v>
      </c>
      <c r="N2193" t="s">
        <v>727</v>
      </c>
      <c r="O2193" t="s">
        <v>2198</v>
      </c>
      <c r="P2193" t="s">
        <v>584</v>
      </c>
      <c r="Q2193" t="s">
        <v>2118</v>
      </c>
      <c r="R2193" t="s">
        <v>2084</v>
      </c>
      <c r="S2193" t="s">
        <v>2199</v>
      </c>
      <c r="T2193" t="s">
        <v>2085</v>
      </c>
      <c r="U2193">
        <v>208800</v>
      </c>
      <c r="V2193" t="s">
        <v>12922</v>
      </c>
      <c r="W2193" t="s">
        <v>2225</v>
      </c>
      <c r="X2193" t="s">
        <v>12923</v>
      </c>
      <c r="Y2193" t="s">
        <v>4658</v>
      </c>
      <c r="Z2193" t="s">
        <v>958</v>
      </c>
      <c r="AA2193" t="s">
        <v>4659</v>
      </c>
      <c r="AB2193" t="s">
        <v>12919</v>
      </c>
      <c r="AC2193">
        <v>99135</v>
      </c>
      <c r="AD2193" t="s">
        <v>2226</v>
      </c>
      <c r="AE2193">
        <v>-39.615376900000001</v>
      </c>
      <c r="AF2193">
        <v>176.77233680000001</v>
      </c>
      <c r="AG2193">
        <v>60</v>
      </c>
      <c r="AH2193">
        <v>0</v>
      </c>
      <c r="AI2193">
        <v>0</v>
      </c>
      <c r="AJ2193">
        <v>0</v>
      </c>
      <c r="AK2193">
        <v>7</v>
      </c>
      <c r="AL2193">
        <v>14</v>
      </c>
      <c r="AM2193">
        <v>21</v>
      </c>
      <c r="AN2193">
        <v>2</v>
      </c>
      <c r="AO2193">
        <v>44</v>
      </c>
      <c r="AP2193">
        <v>10</v>
      </c>
      <c r="AQ2193">
        <v>27</v>
      </c>
      <c r="AR2193">
        <v>16</v>
      </c>
      <c r="AS2193">
        <v>3</v>
      </c>
      <c r="AT2193">
        <v>1</v>
      </c>
    </row>
    <row r="2194" spans="1:46">
      <c r="A2194">
        <v>46036</v>
      </c>
      <c r="B2194" t="s">
        <v>12924</v>
      </c>
      <c r="C2194" t="s">
        <v>12925</v>
      </c>
      <c r="D2194" t="s">
        <v>12926</v>
      </c>
      <c r="E2194" t="s">
        <v>12927</v>
      </c>
      <c r="G2194" t="s">
        <v>516</v>
      </c>
      <c r="H2194" t="s">
        <v>3942</v>
      </c>
      <c r="J2194" t="s">
        <v>3962</v>
      </c>
      <c r="K2194" t="s">
        <v>519</v>
      </c>
      <c r="M2194" t="s">
        <v>520</v>
      </c>
      <c r="N2194" t="s">
        <v>727</v>
      </c>
      <c r="O2194" t="s">
        <v>522</v>
      </c>
      <c r="P2194" t="s">
        <v>523</v>
      </c>
      <c r="Q2194" t="s">
        <v>524</v>
      </c>
      <c r="R2194" t="s">
        <v>525</v>
      </c>
      <c r="S2194" t="s">
        <v>526</v>
      </c>
      <c r="T2194" t="s">
        <v>527</v>
      </c>
      <c r="U2194">
        <v>100700</v>
      </c>
      <c r="V2194" t="s">
        <v>546</v>
      </c>
      <c r="W2194" t="s">
        <v>529</v>
      </c>
      <c r="X2194" t="s">
        <v>12928</v>
      </c>
      <c r="Y2194" t="s">
        <v>12929</v>
      </c>
      <c r="AA2194" t="s">
        <v>12930</v>
      </c>
      <c r="AB2194" t="s">
        <v>12925</v>
      </c>
      <c r="AE2194">
        <v>-35.113882959999998</v>
      </c>
      <c r="AF2194">
        <v>173.26497261</v>
      </c>
      <c r="AG2194">
        <v>30</v>
      </c>
      <c r="AH2194">
        <v>0</v>
      </c>
      <c r="AI2194">
        <v>0</v>
      </c>
      <c r="AJ2194">
        <v>0</v>
      </c>
      <c r="AK2194">
        <v>9</v>
      </c>
      <c r="AL2194">
        <v>6</v>
      </c>
      <c r="AM2194">
        <v>4</v>
      </c>
      <c r="AN2194">
        <v>0</v>
      </c>
      <c r="AO2194">
        <v>19</v>
      </c>
      <c r="AP2194">
        <v>6</v>
      </c>
      <c r="AQ2194">
        <v>15</v>
      </c>
      <c r="AR2194">
        <v>8</v>
      </c>
      <c r="AS2194">
        <v>2</v>
      </c>
      <c r="AT2194">
        <v>1</v>
      </c>
    </row>
    <row r="2195" spans="1:46">
      <c r="A2195">
        <v>46037</v>
      </c>
      <c r="B2195" t="s">
        <v>12931</v>
      </c>
      <c r="C2195" t="s">
        <v>12932</v>
      </c>
      <c r="D2195" t="s">
        <v>12933</v>
      </c>
      <c r="E2195" t="s">
        <v>12934</v>
      </c>
      <c r="F2195" t="s">
        <v>1393</v>
      </c>
      <c r="G2195" t="s">
        <v>1296</v>
      </c>
      <c r="H2195" t="s">
        <v>3942</v>
      </c>
      <c r="J2195" t="s">
        <v>518</v>
      </c>
      <c r="K2195" t="s">
        <v>519</v>
      </c>
      <c r="M2195" t="s">
        <v>1297</v>
      </c>
      <c r="N2195" t="s">
        <v>539</v>
      </c>
      <c r="O2195" t="s">
        <v>1298</v>
      </c>
      <c r="P2195" t="s">
        <v>654</v>
      </c>
      <c r="Q2195" t="s">
        <v>1299</v>
      </c>
      <c r="R2195" t="s">
        <v>1300</v>
      </c>
      <c r="S2195" t="s">
        <v>1301</v>
      </c>
      <c r="T2195" t="s">
        <v>1235</v>
      </c>
      <c r="U2195">
        <v>180500</v>
      </c>
      <c r="V2195" t="s">
        <v>1394</v>
      </c>
      <c r="W2195" t="s">
        <v>1303</v>
      </c>
      <c r="X2195" t="s">
        <v>8377</v>
      </c>
      <c r="Y2195" t="s">
        <v>3944</v>
      </c>
      <c r="Z2195" t="s">
        <v>3945</v>
      </c>
      <c r="AA2195" t="s">
        <v>3946</v>
      </c>
      <c r="AB2195" t="s">
        <v>8378</v>
      </c>
      <c r="AE2195">
        <v>-37.808599880000003</v>
      </c>
      <c r="AF2195">
        <v>175.28738874000001</v>
      </c>
      <c r="AG2195">
        <v>65</v>
      </c>
      <c r="AH2195">
        <v>15</v>
      </c>
      <c r="AI2195">
        <v>4</v>
      </c>
      <c r="AJ2195">
        <v>9</v>
      </c>
      <c r="AK2195">
        <v>15</v>
      </c>
      <c r="AL2195">
        <v>16</v>
      </c>
      <c r="AM2195">
        <v>19</v>
      </c>
      <c r="AN2195">
        <v>2</v>
      </c>
      <c r="AO2195">
        <v>65</v>
      </c>
      <c r="AP2195">
        <v>9</v>
      </c>
      <c r="AQ2195">
        <v>26</v>
      </c>
      <c r="AR2195">
        <v>11</v>
      </c>
      <c r="AS2195">
        <v>27</v>
      </c>
      <c r="AT2195">
        <v>5</v>
      </c>
    </row>
    <row r="2196" spans="1:46">
      <c r="A2196">
        <v>46041</v>
      </c>
      <c r="B2196" t="s">
        <v>12935</v>
      </c>
      <c r="C2196" t="s">
        <v>12936</v>
      </c>
      <c r="D2196" t="s">
        <v>12937</v>
      </c>
      <c r="E2196" t="s">
        <v>12938</v>
      </c>
      <c r="F2196" t="s">
        <v>898</v>
      </c>
      <c r="G2196" t="s">
        <v>652</v>
      </c>
      <c r="H2196" t="s">
        <v>3942</v>
      </c>
      <c r="J2196" t="s">
        <v>3962</v>
      </c>
      <c r="K2196" t="s">
        <v>519</v>
      </c>
      <c r="M2196" t="s">
        <v>520</v>
      </c>
      <c r="N2196" t="s">
        <v>4519</v>
      </c>
      <c r="O2196" t="s">
        <v>813</v>
      </c>
      <c r="P2196" t="s">
        <v>654</v>
      </c>
      <c r="Q2196" t="s">
        <v>638</v>
      </c>
      <c r="R2196" t="s">
        <v>639</v>
      </c>
      <c r="S2196" t="s">
        <v>899</v>
      </c>
      <c r="T2196" t="s">
        <v>527</v>
      </c>
      <c r="U2196">
        <v>126701</v>
      </c>
      <c r="V2196" t="s">
        <v>12939</v>
      </c>
      <c r="W2196" t="s">
        <v>815</v>
      </c>
      <c r="X2196" t="s">
        <v>6545</v>
      </c>
      <c r="Y2196" t="s">
        <v>6546</v>
      </c>
      <c r="Z2196" t="s">
        <v>1067</v>
      </c>
      <c r="AA2196" t="s">
        <v>4707</v>
      </c>
      <c r="AB2196" t="s">
        <v>6547</v>
      </c>
      <c r="AE2196">
        <v>-36.871429409999998</v>
      </c>
      <c r="AF2196">
        <v>174.62836659999999</v>
      </c>
      <c r="AG2196">
        <v>30</v>
      </c>
      <c r="AH2196">
        <v>0</v>
      </c>
      <c r="AI2196">
        <v>0</v>
      </c>
      <c r="AJ2196">
        <v>0</v>
      </c>
      <c r="AK2196">
        <v>4</v>
      </c>
      <c r="AL2196">
        <v>9</v>
      </c>
      <c r="AM2196">
        <v>10</v>
      </c>
      <c r="AN2196">
        <v>0</v>
      </c>
      <c r="AO2196">
        <v>23</v>
      </c>
      <c r="AP2196">
        <v>3</v>
      </c>
      <c r="AQ2196">
        <v>6</v>
      </c>
      <c r="AR2196">
        <v>7</v>
      </c>
      <c r="AS2196">
        <v>11</v>
      </c>
      <c r="AT2196">
        <v>3</v>
      </c>
    </row>
    <row r="2197" spans="1:46">
      <c r="A2197">
        <v>46043</v>
      </c>
      <c r="B2197" t="s">
        <v>12940</v>
      </c>
      <c r="C2197" t="s">
        <v>12941</v>
      </c>
      <c r="D2197" t="s">
        <v>12942</v>
      </c>
      <c r="E2197" t="s">
        <v>12943</v>
      </c>
      <c r="G2197" t="s">
        <v>667</v>
      </c>
      <c r="H2197" t="s">
        <v>3942</v>
      </c>
      <c r="J2197" t="s">
        <v>3962</v>
      </c>
      <c r="K2197" t="s">
        <v>519</v>
      </c>
      <c r="M2197" t="s">
        <v>520</v>
      </c>
      <c r="N2197" t="s">
        <v>571</v>
      </c>
      <c r="O2197" t="s">
        <v>653</v>
      </c>
      <c r="P2197" t="s">
        <v>584</v>
      </c>
      <c r="Q2197" t="s">
        <v>638</v>
      </c>
      <c r="R2197" t="s">
        <v>639</v>
      </c>
      <c r="S2197" t="s">
        <v>668</v>
      </c>
      <c r="T2197" t="s">
        <v>527</v>
      </c>
      <c r="U2197">
        <v>113000</v>
      </c>
      <c r="V2197" t="s">
        <v>12944</v>
      </c>
      <c r="W2197" t="s">
        <v>657</v>
      </c>
      <c r="X2197" t="s">
        <v>12945</v>
      </c>
      <c r="Y2197" t="s">
        <v>12946</v>
      </c>
      <c r="Z2197" t="s">
        <v>667</v>
      </c>
      <c r="AA2197" t="s">
        <v>12947</v>
      </c>
      <c r="AB2197" t="s">
        <v>12948</v>
      </c>
      <c r="AC2197">
        <v>99069</v>
      </c>
      <c r="AD2197" t="s">
        <v>670</v>
      </c>
      <c r="AE2197">
        <v>-36.578740740000001</v>
      </c>
      <c r="AF2197">
        <v>174.69040458000001</v>
      </c>
      <c r="AG2197">
        <v>34</v>
      </c>
      <c r="AH2197">
        <v>0</v>
      </c>
      <c r="AI2197">
        <v>0</v>
      </c>
      <c r="AJ2197">
        <v>0</v>
      </c>
      <c r="AK2197">
        <v>11</v>
      </c>
      <c r="AL2197">
        <v>14</v>
      </c>
      <c r="AM2197">
        <v>15</v>
      </c>
      <c r="AN2197">
        <v>1</v>
      </c>
      <c r="AO2197">
        <v>41</v>
      </c>
      <c r="AP2197">
        <v>34</v>
      </c>
      <c r="AQ2197">
        <v>6</v>
      </c>
      <c r="AR2197">
        <v>1</v>
      </c>
      <c r="AS2197">
        <v>3</v>
      </c>
      <c r="AT2197">
        <v>3</v>
      </c>
    </row>
    <row r="2198" spans="1:46">
      <c r="A2198">
        <v>46045</v>
      </c>
      <c r="B2198" t="s">
        <v>12949</v>
      </c>
      <c r="C2198" t="s">
        <v>12950</v>
      </c>
      <c r="D2198" t="s">
        <v>12951</v>
      </c>
      <c r="E2198" t="s">
        <v>12952</v>
      </c>
      <c r="F2198" t="s">
        <v>3086</v>
      </c>
      <c r="G2198" t="s">
        <v>2941</v>
      </c>
      <c r="H2198" t="s">
        <v>3942</v>
      </c>
      <c r="J2198" t="s">
        <v>3962</v>
      </c>
      <c r="K2198" t="s">
        <v>519</v>
      </c>
      <c r="M2198" t="s">
        <v>2287</v>
      </c>
      <c r="N2198" t="s">
        <v>571</v>
      </c>
      <c r="O2198" t="s">
        <v>2942</v>
      </c>
      <c r="P2198" t="s">
        <v>654</v>
      </c>
      <c r="Q2198" t="s">
        <v>2943</v>
      </c>
      <c r="R2198" t="s">
        <v>2944</v>
      </c>
      <c r="S2198" t="s">
        <v>3019</v>
      </c>
      <c r="T2198" t="s">
        <v>2448</v>
      </c>
      <c r="U2198">
        <v>326701</v>
      </c>
      <c r="V2198" t="s">
        <v>3087</v>
      </c>
      <c r="W2198" t="s">
        <v>3088</v>
      </c>
      <c r="X2198" t="s">
        <v>12953</v>
      </c>
      <c r="Y2198" t="s">
        <v>12952</v>
      </c>
      <c r="Z2198" t="s">
        <v>3086</v>
      </c>
      <c r="AA2198" t="s">
        <v>12954</v>
      </c>
      <c r="AB2198" t="s">
        <v>12955</v>
      </c>
      <c r="AE2198">
        <v>-43.558925369999997</v>
      </c>
      <c r="AF2198">
        <v>172.59298991</v>
      </c>
      <c r="AG2198">
        <v>30</v>
      </c>
      <c r="AH2198">
        <v>12</v>
      </c>
      <c r="AI2198">
        <v>2</v>
      </c>
      <c r="AJ2198">
        <v>10</v>
      </c>
      <c r="AK2198">
        <v>10</v>
      </c>
      <c r="AL2198">
        <v>12</v>
      </c>
      <c r="AM2198">
        <v>11</v>
      </c>
      <c r="AN2198">
        <v>1</v>
      </c>
      <c r="AO2198">
        <v>46</v>
      </c>
      <c r="AP2198">
        <v>36</v>
      </c>
      <c r="AQ2198">
        <v>5</v>
      </c>
      <c r="AR2198">
        <v>0</v>
      </c>
      <c r="AS2198">
        <v>8</v>
      </c>
      <c r="AT2198">
        <v>1</v>
      </c>
    </row>
    <row r="2199" spans="1:46">
      <c r="A2199">
        <v>46046</v>
      </c>
      <c r="B2199" t="s">
        <v>12956</v>
      </c>
      <c r="C2199" t="s">
        <v>12957</v>
      </c>
      <c r="D2199" t="s">
        <v>12958</v>
      </c>
      <c r="E2199" t="s">
        <v>12959</v>
      </c>
      <c r="G2199" t="s">
        <v>3498</v>
      </c>
      <c r="H2199" t="s">
        <v>3942</v>
      </c>
      <c r="J2199" t="s">
        <v>3962</v>
      </c>
      <c r="K2199" t="s">
        <v>519</v>
      </c>
      <c r="M2199" t="s">
        <v>2287</v>
      </c>
      <c r="N2199" t="s">
        <v>557</v>
      </c>
      <c r="O2199" t="s">
        <v>3496</v>
      </c>
      <c r="P2199" t="s">
        <v>584</v>
      </c>
      <c r="Q2199" t="s">
        <v>3497</v>
      </c>
      <c r="R2199" t="s">
        <v>3338</v>
      </c>
      <c r="S2199" t="s">
        <v>3498</v>
      </c>
      <c r="T2199" t="s">
        <v>2448</v>
      </c>
      <c r="U2199">
        <v>362001</v>
      </c>
      <c r="V2199" t="s">
        <v>12960</v>
      </c>
      <c r="W2199" t="s">
        <v>1652</v>
      </c>
      <c r="X2199" t="s">
        <v>12961</v>
      </c>
      <c r="Y2199" t="s">
        <v>12962</v>
      </c>
      <c r="AA2199" t="s">
        <v>12963</v>
      </c>
      <c r="AB2199" t="s">
        <v>12964</v>
      </c>
      <c r="AE2199">
        <v>-46.41817253</v>
      </c>
      <c r="AF2199">
        <v>168.35941593999999</v>
      </c>
      <c r="AG2199">
        <v>90</v>
      </c>
      <c r="AH2199">
        <v>40</v>
      </c>
      <c r="AI2199">
        <v>1</v>
      </c>
      <c r="AJ2199">
        <v>14</v>
      </c>
      <c r="AK2199">
        <v>25</v>
      </c>
      <c r="AL2199">
        <v>17</v>
      </c>
      <c r="AM2199">
        <v>13</v>
      </c>
      <c r="AN2199">
        <v>1</v>
      </c>
      <c r="AO2199">
        <v>71</v>
      </c>
      <c r="AP2199">
        <v>61</v>
      </c>
      <c r="AQ2199">
        <v>11</v>
      </c>
      <c r="AR2199">
        <v>5</v>
      </c>
      <c r="AS2199">
        <v>9</v>
      </c>
      <c r="AT2199">
        <v>5</v>
      </c>
    </row>
    <row r="2200" spans="1:46">
      <c r="A2200">
        <v>46047</v>
      </c>
      <c r="B2200" t="s">
        <v>12965</v>
      </c>
      <c r="C2200" t="s">
        <v>12966</v>
      </c>
      <c r="D2200" t="s">
        <v>4148</v>
      </c>
      <c r="E2200" t="s">
        <v>12967</v>
      </c>
      <c r="F2200" t="s">
        <v>763</v>
      </c>
      <c r="G2200" t="s">
        <v>652</v>
      </c>
      <c r="H2200" t="s">
        <v>3942</v>
      </c>
      <c r="J2200" t="s">
        <v>3962</v>
      </c>
      <c r="K2200" t="s">
        <v>519</v>
      </c>
      <c r="M2200" t="s">
        <v>520</v>
      </c>
      <c r="N2200" t="s">
        <v>4519</v>
      </c>
      <c r="O2200" t="s">
        <v>738</v>
      </c>
      <c r="P2200" t="s">
        <v>654</v>
      </c>
      <c r="Q2200" t="s">
        <v>638</v>
      </c>
      <c r="R2200" t="s">
        <v>639</v>
      </c>
      <c r="S2200" t="s">
        <v>756</v>
      </c>
      <c r="T2200" t="s">
        <v>527</v>
      </c>
      <c r="U2200">
        <v>126500</v>
      </c>
      <c r="V2200" t="s">
        <v>5799</v>
      </c>
      <c r="W2200" t="s">
        <v>741</v>
      </c>
      <c r="X2200" t="s">
        <v>4151</v>
      </c>
      <c r="Y2200" t="s">
        <v>4152</v>
      </c>
      <c r="Z2200" t="s">
        <v>4153</v>
      </c>
      <c r="AA2200" t="s">
        <v>4154</v>
      </c>
      <c r="AC2200">
        <v>99214</v>
      </c>
      <c r="AD2200" t="s">
        <v>758</v>
      </c>
      <c r="AE2200">
        <v>-36.80903945</v>
      </c>
      <c r="AF2200">
        <v>174.72535712000001</v>
      </c>
      <c r="AG2200">
        <v>50</v>
      </c>
      <c r="AH2200">
        <v>20</v>
      </c>
      <c r="AI2200">
        <v>4</v>
      </c>
      <c r="AJ2200">
        <v>16</v>
      </c>
      <c r="AK2200">
        <v>14</v>
      </c>
      <c r="AL2200">
        <v>8</v>
      </c>
      <c r="AM2200">
        <v>7</v>
      </c>
      <c r="AN2200">
        <v>0</v>
      </c>
      <c r="AO2200">
        <v>49</v>
      </c>
      <c r="AP2200">
        <v>25</v>
      </c>
      <c r="AQ2200">
        <v>0</v>
      </c>
      <c r="AR2200">
        <v>0</v>
      </c>
      <c r="AS2200">
        <v>3</v>
      </c>
      <c r="AT2200">
        <v>22</v>
      </c>
    </row>
    <row r="2201" spans="1:46">
      <c r="A2201">
        <v>46050</v>
      </c>
      <c r="B2201" t="s">
        <v>12968</v>
      </c>
      <c r="C2201" t="s">
        <v>12969</v>
      </c>
      <c r="D2201" t="s">
        <v>12970</v>
      </c>
      <c r="E2201" t="s">
        <v>12971</v>
      </c>
      <c r="G2201" t="s">
        <v>1555</v>
      </c>
      <c r="H2201" t="s">
        <v>3942</v>
      </c>
      <c r="J2201" t="s">
        <v>3962</v>
      </c>
      <c r="K2201" t="s">
        <v>519</v>
      </c>
      <c r="M2201" t="s">
        <v>1297</v>
      </c>
      <c r="N2201" t="s">
        <v>539</v>
      </c>
      <c r="O2201" t="s">
        <v>1351</v>
      </c>
      <c r="P2201" t="s">
        <v>523</v>
      </c>
      <c r="Q2201" t="s">
        <v>1299</v>
      </c>
      <c r="R2201" t="s">
        <v>1300</v>
      </c>
      <c r="S2201" t="s">
        <v>1300</v>
      </c>
      <c r="T2201" t="s">
        <v>1235</v>
      </c>
      <c r="U2201">
        <v>171502</v>
      </c>
      <c r="V2201" t="s">
        <v>1556</v>
      </c>
      <c r="W2201" t="s">
        <v>1557</v>
      </c>
      <c r="X2201" t="s">
        <v>12972</v>
      </c>
      <c r="Y2201" t="s">
        <v>12971</v>
      </c>
      <c r="AA2201" t="s">
        <v>12283</v>
      </c>
      <c r="AB2201" t="s">
        <v>12969</v>
      </c>
      <c r="AE2201">
        <v>-37.559786180000003</v>
      </c>
      <c r="AF2201">
        <v>175.16161092999999</v>
      </c>
      <c r="AG2201">
        <v>66</v>
      </c>
      <c r="AH2201">
        <v>15</v>
      </c>
      <c r="AI2201">
        <v>1</v>
      </c>
      <c r="AJ2201">
        <v>8</v>
      </c>
      <c r="AK2201">
        <v>15</v>
      </c>
      <c r="AL2201">
        <v>15</v>
      </c>
      <c r="AM2201">
        <v>10</v>
      </c>
      <c r="AN2201">
        <v>0</v>
      </c>
      <c r="AO2201">
        <v>49</v>
      </c>
      <c r="AP2201">
        <v>16</v>
      </c>
      <c r="AQ2201">
        <v>34</v>
      </c>
      <c r="AR2201">
        <v>8</v>
      </c>
      <c r="AS2201">
        <v>5</v>
      </c>
      <c r="AT2201">
        <v>0</v>
      </c>
    </row>
    <row r="2202" spans="1:46">
      <c r="A2202">
        <v>46051</v>
      </c>
      <c r="B2202" t="s">
        <v>12973</v>
      </c>
      <c r="C2202" t="s">
        <v>12974</v>
      </c>
      <c r="D2202" t="s">
        <v>12975</v>
      </c>
      <c r="E2202" t="s">
        <v>12976</v>
      </c>
      <c r="G2202" t="s">
        <v>1974</v>
      </c>
      <c r="H2202" t="s">
        <v>3942</v>
      </c>
      <c r="J2202" t="s">
        <v>3962</v>
      </c>
      <c r="K2202" t="s">
        <v>519</v>
      </c>
      <c r="M2202" t="s">
        <v>1297</v>
      </c>
      <c r="N2202" t="s">
        <v>571</v>
      </c>
      <c r="O2202" t="s">
        <v>1956</v>
      </c>
      <c r="P2202" t="s">
        <v>584</v>
      </c>
      <c r="Q2202" t="s">
        <v>1636</v>
      </c>
      <c r="R2202" t="s">
        <v>1760</v>
      </c>
      <c r="S2202" t="s">
        <v>1974</v>
      </c>
      <c r="T2202" t="s">
        <v>1485</v>
      </c>
      <c r="U2202">
        <v>230100</v>
      </c>
      <c r="V2202" t="s">
        <v>11763</v>
      </c>
      <c r="W2202" t="s">
        <v>1957</v>
      </c>
      <c r="X2202" t="s">
        <v>12977</v>
      </c>
      <c r="Y2202" t="s">
        <v>12976</v>
      </c>
      <c r="AA2202" t="s">
        <v>1960</v>
      </c>
      <c r="AB2202" t="s">
        <v>12978</v>
      </c>
      <c r="AC2202">
        <v>99165</v>
      </c>
      <c r="AD2202" t="s">
        <v>1976</v>
      </c>
      <c r="AE2202">
        <v>-40.35480201</v>
      </c>
      <c r="AF2202">
        <v>175.59721393999999</v>
      </c>
      <c r="AG2202">
        <v>32</v>
      </c>
      <c r="AH2202">
        <v>15</v>
      </c>
      <c r="AI2202">
        <v>1</v>
      </c>
      <c r="AJ2202">
        <v>7</v>
      </c>
      <c r="AK2202">
        <v>6</v>
      </c>
      <c r="AL2202">
        <v>9</v>
      </c>
      <c r="AM2202">
        <v>10</v>
      </c>
      <c r="AN2202">
        <v>0</v>
      </c>
      <c r="AO2202">
        <v>33</v>
      </c>
      <c r="AP2202">
        <v>23</v>
      </c>
      <c r="AQ2202">
        <v>12</v>
      </c>
      <c r="AR2202">
        <v>6</v>
      </c>
      <c r="AS2202">
        <v>6</v>
      </c>
      <c r="AT2202">
        <v>3</v>
      </c>
    </row>
    <row r="2203" spans="1:46">
      <c r="A2203">
        <v>46052</v>
      </c>
      <c r="B2203" t="s">
        <v>12979</v>
      </c>
      <c r="C2203" t="s">
        <v>12980</v>
      </c>
      <c r="D2203" t="s">
        <v>12981</v>
      </c>
      <c r="E2203" t="s">
        <v>12982</v>
      </c>
      <c r="F2203" t="s">
        <v>12983</v>
      </c>
      <c r="G2203" t="s">
        <v>1296</v>
      </c>
      <c r="H2203" t="s">
        <v>3942</v>
      </c>
      <c r="J2203" t="s">
        <v>3962</v>
      </c>
      <c r="K2203" t="s">
        <v>519</v>
      </c>
      <c r="M2203" t="s">
        <v>1297</v>
      </c>
      <c r="N2203" t="s">
        <v>557</v>
      </c>
      <c r="O2203" t="s">
        <v>1298</v>
      </c>
      <c r="P2203" t="s">
        <v>654</v>
      </c>
      <c r="Q2203" t="s">
        <v>1299</v>
      </c>
      <c r="R2203" t="s">
        <v>1300</v>
      </c>
      <c r="S2203" t="s">
        <v>1312</v>
      </c>
      <c r="T2203" t="s">
        <v>1235</v>
      </c>
      <c r="U2203">
        <v>178400</v>
      </c>
      <c r="V2203" t="s">
        <v>1375</v>
      </c>
      <c r="W2203" t="s">
        <v>1314</v>
      </c>
      <c r="X2203" t="s">
        <v>12984</v>
      </c>
      <c r="Y2203" t="s">
        <v>12985</v>
      </c>
      <c r="Z2203" t="s">
        <v>8510</v>
      </c>
      <c r="AA2203" t="s">
        <v>8998</v>
      </c>
      <c r="AB2203" t="s">
        <v>12980</v>
      </c>
      <c r="AE2203">
        <v>-37.763937089999999</v>
      </c>
      <c r="AF2203">
        <v>175.29829824999999</v>
      </c>
      <c r="AG2203">
        <v>45</v>
      </c>
      <c r="AH2203">
        <v>10</v>
      </c>
      <c r="AI2203">
        <v>3</v>
      </c>
      <c r="AJ2203">
        <v>4</v>
      </c>
      <c r="AK2203">
        <v>7</v>
      </c>
      <c r="AL2203">
        <v>14</v>
      </c>
      <c r="AM2203">
        <v>15</v>
      </c>
      <c r="AN2203">
        <v>2</v>
      </c>
      <c r="AO2203">
        <v>45</v>
      </c>
      <c r="AP2203">
        <v>11</v>
      </c>
      <c r="AQ2203">
        <v>28</v>
      </c>
      <c r="AR2203">
        <v>4</v>
      </c>
      <c r="AS2203">
        <v>9</v>
      </c>
      <c r="AT2203">
        <v>6</v>
      </c>
    </row>
    <row r="2204" spans="1:46">
      <c r="A2204">
        <v>46053</v>
      </c>
      <c r="B2204" t="s">
        <v>12986</v>
      </c>
      <c r="C2204" t="s">
        <v>12987</v>
      </c>
      <c r="E2204" t="s">
        <v>12988</v>
      </c>
      <c r="G2204" t="s">
        <v>3787</v>
      </c>
      <c r="H2204" t="s">
        <v>3942</v>
      </c>
      <c r="J2204" t="s">
        <v>3962</v>
      </c>
      <c r="K2204" t="s">
        <v>519</v>
      </c>
      <c r="M2204" t="s">
        <v>1297</v>
      </c>
      <c r="N2204" t="s">
        <v>557</v>
      </c>
      <c r="O2204" t="s">
        <v>1743</v>
      </c>
      <c r="P2204" t="s">
        <v>523</v>
      </c>
      <c r="Q2204" t="s">
        <v>1471</v>
      </c>
      <c r="R2204" t="s">
        <v>1472</v>
      </c>
      <c r="S2204" t="s">
        <v>1438</v>
      </c>
      <c r="T2204" t="s">
        <v>1474</v>
      </c>
      <c r="U2204">
        <v>190602</v>
      </c>
      <c r="V2204" t="s">
        <v>3788</v>
      </c>
      <c r="W2204" t="s">
        <v>3789</v>
      </c>
      <c r="X2204" t="s">
        <v>12989</v>
      </c>
      <c r="Y2204" t="s">
        <v>4658</v>
      </c>
      <c r="Z2204" t="s">
        <v>958</v>
      </c>
      <c r="AA2204" t="s">
        <v>4659</v>
      </c>
      <c r="AB2204" t="s">
        <v>12987</v>
      </c>
      <c r="AE2204">
        <v>-37.55639918</v>
      </c>
      <c r="AF2204">
        <v>175.9165309</v>
      </c>
      <c r="AG2204">
        <v>48</v>
      </c>
      <c r="AH2204">
        <v>10</v>
      </c>
      <c r="AI2204">
        <v>1</v>
      </c>
      <c r="AJ2204">
        <v>7</v>
      </c>
      <c r="AK2204">
        <v>4</v>
      </c>
      <c r="AL2204">
        <v>4</v>
      </c>
      <c r="AM2204">
        <v>11</v>
      </c>
      <c r="AN2204">
        <v>1</v>
      </c>
      <c r="AO2204">
        <v>28</v>
      </c>
      <c r="AP2204">
        <v>11</v>
      </c>
      <c r="AQ2204">
        <v>12</v>
      </c>
      <c r="AR2204">
        <v>3</v>
      </c>
      <c r="AS2204">
        <v>9</v>
      </c>
      <c r="AT2204">
        <v>0</v>
      </c>
    </row>
    <row r="2205" spans="1:46">
      <c r="A2205">
        <v>46055</v>
      </c>
      <c r="B2205" t="s">
        <v>12990</v>
      </c>
      <c r="C2205" t="s">
        <v>12991</v>
      </c>
      <c r="D2205" t="s">
        <v>12992</v>
      </c>
      <c r="E2205" t="s">
        <v>12993</v>
      </c>
      <c r="F2205" t="s">
        <v>12994</v>
      </c>
      <c r="G2205" t="s">
        <v>2941</v>
      </c>
      <c r="H2205" t="s">
        <v>3942</v>
      </c>
      <c r="J2205" t="s">
        <v>3962</v>
      </c>
      <c r="K2205" t="s">
        <v>519</v>
      </c>
      <c r="M2205" t="s">
        <v>2287</v>
      </c>
      <c r="N2205" t="s">
        <v>571</v>
      </c>
      <c r="O2205" t="s">
        <v>2942</v>
      </c>
      <c r="P2205" t="s">
        <v>654</v>
      </c>
      <c r="Q2205" t="s">
        <v>2943</v>
      </c>
      <c r="R2205" t="s">
        <v>2944</v>
      </c>
      <c r="S2205" t="s">
        <v>2957</v>
      </c>
      <c r="T2205" t="s">
        <v>2448</v>
      </c>
      <c r="U2205">
        <v>322200</v>
      </c>
      <c r="V2205" t="s">
        <v>12027</v>
      </c>
      <c r="W2205" t="s">
        <v>2999</v>
      </c>
      <c r="X2205" t="s">
        <v>12995</v>
      </c>
      <c r="Y2205" t="s">
        <v>12996</v>
      </c>
      <c r="Z2205" t="s">
        <v>12997</v>
      </c>
      <c r="AA2205" t="s">
        <v>4117</v>
      </c>
      <c r="AB2205" t="s">
        <v>12998</v>
      </c>
      <c r="AC2205">
        <v>99027</v>
      </c>
      <c r="AD2205" t="s">
        <v>3000</v>
      </c>
      <c r="AE2205">
        <v>-43.508833719999998</v>
      </c>
      <c r="AF2205">
        <v>172.61943493000001</v>
      </c>
      <c r="AG2205">
        <v>48</v>
      </c>
      <c r="AH2205">
        <v>15</v>
      </c>
      <c r="AI2205">
        <v>3</v>
      </c>
      <c r="AJ2205">
        <v>6</v>
      </c>
      <c r="AK2205">
        <v>16</v>
      </c>
      <c r="AL2205">
        <v>8</v>
      </c>
      <c r="AM2205">
        <v>13</v>
      </c>
      <c r="AN2205">
        <v>2</v>
      </c>
      <c r="AO2205">
        <v>48</v>
      </c>
      <c r="AP2205">
        <v>38</v>
      </c>
      <c r="AQ2205">
        <v>3</v>
      </c>
      <c r="AR2205">
        <v>3</v>
      </c>
      <c r="AS2205">
        <v>6</v>
      </c>
      <c r="AT2205">
        <v>6</v>
      </c>
    </row>
    <row r="2206" spans="1:46">
      <c r="A2206">
        <v>46056</v>
      </c>
      <c r="B2206" t="s">
        <v>12999</v>
      </c>
      <c r="C2206" t="s">
        <v>13000</v>
      </c>
      <c r="D2206" t="s">
        <v>13001</v>
      </c>
      <c r="E2206" t="s">
        <v>13002</v>
      </c>
      <c r="F2206" t="s">
        <v>9007</v>
      </c>
      <c r="G2206" t="s">
        <v>2081</v>
      </c>
      <c r="H2206" t="s">
        <v>3942</v>
      </c>
      <c r="J2206" t="s">
        <v>3962</v>
      </c>
      <c r="K2206" t="s">
        <v>519</v>
      </c>
      <c r="M2206" t="s">
        <v>1297</v>
      </c>
      <c r="N2206" t="s">
        <v>521</v>
      </c>
      <c r="O2206" t="s">
        <v>2082</v>
      </c>
      <c r="P2206" t="s">
        <v>584</v>
      </c>
      <c r="Q2206" t="s">
        <v>2083</v>
      </c>
      <c r="R2206" t="s">
        <v>2084</v>
      </c>
      <c r="S2206" t="s">
        <v>1473</v>
      </c>
      <c r="T2206" t="s">
        <v>2085</v>
      </c>
      <c r="U2206">
        <v>206100</v>
      </c>
      <c r="V2206" t="s">
        <v>13003</v>
      </c>
      <c r="W2206" t="s">
        <v>2087</v>
      </c>
      <c r="X2206" t="s">
        <v>13004</v>
      </c>
      <c r="Y2206" t="s">
        <v>8781</v>
      </c>
      <c r="Z2206" t="s">
        <v>7660</v>
      </c>
      <c r="AA2206" t="s">
        <v>8072</v>
      </c>
      <c r="AB2206" t="s">
        <v>13005</v>
      </c>
      <c r="AC2206">
        <v>99081</v>
      </c>
      <c r="AD2206" t="s">
        <v>13006</v>
      </c>
      <c r="AE2206">
        <v>-38.65100434</v>
      </c>
      <c r="AF2206">
        <v>177.99363554000001</v>
      </c>
      <c r="AG2206">
        <v>54</v>
      </c>
      <c r="AH2206">
        <v>14</v>
      </c>
      <c r="AI2206">
        <v>3</v>
      </c>
      <c r="AJ2206">
        <v>8</v>
      </c>
      <c r="AK2206">
        <v>14</v>
      </c>
      <c r="AL2206">
        <v>12</v>
      </c>
      <c r="AM2206">
        <v>9</v>
      </c>
      <c r="AN2206">
        <v>1</v>
      </c>
      <c r="AO2206">
        <v>47</v>
      </c>
      <c r="AP2206">
        <v>16</v>
      </c>
      <c r="AQ2206">
        <v>32</v>
      </c>
      <c r="AR2206">
        <v>7</v>
      </c>
      <c r="AS2206">
        <v>2</v>
      </c>
      <c r="AT2206">
        <v>0</v>
      </c>
    </row>
    <row r="2207" spans="1:46">
      <c r="A2207">
        <v>46057</v>
      </c>
      <c r="B2207" t="s">
        <v>13007</v>
      </c>
      <c r="C2207" t="s">
        <v>13008</v>
      </c>
      <c r="D2207" t="s">
        <v>12897</v>
      </c>
      <c r="E2207" t="s">
        <v>13009</v>
      </c>
      <c r="F2207" t="s">
        <v>2370</v>
      </c>
      <c r="G2207" t="s">
        <v>2371</v>
      </c>
      <c r="H2207" t="s">
        <v>3942</v>
      </c>
      <c r="I2207" t="s">
        <v>3953</v>
      </c>
      <c r="J2207" t="s">
        <v>3962</v>
      </c>
      <c r="K2207" t="s">
        <v>519</v>
      </c>
      <c r="M2207" t="s">
        <v>2287</v>
      </c>
      <c r="N2207" t="s">
        <v>571</v>
      </c>
      <c r="O2207" t="s">
        <v>2372</v>
      </c>
      <c r="P2207" t="s">
        <v>584</v>
      </c>
      <c r="Q2207" t="s">
        <v>2319</v>
      </c>
      <c r="R2207" t="s">
        <v>2289</v>
      </c>
      <c r="S2207" t="s">
        <v>2373</v>
      </c>
      <c r="T2207" t="s">
        <v>2085</v>
      </c>
      <c r="U2207">
        <v>243000</v>
      </c>
      <c r="V2207" t="s">
        <v>11534</v>
      </c>
      <c r="W2207" t="s">
        <v>1652</v>
      </c>
      <c r="X2207" t="s">
        <v>13010</v>
      </c>
      <c r="Y2207" t="s">
        <v>4658</v>
      </c>
      <c r="Z2207" t="s">
        <v>958</v>
      </c>
      <c r="AA2207" t="s">
        <v>4659</v>
      </c>
      <c r="AB2207" t="s">
        <v>13011</v>
      </c>
      <c r="AE2207">
        <v>-41.125544339999998</v>
      </c>
      <c r="AF2207">
        <v>175.06875484</v>
      </c>
      <c r="AG2207">
        <v>98</v>
      </c>
      <c r="AH2207">
        <v>24</v>
      </c>
      <c r="AI2207">
        <v>3</v>
      </c>
      <c r="AJ2207">
        <v>21</v>
      </c>
      <c r="AK2207">
        <v>20</v>
      </c>
      <c r="AL2207">
        <v>21</v>
      </c>
      <c r="AM2207">
        <v>27</v>
      </c>
      <c r="AN2207">
        <v>0</v>
      </c>
      <c r="AO2207">
        <v>92</v>
      </c>
      <c r="AP2207">
        <v>72</v>
      </c>
      <c r="AQ2207">
        <v>11</v>
      </c>
      <c r="AR2207">
        <v>8</v>
      </c>
      <c r="AS2207">
        <v>16</v>
      </c>
      <c r="AT2207">
        <v>4</v>
      </c>
    </row>
    <row r="2208" spans="1:46">
      <c r="A2208">
        <v>46058</v>
      </c>
      <c r="B2208" t="s">
        <v>13012</v>
      </c>
      <c r="C2208" t="s">
        <v>13013</v>
      </c>
      <c r="D2208" t="s">
        <v>13014</v>
      </c>
      <c r="E2208" t="s">
        <v>13015</v>
      </c>
      <c r="G2208" t="s">
        <v>13016</v>
      </c>
      <c r="H2208" t="s">
        <v>6218</v>
      </c>
      <c r="J2208" t="s">
        <v>3962</v>
      </c>
      <c r="K2208" t="s">
        <v>519</v>
      </c>
      <c r="M2208" t="s">
        <v>520</v>
      </c>
      <c r="N2208" t="s">
        <v>727</v>
      </c>
      <c r="O2208" t="s">
        <v>522</v>
      </c>
      <c r="P2208" t="s">
        <v>540</v>
      </c>
      <c r="Q2208" t="s">
        <v>524</v>
      </c>
      <c r="R2208" t="s">
        <v>525</v>
      </c>
      <c r="S2208" t="s">
        <v>526</v>
      </c>
      <c r="T2208" t="s">
        <v>527</v>
      </c>
      <c r="U2208">
        <v>100400</v>
      </c>
      <c r="V2208" t="s">
        <v>13016</v>
      </c>
      <c r="W2208" t="s">
        <v>529</v>
      </c>
      <c r="X2208" t="s">
        <v>13017</v>
      </c>
      <c r="Y2208" t="s">
        <v>13018</v>
      </c>
      <c r="AA2208" t="s">
        <v>13019</v>
      </c>
      <c r="AB2208" t="s">
        <v>13020</v>
      </c>
      <c r="AE2208">
        <v>-34.870373819999998</v>
      </c>
      <c r="AF2208">
        <v>173.37934404999999</v>
      </c>
      <c r="AG2208">
        <v>60</v>
      </c>
      <c r="AH2208">
        <v>20</v>
      </c>
      <c r="AI2208">
        <v>0</v>
      </c>
      <c r="AJ2208">
        <v>4</v>
      </c>
      <c r="AK2208">
        <v>7</v>
      </c>
      <c r="AL2208">
        <v>7</v>
      </c>
      <c r="AM2208">
        <v>7</v>
      </c>
      <c r="AN2208">
        <v>6</v>
      </c>
      <c r="AO2208">
        <v>31</v>
      </c>
      <c r="AP2208">
        <v>6</v>
      </c>
      <c r="AQ2208">
        <v>30</v>
      </c>
      <c r="AR2208">
        <v>2</v>
      </c>
      <c r="AS2208">
        <v>1</v>
      </c>
      <c r="AT2208">
        <v>0</v>
      </c>
    </row>
    <row r="2209" spans="1:46">
      <c r="A2209">
        <v>46059</v>
      </c>
      <c r="B2209" t="s">
        <v>13021</v>
      </c>
      <c r="C2209" t="s">
        <v>13022</v>
      </c>
      <c r="D2209" t="s">
        <v>13023</v>
      </c>
      <c r="E2209" t="s">
        <v>13024</v>
      </c>
      <c r="G2209" t="s">
        <v>1261</v>
      </c>
      <c r="H2209" t="s">
        <v>3942</v>
      </c>
      <c r="J2209" t="s">
        <v>3962</v>
      </c>
      <c r="K2209" t="s">
        <v>519</v>
      </c>
      <c r="M2209" t="s">
        <v>520</v>
      </c>
      <c r="N2209" t="s">
        <v>571</v>
      </c>
      <c r="O2209" t="s">
        <v>1233</v>
      </c>
      <c r="P2209" t="s">
        <v>1262</v>
      </c>
      <c r="Q2209" t="s">
        <v>638</v>
      </c>
      <c r="R2209" t="s">
        <v>729</v>
      </c>
      <c r="S2209" t="s">
        <v>1246</v>
      </c>
      <c r="T2209" t="s">
        <v>1235</v>
      </c>
      <c r="U2209">
        <v>165700</v>
      </c>
      <c r="V2209" t="s">
        <v>1263</v>
      </c>
      <c r="W2209" t="s">
        <v>1237</v>
      </c>
      <c r="X2209" t="s">
        <v>13025</v>
      </c>
      <c r="Y2209" t="s">
        <v>3981</v>
      </c>
      <c r="AA2209" t="s">
        <v>3982</v>
      </c>
      <c r="AB2209" t="s">
        <v>13022</v>
      </c>
      <c r="AE2209">
        <v>-37.210754229999999</v>
      </c>
      <c r="AF2209">
        <v>174.89449508999999</v>
      </c>
      <c r="AG2209">
        <v>75</v>
      </c>
      <c r="AH2209">
        <v>16</v>
      </c>
      <c r="AI2209">
        <v>1</v>
      </c>
      <c r="AJ2209">
        <v>12</v>
      </c>
      <c r="AK2209">
        <v>10</v>
      </c>
      <c r="AL2209">
        <v>25</v>
      </c>
      <c r="AM2209">
        <v>19</v>
      </c>
      <c r="AN2209">
        <v>1</v>
      </c>
      <c r="AO2209">
        <v>68</v>
      </c>
      <c r="AP2209">
        <v>44</v>
      </c>
      <c r="AQ2209">
        <v>17</v>
      </c>
      <c r="AR2209">
        <v>8</v>
      </c>
      <c r="AS2209">
        <v>14</v>
      </c>
      <c r="AT2209">
        <v>7</v>
      </c>
    </row>
    <row r="2210" spans="1:46">
      <c r="A2210">
        <v>46060</v>
      </c>
      <c r="B2210" t="s">
        <v>13026</v>
      </c>
      <c r="C2210" t="s">
        <v>13027</v>
      </c>
      <c r="D2210" t="s">
        <v>13028</v>
      </c>
      <c r="E2210" t="s">
        <v>13029</v>
      </c>
      <c r="G2210" t="s">
        <v>2926</v>
      </c>
      <c r="H2210" t="s">
        <v>3942</v>
      </c>
      <c r="J2210" t="s">
        <v>3962</v>
      </c>
      <c r="K2210" t="s">
        <v>519</v>
      </c>
      <c r="M2210" t="s">
        <v>2287</v>
      </c>
      <c r="N2210" t="s">
        <v>521</v>
      </c>
      <c r="O2210" t="s">
        <v>2927</v>
      </c>
      <c r="P2210" t="s">
        <v>523</v>
      </c>
      <c r="Q2210" t="s">
        <v>2928</v>
      </c>
      <c r="R2210" t="s">
        <v>2824</v>
      </c>
      <c r="S2210" t="s">
        <v>2870</v>
      </c>
      <c r="T2210" t="s">
        <v>2448</v>
      </c>
      <c r="U2210">
        <v>309400</v>
      </c>
      <c r="V2210" t="s">
        <v>13030</v>
      </c>
      <c r="W2210" t="s">
        <v>2930</v>
      </c>
      <c r="X2210" t="s">
        <v>13031</v>
      </c>
      <c r="Y2210" t="s">
        <v>3981</v>
      </c>
      <c r="AA2210" t="s">
        <v>3982</v>
      </c>
      <c r="AB2210" t="s">
        <v>13032</v>
      </c>
      <c r="AC2210">
        <v>99007</v>
      </c>
      <c r="AD2210" t="s">
        <v>2935</v>
      </c>
      <c r="AE2210">
        <v>-41.759514070000002</v>
      </c>
      <c r="AF2210">
        <v>171.60739946000001</v>
      </c>
      <c r="AG2210">
        <v>72</v>
      </c>
      <c r="AH2210">
        <v>18</v>
      </c>
      <c r="AI2210">
        <v>1</v>
      </c>
      <c r="AJ2210">
        <v>6</v>
      </c>
      <c r="AK2210">
        <v>16</v>
      </c>
      <c r="AL2210">
        <v>12</v>
      </c>
      <c r="AM2210">
        <v>14</v>
      </c>
      <c r="AN2210">
        <v>0</v>
      </c>
      <c r="AO2210">
        <v>49</v>
      </c>
      <c r="AP2210">
        <v>33</v>
      </c>
      <c r="AQ2210">
        <v>16</v>
      </c>
      <c r="AR2210">
        <v>1</v>
      </c>
      <c r="AS2210">
        <v>3</v>
      </c>
      <c r="AT2210">
        <v>2</v>
      </c>
    </row>
    <row r="2211" spans="1:46">
      <c r="A2211">
        <v>46064</v>
      </c>
      <c r="B2211" t="s">
        <v>13033</v>
      </c>
      <c r="C2211" t="s">
        <v>13034</v>
      </c>
      <c r="D2211" t="s">
        <v>13035</v>
      </c>
      <c r="E2211" t="s">
        <v>13036</v>
      </c>
      <c r="G2211" t="s">
        <v>2526</v>
      </c>
      <c r="H2211" t="s">
        <v>3942</v>
      </c>
      <c r="J2211" t="s">
        <v>3962</v>
      </c>
      <c r="K2211" t="s">
        <v>519</v>
      </c>
      <c r="M2211" t="s">
        <v>2287</v>
      </c>
      <c r="N2211" t="s">
        <v>571</v>
      </c>
      <c r="O2211" t="s">
        <v>2527</v>
      </c>
      <c r="P2211" t="s">
        <v>584</v>
      </c>
      <c r="Q2211" t="s">
        <v>2319</v>
      </c>
      <c r="R2211" t="s">
        <v>2289</v>
      </c>
      <c r="S2211" t="s">
        <v>2528</v>
      </c>
      <c r="T2211" t="s">
        <v>1485</v>
      </c>
      <c r="U2211">
        <v>239900</v>
      </c>
      <c r="V2211" t="s">
        <v>13037</v>
      </c>
      <c r="W2211" t="s">
        <v>2529</v>
      </c>
      <c r="X2211" t="s">
        <v>13038</v>
      </c>
      <c r="Y2211" t="s">
        <v>13039</v>
      </c>
      <c r="AA2211" t="s">
        <v>1891</v>
      </c>
      <c r="AB2211" t="s">
        <v>13040</v>
      </c>
      <c r="AC2211">
        <v>99094</v>
      </c>
      <c r="AD2211" t="s">
        <v>2615</v>
      </c>
      <c r="AE2211">
        <v>-41.133664770000003</v>
      </c>
      <c r="AF2211">
        <v>174.83644729</v>
      </c>
      <c r="AG2211">
        <v>55</v>
      </c>
      <c r="AH2211">
        <v>20</v>
      </c>
      <c r="AI2211">
        <v>1</v>
      </c>
      <c r="AJ2211">
        <v>15</v>
      </c>
      <c r="AK2211">
        <v>12</v>
      </c>
      <c r="AL2211">
        <v>16</v>
      </c>
      <c r="AM2211">
        <v>13</v>
      </c>
      <c r="AN2211">
        <v>1</v>
      </c>
      <c r="AO2211">
        <v>58</v>
      </c>
      <c r="AP2211">
        <v>43</v>
      </c>
      <c r="AQ2211">
        <v>12</v>
      </c>
      <c r="AR2211">
        <v>11</v>
      </c>
      <c r="AS2211">
        <v>5</v>
      </c>
      <c r="AT2211">
        <v>5</v>
      </c>
    </row>
    <row r="2212" spans="1:46">
      <c r="A2212">
        <v>46070</v>
      </c>
      <c r="B2212" t="s">
        <v>13041</v>
      </c>
      <c r="C2212" t="s">
        <v>13042</v>
      </c>
      <c r="E2212" t="s">
        <v>13043</v>
      </c>
      <c r="F2212" t="s">
        <v>821</v>
      </c>
      <c r="G2212" t="s">
        <v>652</v>
      </c>
      <c r="H2212" t="s">
        <v>3942</v>
      </c>
      <c r="I2212" t="s">
        <v>4065</v>
      </c>
      <c r="J2212" t="s">
        <v>3962</v>
      </c>
      <c r="K2212" t="s">
        <v>519</v>
      </c>
      <c r="M2212" t="s">
        <v>520</v>
      </c>
      <c r="N2212" t="s">
        <v>571</v>
      </c>
      <c r="O2212" t="s">
        <v>804</v>
      </c>
      <c r="P2212" t="s">
        <v>654</v>
      </c>
      <c r="Q2212" t="s">
        <v>638</v>
      </c>
      <c r="R2212" t="s">
        <v>708</v>
      </c>
      <c r="S2212" t="s">
        <v>822</v>
      </c>
      <c r="T2212" t="s">
        <v>709</v>
      </c>
      <c r="U2212">
        <v>141000</v>
      </c>
      <c r="V2212" t="s">
        <v>823</v>
      </c>
      <c r="W2212" t="s">
        <v>824</v>
      </c>
      <c r="X2212" t="s">
        <v>6961</v>
      </c>
      <c r="Y2212" t="s">
        <v>4658</v>
      </c>
      <c r="Z2212" t="s">
        <v>958</v>
      </c>
      <c r="AA2212" t="s">
        <v>4659</v>
      </c>
      <c r="AB2212" t="s">
        <v>6962</v>
      </c>
      <c r="AE2212">
        <v>-36.884906129999997</v>
      </c>
      <c r="AF2212">
        <v>174.80144124</v>
      </c>
      <c r="AG2212">
        <v>45</v>
      </c>
      <c r="AH2212">
        <v>8</v>
      </c>
      <c r="AI2212">
        <v>0</v>
      </c>
      <c r="AJ2212">
        <v>7</v>
      </c>
      <c r="AK2212">
        <v>6</v>
      </c>
      <c r="AL2212">
        <v>10</v>
      </c>
      <c r="AM2212">
        <v>4</v>
      </c>
      <c r="AN2212">
        <v>0</v>
      </c>
      <c r="AO2212">
        <v>27</v>
      </c>
      <c r="AP2212">
        <v>11</v>
      </c>
      <c r="AQ2212">
        <v>2</v>
      </c>
      <c r="AR2212">
        <v>1</v>
      </c>
      <c r="AS2212">
        <v>17</v>
      </c>
      <c r="AT2212">
        <v>2</v>
      </c>
    </row>
    <row r="2213" spans="1:46">
      <c r="A2213">
        <v>46071</v>
      </c>
      <c r="B2213" t="s">
        <v>13044</v>
      </c>
      <c r="C2213" t="s">
        <v>13045</v>
      </c>
      <c r="E2213" t="s">
        <v>13046</v>
      </c>
      <c r="F2213" t="s">
        <v>3706</v>
      </c>
      <c r="G2213" t="s">
        <v>652</v>
      </c>
      <c r="H2213" t="s">
        <v>3942</v>
      </c>
      <c r="J2213" t="s">
        <v>3962</v>
      </c>
      <c r="K2213" t="s">
        <v>519</v>
      </c>
      <c r="M2213" t="s">
        <v>520</v>
      </c>
      <c r="N2213" t="s">
        <v>4519</v>
      </c>
      <c r="O2213" t="s">
        <v>1168</v>
      </c>
      <c r="P2213" t="s">
        <v>654</v>
      </c>
      <c r="Q2213" t="s">
        <v>638</v>
      </c>
      <c r="R2213" t="s">
        <v>639</v>
      </c>
      <c r="S2213" t="s">
        <v>655</v>
      </c>
      <c r="T2213" t="s">
        <v>527</v>
      </c>
      <c r="U2213">
        <v>118501</v>
      </c>
      <c r="V2213" t="s">
        <v>13047</v>
      </c>
      <c r="W2213" t="s">
        <v>657</v>
      </c>
      <c r="X2213" t="s">
        <v>7727</v>
      </c>
      <c r="Y2213" t="s">
        <v>7728</v>
      </c>
      <c r="Z2213" t="s">
        <v>3706</v>
      </c>
      <c r="AA2213" t="s">
        <v>7729</v>
      </c>
      <c r="AB2213" t="s">
        <v>7730</v>
      </c>
      <c r="AE2213">
        <v>-36.730128190000002</v>
      </c>
      <c r="AF2213">
        <v>174.72172345999999</v>
      </c>
      <c r="AG2213">
        <v>70</v>
      </c>
      <c r="AH2213">
        <v>15</v>
      </c>
      <c r="AI2213">
        <v>0</v>
      </c>
      <c r="AJ2213">
        <v>12</v>
      </c>
      <c r="AK2213">
        <v>9</v>
      </c>
      <c r="AL2213">
        <v>5</v>
      </c>
      <c r="AM2213">
        <v>16</v>
      </c>
      <c r="AN2213">
        <v>0</v>
      </c>
      <c r="AO2213">
        <v>42</v>
      </c>
      <c r="AP2213">
        <v>15</v>
      </c>
      <c r="AQ2213">
        <v>1</v>
      </c>
      <c r="AR2213">
        <v>1</v>
      </c>
      <c r="AS2213">
        <v>19</v>
      </c>
      <c r="AT2213">
        <v>13</v>
      </c>
    </row>
    <row r="2214" spans="1:46">
      <c r="A2214">
        <v>46072</v>
      </c>
      <c r="B2214" t="s">
        <v>13048</v>
      </c>
      <c r="C2214" t="s">
        <v>13049</v>
      </c>
      <c r="D2214" t="s">
        <v>13050</v>
      </c>
      <c r="E2214" t="s">
        <v>13051</v>
      </c>
      <c r="G2214" t="s">
        <v>3513</v>
      </c>
      <c r="H2214" t="s">
        <v>3942</v>
      </c>
      <c r="J2214" t="s">
        <v>3962</v>
      </c>
      <c r="K2214" t="s">
        <v>519</v>
      </c>
      <c r="M2214" t="s">
        <v>2287</v>
      </c>
      <c r="N2214" t="s">
        <v>571</v>
      </c>
      <c r="O2214" t="s">
        <v>3514</v>
      </c>
      <c r="P2214" t="s">
        <v>523</v>
      </c>
      <c r="Q2214" t="s">
        <v>3497</v>
      </c>
      <c r="R2214" t="s">
        <v>3338</v>
      </c>
      <c r="S2214" t="s">
        <v>3361</v>
      </c>
      <c r="T2214" t="s">
        <v>2448</v>
      </c>
      <c r="U2214">
        <v>359900</v>
      </c>
      <c r="V2214" t="s">
        <v>11338</v>
      </c>
      <c r="W2214" t="s">
        <v>3516</v>
      </c>
      <c r="X2214" t="s">
        <v>13052</v>
      </c>
      <c r="Y2214" t="s">
        <v>13051</v>
      </c>
      <c r="AA2214" t="s">
        <v>13053</v>
      </c>
      <c r="AB2214" t="s">
        <v>13049</v>
      </c>
      <c r="AC2214">
        <v>99055</v>
      </c>
      <c r="AD2214" t="s">
        <v>3517</v>
      </c>
      <c r="AE2214">
        <v>-46.102793660000003</v>
      </c>
      <c r="AF2214">
        <v>168.93437645</v>
      </c>
      <c r="AG2214">
        <v>80</v>
      </c>
      <c r="AH2214">
        <v>30</v>
      </c>
      <c r="AI2214">
        <v>3</v>
      </c>
      <c r="AJ2214">
        <v>17</v>
      </c>
      <c r="AK2214">
        <v>16</v>
      </c>
      <c r="AL2214">
        <v>21</v>
      </c>
      <c r="AM2214">
        <v>25</v>
      </c>
      <c r="AN2214">
        <v>0</v>
      </c>
      <c r="AO2214">
        <v>82</v>
      </c>
      <c r="AP2214">
        <v>63</v>
      </c>
      <c r="AQ2214">
        <v>17</v>
      </c>
      <c r="AR2214">
        <v>4</v>
      </c>
      <c r="AS2214">
        <v>10</v>
      </c>
      <c r="AT2214">
        <v>6</v>
      </c>
    </row>
    <row r="2215" spans="1:46">
      <c r="A2215">
        <v>46073</v>
      </c>
      <c r="B2215" t="s">
        <v>13054</v>
      </c>
      <c r="C2215" t="s">
        <v>13055</v>
      </c>
      <c r="D2215" t="s">
        <v>13056</v>
      </c>
      <c r="E2215" t="s">
        <v>13057</v>
      </c>
      <c r="F2215" t="s">
        <v>1393</v>
      </c>
      <c r="G2215" t="s">
        <v>1296</v>
      </c>
      <c r="H2215" t="s">
        <v>3942</v>
      </c>
      <c r="J2215" t="s">
        <v>3962</v>
      </c>
      <c r="K2215" t="s">
        <v>519</v>
      </c>
      <c r="M2215" t="s">
        <v>1297</v>
      </c>
      <c r="N2215" t="s">
        <v>571</v>
      </c>
      <c r="O2215" t="s">
        <v>1298</v>
      </c>
      <c r="P2215" t="s">
        <v>654</v>
      </c>
      <c r="Q2215" t="s">
        <v>1299</v>
      </c>
      <c r="R2215" t="s">
        <v>1300</v>
      </c>
      <c r="S2215" t="s">
        <v>1301</v>
      </c>
      <c r="T2215" t="s">
        <v>1235</v>
      </c>
      <c r="U2215">
        <v>180400</v>
      </c>
      <c r="V2215" t="s">
        <v>1330</v>
      </c>
      <c r="W2215" t="s">
        <v>1303</v>
      </c>
      <c r="X2215" t="s">
        <v>13058</v>
      </c>
      <c r="Y2215" t="s">
        <v>4658</v>
      </c>
      <c r="Z2215" t="s">
        <v>958</v>
      </c>
      <c r="AA2215" t="s">
        <v>4659</v>
      </c>
      <c r="AB2215" t="s">
        <v>13055</v>
      </c>
      <c r="AC2215">
        <v>99105</v>
      </c>
      <c r="AD2215" t="s">
        <v>1331</v>
      </c>
      <c r="AE2215">
        <v>-37.820676130000003</v>
      </c>
      <c r="AF2215">
        <v>175.27022592</v>
      </c>
      <c r="AG2215">
        <v>100</v>
      </c>
      <c r="AH2215">
        <v>30</v>
      </c>
      <c r="AI2215">
        <v>5</v>
      </c>
      <c r="AJ2215">
        <v>16</v>
      </c>
      <c r="AK2215">
        <v>21</v>
      </c>
      <c r="AL2215">
        <v>18</v>
      </c>
      <c r="AM2215">
        <v>33</v>
      </c>
      <c r="AN2215">
        <v>0</v>
      </c>
      <c r="AO2215">
        <v>93</v>
      </c>
      <c r="AP2215">
        <v>48</v>
      </c>
      <c r="AQ2215">
        <v>29</v>
      </c>
      <c r="AR2215">
        <v>3</v>
      </c>
      <c r="AS2215">
        <v>44</v>
      </c>
      <c r="AT2215">
        <v>2</v>
      </c>
    </row>
    <row r="2216" spans="1:46">
      <c r="A2216">
        <v>46074</v>
      </c>
      <c r="B2216" t="s">
        <v>13059</v>
      </c>
      <c r="C2216" t="s">
        <v>13060</v>
      </c>
      <c r="E2216" t="s">
        <v>13061</v>
      </c>
      <c r="G2216" t="s">
        <v>4188</v>
      </c>
      <c r="H2216" t="s">
        <v>3942</v>
      </c>
      <c r="J2216" t="s">
        <v>3962</v>
      </c>
      <c r="K2216" t="s">
        <v>519</v>
      </c>
      <c r="M2216" t="s">
        <v>520</v>
      </c>
      <c r="N2216" t="s">
        <v>571</v>
      </c>
      <c r="O2216" t="s">
        <v>637</v>
      </c>
      <c r="P2216" t="s">
        <v>572</v>
      </c>
      <c r="Q2216" t="s">
        <v>638</v>
      </c>
      <c r="R2216" t="s">
        <v>639</v>
      </c>
      <c r="S2216" t="s">
        <v>640</v>
      </c>
      <c r="T2216" t="s">
        <v>527</v>
      </c>
      <c r="U2216">
        <v>110700</v>
      </c>
      <c r="V2216" t="s">
        <v>13062</v>
      </c>
      <c r="W2216" t="s">
        <v>641</v>
      </c>
      <c r="X2216" t="s">
        <v>5062</v>
      </c>
      <c r="Y2216" t="s">
        <v>5063</v>
      </c>
      <c r="Z2216" t="s">
        <v>1102</v>
      </c>
      <c r="AA2216" t="s">
        <v>4247</v>
      </c>
      <c r="AE2216">
        <v>-36.673179009999998</v>
      </c>
      <c r="AF2216">
        <v>174.44092069000001</v>
      </c>
      <c r="AG2216">
        <v>52</v>
      </c>
      <c r="AH2216">
        <v>12</v>
      </c>
      <c r="AI2216">
        <v>3</v>
      </c>
      <c r="AJ2216">
        <v>8</v>
      </c>
      <c r="AK2216">
        <v>12</v>
      </c>
      <c r="AL2216">
        <v>13</v>
      </c>
      <c r="AM2216">
        <v>17</v>
      </c>
      <c r="AN2216">
        <v>0</v>
      </c>
      <c r="AO2216">
        <v>53</v>
      </c>
      <c r="AP2216">
        <v>49</v>
      </c>
      <c r="AQ2216">
        <v>20</v>
      </c>
      <c r="AR2216">
        <v>6</v>
      </c>
      <c r="AS2216">
        <v>0</v>
      </c>
      <c r="AT2216">
        <v>0</v>
      </c>
    </row>
    <row r="2217" spans="1:46">
      <c r="A2217">
        <v>46076</v>
      </c>
      <c r="B2217" t="s">
        <v>13063</v>
      </c>
      <c r="C2217" t="s">
        <v>13064</v>
      </c>
      <c r="D2217" t="s">
        <v>13065</v>
      </c>
      <c r="E2217" t="s">
        <v>13066</v>
      </c>
      <c r="F2217" t="s">
        <v>726</v>
      </c>
      <c r="G2217" t="s">
        <v>652</v>
      </c>
      <c r="H2217" t="s">
        <v>4716</v>
      </c>
      <c r="I2217" t="s">
        <v>4253</v>
      </c>
      <c r="J2217" t="s">
        <v>3962</v>
      </c>
      <c r="K2217" t="s">
        <v>519</v>
      </c>
      <c r="M2217" t="s">
        <v>520</v>
      </c>
      <c r="N2217" t="s">
        <v>521</v>
      </c>
      <c r="O2217" t="s">
        <v>728</v>
      </c>
      <c r="P2217" t="s">
        <v>654</v>
      </c>
      <c r="Q2217" t="s">
        <v>638</v>
      </c>
      <c r="R2217" t="s">
        <v>729</v>
      </c>
      <c r="S2217" t="s">
        <v>730</v>
      </c>
      <c r="T2217" t="s">
        <v>709</v>
      </c>
      <c r="U2217">
        <v>154400</v>
      </c>
      <c r="V2217" t="s">
        <v>7351</v>
      </c>
      <c r="W2217" t="s">
        <v>732</v>
      </c>
      <c r="X2217" t="s">
        <v>13067</v>
      </c>
      <c r="Y2217" t="s">
        <v>13068</v>
      </c>
      <c r="Z2217" t="s">
        <v>1072</v>
      </c>
      <c r="AA2217" t="s">
        <v>4886</v>
      </c>
      <c r="AB2217" t="s">
        <v>13069</v>
      </c>
      <c r="AE2217">
        <v>-36.960934279999996</v>
      </c>
      <c r="AF2217">
        <v>174.8756812</v>
      </c>
      <c r="AG2217">
        <v>60</v>
      </c>
      <c r="AH2217">
        <v>60</v>
      </c>
      <c r="AI2217">
        <v>6</v>
      </c>
      <c r="AJ2217">
        <v>9</v>
      </c>
      <c r="AK2217">
        <v>9</v>
      </c>
      <c r="AL2217">
        <v>8</v>
      </c>
      <c r="AM2217">
        <v>6</v>
      </c>
      <c r="AN2217">
        <v>1</v>
      </c>
      <c r="AO2217">
        <v>39</v>
      </c>
      <c r="AP2217">
        <v>0</v>
      </c>
      <c r="AQ2217">
        <v>2</v>
      </c>
      <c r="AR2217">
        <v>39</v>
      </c>
      <c r="AS2217">
        <v>2</v>
      </c>
      <c r="AT2217">
        <v>0</v>
      </c>
    </row>
    <row r="2218" spans="1:46">
      <c r="A2218">
        <v>46077</v>
      </c>
      <c r="B2218" t="s">
        <v>13070</v>
      </c>
      <c r="C2218" t="s">
        <v>13071</v>
      </c>
      <c r="D2218" t="s">
        <v>13072</v>
      </c>
      <c r="E2218" t="s">
        <v>13073</v>
      </c>
      <c r="G2218" t="s">
        <v>1261</v>
      </c>
      <c r="H2218" t="s">
        <v>3942</v>
      </c>
      <c r="J2218" t="s">
        <v>3962</v>
      </c>
      <c r="K2218" t="s">
        <v>519</v>
      </c>
      <c r="M2218" t="s">
        <v>520</v>
      </c>
      <c r="N2218" t="s">
        <v>557</v>
      </c>
      <c r="O2218" t="s">
        <v>1233</v>
      </c>
      <c r="P2218" t="s">
        <v>1262</v>
      </c>
      <c r="Q2218" t="s">
        <v>638</v>
      </c>
      <c r="R2218" t="s">
        <v>729</v>
      </c>
      <c r="S2218" t="s">
        <v>1246</v>
      </c>
      <c r="T2218" t="s">
        <v>1235</v>
      </c>
      <c r="U2218">
        <v>166000</v>
      </c>
      <c r="V2218" t="s">
        <v>1280</v>
      </c>
      <c r="W2218" t="s">
        <v>1237</v>
      </c>
      <c r="X2218" t="s">
        <v>8037</v>
      </c>
      <c r="Y2218" t="s">
        <v>8038</v>
      </c>
      <c r="AA2218" t="s">
        <v>8039</v>
      </c>
      <c r="AB2218" t="s">
        <v>8040</v>
      </c>
      <c r="AE2218">
        <v>-37.201461080000001</v>
      </c>
      <c r="AF2218">
        <v>174.90088725000001</v>
      </c>
      <c r="AG2218">
        <v>40</v>
      </c>
      <c r="AH2218">
        <v>15</v>
      </c>
      <c r="AI2218">
        <v>7</v>
      </c>
      <c r="AJ2218">
        <v>4</v>
      </c>
      <c r="AK2218">
        <v>9</v>
      </c>
      <c r="AL2218">
        <v>12</v>
      </c>
      <c r="AM2218">
        <v>9</v>
      </c>
      <c r="AN2218">
        <v>0</v>
      </c>
      <c r="AO2218">
        <v>41</v>
      </c>
      <c r="AP2218">
        <v>6</v>
      </c>
      <c r="AQ2218">
        <v>7</v>
      </c>
      <c r="AR2218">
        <v>5</v>
      </c>
      <c r="AS2218">
        <v>28</v>
      </c>
      <c r="AT2218">
        <v>2</v>
      </c>
    </row>
    <row r="2219" spans="1:46">
      <c r="A2219">
        <v>46081</v>
      </c>
      <c r="B2219" t="s">
        <v>13074</v>
      </c>
      <c r="C2219" t="s">
        <v>13075</v>
      </c>
      <c r="D2219" t="s">
        <v>13076</v>
      </c>
      <c r="E2219" t="s">
        <v>13077</v>
      </c>
      <c r="F2219" t="s">
        <v>945</v>
      </c>
      <c r="G2219" t="s">
        <v>652</v>
      </c>
      <c r="H2219" t="s">
        <v>3942</v>
      </c>
      <c r="I2219" t="s">
        <v>4165</v>
      </c>
      <c r="J2219" t="s">
        <v>518</v>
      </c>
      <c r="K2219" t="s">
        <v>519</v>
      </c>
      <c r="M2219" t="s">
        <v>520</v>
      </c>
      <c r="N2219" t="s">
        <v>521</v>
      </c>
      <c r="O2219" t="s">
        <v>728</v>
      </c>
      <c r="P2219" t="s">
        <v>654</v>
      </c>
      <c r="Q2219" t="s">
        <v>638</v>
      </c>
      <c r="R2219" t="s">
        <v>729</v>
      </c>
      <c r="S2219" t="s">
        <v>849</v>
      </c>
      <c r="T2219" t="s">
        <v>709</v>
      </c>
      <c r="U2219">
        <v>153600</v>
      </c>
      <c r="V2219" t="s">
        <v>4869</v>
      </c>
      <c r="W2219" t="s">
        <v>732</v>
      </c>
      <c r="X2219" t="s">
        <v>13078</v>
      </c>
      <c r="Y2219" t="s">
        <v>13079</v>
      </c>
      <c r="Z2219" t="s">
        <v>945</v>
      </c>
      <c r="AA2219" t="s">
        <v>4612</v>
      </c>
      <c r="AB2219" t="s">
        <v>13080</v>
      </c>
      <c r="AE2219">
        <v>-36.974735340000002</v>
      </c>
      <c r="AF2219">
        <v>174.82902283999999</v>
      </c>
      <c r="AG2219">
        <v>60</v>
      </c>
      <c r="AH2219">
        <v>15</v>
      </c>
      <c r="AI2219">
        <v>1</v>
      </c>
      <c r="AJ2219">
        <v>5</v>
      </c>
      <c r="AK2219">
        <v>10</v>
      </c>
      <c r="AL2219">
        <v>12</v>
      </c>
      <c r="AM2219">
        <v>17</v>
      </c>
      <c r="AN2219">
        <v>0</v>
      </c>
      <c r="AO2219">
        <v>45</v>
      </c>
      <c r="AP2219">
        <v>0</v>
      </c>
      <c r="AQ2219">
        <v>1</v>
      </c>
      <c r="AR2219">
        <v>44</v>
      </c>
      <c r="AS2219">
        <v>1</v>
      </c>
      <c r="AT2219">
        <v>0</v>
      </c>
    </row>
    <row r="2220" spans="1:46">
      <c r="A2220">
        <v>46087</v>
      </c>
      <c r="B2220" t="s">
        <v>13081</v>
      </c>
      <c r="C2220" t="s">
        <v>13082</v>
      </c>
      <c r="D2220" t="s">
        <v>13083</v>
      </c>
      <c r="E2220" t="s">
        <v>13084</v>
      </c>
      <c r="F2220" t="s">
        <v>1422</v>
      </c>
      <c r="G2220" t="s">
        <v>1296</v>
      </c>
      <c r="H2220" t="s">
        <v>3942</v>
      </c>
      <c r="J2220" t="s">
        <v>518</v>
      </c>
      <c r="K2220" t="s">
        <v>519</v>
      </c>
      <c r="M2220" t="s">
        <v>1297</v>
      </c>
      <c r="N2220" t="s">
        <v>571</v>
      </c>
      <c r="O2220" t="s">
        <v>1298</v>
      </c>
      <c r="P2220" t="s">
        <v>654</v>
      </c>
      <c r="Q2220" t="s">
        <v>1299</v>
      </c>
      <c r="R2220" t="s">
        <v>1300</v>
      </c>
      <c r="S2220" t="s">
        <v>1301</v>
      </c>
      <c r="T2220" t="s">
        <v>1235</v>
      </c>
      <c r="U2220">
        <v>176400</v>
      </c>
      <c r="V2220" t="s">
        <v>13085</v>
      </c>
      <c r="W2220" t="s">
        <v>1303</v>
      </c>
      <c r="X2220" t="s">
        <v>8377</v>
      </c>
      <c r="Y2220" t="s">
        <v>3944</v>
      </c>
      <c r="Z2220" t="s">
        <v>3945</v>
      </c>
      <c r="AA2220" t="s">
        <v>3946</v>
      </c>
      <c r="AB2220" t="s">
        <v>8378</v>
      </c>
      <c r="AC2220">
        <v>99035</v>
      </c>
      <c r="AD2220" t="s">
        <v>1308</v>
      </c>
      <c r="AE2220">
        <v>-37.762407539999998</v>
      </c>
      <c r="AF2220">
        <v>175.25562357000001</v>
      </c>
      <c r="AG2220">
        <v>65</v>
      </c>
      <c r="AH2220">
        <v>15</v>
      </c>
      <c r="AI2220">
        <v>2</v>
      </c>
      <c r="AJ2220">
        <v>8</v>
      </c>
      <c r="AK2220">
        <v>13</v>
      </c>
      <c r="AL2220">
        <v>15</v>
      </c>
      <c r="AM2220">
        <v>17</v>
      </c>
      <c r="AN2220">
        <v>1</v>
      </c>
      <c r="AO2220">
        <v>56</v>
      </c>
      <c r="AP2220">
        <v>17</v>
      </c>
      <c r="AQ2220">
        <v>21</v>
      </c>
      <c r="AR2220">
        <v>14</v>
      </c>
      <c r="AS2220">
        <v>15</v>
      </c>
      <c r="AT2220">
        <v>5</v>
      </c>
    </row>
    <row r="2221" spans="1:46">
      <c r="A2221">
        <v>46090</v>
      </c>
      <c r="B2221" t="s">
        <v>13086</v>
      </c>
      <c r="C2221" t="s">
        <v>13087</v>
      </c>
      <c r="D2221" t="s">
        <v>13088</v>
      </c>
      <c r="E2221" t="s">
        <v>13089</v>
      </c>
      <c r="F2221" t="s">
        <v>3706</v>
      </c>
      <c r="G2221" t="s">
        <v>652</v>
      </c>
      <c r="H2221" t="s">
        <v>3942</v>
      </c>
      <c r="J2221" t="s">
        <v>3962</v>
      </c>
      <c r="K2221" t="s">
        <v>519</v>
      </c>
      <c r="M2221" t="s">
        <v>520</v>
      </c>
      <c r="N2221" t="s">
        <v>4519</v>
      </c>
      <c r="O2221" t="s">
        <v>1168</v>
      </c>
      <c r="P2221" t="s">
        <v>654</v>
      </c>
      <c r="Q2221" t="s">
        <v>638</v>
      </c>
      <c r="R2221" t="s">
        <v>639</v>
      </c>
      <c r="S2221" t="s">
        <v>655</v>
      </c>
      <c r="T2221" t="s">
        <v>527</v>
      </c>
      <c r="U2221">
        <v>118600</v>
      </c>
      <c r="V2221" t="s">
        <v>4012</v>
      </c>
      <c r="W2221" t="s">
        <v>657</v>
      </c>
      <c r="X2221" t="s">
        <v>13090</v>
      </c>
      <c r="Y2221" t="s">
        <v>4381</v>
      </c>
      <c r="Z2221" t="s">
        <v>4031</v>
      </c>
      <c r="AA2221" t="s">
        <v>4382</v>
      </c>
      <c r="AB2221" t="s">
        <v>13091</v>
      </c>
      <c r="AC2221">
        <v>99000</v>
      </c>
      <c r="AD2221" t="s">
        <v>684</v>
      </c>
      <c r="AE2221">
        <v>-36.738861960000001</v>
      </c>
      <c r="AF2221">
        <v>174.7265582</v>
      </c>
      <c r="AG2221">
        <v>80</v>
      </c>
      <c r="AH2221">
        <v>35</v>
      </c>
      <c r="AI2221">
        <v>3</v>
      </c>
      <c r="AJ2221">
        <v>10</v>
      </c>
      <c r="AK2221">
        <v>17</v>
      </c>
      <c r="AL2221">
        <v>22</v>
      </c>
      <c r="AM2221">
        <v>18</v>
      </c>
      <c r="AN2221">
        <v>1</v>
      </c>
      <c r="AO2221">
        <v>71</v>
      </c>
      <c r="AP2221">
        <v>53</v>
      </c>
      <c r="AQ2221">
        <v>5</v>
      </c>
      <c r="AR2221">
        <v>1</v>
      </c>
      <c r="AS2221">
        <v>20</v>
      </c>
      <c r="AT2221">
        <v>2</v>
      </c>
    </row>
    <row r="2222" spans="1:46">
      <c r="A2222">
        <v>46095</v>
      </c>
      <c r="B2222" t="s">
        <v>13092</v>
      </c>
      <c r="C2222" t="s">
        <v>13093</v>
      </c>
      <c r="D2222" t="s">
        <v>13094</v>
      </c>
      <c r="E2222" t="s">
        <v>13095</v>
      </c>
      <c r="F2222" t="s">
        <v>1029</v>
      </c>
      <c r="G2222" t="s">
        <v>652</v>
      </c>
      <c r="H2222" t="s">
        <v>3942</v>
      </c>
      <c r="J2222" t="s">
        <v>3962</v>
      </c>
      <c r="K2222" t="s">
        <v>519</v>
      </c>
      <c r="M2222" t="s">
        <v>520</v>
      </c>
      <c r="N2222" t="s">
        <v>557</v>
      </c>
      <c r="O2222" t="s">
        <v>829</v>
      </c>
      <c r="P2222" t="s">
        <v>654</v>
      </c>
      <c r="Q2222" t="s">
        <v>638</v>
      </c>
      <c r="R2222" t="s">
        <v>708</v>
      </c>
      <c r="S2222" t="s">
        <v>730</v>
      </c>
      <c r="T2222" t="s">
        <v>709</v>
      </c>
      <c r="U2222">
        <v>146000</v>
      </c>
      <c r="V2222" t="s">
        <v>7464</v>
      </c>
      <c r="W2222" t="s">
        <v>807</v>
      </c>
      <c r="X2222" t="s">
        <v>7474</v>
      </c>
      <c r="Y2222" t="s">
        <v>7475</v>
      </c>
      <c r="Z2222" t="s">
        <v>1102</v>
      </c>
      <c r="AA2222" t="s">
        <v>6809</v>
      </c>
      <c r="AB2222" t="s">
        <v>7476</v>
      </c>
      <c r="AC2222">
        <v>99100</v>
      </c>
      <c r="AD2222" t="s">
        <v>1061</v>
      </c>
      <c r="AE2222">
        <v>-36.893627430000002</v>
      </c>
      <c r="AF2222">
        <v>174.83922534000001</v>
      </c>
      <c r="AG2222">
        <v>150</v>
      </c>
      <c r="AH2222">
        <v>40</v>
      </c>
      <c r="AI2222">
        <v>0</v>
      </c>
      <c r="AJ2222">
        <v>22</v>
      </c>
      <c r="AK2222">
        <v>28</v>
      </c>
      <c r="AL2222">
        <v>30</v>
      </c>
      <c r="AM2222">
        <v>36</v>
      </c>
      <c r="AN2222">
        <v>0</v>
      </c>
      <c r="AO2222">
        <v>116</v>
      </c>
      <c r="AP2222">
        <v>81</v>
      </c>
      <c r="AQ2222">
        <v>7</v>
      </c>
      <c r="AR2222">
        <v>5</v>
      </c>
      <c r="AS2222">
        <v>44</v>
      </c>
      <c r="AT2222">
        <v>10</v>
      </c>
    </row>
    <row r="2223" spans="1:46">
      <c r="A2223">
        <v>46096</v>
      </c>
      <c r="B2223" t="s">
        <v>13096</v>
      </c>
      <c r="C2223" t="s">
        <v>13097</v>
      </c>
      <c r="D2223" t="s">
        <v>13098</v>
      </c>
      <c r="E2223" t="s">
        <v>13099</v>
      </c>
      <c r="F2223" t="s">
        <v>5219</v>
      </c>
      <c r="G2223" t="s">
        <v>582</v>
      </c>
      <c r="H2223" t="s">
        <v>3942</v>
      </c>
      <c r="J2223" t="s">
        <v>3962</v>
      </c>
      <c r="K2223" t="s">
        <v>519</v>
      </c>
      <c r="M2223" t="s">
        <v>520</v>
      </c>
      <c r="N2223" t="s">
        <v>571</v>
      </c>
      <c r="O2223" t="s">
        <v>583</v>
      </c>
      <c r="P2223" t="s">
        <v>584</v>
      </c>
      <c r="Q2223" t="s">
        <v>524</v>
      </c>
      <c r="R2223" t="s">
        <v>525</v>
      </c>
      <c r="S2223" t="s">
        <v>585</v>
      </c>
      <c r="T2223" t="s">
        <v>527</v>
      </c>
      <c r="U2223">
        <v>106100</v>
      </c>
      <c r="V2223" t="s">
        <v>5219</v>
      </c>
      <c r="W2223" t="s">
        <v>587</v>
      </c>
      <c r="X2223" t="s">
        <v>13100</v>
      </c>
      <c r="Y2223" t="s">
        <v>13101</v>
      </c>
      <c r="AA2223" t="s">
        <v>13102</v>
      </c>
      <c r="AE2223">
        <v>-35.701284940000001</v>
      </c>
      <c r="AF2223">
        <v>174.31633371000001</v>
      </c>
      <c r="AG2223">
        <v>40</v>
      </c>
      <c r="AH2223">
        <v>10</v>
      </c>
      <c r="AI2223">
        <v>2</v>
      </c>
      <c r="AJ2223">
        <v>7</v>
      </c>
      <c r="AK2223">
        <v>11</v>
      </c>
      <c r="AL2223">
        <v>13</v>
      </c>
      <c r="AM2223">
        <v>15</v>
      </c>
      <c r="AN2223">
        <v>2</v>
      </c>
      <c r="AO2223">
        <v>50</v>
      </c>
      <c r="AP2223">
        <v>42</v>
      </c>
      <c r="AQ2223">
        <v>20</v>
      </c>
      <c r="AR2223">
        <v>3</v>
      </c>
      <c r="AS2223">
        <v>0</v>
      </c>
      <c r="AT2223">
        <v>2</v>
      </c>
    </row>
    <row r="2224" spans="1:46">
      <c r="A2224">
        <v>46097</v>
      </c>
      <c r="B2224" t="s">
        <v>13103</v>
      </c>
      <c r="C2224" t="s">
        <v>13104</v>
      </c>
      <c r="D2224" t="s">
        <v>13105</v>
      </c>
      <c r="E2224" t="s">
        <v>13106</v>
      </c>
      <c r="F2224" t="s">
        <v>13107</v>
      </c>
      <c r="G2224" t="s">
        <v>652</v>
      </c>
      <c r="H2224" t="s">
        <v>3942</v>
      </c>
      <c r="J2224" t="s">
        <v>3962</v>
      </c>
      <c r="K2224" t="s">
        <v>519</v>
      </c>
      <c r="M2224" t="s">
        <v>520</v>
      </c>
      <c r="N2224" t="s">
        <v>4519</v>
      </c>
      <c r="O2224" t="s">
        <v>829</v>
      </c>
      <c r="P2224" t="s">
        <v>654</v>
      </c>
      <c r="Q2224" t="s">
        <v>638</v>
      </c>
      <c r="R2224" t="s">
        <v>708</v>
      </c>
      <c r="S2224" t="s">
        <v>805</v>
      </c>
      <c r="T2224" t="s">
        <v>709</v>
      </c>
      <c r="U2224">
        <v>147202</v>
      </c>
      <c r="V2224" t="s">
        <v>1030</v>
      </c>
      <c r="W2224" t="s">
        <v>807</v>
      </c>
      <c r="X2224" t="s">
        <v>13108</v>
      </c>
      <c r="Y2224" t="s">
        <v>4634</v>
      </c>
      <c r="AA2224" t="s">
        <v>4635</v>
      </c>
      <c r="AB2224" t="s">
        <v>12439</v>
      </c>
      <c r="AE2224">
        <v>-36.914583020000002</v>
      </c>
      <c r="AF2224">
        <v>174.83856520000001</v>
      </c>
      <c r="AG2224">
        <v>110</v>
      </c>
      <c r="AH2224">
        <v>35</v>
      </c>
      <c r="AI2224">
        <v>1</v>
      </c>
      <c r="AJ2224">
        <v>18</v>
      </c>
      <c r="AK2224">
        <v>14</v>
      </c>
      <c r="AL2224">
        <v>23</v>
      </c>
      <c r="AM2224">
        <v>24</v>
      </c>
      <c r="AN2224">
        <v>1</v>
      </c>
      <c r="AO2224">
        <v>81</v>
      </c>
      <c r="AP2224">
        <v>31</v>
      </c>
      <c r="AQ2224">
        <v>31</v>
      </c>
      <c r="AR2224">
        <v>35</v>
      </c>
      <c r="AS2224">
        <v>21</v>
      </c>
      <c r="AT2224">
        <v>8</v>
      </c>
    </row>
    <row r="2225" spans="1:46">
      <c r="A2225">
        <v>46098</v>
      </c>
      <c r="B2225" t="s">
        <v>13109</v>
      </c>
      <c r="C2225" t="s">
        <v>13110</v>
      </c>
      <c r="D2225" t="s">
        <v>13111</v>
      </c>
      <c r="E2225" t="s">
        <v>13112</v>
      </c>
      <c r="F2225" t="s">
        <v>6601</v>
      </c>
      <c r="G2225" t="s">
        <v>652</v>
      </c>
      <c r="H2225" t="s">
        <v>3942</v>
      </c>
      <c r="J2225" t="s">
        <v>3962</v>
      </c>
      <c r="K2225" t="s">
        <v>519</v>
      </c>
      <c r="M2225" t="s">
        <v>520</v>
      </c>
      <c r="N2225" t="s">
        <v>571</v>
      </c>
      <c r="O2225" t="s">
        <v>813</v>
      </c>
      <c r="P2225" t="s">
        <v>654</v>
      </c>
      <c r="Q2225" t="s">
        <v>638</v>
      </c>
      <c r="R2225" t="s">
        <v>639</v>
      </c>
      <c r="S2225" t="s">
        <v>739</v>
      </c>
      <c r="T2225" t="s">
        <v>527</v>
      </c>
      <c r="U2225">
        <v>119800</v>
      </c>
      <c r="V2225" t="s">
        <v>920</v>
      </c>
      <c r="W2225" t="s">
        <v>815</v>
      </c>
      <c r="X2225" t="s">
        <v>13113</v>
      </c>
      <c r="Y2225" t="s">
        <v>13114</v>
      </c>
      <c r="Z2225" t="s">
        <v>1023</v>
      </c>
      <c r="AA2225" t="s">
        <v>6064</v>
      </c>
      <c r="AB2225" t="s">
        <v>13115</v>
      </c>
      <c r="AC2225">
        <v>99129</v>
      </c>
      <c r="AD2225" t="s">
        <v>921</v>
      </c>
      <c r="AE2225">
        <v>-36.819454020000002</v>
      </c>
      <c r="AF2225">
        <v>174.62984804999999</v>
      </c>
      <c r="AG2225">
        <v>37</v>
      </c>
      <c r="AH2225">
        <v>0</v>
      </c>
      <c r="AI2225">
        <v>0</v>
      </c>
      <c r="AJ2225">
        <v>0</v>
      </c>
      <c r="AK2225">
        <v>5</v>
      </c>
      <c r="AL2225">
        <v>3</v>
      </c>
      <c r="AM2225">
        <v>16</v>
      </c>
      <c r="AN2225">
        <v>1</v>
      </c>
      <c r="AO2225">
        <v>25</v>
      </c>
      <c r="AP2225">
        <v>8</v>
      </c>
      <c r="AQ2225">
        <v>7</v>
      </c>
      <c r="AR2225">
        <v>5</v>
      </c>
      <c r="AS2225">
        <v>11</v>
      </c>
      <c r="AT2225">
        <v>2</v>
      </c>
    </row>
    <row r="2226" spans="1:46">
      <c r="A2226">
        <v>46099</v>
      </c>
      <c r="B2226" t="s">
        <v>13116</v>
      </c>
      <c r="C2226" t="s">
        <v>13117</v>
      </c>
      <c r="D2226" t="s">
        <v>13118</v>
      </c>
      <c r="E2226" t="s">
        <v>13119</v>
      </c>
      <c r="G2226" t="s">
        <v>6510</v>
      </c>
      <c r="H2226" t="s">
        <v>3942</v>
      </c>
      <c r="J2226" t="s">
        <v>3962</v>
      </c>
      <c r="K2226" t="s">
        <v>519</v>
      </c>
      <c r="M2226" t="s">
        <v>520</v>
      </c>
      <c r="N2226" t="s">
        <v>4519</v>
      </c>
      <c r="O2226" t="s">
        <v>637</v>
      </c>
      <c r="P2226" t="s">
        <v>523</v>
      </c>
      <c r="Q2226" t="s">
        <v>638</v>
      </c>
      <c r="R2226" t="s">
        <v>639</v>
      </c>
      <c r="S2226" t="s">
        <v>640</v>
      </c>
      <c r="T2226" t="s">
        <v>527</v>
      </c>
      <c r="U2226">
        <v>111700</v>
      </c>
      <c r="V2226" t="s">
        <v>6510</v>
      </c>
      <c r="W2226" t="s">
        <v>641</v>
      </c>
      <c r="X2226" t="s">
        <v>13120</v>
      </c>
      <c r="Y2226" t="s">
        <v>13121</v>
      </c>
      <c r="AA2226" t="s">
        <v>13122</v>
      </c>
      <c r="AC2226">
        <v>99122</v>
      </c>
      <c r="AD2226" t="s">
        <v>4085</v>
      </c>
      <c r="AE2226">
        <v>-36.420683140000001</v>
      </c>
      <c r="AF2226">
        <v>174.72186744000001</v>
      </c>
      <c r="AG2226">
        <v>34</v>
      </c>
      <c r="AH2226">
        <v>8</v>
      </c>
      <c r="AI2226">
        <v>0</v>
      </c>
      <c r="AJ2226">
        <v>7</v>
      </c>
      <c r="AK2226">
        <v>13</v>
      </c>
      <c r="AL2226">
        <v>7</v>
      </c>
      <c r="AM2226">
        <v>8</v>
      </c>
      <c r="AN2226">
        <v>1</v>
      </c>
      <c r="AO2226">
        <v>36</v>
      </c>
      <c r="AP2226">
        <v>30</v>
      </c>
      <c r="AQ2226">
        <v>2</v>
      </c>
      <c r="AR2226">
        <v>2</v>
      </c>
      <c r="AS2226">
        <v>1</v>
      </c>
      <c r="AT2226">
        <v>6</v>
      </c>
    </row>
    <row r="2227" spans="1:46">
      <c r="A2227">
        <v>46103</v>
      </c>
      <c r="B2227" t="s">
        <v>13123</v>
      </c>
      <c r="C2227" t="s">
        <v>13124</v>
      </c>
      <c r="D2227" t="s">
        <v>13125</v>
      </c>
      <c r="E2227" t="s">
        <v>13126</v>
      </c>
      <c r="F2227" t="s">
        <v>1295</v>
      </c>
      <c r="G2227" t="s">
        <v>1296</v>
      </c>
      <c r="H2227" t="s">
        <v>3942</v>
      </c>
      <c r="J2227" t="s">
        <v>3962</v>
      </c>
      <c r="K2227" t="s">
        <v>519</v>
      </c>
      <c r="M2227" t="s">
        <v>1297</v>
      </c>
      <c r="N2227" t="s">
        <v>571</v>
      </c>
      <c r="O2227" t="s">
        <v>1298</v>
      </c>
      <c r="P2227" t="s">
        <v>654</v>
      </c>
      <c r="Q2227" t="s">
        <v>1299</v>
      </c>
      <c r="R2227" t="s">
        <v>1300</v>
      </c>
      <c r="S2227" t="s">
        <v>1301</v>
      </c>
      <c r="T2227" t="s">
        <v>1235</v>
      </c>
      <c r="U2227">
        <v>179501</v>
      </c>
      <c r="V2227" t="s">
        <v>8548</v>
      </c>
      <c r="W2227" t="s">
        <v>1303</v>
      </c>
      <c r="X2227" t="s">
        <v>13127</v>
      </c>
      <c r="Y2227" t="s">
        <v>12191</v>
      </c>
      <c r="Z2227" t="s">
        <v>12192</v>
      </c>
      <c r="AA2227" t="s">
        <v>12193</v>
      </c>
      <c r="AB2227" t="s">
        <v>13124</v>
      </c>
      <c r="AE2227">
        <v>-37.79041205</v>
      </c>
      <c r="AF2227">
        <v>175.27870917000001</v>
      </c>
      <c r="AG2227">
        <v>97</v>
      </c>
      <c r="AH2227">
        <v>36</v>
      </c>
      <c r="AI2227">
        <v>6</v>
      </c>
      <c r="AJ2227">
        <v>36</v>
      </c>
      <c r="AK2227">
        <v>20</v>
      </c>
      <c r="AL2227">
        <v>24</v>
      </c>
      <c r="AM2227">
        <v>28</v>
      </c>
      <c r="AN2227">
        <v>0</v>
      </c>
      <c r="AO2227">
        <v>114</v>
      </c>
      <c r="AP2227">
        <v>93</v>
      </c>
      <c r="AQ2227">
        <v>16</v>
      </c>
      <c r="AR2227">
        <v>5</v>
      </c>
      <c r="AS2227">
        <v>19</v>
      </c>
      <c r="AT2227">
        <v>5</v>
      </c>
    </row>
    <row r="2228" spans="1:46">
      <c r="A2228">
        <v>46107</v>
      </c>
      <c r="B2228" t="s">
        <v>13128</v>
      </c>
      <c r="C2228" t="s">
        <v>13129</v>
      </c>
      <c r="D2228" t="s">
        <v>13130</v>
      </c>
      <c r="E2228" t="s">
        <v>13131</v>
      </c>
      <c r="F2228" t="s">
        <v>3873</v>
      </c>
      <c r="G2228" t="s">
        <v>1598</v>
      </c>
      <c r="H2228" t="s">
        <v>3942</v>
      </c>
      <c r="J2228" t="s">
        <v>3962</v>
      </c>
      <c r="K2228" t="s">
        <v>519</v>
      </c>
      <c r="M2228" t="s">
        <v>1297</v>
      </c>
      <c r="N2228" t="s">
        <v>571</v>
      </c>
      <c r="O2228" t="s">
        <v>1698</v>
      </c>
      <c r="P2228" t="s">
        <v>654</v>
      </c>
      <c r="Q2228" t="s">
        <v>1471</v>
      </c>
      <c r="R2228" t="s">
        <v>1472</v>
      </c>
      <c r="S2228" t="s">
        <v>1699</v>
      </c>
      <c r="T2228" t="s">
        <v>1474</v>
      </c>
      <c r="U2228">
        <v>196600</v>
      </c>
      <c r="V2228" t="s">
        <v>3874</v>
      </c>
      <c r="W2228" t="s">
        <v>1731</v>
      </c>
      <c r="X2228" t="s">
        <v>13132</v>
      </c>
      <c r="Y2228" t="s">
        <v>13133</v>
      </c>
      <c r="AA2228" t="s">
        <v>8884</v>
      </c>
      <c r="AC2228">
        <v>99085</v>
      </c>
      <c r="AD2228" t="s">
        <v>1718</v>
      </c>
      <c r="AE2228">
        <v>-37.730826039999997</v>
      </c>
      <c r="AF2228">
        <v>176.18922244999999</v>
      </c>
      <c r="AG2228">
        <v>40</v>
      </c>
      <c r="AH2228">
        <v>15</v>
      </c>
      <c r="AI2228">
        <v>0</v>
      </c>
      <c r="AJ2228">
        <v>14</v>
      </c>
      <c r="AK2228">
        <v>10</v>
      </c>
      <c r="AL2228">
        <v>15</v>
      </c>
      <c r="AM2228">
        <v>6</v>
      </c>
      <c r="AN2228">
        <v>0</v>
      </c>
      <c r="AO2228">
        <v>45</v>
      </c>
      <c r="AP2228">
        <v>37</v>
      </c>
      <c r="AQ2228">
        <v>19</v>
      </c>
      <c r="AR2228">
        <v>1</v>
      </c>
      <c r="AS2228">
        <v>5</v>
      </c>
      <c r="AT2228">
        <v>1</v>
      </c>
    </row>
    <row r="2229" spans="1:46">
      <c r="A2229">
        <v>46108</v>
      </c>
      <c r="B2229" t="s">
        <v>13134</v>
      </c>
      <c r="C2229" t="s">
        <v>13135</v>
      </c>
      <c r="E2229" t="s">
        <v>13136</v>
      </c>
      <c r="F2229" t="s">
        <v>1756</v>
      </c>
      <c r="G2229" t="s">
        <v>1757</v>
      </c>
      <c r="H2229" t="s">
        <v>3942</v>
      </c>
      <c r="J2229" t="s">
        <v>3962</v>
      </c>
      <c r="K2229" t="s">
        <v>519</v>
      </c>
      <c r="M2229" t="s">
        <v>1297</v>
      </c>
      <c r="N2229" t="s">
        <v>571</v>
      </c>
      <c r="O2229" t="s">
        <v>1758</v>
      </c>
      <c r="P2229" t="s">
        <v>584</v>
      </c>
      <c r="Q2229" t="s">
        <v>1759</v>
      </c>
      <c r="R2229" t="s">
        <v>1760</v>
      </c>
      <c r="S2229" t="s">
        <v>1757</v>
      </c>
      <c r="T2229" t="s">
        <v>1485</v>
      </c>
      <c r="U2229">
        <v>217501</v>
      </c>
      <c r="V2229" t="s">
        <v>1761</v>
      </c>
      <c r="W2229" t="s">
        <v>1762</v>
      </c>
      <c r="X2229" t="s">
        <v>13137</v>
      </c>
      <c r="Y2229" t="s">
        <v>4658</v>
      </c>
      <c r="Z2229" t="s">
        <v>958</v>
      </c>
      <c r="AA2229" t="s">
        <v>4659</v>
      </c>
      <c r="AB2229" t="s">
        <v>13138</v>
      </c>
      <c r="AE2229">
        <v>-39.035897929999997</v>
      </c>
      <c r="AF2229">
        <v>174.14027189999999</v>
      </c>
      <c r="AG2229">
        <v>120</v>
      </c>
      <c r="AH2229">
        <v>20</v>
      </c>
      <c r="AI2229">
        <v>5</v>
      </c>
      <c r="AJ2229">
        <v>22</v>
      </c>
      <c r="AK2229">
        <v>27</v>
      </c>
      <c r="AL2229">
        <v>17</v>
      </c>
      <c r="AM2229">
        <v>33</v>
      </c>
      <c r="AN2229">
        <v>2</v>
      </c>
      <c r="AO2229">
        <v>106</v>
      </c>
      <c r="AP2229">
        <v>63</v>
      </c>
      <c r="AQ2229">
        <v>49</v>
      </c>
      <c r="AR2229">
        <v>12</v>
      </c>
      <c r="AS2229">
        <v>13</v>
      </c>
      <c r="AT2229">
        <v>19</v>
      </c>
    </row>
    <row r="2230" spans="1:46">
      <c r="A2230">
        <v>46109</v>
      </c>
      <c r="B2230" t="s">
        <v>13139</v>
      </c>
      <c r="C2230" t="s">
        <v>13140</v>
      </c>
      <c r="D2230" t="s">
        <v>13141</v>
      </c>
      <c r="E2230" t="s">
        <v>13142</v>
      </c>
      <c r="G2230" t="s">
        <v>5594</v>
      </c>
      <c r="H2230" t="s">
        <v>3942</v>
      </c>
      <c r="J2230" t="s">
        <v>3962</v>
      </c>
      <c r="K2230" t="s">
        <v>519</v>
      </c>
      <c r="M2230" t="s">
        <v>520</v>
      </c>
      <c r="N2230" t="s">
        <v>4519</v>
      </c>
      <c r="O2230" t="s">
        <v>583</v>
      </c>
      <c r="P2230" t="s">
        <v>572</v>
      </c>
      <c r="Q2230" t="s">
        <v>524</v>
      </c>
      <c r="R2230" t="s">
        <v>525</v>
      </c>
      <c r="S2230" t="s">
        <v>585</v>
      </c>
      <c r="T2230" t="s">
        <v>527</v>
      </c>
      <c r="U2230">
        <v>105400</v>
      </c>
      <c r="V2230" t="s">
        <v>5595</v>
      </c>
      <c r="W2230" t="s">
        <v>5302</v>
      </c>
      <c r="X2230" t="s">
        <v>13143</v>
      </c>
      <c r="Y2230" t="s">
        <v>13144</v>
      </c>
      <c r="AA2230" t="s">
        <v>13145</v>
      </c>
      <c r="AB2230" t="s">
        <v>13146</v>
      </c>
      <c r="AE2230">
        <v>-35.748276199999999</v>
      </c>
      <c r="AF2230">
        <v>174.21323346</v>
      </c>
      <c r="AG2230">
        <v>75</v>
      </c>
      <c r="AH2230">
        <v>12</v>
      </c>
      <c r="AI2230">
        <v>3</v>
      </c>
      <c r="AJ2230">
        <v>19</v>
      </c>
      <c r="AK2230">
        <v>24</v>
      </c>
      <c r="AL2230">
        <v>33</v>
      </c>
      <c r="AM2230">
        <v>37</v>
      </c>
      <c r="AN2230">
        <v>0</v>
      </c>
      <c r="AO2230">
        <v>116</v>
      </c>
      <c r="AP2230">
        <v>112</v>
      </c>
      <c r="AQ2230">
        <v>24</v>
      </c>
      <c r="AR2230">
        <v>4</v>
      </c>
      <c r="AS2230">
        <v>5</v>
      </c>
      <c r="AT2230">
        <v>2</v>
      </c>
    </row>
    <row r="2231" spans="1:46">
      <c r="A2231">
        <v>46110</v>
      </c>
      <c r="B2231" t="s">
        <v>13147</v>
      </c>
      <c r="C2231" t="s">
        <v>13148</v>
      </c>
      <c r="E2231" t="s">
        <v>13149</v>
      </c>
      <c r="F2231" t="s">
        <v>13150</v>
      </c>
      <c r="G2231" t="s">
        <v>1598</v>
      </c>
      <c r="H2231" t="s">
        <v>3942</v>
      </c>
      <c r="J2231" t="s">
        <v>3962</v>
      </c>
      <c r="K2231" t="s">
        <v>519</v>
      </c>
      <c r="M2231" t="s">
        <v>1297</v>
      </c>
      <c r="N2231" t="s">
        <v>571</v>
      </c>
      <c r="O2231" t="s">
        <v>1698</v>
      </c>
      <c r="P2231" t="s">
        <v>654</v>
      </c>
      <c r="Q2231" t="s">
        <v>1471</v>
      </c>
      <c r="R2231" t="s">
        <v>1472</v>
      </c>
      <c r="S2231" t="s">
        <v>1598</v>
      </c>
      <c r="T2231" t="s">
        <v>1474</v>
      </c>
      <c r="U2231">
        <v>195601</v>
      </c>
      <c r="V2231" t="s">
        <v>13151</v>
      </c>
      <c r="W2231" t="s">
        <v>1717</v>
      </c>
      <c r="X2231" t="s">
        <v>13152</v>
      </c>
      <c r="Y2231" t="s">
        <v>13149</v>
      </c>
      <c r="Z2231" t="s">
        <v>13150</v>
      </c>
      <c r="AA2231" t="s">
        <v>8884</v>
      </c>
      <c r="AB2231" t="s">
        <v>13148</v>
      </c>
      <c r="AC2231">
        <v>99085</v>
      </c>
      <c r="AD2231" t="s">
        <v>1718</v>
      </c>
      <c r="AE2231">
        <v>-37.74725411</v>
      </c>
      <c r="AF2231">
        <v>176.12754024</v>
      </c>
      <c r="AG2231">
        <v>56</v>
      </c>
      <c r="AH2231">
        <v>10</v>
      </c>
      <c r="AI2231">
        <v>1</v>
      </c>
      <c r="AJ2231">
        <v>11</v>
      </c>
      <c r="AK2231">
        <v>14</v>
      </c>
      <c r="AL2231">
        <v>24</v>
      </c>
      <c r="AM2231">
        <v>31</v>
      </c>
      <c r="AN2231">
        <v>0</v>
      </c>
      <c r="AO2231">
        <v>81</v>
      </c>
      <c r="AP2231">
        <v>74</v>
      </c>
      <c r="AQ2231">
        <v>18</v>
      </c>
      <c r="AR2231">
        <v>2</v>
      </c>
      <c r="AS2231">
        <v>1</v>
      </c>
      <c r="AT2231">
        <v>2</v>
      </c>
    </row>
    <row r="2232" spans="1:46">
      <c r="A2232">
        <v>46112</v>
      </c>
      <c r="B2232" t="s">
        <v>13153</v>
      </c>
      <c r="C2232" t="s">
        <v>13154</v>
      </c>
      <c r="D2232" t="s">
        <v>13155</v>
      </c>
      <c r="E2232" t="s">
        <v>13156</v>
      </c>
      <c r="F2232" t="s">
        <v>13107</v>
      </c>
      <c r="G2232" t="s">
        <v>652</v>
      </c>
      <c r="H2232" t="s">
        <v>3942</v>
      </c>
      <c r="J2232" t="s">
        <v>518</v>
      </c>
      <c r="K2232" t="s">
        <v>519</v>
      </c>
      <c r="M2232" t="s">
        <v>520</v>
      </c>
      <c r="N2232" t="s">
        <v>557</v>
      </c>
      <c r="O2232" t="s">
        <v>829</v>
      </c>
      <c r="P2232" t="s">
        <v>654</v>
      </c>
      <c r="Q2232" t="s">
        <v>638</v>
      </c>
      <c r="R2232" t="s">
        <v>708</v>
      </c>
      <c r="S2232" t="s">
        <v>805</v>
      </c>
      <c r="T2232" t="s">
        <v>709</v>
      </c>
      <c r="U2232">
        <v>146501</v>
      </c>
      <c r="V2232" t="s">
        <v>13157</v>
      </c>
      <c r="W2232" t="s">
        <v>807</v>
      </c>
      <c r="X2232" t="s">
        <v>3943</v>
      </c>
      <c r="Y2232" t="s">
        <v>3944</v>
      </c>
      <c r="Z2232" t="s">
        <v>3945</v>
      </c>
      <c r="AA2232" t="s">
        <v>3946</v>
      </c>
      <c r="AB2232" t="s">
        <v>3947</v>
      </c>
      <c r="AE2232">
        <v>-36.903561529999998</v>
      </c>
      <c r="AF2232">
        <v>174.84144845</v>
      </c>
      <c r="AG2232">
        <v>100</v>
      </c>
      <c r="AH2232">
        <v>20</v>
      </c>
      <c r="AI2232">
        <v>5</v>
      </c>
      <c r="AJ2232">
        <v>9</v>
      </c>
      <c r="AK2232">
        <v>21</v>
      </c>
      <c r="AL2232">
        <v>25</v>
      </c>
      <c r="AM2232">
        <v>29</v>
      </c>
      <c r="AN2232">
        <v>1</v>
      </c>
      <c r="AO2232">
        <v>90</v>
      </c>
      <c r="AP2232">
        <v>21</v>
      </c>
      <c r="AQ2232">
        <v>16</v>
      </c>
      <c r="AR2232">
        <v>36</v>
      </c>
      <c r="AS2232">
        <v>42</v>
      </c>
      <c r="AT2232">
        <v>4</v>
      </c>
    </row>
    <row r="2233" spans="1:46">
      <c r="A2233">
        <v>46113</v>
      </c>
      <c r="B2233" t="s">
        <v>13158</v>
      </c>
      <c r="C2233" t="s">
        <v>13159</v>
      </c>
      <c r="D2233" t="s">
        <v>13160</v>
      </c>
      <c r="E2233" t="s">
        <v>13161</v>
      </c>
      <c r="F2233" t="s">
        <v>3873</v>
      </c>
      <c r="G2233" t="s">
        <v>1598</v>
      </c>
      <c r="H2233" t="s">
        <v>3942</v>
      </c>
      <c r="J2233" t="s">
        <v>518</v>
      </c>
      <c r="K2233" t="s">
        <v>519</v>
      </c>
      <c r="M2233" t="s">
        <v>1297</v>
      </c>
      <c r="N2233" t="s">
        <v>571</v>
      </c>
      <c r="O2233" t="s">
        <v>1698</v>
      </c>
      <c r="P2233" t="s">
        <v>654</v>
      </c>
      <c r="Q2233" t="s">
        <v>1471</v>
      </c>
      <c r="R2233" t="s">
        <v>1472</v>
      </c>
      <c r="S2233" t="s">
        <v>1699</v>
      </c>
      <c r="T2233" t="s">
        <v>1474</v>
      </c>
      <c r="U2233">
        <v>196700</v>
      </c>
      <c r="V2233" t="s">
        <v>9746</v>
      </c>
      <c r="W2233" t="s">
        <v>1731</v>
      </c>
      <c r="X2233" t="s">
        <v>8377</v>
      </c>
      <c r="Y2233" t="s">
        <v>3944</v>
      </c>
      <c r="Z2233" t="s">
        <v>3945</v>
      </c>
      <c r="AA2233" t="s">
        <v>3946</v>
      </c>
      <c r="AB2233" t="s">
        <v>8378</v>
      </c>
      <c r="AC2233">
        <v>99085</v>
      </c>
      <c r="AD2233" t="s">
        <v>1718</v>
      </c>
      <c r="AE2233">
        <v>-37.725905609999998</v>
      </c>
      <c r="AF2233">
        <v>176.19453074</v>
      </c>
      <c r="AG2233">
        <v>40</v>
      </c>
      <c r="AH2233">
        <v>0</v>
      </c>
      <c r="AI2233">
        <v>0</v>
      </c>
      <c r="AJ2233">
        <v>0</v>
      </c>
      <c r="AK2233">
        <v>11</v>
      </c>
      <c r="AL2233">
        <v>13</v>
      </c>
      <c r="AM2233">
        <v>18</v>
      </c>
      <c r="AN2233">
        <v>0</v>
      </c>
      <c r="AO2233">
        <v>42</v>
      </c>
      <c r="AP2233">
        <v>18</v>
      </c>
      <c r="AQ2233">
        <v>15</v>
      </c>
      <c r="AR2233">
        <v>0</v>
      </c>
      <c r="AS2233">
        <v>13</v>
      </c>
      <c r="AT2233">
        <v>0</v>
      </c>
    </row>
    <row r="2234" spans="1:46">
      <c r="A2234">
        <v>46114</v>
      </c>
      <c r="B2234" t="s">
        <v>13162</v>
      </c>
      <c r="C2234" t="s">
        <v>13163</v>
      </c>
      <c r="E2234" t="s">
        <v>13164</v>
      </c>
      <c r="F2234" t="s">
        <v>821</v>
      </c>
      <c r="G2234" t="s">
        <v>652</v>
      </c>
      <c r="H2234" t="s">
        <v>3942</v>
      </c>
      <c r="J2234" t="s">
        <v>518</v>
      </c>
      <c r="K2234" t="s">
        <v>519</v>
      </c>
      <c r="M2234" t="s">
        <v>520</v>
      </c>
      <c r="N2234" t="s">
        <v>571</v>
      </c>
      <c r="O2234" t="s">
        <v>804</v>
      </c>
      <c r="P2234" t="s">
        <v>654</v>
      </c>
      <c r="Q2234" t="s">
        <v>638</v>
      </c>
      <c r="R2234" t="s">
        <v>708</v>
      </c>
      <c r="S2234" t="s">
        <v>822</v>
      </c>
      <c r="T2234" t="s">
        <v>709</v>
      </c>
      <c r="U2234">
        <v>140000</v>
      </c>
      <c r="V2234" t="s">
        <v>13165</v>
      </c>
      <c r="W2234" t="s">
        <v>824</v>
      </c>
      <c r="X2234" t="s">
        <v>13166</v>
      </c>
      <c r="Y2234" t="s">
        <v>13167</v>
      </c>
      <c r="AA2234" t="s">
        <v>13168</v>
      </c>
      <c r="AB2234" t="s">
        <v>13169</v>
      </c>
      <c r="AE2234">
        <v>-36.879413720000002</v>
      </c>
      <c r="AF2234">
        <v>174.79247337999999</v>
      </c>
      <c r="AG2234">
        <v>28</v>
      </c>
      <c r="AH2234">
        <v>0</v>
      </c>
      <c r="AI2234">
        <v>0</v>
      </c>
      <c r="AJ2234">
        <v>0</v>
      </c>
      <c r="AK2234">
        <v>0</v>
      </c>
      <c r="AL2234">
        <v>0</v>
      </c>
      <c r="AM2234">
        <v>16</v>
      </c>
      <c r="AN2234">
        <v>4</v>
      </c>
      <c r="AO2234">
        <v>20</v>
      </c>
      <c r="AP2234">
        <v>8</v>
      </c>
      <c r="AQ2234">
        <v>0</v>
      </c>
      <c r="AR2234">
        <v>1</v>
      </c>
      <c r="AS2234">
        <v>15</v>
      </c>
      <c r="AT2234">
        <v>0</v>
      </c>
    </row>
    <row r="2235" spans="1:46">
      <c r="A2235">
        <v>46117</v>
      </c>
      <c r="B2235" t="s">
        <v>13170</v>
      </c>
      <c r="C2235" t="s">
        <v>13171</v>
      </c>
      <c r="D2235" t="s">
        <v>13172</v>
      </c>
      <c r="E2235" t="s">
        <v>13173</v>
      </c>
      <c r="F2235" t="s">
        <v>4405</v>
      </c>
      <c r="G2235" t="s">
        <v>582</v>
      </c>
      <c r="H2235" t="s">
        <v>3942</v>
      </c>
      <c r="J2235" t="s">
        <v>3962</v>
      </c>
      <c r="K2235" t="s">
        <v>519</v>
      </c>
      <c r="M2235" t="s">
        <v>520</v>
      </c>
      <c r="N2235" t="s">
        <v>571</v>
      </c>
      <c r="O2235" t="s">
        <v>583</v>
      </c>
      <c r="P2235" t="s">
        <v>584</v>
      </c>
      <c r="Q2235" t="s">
        <v>524</v>
      </c>
      <c r="R2235" t="s">
        <v>525</v>
      </c>
      <c r="S2235" t="s">
        <v>585</v>
      </c>
      <c r="T2235" t="s">
        <v>527</v>
      </c>
      <c r="U2235">
        <v>106600</v>
      </c>
      <c r="V2235" t="s">
        <v>5034</v>
      </c>
      <c r="W2235" t="s">
        <v>587</v>
      </c>
      <c r="X2235" t="s">
        <v>13174</v>
      </c>
      <c r="Y2235" t="s">
        <v>13175</v>
      </c>
      <c r="Z2235" t="s">
        <v>737</v>
      </c>
      <c r="AA2235" t="s">
        <v>13176</v>
      </c>
      <c r="AC2235">
        <v>99180</v>
      </c>
      <c r="AD2235" t="s">
        <v>4891</v>
      </c>
      <c r="AE2235">
        <v>-35.71374994</v>
      </c>
      <c r="AF2235">
        <v>174.32382523000001</v>
      </c>
      <c r="AG2235">
        <v>24</v>
      </c>
      <c r="AH2235">
        <v>0</v>
      </c>
      <c r="AI2235">
        <v>0</v>
      </c>
      <c r="AJ2235">
        <v>0</v>
      </c>
      <c r="AK2235">
        <v>9</v>
      </c>
      <c r="AL2235">
        <v>7</v>
      </c>
      <c r="AM2235">
        <v>9</v>
      </c>
      <c r="AN2235">
        <v>0</v>
      </c>
      <c r="AO2235">
        <v>25</v>
      </c>
      <c r="AP2235">
        <v>14</v>
      </c>
      <c r="AQ2235">
        <v>15</v>
      </c>
      <c r="AR2235">
        <v>4</v>
      </c>
      <c r="AS2235">
        <v>4</v>
      </c>
      <c r="AT2235">
        <v>0</v>
      </c>
    </row>
    <row r="2236" spans="1:46">
      <c r="A2236">
        <v>46118</v>
      </c>
      <c r="B2236" t="s">
        <v>13177</v>
      </c>
      <c r="C2236" t="s">
        <v>13178</v>
      </c>
      <c r="D2236" t="s">
        <v>13179</v>
      </c>
      <c r="E2236" t="s">
        <v>13180</v>
      </c>
      <c r="F2236" t="s">
        <v>5104</v>
      </c>
      <c r="G2236" t="s">
        <v>652</v>
      </c>
      <c r="H2236" t="s">
        <v>3942</v>
      </c>
      <c r="J2236" t="s">
        <v>518</v>
      </c>
      <c r="K2236" t="s">
        <v>519</v>
      </c>
      <c r="M2236" t="s">
        <v>520</v>
      </c>
      <c r="N2236" t="s">
        <v>571</v>
      </c>
      <c r="O2236" t="s">
        <v>707</v>
      </c>
      <c r="P2236" t="s">
        <v>654</v>
      </c>
      <c r="Q2236" t="s">
        <v>638</v>
      </c>
      <c r="R2236" t="s">
        <v>708</v>
      </c>
      <c r="S2236" t="s">
        <v>778</v>
      </c>
      <c r="T2236" t="s">
        <v>709</v>
      </c>
      <c r="U2236">
        <v>156901</v>
      </c>
      <c r="V2236" t="s">
        <v>13181</v>
      </c>
      <c r="W2236" t="s">
        <v>711</v>
      </c>
      <c r="X2236" t="s">
        <v>3943</v>
      </c>
      <c r="Y2236" t="s">
        <v>3944</v>
      </c>
      <c r="Z2236" t="s">
        <v>3945</v>
      </c>
      <c r="AA2236" t="s">
        <v>3946</v>
      </c>
      <c r="AB2236" t="s">
        <v>3947</v>
      </c>
      <c r="AC2236">
        <v>99127</v>
      </c>
      <c r="AD2236" t="s">
        <v>3936</v>
      </c>
      <c r="AE2236">
        <v>-36.955774859999998</v>
      </c>
      <c r="AF2236">
        <v>174.91359349999999</v>
      </c>
      <c r="AG2236">
        <v>100</v>
      </c>
      <c r="AH2236">
        <v>25</v>
      </c>
      <c r="AI2236">
        <v>1</v>
      </c>
      <c r="AJ2236">
        <v>18</v>
      </c>
      <c r="AK2236">
        <v>23</v>
      </c>
      <c r="AL2236">
        <v>34</v>
      </c>
      <c r="AM2236">
        <v>36</v>
      </c>
      <c r="AN2236">
        <v>3</v>
      </c>
      <c r="AO2236">
        <v>115</v>
      </c>
      <c r="AP2236">
        <v>9</v>
      </c>
      <c r="AQ2236">
        <v>11</v>
      </c>
      <c r="AR2236">
        <v>19</v>
      </c>
      <c r="AS2236">
        <v>85</v>
      </c>
      <c r="AT2236">
        <v>10</v>
      </c>
    </row>
    <row r="2237" spans="1:46">
      <c r="A2237">
        <v>46120</v>
      </c>
      <c r="B2237" t="s">
        <v>13182</v>
      </c>
      <c r="C2237" t="s">
        <v>13183</v>
      </c>
      <c r="E2237" t="s">
        <v>13184</v>
      </c>
      <c r="F2237" t="s">
        <v>2821</v>
      </c>
      <c r="G2237" t="s">
        <v>2821</v>
      </c>
      <c r="H2237" t="s">
        <v>3942</v>
      </c>
      <c r="J2237" t="s">
        <v>3962</v>
      </c>
      <c r="K2237" t="s">
        <v>519</v>
      </c>
      <c r="M2237" t="s">
        <v>2287</v>
      </c>
      <c r="N2237" t="s">
        <v>571</v>
      </c>
      <c r="O2237" t="s">
        <v>2822</v>
      </c>
      <c r="P2237" t="s">
        <v>1262</v>
      </c>
      <c r="Q2237" t="s">
        <v>2823</v>
      </c>
      <c r="R2237" t="s">
        <v>2824</v>
      </c>
      <c r="S2237" t="s">
        <v>2825</v>
      </c>
      <c r="T2237" t="s">
        <v>2448</v>
      </c>
      <c r="U2237">
        <v>308100</v>
      </c>
      <c r="V2237" t="s">
        <v>2842</v>
      </c>
      <c r="W2237" t="s">
        <v>2826</v>
      </c>
      <c r="X2237" t="s">
        <v>11553</v>
      </c>
      <c r="Y2237" t="s">
        <v>4658</v>
      </c>
      <c r="Z2237" t="s">
        <v>958</v>
      </c>
      <c r="AA2237" t="s">
        <v>4659</v>
      </c>
      <c r="AB2237" t="s">
        <v>11554</v>
      </c>
      <c r="AE2237">
        <v>-41.516737540000001</v>
      </c>
      <c r="AF2237">
        <v>173.95463534999999</v>
      </c>
      <c r="AG2237">
        <v>60</v>
      </c>
      <c r="AH2237">
        <v>20</v>
      </c>
      <c r="AI2237">
        <v>2</v>
      </c>
      <c r="AJ2237">
        <v>12</v>
      </c>
      <c r="AK2237">
        <v>12</v>
      </c>
      <c r="AL2237">
        <v>14</v>
      </c>
      <c r="AM2237">
        <v>11</v>
      </c>
      <c r="AN2237">
        <v>0</v>
      </c>
      <c r="AO2237">
        <v>51</v>
      </c>
      <c r="AP2237">
        <v>41</v>
      </c>
      <c r="AQ2237">
        <v>12</v>
      </c>
      <c r="AR2237">
        <v>2</v>
      </c>
      <c r="AS2237">
        <v>6</v>
      </c>
      <c r="AT2237">
        <v>3</v>
      </c>
    </row>
    <row r="2238" spans="1:46">
      <c r="A2238">
        <v>46121</v>
      </c>
      <c r="B2238" t="s">
        <v>13185</v>
      </c>
      <c r="C2238" t="s">
        <v>13186</v>
      </c>
      <c r="D2238" t="s">
        <v>13187</v>
      </c>
      <c r="E2238" t="s">
        <v>13188</v>
      </c>
      <c r="F2238" t="s">
        <v>7819</v>
      </c>
      <c r="G2238" t="s">
        <v>652</v>
      </c>
      <c r="H2238" t="s">
        <v>4716</v>
      </c>
      <c r="J2238" t="s">
        <v>3962</v>
      </c>
      <c r="K2238" t="s">
        <v>519</v>
      </c>
      <c r="M2238" t="s">
        <v>520</v>
      </c>
      <c r="N2238" t="s">
        <v>571</v>
      </c>
      <c r="O2238" t="s">
        <v>707</v>
      </c>
      <c r="P2238" t="s">
        <v>654</v>
      </c>
      <c r="Q2238" t="s">
        <v>638</v>
      </c>
      <c r="R2238" t="s">
        <v>708</v>
      </c>
      <c r="S2238" t="s">
        <v>706</v>
      </c>
      <c r="T2238" t="s">
        <v>709</v>
      </c>
      <c r="U2238">
        <v>152400</v>
      </c>
      <c r="V2238" t="s">
        <v>5168</v>
      </c>
      <c r="W2238" t="s">
        <v>711</v>
      </c>
      <c r="X2238" t="s">
        <v>13189</v>
      </c>
      <c r="Y2238" t="s">
        <v>13190</v>
      </c>
      <c r="Z2238" t="s">
        <v>777</v>
      </c>
      <c r="AA2238" t="s">
        <v>5171</v>
      </c>
      <c r="AB2238" t="s">
        <v>13186</v>
      </c>
      <c r="AE2238">
        <v>-36.898679170000001</v>
      </c>
      <c r="AF2238">
        <v>174.93495722</v>
      </c>
      <c r="AG2238">
        <v>50</v>
      </c>
      <c r="AH2238">
        <v>50</v>
      </c>
      <c r="AI2238">
        <v>1</v>
      </c>
      <c r="AJ2238">
        <v>2</v>
      </c>
      <c r="AK2238">
        <v>4</v>
      </c>
      <c r="AL2238">
        <v>6</v>
      </c>
      <c r="AM2238">
        <v>4</v>
      </c>
      <c r="AN2238">
        <v>0</v>
      </c>
      <c r="AO2238">
        <v>17</v>
      </c>
      <c r="AP2238">
        <v>5</v>
      </c>
      <c r="AQ2238">
        <v>4</v>
      </c>
      <c r="AR2238">
        <v>8</v>
      </c>
      <c r="AS2238">
        <v>0</v>
      </c>
      <c r="AT2238">
        <v>3</v>
      </c>
    </row>
    <row r="2239" spans="1:46">
      <c r="A2239">
        <v>46124</v>
      </c>
      <c r="B2239" t="s">
        <v>13191</v>
      </c>
      <c r="C2239" t="s">
        <v>13192</v>
      </c>
      <c r="D2239" t="s">
        <v>13193</v>
      </c>
      <c r="E2239" t="s">
        <v>13194</v>
      </c>
      <c r="F2239" t="s">
        <v>1036</v>
      </c>
      <c r="G2239" t="s">
        <v>652</v>
      </c>
      <c r="H2239" t="s">
        <v>4221</v>
      </c>
      <c r="I2239" t="s">
        <v>4253</v>
      </c>
      <c r="J2239" t="s">
        <v>518</v>
      </c>
      <c r="K2239" t="s">
        <v>519</v>
      </c>
      <c r="M2239" t="s">
        <v>520</v>
      </c>
      <c r="N2239" t="s">
        <v>727</v>
      </c>
      <c r="O2239" t="s">
        <v>1216</v>
      </c>
      <c r="P2239" t="s">
        <v>654</v>
      </c>
      <c r="Q2239" t="s">
        <v>638</v>
      </c>
      <c r="R2239" t="s">
        <v>729</v>
      </c>
      <c r="S2239" t="s">
        <v>1036</v>
      </c>
      <c r="T2239" t="s">
        <v>709</v>
      </c>
      <c r="U2239">
        <v>159201</v>
      </c>
      <c r="V2239" t="s">
        <v>12492</v>
      </c>
      <c r="W2239" t="s">
        <v>1219</v>
      </c>
      <c r="X2239" t="s">
        <v>13195</v>
      </c>
      <c r="Y2239" t="s">
        <v>13196</v>
      </c>
      <c r="Z2239" t="s">
        <v>828</v>
      </c>
      <c r="AA2239" t="s">
        <v>13197</v>
      </c>
      <c r="AB2239" t="s">
        <v>13198</v>
      </c>
      <c r="AE2239">
        <v>-37.021349260000001</v>
      </c>
      <c r="AF2239">
        <v>174.87324314</v>
      </c>
      <c r="AG2239">
        <v>50</v>
      </c>
      <c r="AH2239">
        <v>10</v>
      </c>
      <c r="AI2239">
        <v>1</v>
      </c>
      <c r="AJ2239">
        <v>5</v>
      </c>
      <c r="AK2239">
        <v>7</v>
      </c>
      <c r="AL2239">
        <v>12</v>
      </c>
      <c r="AM2239">
        <v>9</v>
      </c>
      <c r="AN2239">
        <v>0</v>
      </c>
      <c r="AO2239">
        <v>34</v>
      </c>
      <c r="AP2239">
        <v>4</v>
      </c>
      <c r="AQ2239">
        <v>4</v>
      </c>
      <c r="AR2239">
        <v>34</v>
      </c>
      <c r="AS2239">
        <v>1</v>
      </c>
      <c r="AT2239">
        <v>0</v>
      </c>
    </row>
    <row r="2240" spans="1:46">
      <c r="A2240">
        <v>46126</v>
      </c>
      <c r="B2240" t="s">
        <v>13199</v>
      </c>
      <c r="C2240" t="s">
        <v>13200</v>
      </c>
      <c r="D2240" t="s">
        <v>13201</v>
      </c>
      <c r="E2240" t="s">
        <v>13202</v>
      </c>
      <c r="F2240" t="s">
        <v>4405</v>
      </c>
      <c r="G2240" t="s">
        <v>582</v>
      </c>
      <c r="H2240" t="s">
        <v>3942</v>
      </c>
      <c r="J2240" t="s">
        <v>3962</v>
      </c>
      <c r="K2240" t="s">
        <v>519</v>
      </c>
      <c r="M2240" t="s">
        <v>520</v>
      </c>
      <c r="N2240" t="s">
        <v>571</v>
      </c>
      <c r="O2240" t="s">
        <v>583</v>
      </c>
      <c r="P2240" t="s">
        <v>584</v>
      </c>
      <c r="Q2240" t="s">
        <v>524</v>
      </c>
      <c r="R2240" t="s">
        <v>525</v>
      </c>
      <c r="S2240" t="s">
        <v>585</v>
      </c>
      <c r="T2240" t="s">
        <v>527</v>
      </c>
      <c r="U2240">
        <v>107100</v>
      </c>
      <c r="V2240" t="s">
        <v>4402</v>
      </c>
      <c r="W2240" t="s">
        <v>587</v>
      </c>
      <c r="X2240" t="s">
        <v>13174</v>
      </c>
      <c r="Y2240" t="s">
        <v>13175</v>
      </c>
      <c r="Z2240" t="s">
        <v>737</v>
      </c>
      <c r="AA2240" t="s">
        <v>13176</v>
      </c>
      <c r="AC2240">
        <v>99181</v>
      </c>
      <c r="AD2240" t="s">
        <v>594</v>
      </c>
      <c r="AE2240">
        <v>-35.716641940000002</v>
      </c>
      <c r="AF2240">
        <v>174.32063231000001</v>
      </c>
      <c r="AG2240">
        <v>26</v>
      </c>
      <c r="AH2240">
        <v>0</v>
      </c>
      <c r="AI2240">
        <v>0</v>
      </c>
      <c r="AJ2240">
        <v>0</v>
      </c>
      <c r="AK2240">
        <v>1</v>
      </c>
      <c r="AL2240">
        <v>5</v>
      </c>
      <c r="AM2240">
        <v>12</v>
      </c>
      <c r="AN2240">
        <v>0</v>
      </c>
      <c r="AO2240">
        <v>18</v>
      </c>
      <c r="AP2240">
        <v>14</v>
      </c>
      <c r="AQ2240">
        <v>8</v>
      </c>
      <c r="AR2240">
        <v>0</v>
      </c>
      <c r="AS2240">
        <v>2</v>
      </c>
      <c r="AT2240">
        <v>1</v>
      </c>
    </row>
    <row r="2241" spans="1:46">
      <c r="A2241">
        <v>46127</v>
      </c>
      <c r="B2241" t="s">
        <v>13203</v>
      </c>
      <c r="C2241" t="s">
        <v>13204</v>
      </c>
      <c r="D2241" t="s">
        <v>13205</v>
      </c>
      <c r="E2241" t="s">
        <v>13206</v>
      </c>
      <c r="F2241" t="s">
        <v>13207</v>
      </c>
      <c r="G2241" t="s">
        <v>2941</v>
      </c>
      <c r="H2241" t="s">
        <v>3942</v>
      </c>
      <c r="I2241" t="s">
        <v>13208</v>
      </c>
      <c r="J2241" t="s">
        <v>3962</v>
      </c>
      <c r="K2241" t="s">
        <v>519</v>
      </c>
      <c r="M2241" t="s">
        <v>2287</v>
      </c>
      <c r="N2241" t="s">
        <v>571</v>
      </c>
      <c r="O2241" t="s">
        <v>2942</v>
      </c>
      <c r="P2241" t="s">
        <v>654</v>
      </c>
      <c r="Q2241" t="s">
        <v>2943</v>
      </c>
      <c r="R2241" t="s">
        <v>2944</v>
      </c>
      <c r="S2241" t="s">
        <v>3019</v>
      </c>
      <c r="T2241" t="s">
        <v>2448</v>
      </c>
      <c r="U2241">
        <v>322000</v>
      </c>
      <c r="V2241" t="s">
        <v>13207</v>
      </c>
      <c r="W2241" t="s">
        <v>3076</v>
      </c>
      <c r="X2241" t="s">
        <v>13209</v>
      </c>
      <c r="Y2241" t="s">
        <v>13206</v>
      </c>
      <c r="Z2241" t="s">
        <v>13210</v>
      </c>
      <c r="AA2241" t="s">
        <v>11419</v>
      </c>
      <c r="AB2241" t="s">
        <v>13211</v>
      </c>
      <c r="AE2241">
        <v>-43.537244090000002</v>
      </c>
      <c r="AF2241">
        <v>172.56781265000001</v>
      </c>
      <c r="AG2241">
        <v>38</v>
      </c>
      <c r="AH2241">
        <v>0</v>
      </c>
      <c r="AI2241">
        <v>0</v>
      </c>
      <c r="AJ2241">
        <v>0</v>
      </c>
      <c r="AK2241">
        <v>4</v>
      </c>
      <c r="AL2241">
        <v>8</v>
      </c>
      <c r="AM2241">
        <v>9</v>
      </c>
      <c r="AN2241">
        <v>1</v>
      </c>
      <c r="AO2241">
        <v>22</v>
      </c>
      <c r="AP2241">
        <v>0</v>
      </c>
      <c r="AQ2241">
        <v>0</v>
      </c>
      <c r="AR2241">
        <v>0</v>
      </c>
      <c r="AS2241">
        <v>18</v>
      </c>
      <c r="AT2241">
        <v>4</v>
      </c>
    </row>
    <row r="2242" spans="1:46">
      <c r="A2242">
        <v>46128</v>
      </c>
      <c r="B2242" t="s">
        <v>13212</v>
      </c>
      <c r="C2242" t="s">
        <v>13213</v>
      </c>
      <c r="D2242" t="s">
        <v>13214</v>
      </c>
      <c r="E2242" t="s">
        <v>13215</v>
      </c>
      <c r="G2242" t="s">
        <v>2364</v>
      </c>
      <c r="H2242" t="s">
        <v>3942</v>
      </c>
      <c r="J2242" t="s">
        <v>3962</v>
      </c>
      <c r="K2242" t="s">
        <v>519</v>
      </c>
      <c r="M2242" t="s">
        <v>2287</v>
      </c>
      <c r="N2242" t="s">
        <v>571</v>
      </c>
      <c r="O2242" t="s">
        <v>2333</v>
      </c>
      <c r="P2242" t="s">
        <v>523</v>
      </c>
      <c r="Q2242" t="s">
        <v>2319</v>
      </c>
      <c r="R2242" t="s">
        <v>2289</v>
      </c>
      <c r="S2242" t="s">
        <v>2269</v>
      </c>
      <c r="T2242" t="s">
        <v>2085</v>
      </c>
      <c r="U2242">
        <v>257700</v>
      </c>
      <c r="V2242" t="s">
        <v>2364</v>
      </c>
      <c r="W2242" t="s">
        <v>2365</v>
      </c>
      <c r="X2242" t="s">
        <v>13216</v>
      </c>
      <c r="Y2242" t="s">
        <v>13215</v>
      </c>
      <c r="AA2242" t="s">
        <v>13217</v>
      </c>
      <c r="AB2242" t="s">
        <v>13218</v>
      </c>
      <c r="AC2242">
        <v>99109</v>
      </c>
      <c r="AD2242" t="s">
        <v>2335</v>
      </c>
      <c r="AE2242">
        <v>-41.080767489999999</v>
      </c>
      <c r="AF2242">
        <v>175.45523288000001</v>
      </c>
      <c r="AG2242">
        <v>40</v>
      </c>
      <c r="AH2242">
        <v>0</v>
      </c>
      <c r="AI2242">
        <v>0</v>
      </c>
      <c r="AJ2242">
        <v>0</v>
      </c>
      <c r="AK2242">
        <v>1</v>
      </c>
      <c r="AL2242">
        <v>21</v>
      </c>
      <c r="AM2242">
        <v>23</v>
      </c>
      <c r="AN2242">
        <v>1</v>
      </c>
      <c r="AO2242">
        <v>46</v>
      </c>
      <c r="AP2242">
        <v>45</v>
      </c>
      <c r="AQ2242">
        <v>10</v>
      </c>
      <c r="AR2242">
        <v>1</v>
      </c>
      <c r="AS2242">
        <v>2</v>
      </c>
      <c r="AT2242">
        <v>2</v>
      </c>
    </row>
    <row r="2243" spans="1:46">
      <c r="A2243">
        <v>46130</v>
      </c>
      <c r="B2243" t="s">
        <v>13219</v>
      </c>
      <c r="C2243" t="s">
        <v>13220</v>
      </c>
      <c r="D2243" t="s">
        <v>13221</v>
      </c>
      <c r="E2243" t="s">
        <v>13222</v>
      </c>
      <c r="F2243" t="s">
        <v>526</v>
      </c>
      <c r="G2243" t="s">
        <v>2289</v>
      </c>
      <c r="H2243" t="s">
        <v>3942</v>
      </c>
      <c r="J2243" t="s">
        <v>518</v>
      </c>
      <c r="K2243" t="s">
        <v>519</v>
      </c>
      <c r="M2243" t="s">
        <v>2287</v>
      </c>
      <c r="N2243" t="s">
        <v>571</v>
      </c>
      <c r="O2243" t="s">
        <v>2536</v>
      </c>
      <c r="P2243" t="s">
        <v>654</v>
      </c>
      <c r="Q2243" t="s">
        <v>2319</v>
      </c>
      <c r="R2243" t="s">
        <v>2289</v>
      </c>
      <c r="S2243" t="s">
        <v>2545</v>
      </c>
      <c r="T2243" t="s">
        <v>2448</v>
      </c>
      <c r="U2243">
        <v>250100</v>
      </c>
      <c r="V2243" t="s">
        <v>13223</v>
      </c>
      <c r="W2243" t="s">
        <v>2561</v>
      </c>
      <c r="X2243" t="s">
        <v>13224</v>
      </c>
      <c r="Y2243" t="s">
        <v>13222</v>
      </c>
      <c r="Z2243" t="s">
        <v>526</v>
      </c>
      <c r="AA2243" t="s">
        <v>13225</v>
      </c>
      <c r="AE2243">
        <v>-41.267575000000001</v>
      </c>
      <c r="AF2243">
        <v>174.76595900999999</v>
      </c>
      <c r="AG2243">
        <v>30</v>
      </c>
      <c r="AH2243">
        <v>10</v>
      </c>
      <c r="AI2243">
        <v>0</v>
      </c>
      <c r="AJ2243">
        <v>2</v>
      </c>
      <c r="AK2243">
        <v>9</v>
      </c>
      <c r="AL2243">
        <v>6</v>
      </c>
      <c r="AM2243">
        <v>8</v>
      </c>
      <c r="AN2243">
        <v>0</v>
      </c>
      <c r="AO2243">
        <v>25</v>
      </c>
      <c r="AP2243">
        <v>24</v>
      </c>
      <c r="AQ2243">
        <v>4</v>
      </c>
      <c r="AR2243">
        <v>0</v>
      </c>
      <c r="AS2243">
        <v>3</v>
      </c>
      <c r="AT2243">
        <v>0</v>
      </c>
    </row>
    <row r="2244" spans="1:46">
      <c r="A2244">
        <v>46132</v>
      </c>
      <c r="B2244" t="s">
        <v>13226</v>
      </c>
      <c r="C2244" t="s">
        <v>13227</v>
      </c>
      <c r="E2244" t="s">
        <v>13228</v>
      </c>
      <c r="F2244" t="s">
        <v>1911</v>
      </c>
      <c r="G2244" t="s">
        <v>1842</v>
      </c>
      <c r="H2244" t="s">
        <v>3942</v>
      </c>
      <c r="J2244" t="s">
        <v>3962</v>
      </c>
      <c r="K2244" t="s">
        <v>519</v>
      </c>
      <c r="M2244" t="s">
        <v>1297</v>
      </c>
      <c r="N2244" t="s">
        <v>557</v>
      </c>
      <c r="O2244" t="s">
        <v>1887</v>
      </c>
      <c r="P2244" t="s">
        <v>584</v>
      </c>
      <c r="Q2244" t="s">
        <v>1636</v>
      </c>
      <c r="R2244" t="s">
        <v>1760</v>
      </c>
      <c r="S2244" t="s">
        <v>1842</v>
      </c>
      <c r="T2244" t="s">
        <v>1485</v>
      </c>
      <c r="U2244">
        <v>225800</v>
      </c>
      <c r="V2244" t="s">
        <v>13229</v>
      </c>
      <c r="W2244" t="s">
        <v>1652</v>
      </c>
      <c r="X2244" t="s">
        <v>13230</v>
      </c>
      <c r="Y2244" t="s">
        <v>13231</v>
      </c>
      <c r="AA2244" t="s">
        <v>13232</v>
      </c>
      <c r="AB2244" t="s">
        <v>13233</v>
      </c>
      <c r="AE2244">
        <v>-39.942886360000003</v>
      </c>
      <c r="AF2244">
        <v>175.03511838</v>
      </c>
      <c r="AG2244">
        <v>50</v>
      </c>
      <c r="AH2244">
        <v>18</v>
      </c>
      <c r="AI2244">
        <v>2</v>
      </c>
      <c r="AJ2244">
        <v>11</v>
      </c>
      <c r="AK2244">
        <v>17</v>
      </c>
      <c r="AL2244">
        <v>8</v>
      </c>
      <c r="AM2244">
        <v>20</v>
      </c>
      <c r="AN2244">
        <v>0</v>
      </c>
      <c r="AO2244">
        <v>58</v>
      </c>
      <c r="AP2244">
        <v>50</v>
      </c>
      <c r="AQ2244">
        <v>23</v>
      </c>
      <c r="AR2244">
        <v>5</v>
      </c>
      <c r="AS2244">
        <v>3</v>
      </c>
      <c r="AT2244">
        <v>0</v>
      </c>
    </row>
    <row r="2245" spans="1:46">
      <c r="A2245">
        <v>46134</v>
      </c>
      <c r="B2245" t="s">
        <v>13234</v>
      </c>
      <c r="C2245" t="s">
        <v>13235</v>
      </c>
      <c r="D2245" t="s">
        <v>13236</v>
      </c>
      <c r="E2245" t="s">
        <v>13237</v>
      </c>
      <c r="G2245" t="s">
        <v>13238</v>
      </c>
      <c r="H2245" t="s">
        <v>3942</v>
      </c>
      <c r="J2245" t="s">
        <v>3962</v>
      </c>
      <c r="K2245" t="s">
        <v>519</v>
      </c>
      <c r="M2245" t="s">
        <v>1297</v>
      </c>
      <c r="N2245" t="s">
        <v>521</v>
      </c>
      <c r="O2245" t="s">
        <v>1743</v>
      </c>
      <c r="P2245" t="s">
        <v>523</v>
      </c>
      <c r="Q2245" t="s">
        <v>1471</v>
      </c>
      <c r="R2245" t="s">
        <v>1472</v>
      </c>
      <c r="S2245" t="s">
        <v>1473</v>
      </c>
      <c r="T2245" t="s">
        <v>1474</v>
      </c>
      <c r="U2245">
        <v>192300</v>
      </c>
      <c r="V2245" t="s">
        <v>13239</v>
      </c>
      <c r="W2245" t="s">
        <v>1745</v>
      </c>
      <c r="X2245" t="s">
        <v>13240</v>
      </c>
      <c r="Y2245" t="s">
        <v>13241</v>
      </c>
      <c r="AA2245" t="s">
        <v>5078</v>
      </c>
      <c r="AC2245">
        <v>99086</v>
      </c>
      <c r="AD2245" t="s">
        <v>1746</v>
      </c>
      <c r="AE2245">
        <v>-37.762064530000004</v>
      </c>
      <c r="AF2245">
        <v>176.45607881000001</v>
      </c>
      <c r="AG2245">
        <v>22</v>
      </c>
      <c r="AH2245">
        <v>0</v>
      </c>
      <c r="AI2245">
        <v>0</v>
      </c>
      <c r="AJ2245">
        <v>0</v>
      </c>
      <c r="AK2245">
        <v>4</v>
      </c>
      <c r="AL2245">
        <v>11</v>
      </c>
      <c r="AM2245">
        <v>9</v>
      </c>
      <c r="AN2245">
        <v>1</v>
      </c>
      <c r="AO2245">
        <v>25</v>
      </c>
      <c r="AP2245">
        <v>6</v>
      </c>
      <c r="AQ2245">
        <v>23</v>
      </c>
      <c r="AR2245">
        <v>2</v>
      </c>
      <c r="AS2245">
        <v>0</v>
      </c>
      <c r="AT2245">
        <v>0</v>
      </c>
    </row>
    <row r="2246" spans="1:46">
      <c r="A2246">
        <v>46138</v>
      </c>
      <c r="B2246" t="s">
        <v>13242</v>
      </c>
      <c r="C2246" t="s">
        <v>13243</v>
      </c>
      <c r="D2246" t="s">
        <v>13244</v>
      </c>
      <c r="E2246" t="s">
        <v>13245</v>
      </c>
      <c r="F2246" t="s">
        <v>1085</v>
      </c>
      <c r="G2246" t="s">
        <v>652</v>
      </c>
      <c r="H2246" t="s">
        <v>3942</v>
      </c>
      <c r="J2246" t="s">
        <v>3962</v>
      </c>
      <c r="K2246" t="s">
        <v>519</v>
      </c>
      <c r="M2246" t="s">
        <v>520</v>
      </c>
      <c r="N2246" t="s">
        <v>571</v>
      </c>
      <c r="O2246" t="s">
        <v>707</v>
      </c>
      <c r="P2246" t="s">
        <v>654</v>
      </c>
      <c r="Q2246" t="s">
        <v>638</v>
      </c>
      <c r="R2246" t="s">
        <v>708</v>
      </c>
      <c r="S2246" t="s">
        <v>706</v>
      </c>
      <c r="T2246" t="s">
        <v>709</v>
      </c>
      <c r="U2246">
        <v>149800</v>
      </c>
      <c r="V2246" t="s">
        <v>5256</v>
      </c>
      <c r="W2246" t="s">
        <v>711</v>
      </c>
      <c r="X2246" t="s">
        <v>7309</v>
      </c>
      <c r="Y2246" t="s">
        <v>7310</v>
      </c>
      <c r="Z2246" t="s">
        <v>763</v>
      </c>
      <c r="AA2246" t="s">
        <v>4365</v>
      </c>
      <c r="AB2246" t="s">
        <v>7311</v>
      </c>
      <c r="AE2246">
        <v>-36.91584769</v>
      </c>
      <c r="AF2246">
        <v>174.88246937</v>
      </c>
      <c r="AG2246">
        <v>40</v>
      </c>
      <c r="AH2246">
        <v>10</v>
      </c>
      <c r="AI2246">
        <v>2</v>
      </c>
      <c r="AJ2246">
        <v>6</v>
      </c>
      <c r="AK2246">
        <v>10</v>
      </c>
      <c r="AL2246">
        <v>5</v>
      </c>
      <c r="AM2246">
        <v>16</v>
      </c>
      <c r="AN2246">
        <v>1</v>
      </c>
      <c r="AO2246">
        <v>40</v>
      </c>
      <c r="AP2246">
        <v>25</v>
      </c>
      <c r="AQ2246">
        <v>15</v>
      </c>
      <c r="AR2246">
        <v>11</v>
      </c>
      <c r="AS2246">
        <v>10</v>
      </c>
      <c r="AT2246">
        <v>1</v>
      </c>
    </row>
    <row r="2247" spans="1:46">
      <c r="A2247">
        <v>46140</v>
      </c>
      <c r="B2247" t="s">
        <v>13246</v>
      </c>
      <c r="C2247" t="s">
        <v>12672</v>
      </c>
      <c r="D2247" t="s">
        <v>13247</v>
      </c>
      <c r="E2247" t="s">
        <v>13248</v>
      </c>
      <c r="F2247" t="s">
        <v>2613</v>
      </c>
      <c r="G2247" t="s">
        <v>2526</v>
      </c>
      <c r="H2247" t="s">
        <v>4716</v>
      </c>
      <c r="I2247" t="s">
        <v>13249</v>
      </c>
      <c r="J2247" t="s">
        <v>518</v>
      </c>
      <c r="K2247" t="s">
        <v>519</v>
      </c>
      <c r="M2247" t="s">
        <v>2287</v>
      </c>
      <c r="N2247" t="s">
        <v>727</v>
      </c>
      <c r="O2247" t="s">
        <v>2527</v>
      </c>
      <c r="P2247" t="s">
        <v>584</v>
      </c>
      <c r="Q2247" t="s">
        <v>2319</v>
      </c>
      <c r="R2247" t="s">
        <v>2289</v>
      </c>
      <c r="S2247" t="s">
        <v>2528</v>
      </c>
      <c r="T2247" t="s">
        <v>1485</v>
      </c>
      <c r="U2247">
        <v>239900</v>
      </c>
      <c r="V2247" t="s">
        <v>13037</v>
      </c>
      <c r="W2247" t="s">
        <v>2529</v>
      </c>
      <c r="X2247" t="s">
        <v>1889</v>
      </c>
      <c r="Y2247" t="s">
        <v>1890</v>
      </c>
      <c r="AA2247" t="s">
        <v>1891</v>
      </c>
      <c r="AB2247" t="s">
        <v>1892</v>
      </c>
      <c r="AE2247">
        <v>-41.138268660000001</v>
      </c>
      <c r="AF2247">
        <v>174.83403425</v>
      </c>
      <c r="AG2247">
        <v>80</v>
      </c>
      <c r="AH2247">
        <v>80</v>
      </c>
      <c r="AI2247">
        <v>3</v>
      </c>
      <c r="AJ2247">
        <v>10</v>
      </c>
      <c r="AK2247">
        <v>10</v>
      </c>
      <c r="AL2247">
        <v>13</v>
      </c>
      <c r="AM2247">
        <v>5</v>
      </c>
      <c r="AN2247">
        <v>0</v>
      </c>
      <c r="AO2247">
        <v>41</v>
      </c>
      <c r="AP2247">
        <v>3</v>
      </c>
      <c r="AQ2247">
        <v>14</v>
      </c>
      <c r="AR2247">
        <v>27</v>
      </c>
      <c r="AS2247">
        <v>9</v>
      </c>
      <c r="AT2247">
        <v>3</v>
      </c>
    </row>
    <row r="2248" spans="1:46">
      <c r="A2248">
        <v>46143</v>
      </c>
      <c r="B2248" t="s">
        <v>13250</v>
      </c>
      <c r="D2248" t="s">
        <v>13251</v>
      </c>
      <c r="E2248" t="s">
        <v>13252</v>
      </c>
      <c r="F2248" t="s">
        <v>1036</v>
      </c>
      <c r="G2248" t="s">
        <v>652</v>
      </c>
      <c r="H2248" t="s">
        <v>3942</v>
      </c>
      <c r="J2248" t="s">
        <v>3962</v>
      </c>
      <c r="K2248" t="s">
        <v>519</v>
      </c>
      <c r="M2248" t="s">
        <v>520</v>
      </c>
      <c r="N2248" t="s">
        <v>521</v>
      </c>
      <c r="O2248" t="s">
        <v>1216</v>
      </c>
      <c r="P2248" t="s">
        <v>654</v>
      </c>
      <c r="Q2248" t="s">
        <v>638</v>
      </c>
      <c r="R2248" t="s">
        <v>729</v>
      </c>
      <c r="S2248" t="s">
        <v>1036</v>
      </c>
      <c r="T2248" t="s">
        <v>709</v>
      </c>
      <c r="U2248">
        <v>160601</v>
      </c>
      <c r="V2248" t="s">
        <v>7679</v>
      </c>
      <c r="W2248" t="s">
        <v>1219</v>
      </c>
      <c r="X2248" t="s">
        <v>4633</v>
      </c>
      <c r="Y2248" t="s">
        <v>11995</v>
      </c>
      <c r="Z2248" t="s">
        <v>770</v>
      </c>
      <c r="AA2248" t="s">
        <v>11996</v>
      </c>
      <c r="AB2248" t="s">
        <v>4636</v>
      </c>
      <c r="AE2248">
        <v>-37.037401099999997</v>
      </c>
      <c r="AF2248">
        <v>174.88924460000001</v>
      </c>
      <c r="AG2248">
        <v>40</v>
      </c>
      <c r="AH2248">
        <v>0</v>
      </c>
      <c r="AI2248">
        <v>0</v>
      </c>
      <c r="AJ2248">
        <v>0</v>
      </c>
      <c r="AK2248">
        <v>3</v>
      </c>
      <c r="AL2248">
        <v>14</v>
      </c>
      <c r="AM2248">
        <v>16</v>
      </c>
      <c r="AN2248">
        <v>2</v>
      </c>
      <c r="AO2248">
        <v>35</v>
      </c>
      <c r="AP2248">
        <v>5</v>
      </c>
      <c r="AQ2248">
        <v>16</v>
      </c>
      <c r="AR2248">
        <v>17</v>
      </c>
      <c r="AS2248">
        <v>5</v>
      </c>
      <c r="AT2248">
        <v>2</v>
      </c>
    </row>
    <row r="2249" spans="1:46">
      <c r="A2249">
        <v>46145</v>
      </c>
      <c r="B2249" t="s">
        <v>13253</v>
      </c>
      <c r="C2249" t="s">
        <v>13254</v>
      </c>
      <c r="E2249" t="s">
        <v>13255</v>
      </c>
      <c r="G2249" t="s">
        <v>13256</v>
      </c>
      <c r="H2249" t="s">
        <v>517</v>
      </c>
      <c r="J2249" t="s">
        <v>518</v>
      </c>
      <c r="K2249" t="s">
        <v>519</v>
      </c>
      <c r="M2249" t="s">
        <v>2287</v>
      </c>
      <c r="N2249" t="s">
        <v>571</v>
      </c>
      <c r="O2249" t="s">
        <v>2822</v>
      </c>
      <c r="P2249" t="s">
        <v>540</v>
      </c>
      <c r="Q2249" t="s">
        <v>2823</v>
      </c>
      <c r="R2249" t="s">
        <v>2824</v>
      </c>
      <c r="S2249" t="s">
        <v>2825</v>
      </c>
      <c r="T2249" t="s">
        <v>2448</v>
      </c>
      <c r="U2249">
        <v>307000</v>
      </c>
      <c r="V2249" t="s">
        <v>13257</v>
      </c>
      <c r="W2249" t="s">
        <v>3868</v>
      </c>
      <c r="X2249" t="s">
        <v>2827</v>
      </c>
      <c r="Y2249" t="s">
        <v>2828</v>
      </c>
      <c r="AA2249" t="s">
        <v>2829</v>
      </c>
      <c r="AB2249" t="s">
        <v>2830</v>
      </c>
      <c r="AE2249">
        <v>-41.675101750000003</v>
      </c>
      <c r="AF2249">
        <v>174.07274745999999</v>
      </c>
      <c r="AG2249">
        <v>40</v>
      </c>
      <c r="AH2249">
        <v>0</v>
      </c>
      <c r="AI2249">
        <v>0</v>
      </c>
      <c r="AJ2249">
        <v>0</v>
      </c>
      <c r="AK2249">
        <v>5</v>
      </c>
      <c r="AL2249">
        <v>20</v>
      </c>
      <c r="AM2249">
        <v>14</v>
      </c>
      <c r="AN2249">
        <v>0</v>
      </c>
      <c r="AO2249">
        <v>39</v>
      </c>
      <c r="AP2249">
        <v>33</v>
      </c>
      <c r="AQ2249">
        <v>12</v>
      </c>
      <c r="AR2249">
        <v>1</v>
      </c>
      <c r="AS2249">
        <v>2</v>
      </c>
      <c r="AT2249">
        <v>1</v>
      </c>
    </row>
    <row r="2250" spans="1:46">
      <c r="A2250">
        <v>46148</v>
      </c>
      <c r="B2250" t="s">
        <v>13258</v>
      </c>
      <c r="C2250" t="s">
        <v>13259</v>
      </c>
      <c r="D2250" t="s">
        <v>1293</v>
      </c>
      <c r="E2250" t="s">
        <v>13260</v>
      </c>
      <c r="F2250" t="s">
        <v>8591</v>
      </c>
      <c r="G2250" t="s">
        <v>1296</v>
      </c>
      <c r="H2250" t="s">
        <v>3942</v>
      </c>
      <c r="J2250" t="s">
        <v>518</v>
      </c>
      <c r="K2250" t="s">
        <v>519</v>
      </c>
      <c r="M2250" t="s">
        <v>1297</v>
      </c>
      <c r="N2250" t="s">
        <v>4519</v>
      </c>
      <c r="O2250" t="s">
        <v>1298</v>
      </c>
      <c r="P2250" t="s">
        <v>654</v>
      </c>
      <c r="Q2250" t="s">
        <v>1299</v>
      </c>
      <c r="R2250" t="s">
        <v>1300</v>
      </c>
      <c r="S2250" t="s">
        <v>1301</v>
      </c>
      <c r="T2250" t="s">
        <v>1235</v>
      </c>
      <c r="U2250">
        <v>175302</v>
      </c>
      <c r="V2250" t="s">
        <v>13261</v>
      </c>
      <c r="W2250" t="s">
        <v>1314</v>
      </c>
      <c r="X2250" t="s">
        <v>1304</v>
      </c>
      <c r="Y2250" t="s">
        <v>1305</v>
      </c>
      <c r="Z2250" t="s">
        <v>1312</v>
      </c>
      <c r="AA2250" t="s">
        <v>1306</v>
      </c>
      <c r="AB2250" t="s">
        <v>1307</v>
      </c>
      <c r="AE2250">
        <v>-37.723461810000003</v>
      </c>
      <c r="AF2250">
        <v>175.25270725999999</v>
      </c>
      <c r="AG2250">
        <v>120</v>
      </c>
      <c r="AH2250">
        <v>50</v>
      </c>
      <c r="AI2250">
        <v>3</v>
      </c>
      <c r="AJ2250">
        <v>24</v>
      </c>
      <c r="AK2250">
        <v>37</v>
      </c>
      <c r="AL2250">
        <v>37</v>
      </c>
      <c r="AM2250">
        <v>33</v>
      </c>
      <c r="AN2250">
        <v>0</v>
      </c>
      <c r="AO2250">
        <v>134</v>
      </c>
      <c r="AP2250">
        <v>78</v>
      </c>
      <c r="AQ2250">
        <v>16</v>
      </c>
      <c r="AR2250">
        <v>2</v>
      </c>
      <c r="AS2250">
        <v>51</v>
      </c>
      <c r="AT2250">
        <v>1</v>
      </c>
    </row>
    <row r="2251" spans="1:46">
      <c r="A2251">
        <v>46150</v>
      </c>
      <c r="B2251" t="s">
        <v>13262</v>
      </c>
      <c r="C2251" t="s">
        <v>13263</v>
      </c>
      <c r="D2251" t="s">
        <v>13264</v>
      </c>
      <c r="E2251" t="s">
        <v>13265</v>
      </c>
      <c r="F2251" t="s">
        <v>2049</v>
      </c>
      <c r="G2251" t="s">
        <v>3382</v>
      </c>
      <c r="H2251" t="s">
        <v>3942</v>
      </c>
      <c r="J2251" t="s">
        <v>3962</v>
      </c>
      <c r="K2251" t="s">
        <v>519</v>
      </c>
      <c r="M2251" t="s">
        <v>2287</v>
      </c>
      <c r="N2251" t="s">
        <v>571</v>
      </c>
      <c r="O2251" t="s">
        <v>3383</v>
      </c>
      <c r="P2251" t="s">
        <v>654</v>
      </c>
      <c r="Q2251" t="s">
        <v>3337</v>
      </c>
      <c r="R2251" t="s">
        <v>3338</v>
      </c>
      <c r="S2251" t="s">
        <v>3382</v>
      </c>
      <c r="T2251" t="s">
        <v>2448</v>
      </c>
      <c r="U2251">
        <v>351000</v>
      </c>
      <c r="V2251" t="s">
        <v>3433</v>
      </c>
      <c r="W2251" t="s">
        <v>1652</v>
      </c>
      <c r="X2251" t="s">
        <v>13266</v>
      </c>
      <c r="Y2251" t="s">
        <v>4658</v>
      </c>
      <c r="Z2251" t="s">
        <v>958</v>
      </c>
      <c r="AA2251" t="s">
        <v>4659</v>
      </c>
      <c r="AB2251" t="s">
        <v>13267</v>
      </c>
      <c r="AE2251">
        <v>-45.865536210000002</v>
      </c>
      <c r="AF2251">
        <v>170.48630183</v>
      </c>
      <c r="AG2251">
        <v>100</v>
      </c>
      <c r="AH2251">
        <v>35</v>
      </c>
      <c r="AI2251">
        <v>7</v>
      </c>
      <c r="AJ2251">
        <v>20</v>
      </c>
      <c r="AK2251">
        <v>24</v>
      </c>
      <c r="AL2251">
        <v>25</v>
      </c>
      <c r="AM2251">
        <v>22</v>
      </c>
      <c r="AN2251">
        <v>1</v>
      </c>
      <c r="AO2251">
        <v>99</v>
      </c>
      <c r="AP2251">
        <v>79</v>
      </c>
      <c r="AQ2251">
        <v>25</v>
      </c>
      <c r="AR2251">
        <v>3</v>
      </c>
      <c r="AS2251">
        <v>14</v>
      </c>
      <c r="AT2251">
        <v>1</v>
      </c>
    </row>
    <row r="2252" spans="1:46">
      <c r="A2252">
        <v>46155</v>
      </c>
      <c r="B2252" t="s">
        <v>13268</v>
      </c>
      <c r="C2252" t="s">
        <v>13269</v>
      </c>
      <c r="D2252" t="s">
        <v>13270</v>
      </c>
      <c r="E2252" t="s">
        <v>13271</v>
      </c>
      <c r="F2252" t="s">
        <v>2097</v>
      </c>
      <c r="G2252" t="s">
        <v>2081</v>
      </c>
      <c r="H2252" t="s">
        <v>3942</v>
      </c>
      <c r="J2252" t="s">
        <v>3962</v>
      </c>
      <c r="K2252" t="s">
        <v>519</v>
      </c>
      <c r="M2252" t="s">
        <v>1297</v>
      </c>
      <c r="N2252" t="s">
        <v>571</v>
      </c>
      <c r="O2252" t="s">
        <v>2082</v>
      </c>
      <c r="P2252" t="s">
        <v>584</v>
      </c>
      <c r="Q2252" t="s">
        <v>2083</v>
      </c>
      <c r="R2252" t="s">
        <v>2084</v>
      </c>
      <c r="S2252" t="s">
        <v>1473</v>
      </c>
      <c r="T2252" t="s">
        <v>2085</v>
      </c>
      <c r="U2252">
        <v>206200</v>
      </c>
      <c r="V2252" t="s">
        <v>2098</v>
      </c>
      <c r="W2252" t="s">
        <v>2087</v>
      </c>
      <c r="X2252" t="s">
        <v>13272</v>
      </c>
      <c r="Y2252" t="s">
        <v>11598</v>
      </c>
      <c r="Z2252" t="s">
        <v>8510</v>
      </c>
      <c r="AA2252" t="s">
        <v>8662</v>
      </c>
      <c r="AB2252" t="s">
        <v>13273</v>
      </c>
      <c r="AC2252">
        <v>99083</v>
      </c>
      <c r="AD2252" t="s">
        <v>2099</v>
      </c>
      <c r="AE2252">
        <v>-38.636921800000003</v>
      </c>
      <c r="AF2252">
        <v>178.02229389999999</v>
      </c>
      <c r="AG2252">
        <v>110</v>
      </c>
      <c r="AH2252">
        <v>30</v>
      </c>
      <c r="AI2252">
        <v>4</v>
      </c>
      <c r="AJ2252">
        <v>16</v>
      </c>
      <c r="AK2252">
        <v>22</v>
      </c>
      <c r="AL2252">
        <v>21</v>
      </c>
      <c r="AM2252">
        <v>20</v>
      </c>
      <c r="AN2252">
        <v>0</v>
      </c>
      <c r="AO2252">
        <v>83</v>
      </c>
      <c r="AP2252">
        <v>60</v>
      </c>
      <c r="AQ2252">
        <v>23</v>
      </c>
      <c r="AR2252">
        <v>1</v>
      </c>
      <c r="AS2252">
        <v>11</v>
      </c>
      <c r="AT2252">
        <v>9</v>
      </c>
    </row>
    <row r="2253" spans="1:46">
      <c r="A2253">
        <v>46163</v>
      </c>
      <c r="B2253" t="s">
        <v>13274</v>
      </c>
      <c r="C2253" t="s">
        <v>13275</v>
      </c>
      <c r="D2253" t="s">
        <v>12897</v>
      </c>
      <c r="E2253" t="s">
        <v>13276</v>
      </c>
      <c r="F2253" t="s">
        <v>13277</v>
      </c>
      <c r="G2253" t="s">
        <v>2289</v>
      </c>
      <c r="H2253" t="s">
        <v>3942</v>
      </c>
      <c r="J2253" t="s">
        <v>3962</v>
      </c>
      <c r="K2253" t="s">
        <v>519</v>
      </c>
      <c r="M2253" t="s">
        <v>2287</v>
      </c>
      <c r="N2253" t="s">
        <v>571</v>
      </c>
      <c r="O2253" t="s">
        <v>2536</v>
      </c>
      <c r="P2253" t="s">
        <v>654</v>
      </c>
      <c r="Q2253" t="s">
        <v>2319</v>
      </c>
      <c r="R2253" t="s">
        <v>2289</v>
      </c>
      <c r="S2253" t="s">
        <v>2545</v>
      </c>
      <c r="T2253" t="s">
        <v>2448</v>
      </c>
      <c r="U2253">
        <v>248500</v>
      </c>
      <c r="V2253" t="s">
        <v>13277</v>
      </c>
      <c r="W2253" t="s">
        <v>2547</v>
      </c>
      <c r="X2253" t="s">
        <v>12899</v>
      </c>
      <c r="Y2253" t="s">
        <v>4658</v>
      </c>
      <c r="Z2253" t="s">
        <v>958</v>
      </c>
      <c r="AA2253" t="s">
        <v>4659</v>
      </c>
      <c r="AE2253">
        <v>-41.200496579999999</v>
      </c>
      <c r="AF2253">
        <v>174.82688845000001</v>
      </c>
      <c r="AG2253">
        <v>85</v>
      </c>
      <c r="AH2253">
        <v>25</v>
      </c>
      <c r="AI2253">
        <v>4</v>
      </c>
      <c r="AJ2253">
        <v>14</v>
      </c>
      <c r="AK2253">
        <v>24</v>
      </c>
      <c r="AL2253">
        <v>19</v>
      </c>
      <c r="AM2253">
        <v>15</v>
      </c>
      <c r="AN2253">
        <v>0</v>
      </c>
      <c r="AO2253">
        <v>76</v>
      </c>
      <c r="AP2253">
        <v>42</v>
      </c>
      <c r="AQ2253">
        <v>7</v>
      </c>
      <c r="AR2253">
        <v>4</v>
      </c>
      <c r="AS2253">
        <v>31</v>
      </c>
      <c r="AT2253">
        <v>5</v>
      </c>
    </row>
    <row r="2254" spans="1:46">
      <c r="A2254">
        <v>46164</v>
      </c>
      <c r="B2254" t="s">
        <v>13278</v>
      </c>
      <c r="C2254" t="s">
        <v>13279</v>
      </c>
      <c r="E2254" t="s">
        <v>13280</v>
      </c>
      <c r="G2254" t="s">
        <v>2031</v>
      </c>
      <c r="H2254" t="s">
        <v>3942</v>
      </c>
      <c r="J2254" t="s">
        <v>3962</v>
      </c>
      <c r="K2254" t="s">
        <v>519</v>
      </c>
      <c r="M2254" t="s">
        <v>1297</v>
      </c>
      <c r="N2254" t="s">
        <v>557</v>
      </c>
      <c r="O2254" t="s">
        <v>1967</v>
      </c>
      <c r="P2254" t="s">
        <v>523</v>
      </c>
      <c r="Q2254" t="s">
        <v>1636</v>
      </c>
      <c r="R2254" t="s">
        <v>1760</v>
      </c>
      <c r="S2254" t="s">
        <v>1637</v>
      </c>
      <c r="T2254" t="s">
        <v>1485</v>
      </c>
      <c r="U2254">
        <v>226701</v>
      </c>
      <c r="V2254" t="s">
        <v>3599</v>
      </c>
      <c r="W2254" t="s">
        <v>2033</v>
      </c>
      <c r="X2254" t="s">
        <v>13281</v>
      </c>
      <c r="Y2254" t="s">
        <v>4741</v>
      </c>
      <c r="Z2254" t="s">
        <v>2395</v>
      </c>
      <c r="AA2254" t="s">
        <v>4742</v>
      </c>
      <c r="AE2254">
        <v>-40.06816053</v>
      </c>
      <c r="AF2254">
        <v>175.38027413</v>
      </c>
      <c r="AG2254">
        <v>23</v>
      </c>
      <c r="AH2254">
        <v>8</v>
      </c>
      <c r="AI2254">
        <v>2</v>
      </c>
      <c r="AJ2254">
        <v>6</v>
      </c>
      <c r="AK2254">
        <v>2</v>
      </c>
      <c r="AL2254">
        <v>7</v>
      </c>
      <c r="AM2254">
        <v>5</v>
      </c>
      <c r="AN2254">
        <v>0</v>
      </c>
      <c r="AO2254">
        <v>22</v>
      </c>
      <c r="AP2254">
        <v>15</v>
      </c>
      <c r="AQ2254">
        <v>13</v>
      </c>
      <c r="AR2254">
        <v>1</v>
      </c>
      <c r="AS2254">
        <v>2</v>
      </c>
      <c r="AT2254">
        <v>0</v>
      </c>
    </row>
    <row r="2255" spans="1:46">
      <c r="A2255">
        <v>46165</v>
      </c>
      <c r="B2255" t="s">
        <v>13282</v>
      </c>
      <c r="C2255" t="s">
        <v>13283</v>
      </c>
      <c r="D2255" t="s">
        <v>13284</v>
      </c>
      <c r="E2255" t="s">
        <v>13285</v>
      </c>
      <c r="F2255" t="s">
        <v>2130</v>
      </c>
      <c r="G2255" t="s">
        <v>2119</v>
      </c>
      <c r="H2255" t="s">
        <v>3942</v>
      </c>
      <c r="J2255" t="s">
        <v>3962</v>
      </c>
      <c r="K2255" t="s">
        <v>519</v>
      </c>
      <c r="M2255" t="s">
        <v>1297</v>
      </c>
      <c r="N2255" t="s">
        <v>727</v>
      </c>
      <c r="O2255" t="s">
        <v>2131</v>
      </c>
      <c r="P2255" t="s">
        <v>584</v>
      </c>
      <c r="Q2255" t="s">
        <v>2118</v>
      </c>
      <c r="R2255" t="s">
        <v>2084</v>
      </c>
      <c r="S2255" t="s">
        <v>2119</v>
      </c>
      <c r="T2255" t="s">
        <v>2085</v>
      </c>
      <c r="U2255">
        <v>215300</v>
      </c>
      <c r="V2255" t="s">
        <v>2130</v>
      </c>
      <c r="W2255" t="s">
        <v>2132</v>
      </c>
      <c r="X2255" t="s">
        <v>13286</v>
      </c>
      <c r="Y2255" t="s">
        <v>4658</v>
      </c>
      <c r="Z2255" t="s">
        <v>958</v>
      </c>
      <c r="AA2255" t="s">
        <v>4659</v>
      </c>
      <c r="AB2255" t="s">
        <v>13287</v>
      </c>
      <c r="AC2255">
        <v>99002</v>
      </c>
      <c r="AD2255" t="s">
        <v>2133</v>
      </c>
      <c r="AE2255">
        <v>-39.519122799999998</v>
      </c>
      <c r="AF2255">
        <v>176.90119949999999</v>
      </c>
      <c r="AG2255">
        <v>60</v>
      </c>
      <c r="AH2255">
        <v>0</v>
      </c>
      <c r="AI2255">
        <v>0</v>
      </c>
      <c r="AJ2255">
        <v>0</v>
      </c>
      <c r="AK2255">
        <v>11</v>
      </c>
      <c r="AL2255">
        <v>11</v>
      </c>
      <c r="AM2255">
        <v>17</v>
      </c>
      <c r="AN2255">
        <v>4</v>
      </c>
      <c r="AO2255">
        <v>43</v>
      </c>
      <c r="AP2255">
        <v>10</v>
      </c>
      <c r="AQ2255">
        <v>33</v>
      </c>
      <c r="AR2255">
        <v>10</v>
      </c>
      <c r="AS2255">
        <v>1</v>
      </c>
      <c r="AT2255">
        <v>0</v>
      </c>
    </row>
    <row r="2256" spans="1:46">
      <c r="A2256">
        <v>46171</v>
      </c>
      <c r="B2256" t="s">
        <v>13288</v>
      </c>
      <c r="C2256" t="s">
        <v>13289</v>
      </c>
      <c r="E2256" t="s">
        <v>13290</v>
      </c>
      <c r="F2256" t="s">
        <v>1036</v>
      </c>
      <c r="G2256" t="s">
        <v>652</v>
      </c>
      <c r="H2256" t="s">
        <v>3942</v>
      </c>
      <c r="I2256" t="s">
        <v>4575</v>
      </c>
      <c r="J2256" t="s">
        <v>518</v>
      </c>
      <c r="K2256" t="s">
        <v>519</v>
      </c>
      <c r="M2256" t="s">
        <v>520</v>
      </c>
      <c r="N2256" t="s">
        <v>521</v>
      </c>
      <c r="O2256" t="s">
        <v>1216</v>
      </c>
      <c r="P2256" t="s">
        <v>654</v>
      </c>
      <c r="Q2256" t="s">
        <v>638</v>
      </c>
      <c r="R2256" t="s">
        <v>729</v>
      </c>
      <c r="S2256" t="s">
        <v>1036</v>
      </c>
      <c r="T2256" t="s">
        <v>709</v>
      </c>
      <c r="U2256">
        <v>159201</v>
      </c>
      <c r="V2256" t="s">
        <v>12492</v>
      </c>
      <c r="W2256" t="s">
        <v>1219</v>
      </c>
      <c r="X2256" t="s">
        <v>13291</v>
      </c>
      <c r="Y2256" t="s">
        <v>13292</v>
      </c>
      <c r="Z2256" t="s">
        <v>4204</v>
      </c>
      <c r="AA2256" t="s">
        <v>4585</v>
      </c>
      <c r="AB2256" t="s">
        <v>13293</v>
      </c>
      <c r="AE2256">
        <v>-37.021315319999999</v>
      </c>
      <c r="AF2256">
        <v>174.87322413999999</v>
      </c>
      <c r="AG2256">
        <v>50</v>
      </c>
      <c r="AH2256">
        <v>10</v>
      </c>
      <c r="AI2256">
        <v>1</v>
      </c>
      <c r="AJ2256">
        <v>10</v>
      </c>
      <c r="AK2256">
        <v>14</v>
      </c>
      <c r="AL2256">
        <v>15</v>
      </c>
      <c r="AM2256">
        <v>10</v>
      </c>
      <c r="AN2256">
        <v>0</v>
      </c>
      <c r="AO2256">
        <v>50</v>
      </c>
      <c r="AP2256">
        <v>3</v>
      </c>
      <c r="AQ2256">
        <v>8</v>
      </c>
      <c r="AR2256">
        <v>49</v>
      </c>
      <c r="AS2256">
        <v>1</v>
      </c>
      <c r="AT2256">
        <v>0</v>
      </c>
    </row>
    <row r="2257" spans="1:46">
      <c r="A2257">
        <v>46180</v>
      </c>
      <c r="B2257" t="s">
        <v>13294</v>
      </c>
      <c r="C2257" t="s">
        <v>13295</v>
      </c>
      <c r="E2257" t="s">
        <v>13296</v>
      </c>
      <c r="F2257" t="s">
        <v>3278</v>
      </c>
      <c r="G2257" t="s">
        <v>3261</v>
      </c>
      <c r="H2257" t="s">
        <v>3942</v>
      </c>
      <c r="J2257" t="s">
        <v>3962</v>
      </c>
      <c r="K2257" t="s">
        <v>519</v>
      </c>
      <c r="M2257" t="s">
        <v>2287</v>
      </c>
      <c r="N2257" t="s">
        <v>571</v>
      </c>
      <c r="O2257" t="s">
        <v>3249</v>
      </c>
      <c r="P2257" t="s">
        <v>1262</v>
      </c>
      <c r="Q2257" t="s">
        <v>2943</v>
      </c>
      <c r="R2257" t="s">
        <v>2944</v>
      </c>
      <c r="S2257" t="s">
        <v>3219</v>
      </c>
      <c r="T2257" t="s">
        <v>2448</v>
      </c>
      <c r="U2257">
        <v>341000</v>
      </c>
      <c r="V2257" t="s">
        <v>3278</v>
      </c>
      <c r="W2257" t="s">
        <v>3263</v>
      </c>
      <c r="X2257" t="s">
        <v>13297</v>
      </c>
      <c r="Y2257" t="s">
        <v>13298</v>
      </c>
      <c r="AA2257" t="s">
        <v>13299</v>
      </c>
      <c r="AB2257" t="s">
        <v>13300</v>
      </c>
      <c r="AC2257">
        <v>99178</v>
      </c>
      <c r="AD2257" t="s">
        <v>3273</v>
      </c>
      <c r="AE2257">
        <v>-44.403211409999997</v>
      </c>
      <c r="AF2257">
        <v>171.22859224000001</v>
      </c>
      <c r="AG2257">
        <v>35</v>
      </c>
      <c r="AH2257">
        <v>0</v>
      </c>
      <c r="AI2257">
        <v>0</v>
      </c>
      <c r="AJ2257">
        <v>0</v>
      </c>
      <c r="AK2257">
        <v>8</v>
      </c>
      <c r="AL2257">
        <v>11</v>
      </c>
      <c r="AM2257">
        <v>15</v>
      </c>
      <c r="AN2257">
        <v>2</v>
      </c>
      <c r="AO2257">
        <v>36</v>
      </c>
      <c r="AP2257">
        <v>25</v>
      </c>
      <c r="AQ2257">
        <v>3</v>
      </c>
      <c r="AR2257">
        <v>7</v>
      </c>
      <c r="AS2257">
        <v>6</v>
      </c>
      <c r="AT2257">
        <v>3</v>
      </c>
    </row>
    <row r="2258" spans="1:46">
      <c r="A2258">
        <v>46185</v>
      </c>
      <c r="B2258" t="s">
        <v>13301</v>
      </c>
      <c r="C2258" t="s">
        <v>13302</v>
      </c>
      <c r="D2258" t="s">
        <v>13303</v>
      </c>
      <c r="E2258" t="s">
        <v>13304</v>
      </c>
      <c r="F2258" t="s">
        <v>581</v>
      </c>
      <c r="G2258" t="s">
        <v>582</v>
      </c>
      <c r="H2258" t="s">
        <v>3942</v>
      </c>
      <c r="J2258" t="s">
        <v>3962</v>
      </c>
      <c r="K2258" t="s">
        <v>519</v>
      </c>
      <c r="M2258" t="s">
        <v>520</v>
      </c>
      <c r="N2258" t="s">
        <v>557</v>
      </c>
      <c r="O2258" t="s">
        <v>583</v>
      </c>
      <c r="P2258" t="s">
        <v>584</v>
      </c>
      <c r="Q2258" t="s">
        <v>524</v>
      </c>
      <c r="R2258" t="s">
        <v>525</v>
      </c>
      <c r="S2258" t="s">
        <v>585</v>
      </c>
      <c r="T2258" t="s">
        <v>527</v>
      </c>
      <c r="U2258">
        <v>106501</v>
      </c>
      <c r="V2258" t="s">
        <v>4569</v>
      </c>
      <c r="W2258" t="s">
        <v>587</v>
      </c>
      <c r="X2258" t="s">
        <v>13305</v>
      </c>
      <c r="Y2258" t="s">
        <v>13304</v>
      </c>
      <c r="Z2258" t="s">
        <v>13306</v>
      </c>
      <c r="AA2258" t="s">
        <v>4529</v>
      </c>
      <c r="AB2258" t="s">
        <v>13302</v>
      </c>
      <c r="AE2258">
        <v>-35.69184096</v>
      </c>
      <c r="AF2258">
        <v>174.32686992000001</v>
      </c>
      <c r="AG2258">
        <v>30</v>
      </c>
      <c r="AH2258">
        <v>0</v>
      </c>
      <c r="AI2258">
        <v>0</v>
      </c>
      <c r="AJ2258">
        <v>0</v>
      </c>
      <c r="AK2258">
        <v>6</v>
      </c>
      <c r="AL2258">
        <v>17</v>
      </c>
      <c r="AM2258">
        <v>8</v>
      </c>
      <c r="AN2258">
        <v>0</v>
      </c>
      <c r="AO2258">
        <v>31</v>
      </c>
      <c r="AP2258">
        <v>22</v>
      </c>
      <c r="AQ2258">
        <v>18</v>
      </c>
      <c r="AR2258">
        <v>2</v>
      </c>
      <c r="AS2258">
        <v>1</v>
      </c>
      <c r="AT2258">
        <v>1</v>
      </c>
    </row>
    <row r="2259" spans="1:46">
      <c r="A2259">
        <v>46186</v>
      </c>
      <c r="B2259" t="s">
        <v>13307</v>
      </c>
      <c r="C2259" t="s">
        <v>13308</v>
      </c>
      <c r="E2259" t="s">
        <v>13309</v>
      </c>
      <c r="G2259" t="s">
        <v>1697</v>
      </c>
      <c r="H2259" t="s">
        <v>3942</v>
      </c>
      <c r="J2259" t="s">
        <v>3962</v>
      </c>
      <c r="K2259" t="s">
        <v>519</v>
      </c>
      <c r="M2259" t="s">
        <v>1297</v>
      </c>
      <c r="N2259" t="s">
        <v>571</v>
      </c>
      <c r="O2259" t="s">
        <v>1698</v>
      </c>
      <c r="P2259" t="s">
        <v>654</v>
      </c>
      <c r="Q2259" t="s">
        <v>1471</v>
      </c>
      <c r="R2259" t="s">
        <v>1472</v>
      </c>
      <c r="S2259" t="s">
        <v>1598</v>
      </c>
      <c r="T2259" t="s">
        <v>1474</v>
      </c>
      <c r="U2259">
        <v>193900</v>
      </c>
      <c r="V2259" t="s">
        <v>8376</v>
      </c>
      <c r="W2259" t="s">
        <v>1724</v>
      </c>
      <c r="X2259" t="s">
        <v>13310</v>
      </c>
      <c r="Y2259" t="s">
        <v>13311</v>
      </c>
      <c r="AA2259" t="s">
        <v>13312</v>
      </c>
      <c r="AB2259" t="s">
        <v>13308</v>
      </c>
      <c r="AC2259">
        <v>99064</v>
      </c>
      <c r="AD2259" t="s">
        <v>1702</v>
      </c>
      <c r="AE2259">
        <v>-37.644747270000003</v>
      </c>
      <c r="AF2259">
        <v>176.18720830000001</v>
      </c>
      <c r="AG2259">
        <v>50</v>
      </c>
      <c r="AH2259">
        <v>20</v>
      </c>
      <c r="AI2259">
        <v>0</v>
      </c>
      <c r="AJ2259">
        <v>14</v>
      </c>
      <c r="AK2259">
        <v>18</v>
      </c>
      <c r="AL2259">
        <v>5</v>
      </c>
      <c r="AM2259">
        <v>8</v>
      </c>
      <c r="AN2259">
        <v>0</v>
      </c>
      <c r="AO2259">
        <v>45</v>
      </c>
      <c r="AP2259">
        <v>36</v>
      </c>
      <c r="AQ2259">
        <v>9</v>
      </c>
      <c r="AR2259">
        <v>0</v>
      </c>
      <c r="AS2259">
        <v>9</v>
      </c>
      <c r="AT2259">
        <v>5</v>
      </c>
    </row>
    <row r="2260" spans="1:46">
      <c r="A2260">
        <v>46187</v>
      </c>
      <c r="B2260" t="s">
        <v>13313</v>
      </c>
      <c r="C2260" t="s">
        <v>13314</v>
      </c>
      <c r="E2260" t="s">
        <v>13315</v>
      </c>
      <c r="F2260" t="s">
        <v>879</v>
      </c>
      <c r="G2260" t="s">
        <v>652</v>
      </c>
      <c r="H2260" t="s">
        <v>3942</v>
      </c>
      <c r="I2260" t="s">
        <v>4575</v>
      </c>
      <c r="J2260" t="s">
        <v>518</v>
      </c>
      <c r="K2260" t="s">
        <v>519</v>
      </c>
      <c r="M2260" t="s">
        <v>520</v>
      </c>
      <c r="N2260" t="s">
        <v>727</v>
      </c>
      <c r="O2260" t="s">
        <v>829</v>
      </c>
      <c r="P2260" t="s">
        <v>654</v>
      </c>
      <c r="Q2260" t="s">
        <v>638</v>
      </c>
      <c r="R2260" t="s">
        <v>708</v>
      </c>
      <c r="S2260" t="s">
        <v>880</v>
      </c>
      <c r="T2260" t="s">
        <v>709</v>
      </c>
      <c r="U2260">
        <v>144700</v>
      </c>
      <c r="V2260" t="s">
        <v>4826</v>
      </c>
      <c r="W2260" t="s">
        <v>807</v>
      </c>
      <c r="X2260" t="s">
        <v>13316</v>
      </c>
      <c r="Y2260" t="s">
        <v>13317</v>
      </c>
      <c r="Z2260" t="s">
        <v>879</v>
      </c>
      <c r="AA2260" t="s">
        <v>4774</v>
      </c>
      <c r="AB2260" t="s">
        <v>13314</v>
      </c>
      <c r="AE2260">
        <v>-36.873814510000003</v>
      </c>
      <c r="AF2260">
        <v>174.85636775</v>
      </c>
      <c r="AG2260">
        <v>0</v>
      </c>
      <c r="AH2260">
        <v>0</v>
      </c>
      <c r="AI2260">
        <v>0</v>
      </c>
      <c r="AJ2260">
        <v>4</v>
      </c>
      <c r="AK2260">
        <v>4</v>
      </c>
      <c r="AL2260">
        <v>7</v>
      </c>
      <c r="AM2260">
        <v>11</v>
      </c>
      <c r="AN2260">
        <v>2</v>
      </c>
      <c r="AO2260">
        <v>28</v>
      </c>
      <c r="AP2260">
        <v>1</v>
      </c>
      <c r="AQ2260">
        <v>8</v>
      </c>
      <c r="AR2260">
        <v>6</v>
      </c>
      <c r="AS2260">
        <v>2</v>
      </c>
      <c r="AT2260">
        <v>17</v>
      </c>
    </row>
    <row r="2261" spans="1:46">
      <c r="A2261">
        <v>46188</v>
      </c>
      <c r="B2261" t="s">
        <v>13318</v>
      </c>
      <c r="C2261" t="s">
        <v>13319</v>
      </c>
      <c r="E2261" t="s">
        <v>8254</v>
      </c>
      <c r="F2261" t="s">
        <v>8255</v>
      </c>
      <c r="G2261" t="s">
        <v>652</v>
      </c>
      <c r="H2261" t="s">
        <v>4716</v>
      </c>
      <c r="J2261" t="s">
        <v>3962</v>
      </c>
      <c r="K2261" t="s">
        <v>519</v>
      </c>
      <c r="M2261" t="s">
        <v>520</v>
      </c>
      <c r="N2261" t="s">
        <v>571</v>
      </c>
      <c r="O2261" t="s">
        <v>1168</v>
      </c>
      <c r="P2261" t="s">
        <v>654</v>
      </c>
      <c r="Q2261" t="s">
        <v>638</v>
      </c>
      <c r="R2261" t="s">
        <v>639</v>
      </c>
      <c r="S2261" t="s">
        <v>655</v>
      </c>
      <c r="T2261" t="s">
        <v>527</v>
      </c>
      <c r="U2261">
        <v>118600</v>
      </c>
      <c r="V2261" t="s">
        <v>4012</v>
      </c>
      <c r="W2261" t="s">
        <v>657</v>
      </c>
      <c r="X2261" t="s">
        <v>6268</v>
      </c>
      <c r="Y2261" t="s">
        <v>6269</v>
      </c>
      <c r="Z2261" t="s">
        <v>3706</v>
      </c>
      <c r="AA2261" t="s">
        <v>6270</v>
      </c>
      <c r="AB2261" t="s">
        <v>6271</v>
      </c>
      <c r="AE2261">
        <v>-36.745911849999999</v>
      </c>
      <c r="AF2261">
        <v>174.70420583999999</v>
      </c>
      <c r="AG2261">
        <v>50</v>
      </c>
      <c r="AH2261">
        <v>50</v>
      </c>
      <c r="AI2261">
        <v>9</v>
      </c>
      <c r="AJ2261">
        <v>13</v>
      </c>
      <c r="AK2261">
        <v>8</v>
      </c>
      <c r="AL2261">
        <v>11</v>
      </c>
      <c r="AM2261">
        <v>4</v>
      </c>
      <c r="AN2261">
        <v>0</v>
      </c>
      <c r="AO2261">
        <v>45</v>
      </c>
      <c r="AP2261">
        <v>9</v>
      </c>
      <c r="AQ2261">
        <v>0</v>
      </c>
      <c r="AR2261">
        <v>0</v>
      </c>
      <c r="AS2261">
        <v>39</v>
      </c>
      <c r="AT2261">
        <v>1</v>
      </c>
    </row>
    <row r="2262" spans="1:46">
      <c r="A2262">
        <v>46190</v>
      </c>
      <c r="B2262" t="s">
        <v>13320</v>
      </c>
      <c r="C2262" t="s">
        <v>13321</v>
      </c>
      <c r="D2262" t="s">
        <v>13322</v>
      </c>
      <c r="E2262" t="s">
        <v>13323</v>
      </c>
      <c r="F2262" t="s">
        <v>726</v>
      </c>
      <c r="G2262" t="s">
        <v>652</v>
      </c>
      <c r="H2262" t="s">
        <v>3942</v>
      </c>
      <c r="J2262" t="s">
        <v>3962</v>
      </c>
      <c r="K2262" t="s">
        <v>519</v>
      </c>
      <c r="M2262" t="s">
        <v>520</v>
      </c>
      <c r="N2262" t="s">
        <v>727</v>
      </c>
      <c r="O2262" t="s">
        <v>728</v>
      </c>
      <c r="P2262" t="s">
        <v>654</v>
      </c>
      <c r="Q2262" t="s">
        <v>638</v>
      </c>
      <c r="R2262" t="s">
        <v>729</v>
      </c>
      <c r="S2262" t="s">
        <v>778</v>
      </c>
      <c r="T2262" t="s">
        <v>709</v>
      </c>
      <c r="U2262">
        <v>157200</v>
      </c>
      <c r="V2262" t="s">
        <v>5046</v>
      </c>
      <c r="W2262" t="s">
        <v>732</v>
      </c>
      <c r="X2262" t="s">
        <v>13324</v>
      </c>
      <c r="Y2262" t="s">
        <v>13325</v>
      </c>
      <c r="Z2262" t="s">
        <v>5104</v>
      </c>
      <c r="AA2262" t="s">
        <v>3991</v>
      </c>
      <c r="AB2262" t="s">
        <v>13326</v>
      </c>
      <c r="AE2262">
        <v>-36.975637640000002</v>
      </c>
      <c r="AF2262">
        <v>174.89392505000001</v>
      </c>
      <c r="AG2262">
        <v>80</v>
      </c>
      <c r="AH2262">
        <v>20</v>
      </c>
      <c r="AI2262">
        <v>1</v>
      </c>
      <c r="AJ2262">
        <v>6</v>
      </c>
      <c r="AK2262">
        <v>15</v>
      </c>
      <c r="AL2262">
        <v>12</v>
      </c>
      <c r="AM2262">
        <v>21</v>
      </c>
      <c r="AN2262">
        <v>2</v>
      </c>
      <c r="AO2262">
        <v>57</v>
      </c>
      <c r="AP2262">
        <v>5</v>
      </c>
      <c r="AQ2262">
        <v>17</v>
      </c>
      <c r="AR2262">
        <v>43</v>
      </c>
      <c r="AS2262">
        <v>6</v>
      </c>
      <c r="AT2262">
        <v>1</v>
      </c>
    </row>
    <row r="2263" spans="1:46">
      <c r="A2263">
        <v>46192</v>
      </c>
      <c r="B2263" t="s">
        <v>13327</v>
      </c>
      <c r="C2263" t="s">
        <v>13328</v>
      </c>
      <c r="E2263" t="s">
        <v>13329</v>
      </c>
      <c r="F2263" t="s">
        <v>770</v>
      </c>
      <c r="G2263" t="s">
        <v>652</v>
      </c>
      <c r="H2263" t="s">
        <v>3942</v>
      </c>
      <c r="J2263" t="s">
        <v>518</v>
      </c>
      <c r="K2263" t="s">
        <v>519</v>
      </c>
      <c r="M2263" t="s">
        <v>520</v>
      </c>
      <c r="N2263" t="s">
        <v>727</v>
      </c>
      <c r="O2263" t="s">
        <v>718</v>
      </c>
      <c r="P2263" t="s">
        <v>654</v>
      </c>
      <c r="Q2263" t="s">
        <v>638</v>
      </c>
      <c r="R2263" t="s">
        <v>639</v>
      </c>
      <c r="S2263" t="s">
        <v>719</v>
      </c>
      <c r="T2263" t="s">
        <v>709</v>
      </c>
      <c r="U2263">
        <v>132600</v>
      </c>
      <c r="V2263" t="s">
        <v>11742</v>
      </c>
      <c r="W2263" t="s">
        <v>721</v>
      </c>
      <c r="X2263" t="s">
        <v>13330</v>
      </c>
      <c r="Y2263" t="s">
        <v>13331</v>
      </c>
      <c r="Z2263" t="s">
        <v>7192</v>
      </c>
      <c r="AA2263" t="s">
        <v>13332</v>
      </c>
      <c r="AE2263">
        <v>-36.905744009999999</v>
      </c>
      <c r="AF2263">
        <v>174.67468324000001</v>
      </c>
      <c r="AG2263">
        <v>57</v>
      </c>
      <c r="AH2263">
        <v>0</v>
      </c>
      <c r="AI2263">
        <v>0</v>
      </c>
      <c r="AJ2263">
        <v>0</v>
      </c>
      <c r="AK2263">
        <v>7</v>
      </c>
      <c r="AL2263">
        <v>11</v>
      </c>
      <c r="AM2263">
        <v>21</v>
      </c>
      <c r="AN2263">
        <v>0</v>
      </c>
      <c r="AO2263">
        <v>39</v>
      </c>
      <c r="AP2263">
        <v>3</v>
      </c>
      <c r="AQ2263">
        <v>4</v>
      </c>
      <c r="AR2263">
        <v>26</v>
      </c>
      <c r="AS2263">
        <v>11</v>
      </c>
      <c r="AT2263">
        <v>0</v>
      </c>
    </row>
    <row r="2264" spans="1:46">
      <c r="A2264">
        <v>46195</v>
      </c>
      <c r="B2264" t="s">
        <v>13333</v>
      </c>
      <c r="C2264" t="s">
        <v>13334</v>
      </c>
      <c r="E2264" t="s">
        <v>13335</v>
      </c>
      <c r="F2264" t="s">
        <v>2426</v>
      </c>
      <c r="G2264" t="s">
        <v>2427</v>
      </c>
      <c r="H2264" t="s">
        <v>3942</v>
      </c>
      <c r="J2264" t="s">
        <v>518</v>
      </c>
      <c r="K2264" t="s">
        <v>519</v>
      </c>
      <c r="M2264" t="s">
        <v>2287</v>
      </c>
      <c r="N2264" t="s">
        <v>521</v>
      </c>
      <c r="O2264" t="s">
        <v>2428</v>
      </c>
      <c r="P2264" t="s">
        <v>654</v>
      </c>
      <c r="Q2264" t="s">
        <v>2319</v>
      </c>
      <c r="R2264" t="s">
        <v>2289</v>
      </c>
      <c r="S2264" t="s">
        <v>2429</v>
      </c>
      <c r="T2264" t="s">
        <v>2085</v>
      </c>
      <c r="U2264">
        <v>247100</v>
      </c>
      <c r="V2264" t="s">
        <v>13336</v>
      </c>
      <c r="W2264" t="s">
        <v>2431</v>
      </c>
      <c r="X2264" t="s">
        <v>13337</v>
      </c>
      <c r="Y2264" t="s">
        <v>13338</v>
      </c>
      <c r="Z2264" t="s">
        <v>2426</v>
      </c>
      <c r="AA2264" t="s">
        <v>13339</v>
      </c>
      <c r="AB2264" t="s">
        <v>13334</v>
      </c>
      <c r="AC2264">
        <v>99090</v>
      </c>
      <c r="AD2264" t="s">
        <v>2436</v>
      </c>
      <c r="AE2264">
        <v>-41.263543779999999</v>
      </c>
      <c r="AF2264">
        <v>174.94564702</v>
      </c>
      <c r="AG2264">
        <v>34</v>
      </c>
      <c r="AH2264">
        <v>10</v>
      </c>
      <c r="AI2264">
        <v>2</v>
      </c>
      <c r="AJ2264">
        <v>4</v>
      </c>
      <c r="AK2264">
        <v>5</v>
      </c>
      <c r="AL2264">
        <v>10</v>
      </c>
      <c r="AM2264">
        <v>9</v>
      </c>
      <c r="AN2264">
        <v>1</v>
      </c>
      <c r="AO2264">
        <v>31</v>
      </c>
      <c r="AP2264">
        <v>13</v>
      </c>
      <c r="AQ2264">
        <v>14</v>
      </c>
      <c r="AR2264">
        <v>9</v>
      </c>
      <c r="AS2264">
        <v>6</v>
      </c>
      <c r="AT2264">
        <v>0</v>
      </c>
    </row>
    <row r="2265" spans="1:46">
      <c r="A2265">
        <v>46196</v>
      </c>
      <c r="B2265" t="s">
        <v>13340</v>
      </c>
      <c r="C2265" t="s">
        <v>13341</v>
      </c>
      <c r="D2265" t="s">
        <v>13342</v>
      </c>
      <c r="E2265" t="s">
        <v>13343</v>
      </c>
      <c r="F2265" t="s">
        <v>13344</v>
      </c>
      <c r="G2265" t="s">
        <v>2289</v>
      </c>
      <c r="H2265" t="s">
        <v>3942</v>
      </c>
      <c r="J2265" t="s">
        <v>3962</v>
      </c>
      <c r="K2265" t="s">
        <v>519</v>
      </c>
      <c r="M2265" t="s">
        <v>2287</v>
      </c>
      <c r="N2265" t="s">
        <v>571</v>
      </c>
      <c r="O2265" t="s">
        <v>2536</v>
      </c>
      <c r="P2265" t="s">
        <v>654</v>
      </c>
      <c r="Q2265" t="s">
        <v>2319</v>
      </c>
      <c r="R2265" t="s">
        <v>2289</v>
      </c>
      <c r="S2265" t="s">
        <v>2545</v>
      </c>
      <c r="T2265" t="s">
        <v>2448</v>
      </c>
      <c r="U2265">
        <v>250700</v>
      </c>
      <c r="V2265" t="s">
        <v>12164</v>
      </c>
      <c r="W2265" t="s">
        <v>2561</v>
      </c>
      <c r="X2265" t="s">
        <v>13345</v>
      </c>
      <c r="Y2265" t="s">
        <v>4658</v>
      </c>
      <c r="Z2265" t="s">
        <v>958</v>
      </c>
      <c r="AA2265" t="s">
        <v>4659</v>
      </c>
      <c r="AB2265" t="s">
        <v>13346</v>
      </c>
      <c r="AE2265">
        <v>-41.257087409999997</v>
      </c>
      <c r="AF2265">
        <v>174.79440550000001</v>
      </c>
      <c r="AG2265">
        <v>65</v>
      </c>
      <c r="AH2265">
        <v>25</v>
      </c>
      <c r="AI2265">
        <v>2</v>
      </c>
      <c r="AJ2265">
        <v>6</v>
      </c>
      <c r="AK2265">
        <v>9</v>
      </c>
      <c r="AL2265">
        <v>4</v>
      </c>
      <c r="AM2265">
        <v>6</v>
      </c>
      <c r="AN2265">
        <v>0</v>
      </c>
      <c r="AO2265">
        <v>27</v>
      </c>
      <c r="AP2265">
        <v>15</v>
      </c>
      <c r="AQ2265">
        <v>1</v>
      </c>
      <c r="AR2265">
        <v>4</v>
      </c>
      <c r="AS2265">
        <v>11</v>
      </c>
      <c r="AT2265">
        <v>1</v>
      </c>
    </row>
    <row r="2266" spans="1:46">
      <c r="A2266">
        <v>46197</v>
      </c>
      <c r="B2266" t="s">
        <v>13347</v>
      </c>
      <c r="C2266" t="s">
        <v>13348</v>
      </c>
      <c r="D2266" t="s">
        <v>13349</v>
      </c>
      <c r="E2266" t="s">
        <v>13350</v>
      </c>
      <c r="G2266" t="s">
        <v>13351</v>
      </c>
      <c r="H2266" t="s">
        <v>3942</v>
      </c>
      <c r="I2266" t="s">
        <v>4951</v>
      </c>
      <c r="J2266" t="s">
        <v>518</v>
      </c>
      <c r="K2266" t="s">
        <v>519</v>
      </c>
      <c r="M2266" t="s">
        <v>1297</v>
      </c>
      <c r="N2266" t="s">
        <v>521</v>
      </c>
      <c r="O2266" t="s">
        <v>2082</v>
      </c>
      <c r="P2266" t="s">
        <v>540</v>
      </c>
      <c r="Q2266" t="s">
        <v>2083</v>
      </c>
      <c r="R2266" t="s">
        <v>2084</v>
      </c>
      <c r="S2266" t="s">
        <v>1473</v>
      </c>
      <c r="T2266" t="s">
        <v>2085</v>
      </c>
      <c r="U2266">
        <v>204900</v>
      </c>
      <c r="V2266" t="s">
        <v>13352</v>
      </c>
      <c r="W2266" t="s">
        <v>2087</v>
      </c>
      <c r="X2266" t="s">
        <v>13353</v>
      </c>
      <c r="Y2266" t="s">
        <v>13354</v>
      </c>
      <c r="AA2266" t="s">
        <v>13355</v>
      </c>
      <c r="AB2266" t="s">
        <v>13348</v>
      </c>
      <c r="AC2266">
        <v>99162</v>
      </c>
      <c r="AD2266" t="s">
        <v>13356</v>
      </c>
      <c r="AE2266">
        <v>-37.890115100000003</v>
      </c>
      <c r="AF2266">
        <v>178.32088239999999</v>
      </c>
      <c r="AG2266">
        <v>35</v>
      </c>
      <c r="AH2266">
        <v>5</v>
      </c>
      <c r="AI2266">
        <v>0</v>
      </c>
      <c r="AJ2266">
        <v>4</v>
      </c>
      <c r="AK2266">
        <v>8</v>
      </c>
      <c r="AL2266">
        <v>12</v>
      </c>
      <c r="AM2266">
        <v>7</v>
      </c>
      <c r="AN2266">
        <v>0</v>
      </c>
      <c r="AO2266">
        <v>31</v>
      </c>
      <c r="AP2266">
        <v>2</v>
      </c>
      <c r="AQ2266">
        <v>30</v>
      </c>
      <c r="AR2266">
        <v>0</v>
      </c>
      <c r="AS2266">
        <v>1</v>
      </c>
      <c r="AT2266">
        <v>0</v>
      </c>
    </row>
    <row r="2267" spans="1:46">
      <c r="A2267">
        <v>46199</v>
      </c>
      <c r="B2267" t="s">
        <v>13357</v>
      </c>
      <c r="C2267" t="s">
        <v>13358</v>
      </c>
      <c r="D2267" t="s">
        <v>13359</v>
      </c>
      <c r="E2267" t="s">
        <v>13360</v>
      </c>
      <c r="F2267" t="s">
        <v>1366</v>
      </c>
      <c r="G2267" t="s">
        <v>1296</v>
      </c>
      <c r="H2267" t="s">
        <v>3942</v>
      </c>
      <c r="J2267" t="s">
        <v>3962</v>
      </c>
      <c r="K2267" t="s">
        <v>519</v>
      </c>
      <c r="M2267" t="s">
        <v>1297</v>
      </c>
      <c r="N2267" t="s">
        <v>571</v>
      </c>
      <c r="O2267" t="s">
        <v>1298</v>
      </c>
      <c r="P2267" t="s">
        <v>654</v>
      </c>
      <c r="Q2267" t="s">
        <v>1299</v>
      </c>
      <c r="R2267" t="s">
        <v>1300</v>
      </c>
      <c r="S2267" t="s">
        <v>1312</v>
      </c>
      <c r="T2267" t="s">
        <v>1235</v>
      </c>
      <c r="U2267">
        <v>180700</v>
      </c>
      <c r="V2267" t="s">
        <v>1367</v>
      </c>
      <c r="W2267" t="s">
        <v>1314</v>
      </c>
      <c r="X2267" t="s">
        <v>13361</v>
      </c>
      <c r="Y2267" t="s">
        <v>13360</v>
      </c>
      <c r="Z2267" t="s">
        <v>1366</v>
      </c>
      <c r="AA2267" t="s">
        <v>9568</v>
      </c>
      <c r="AB2267" t="s">
        <v>13358</v>
      </c>
      <c r="AE2267">
        <v>-37.798311470000002</v>
      </c>
      <c r="AF2267">
        <v>175.31559109</v>
      </c>
      <c r="AG2267">
        <v>44</v>
      </c>
      <c r="AH2267">
        <v>10</v>
      </c>
      <c r="AI2267">
        <v>2</v>
      </c>
      <c r="AJ2267">
        <v>5</v>
      </c>
      <c r="AK2267">
        <v>11</v>
      </c>
      <c r="AL2267">
        <v>12</v>
      </c>
      <c r="AM2267">
        <v>10</v>
      </c>
      <c r="AN2267">
        <v>0</v>
      </c>
      <c r="AO2267">
        <v>40</v>
      </c>
      <c r="AP2267">
        <v>21</v>
      </c>
      <c r="AQ2267">
        <v>7</v>
      </c>
      <c r="AR2267">
        <v>3</v>
      </c>
      <c r="AS2267">
        <v>14</v>
      </c>
      <c r="AT2267">
        <v>0</v>
      </c>
    </row>
    <row r="2268" spans="1:46">
      <c r="A2268">
        <v>46200</v>
      </c>
      <c r="B2268" t="s">
        <v>13362</v>
      </c>
      <c r="C2268" t="s">
        <v>13363</v>
      </c>
      <c r="E2268" t="s">
        <v>13364</v>
      </c>
      <c r="G2268" t="s">
        <v>1857</v>
      </c>
      <c r="H2268" t="s">
        <v>3942</v>
      </c>
      <c r="J2268" t="s">
        <v>3962</v>
      </c>
      <c r="K2268" t="s">
        <v>519</v>
      </c>
      <c r="M2268" t="s">
        <v>1297</v>
      </c>
      <c r="N2268" t="s">
        <v>571</v>
      </c>
      <c r="O2268" t="s">
        <v>1851</v>
      </c>
      <c r="P2268" t="s">
        <v>523</v>
      </c>
      <c r="Q2268" t="s">
        <v>1759</v>
      </c>
      <c r="R2268" t="s">
        <v>1760</v>
      </c>
      <c r="S2268" t="s">
        <v>1842</v>
      </c>
      <c r="T2268" t="s">
        <v>1485</v>
      </c>
      <c r="U2268">
        <v>221800</v>
      </c>
      <c r="V2268" t="s">
        <v>1858</v>
      </c>
      <c r="W2268" t="s">
        <v>1859</v>
      </c>
      <c r="X2268" t="s">
        <v>13365</v>
      </c>
      <c r="Y2268" t="s">
        <v>13366</v>
      </c>
      <c r="AA2268" t="s">
        <v>10980</v>
      </c>
      <c r="AB2268" t="s">
        <v>13367</v>
      </c>
      <c r="AC2268">
        <v>99167</v>
      </c>
      <c r="AD2268" t="s">
        <v>1860</v>
      </c>
      <c r="AE2268">
        <v>-39.601671600000003</v>
      </c>
      <c r="AF2268">
        <v>174.27752039999999</v>
      </c>
      <c r="AG2268">
        <v>62</v>
      </c>
      <c r="AH2268">
        <v>12</v>
      </c>
      <c r="AI2268">
        <v>3</v>
      </c>
      <c r="AJ2268">
        <v>9</v>
      </c>
      <c r="AK2268">
        <v>4</v>
      </c>
      <c r="AL2268">
        <v>15</v>
      </c>
      <c r="AM2268">
        <v>14</v>
      </c>
      <c r="AN2268">
        <v>0</v>
      </c>
      <c r="AO2268">
        <v>45</v>
      </c>
      <c r="AP2268">
        <v>39</v>
      </c>
      <c r="AQ2268">
        <v>13</v>
      </c>
      <c r="AR2268">
        <v>1</v>
      </c>
      <c r="AS2268">
        <v>2</v>
      </c>
      <c r="AT2268">
        <v>1</v>
      </c>
    </row>
    <row r="2269" spans="1:46">
      <c r="A2269">
        <v>46201</v>
      </c>
      <c r="B2269" t="s">
        <v>13368</v>
      </c>
      <c r="C2269" t="s">
        <v>13369</v>
      </c>
      <c r="E2269" t="s">
        <v>13370</v>
      </c>
      <c r="F2269" t="s">
        <v>11254</v>
      </c>
      <c r="G2269" t="s">
        <v>652</v>
      </c>
      <c r="H2269" t="s">
        <v>3942</v>
      </c>
      <c r="J2269" t="s">
        <v>3962</v>
      </c>
      <c r="K2269" t="s">
        <v>519</v>
      </c>
      <c r="M2269" t="s">
        <v>520</v>
      </c>
      <c r="N2269" t="s">
        <v>571</v>
      </c>
      <c r="O2269" t="s">
        <v>912</v>
      </c>
      <c r="P2269" t="s">
        <v>654</v>
      </c>
      <c r="Q2269" t="s">
        <v>638</v>
      </c>
      <c r="R2269" t="s">
        <v>708</v>
      </c>
      <c r="S2269" t="s">
        <v>913</v>
      </c>
      <c r="T2269" t="s">
        <v>709</v>
      </c>
      <c r="U2269">
        <v>142001</v>
      </c>
      <c r="V2269" t="s">
        <v>13371</v>
      </c>
      <c r="W2269" t="s">
        <v>860</v>
      </c>
      <c r="X2269" t="s">
        <v>13372</v>
      </c>
      <c r="Y2269" t="s">
        <v>13373</v>
      </c>
      <c r="Z2269" t="s">
        <v>5104</v>
      </c>
      <c r="AA2269" t="s">
        <v>3991</v>
      </c>
      <c r="AE2269">
        <v>-36.913615550000003</v>
      </c>
      <c r="AF2269">
        <v>174.75194028999999</v>
      </c>
      <c r="AG2269">
        <v>68</v>
      </c>
      <c r="AH2269">
        <v>20</v>
      </c>
      <c r="AI2269">
        <v>1</v>
      </c>
      <c r="AJ2269">
        <v>12</v>
      </c>
      <c r="AK2269">
        <v>17</v>
      </c>
      <c r="AL2269">
        <v>11</v>
      </c>
      <c r="AM2269">
        <v>19</v>
      </c>
      <c r="AN2269">
        <v>0</v>
      </c>
      <c r="AO2269">
        <v>60</v>
      </c>
      <c r="AP2269">
        <v>5</v>
      </c>
      <c r="AQ2269">
        <v>3</v>
      </c>
      <c r="AR2269">
        <v>13</v>
      </c>
      <c r="AS2269">
        <v>49</v>
      </c>
      <c r="AT2269">
        <v>1</v>
      </c>
    </row>
    <row r="2270" spans="1:46">
      <c r="A2270">
        <v>46202</v>
      </c>
      <c r="B2270" t="s">
        <v>13374</v>
      </c>
      <c r="C2270" t="s">
        <v>13375</v>
      </c>
      <c r="D2270" t="s">
        <v>13376</v>
      </c>
      <c r="E2270" t="s">
        <v>13377</v>
      </c>
      <c r="G2270" t="s">
        <v>2867</v>
      </c>
      <c r="H2270" t="s">
        <v>3942</v>
      </c>
      <c r="I2270" t="s">
        <v>3971</v>
      </c>
      <c r="J2270" t="s">
        <v>3962</v>
      </c>
      <c r="K2270" t="s">
        <v>519</v>
      </c>
      <c r="M2270" t="s">
        <v>2287</v>
      </c>
      <c r="N2270" t="s">
        <v>557</v>
      </c>
      <c r="O2270" t="s">
        <v>2868</v>
      </c>
      <c r="P2270" t="s">
        <v>523</v>
      </c>
      <c r="Q2270" t="s">
        <v>2869</v>
      </c>
      <c r="R2270" t="s">
        <v>2824</v>
      </c>
      <c r="S2270" t="s">
        <v>2870</v>
      </c>
      <c r="T2270" t="s">
        <v>2448</v>
      </c>
      <c r="U2270">
        <v>301200</v>
      </c>
      <c r="V2270" t="s">
        <v>2890</v>
      </c>
      <c r="W2270" t="s">
        <v>2872</v>
      </c>
      <c r="X2270" t="s">
        <v>13378</v>
      </c>
      <c r="Y2270" t="s">
        <v>13379</v>
      </c>
      <c r="AA2270" t="s">
        <v>13380</v>
      </c>
      <c r="AB2270" t="s">
        <v>13375</v>
      </c>
      <c r="AC2270">
        <v>99115</v>
      </c>
      <c r="AD2270" t="s">
        <v>2873</v>
      </c>
      <c r="AE2270">
        <v>-41.112561370000002</v>
      </c>
      <c r="AF2270">
        <v>172.99519215000001</v>
      </c>
      <c r="AG2270">
        <v>29</v>
      </c>
      <c r="AH2270">
        <v>0</v>
      </c>
      <c r="AI2270">
        <v>0</v>
      </c>
      <c r="AJ2270">
        <v>0</v>
      </c>
      <c r="AK2270">
        <v>4</v>
      </c>
      <c r="AL2270">
        <v>5</v>
      </c>
      <c r="AM2270">
        <v>3</v>
      </c>
      <c r="AN2270">
        <v>5</v>
      </c>
      <c r="AO2270">
        <v>17</v>
      </c>
      <c r="AP2270">
        <v>13</v>
      </c>
      <c r="AQ2270">
        <v>4</v>
      </c>
      <c r="AR2270">
        <v>2</v>
      </c>
      <c r="AS2270">
        <v>2</v>
      </c>
      <c r="AT2270">
        <v>0</v>
      </c>
    </row>
    <row r="2271" spans="1:46">
      <c r="A2271">
        <v>46203</v>
      </c>
      <c r="B2271" t="s">
        <v>13381</v>
      </c>
      <c r="C2271" t="s">
        <v>13382</v>
      </c>
      <c r="D2271" t="s">
        <v>13383</v>
      </c>
      <c r="E2271" t="s">
        <v>13384</v>
      </c>
      <c r="G2271" t="s">
        <v>2357</v>
      </c>
      <c r="H2271" t="s">
        <v>3942</v>
      </c>
      <c r="J2271" t="s">
        <v>3962</v>
      </c>
      <c r="K2271" t="s">
        <v>519</v>
      </c>
      <c r="M2271" t="s">
        <v>2287</v>
      </c>
      <c r="N2271" t="s">
        <v>571</v>
      </c>
      <c r="O2271" t="s">
        <v>2358</v>
      </c>
      <c r="P2271" t="s">
        <v>523</v>
      </c>
      <c r="Q2271" t="s">
        <v>2319</v>
      </c>
      <c r="R2271" t="s">
        <v>2289</v>
      </c>
      <c r="S2271" t="s">
        <v>2269</v>
      </c>
      <c r="T2271" t="s">
        <v>2085</v>
      </c>
      <c r="U2271">
        <v>256900</v>
      </c>
      <c r="V2271" t="s">
        <v>13385</v>
      </c>
      <c r="W2271" t="s">
        <v>1652</v>
      </c>
      <c r="X2271" t="s">
        <v>13386</v>
      </c>
      <c r="Y2271" t="s">
        <v>13387</v>
      </c>
      <c r="Z2271" t="s">
        <v>2357</v>
      </c>
      <c r="AA2271" t="s">
        <v>13388</v>
      </c>
      <c r="AB2271" t="s">
        <v>13389</v>
      </c>
      <c r="AE2271">
        <v>-41.021187240000003</v>
      </c>
      <c r="AF2271">
        <v>175.52050754999999</v>
      </c>
      <c r="AG2271">
        <v>30</v>
      </c>
      <c r="AH2271">
        <v>20</v>
      </c>
      <c r="AI2271">
        <v>3</v>
      </c>
      <c r="AJ2271">
        <v>15</v>
      </c>
      <c r="AK2271">
        <v>17</v>
      </c>
      <c r="AL2271">
        <v>0</v>
      </c>
      <c r="AM2271">
        <v>0</v>
      </c>
      <c r="AN2271">
        <v>0</v>
      </c>
      <c r="AO2271">
        <v>35</v>
      </c>
      <c r="AP2271">
        <v>33</v>
      </c>
      <c r="AQ2271">
        <v>3</v>
      </c>
      <c r="AR2271">
        <v>3</v>
      </c>
      <c r="AS2271">
        <v>0</v>
      </c>
      <c r="AT2271">
        <v>1</v>
      </c>
    </row>
    <row r="2272" spans="1:46">
      <c r="A2272">
        <v>46204</v>
      </c>
      <c r="B2272" t="s">
        <v>13390</v>
      </c>
      <c r="C2272" t="s">
        <v>13391</v>
      </c>
      <c r="E2272" t="s">
        <v>13392</v>
      </c>
      <c r="F2272" t="s">
        <v>1345</v>
      </c>
      <c r="G2272" t="s">
        <v>3834</v>
      </c>
      <c r="H2272" t="s">
        <v>3942</v>
      </c>
      <c r="J2272" t="s">
        <v>3962</v>
      </c>
      <c r="K2272" t="s">
        <v>519</v>
      </c>
      <c r="M2272" t="s">
        <v>2287</v>
      </c>
      <c r="N2272" t="s">
        <v>571</v>
      </c>
      <c r="O2272" t="s">
        <v>3835</v>
      </c>
      <c r="P2272" t="s">
        <v>1262</v>
      </c>
      <c r="Q2272" t="s">
        <v>3337</v>
      </c>
      <c r="R2272" t="s">
        <v>3338</v>
      </c>
      <c r="S2272" t="s">
        <v>3361</v>
      </c>
      <c r="T2272" t="s">
        <v>2448</v>
      </c>
      <c r="U2272">
        <v>348400</v>
      </c>
      <c r="V2272" t="s">
        <v>1345</v>
      </c>
      <c r="W2272" t="s">
        <v>3837</v>
      </c>
      <c r="X2272" t="s">
        <v>11810</v>
      </c>
      <c r="Y2272" t="s">
        <v>7663</v>
      </c>
      <c r="Z2272" t="s">
        <v>644</v>
      </c>
      <c r="AA2272" t="s">
        <v>645</v>
      </c>
      <c r="AB2272" t="s">
        <v>11811</v>
      </c>
      <c r="AE2272">
        <v>-45.028489550000003</v>
      </c>
      <c r="AF2272">
        <v>168.7449034</v>
      </c>
      <c r="AG2272">
        <v>80</v>
      </c>
      <c r="AH2272">
        <v>25</v>
      </c>
      <c r="AI2272">
        <v>7</v>
      </c>
      <c r="AJ2272">
        <v>18</v>
      </c>
      <c r="AK2272">
        <v>22</v>
      </c>
      <c r="AL2272">
        <v>23</v>
      </c>
      <c r="AM2272">
        <v>19</v>
      </c>
      <c r="AN2272">
        <v>0</v>
      </c>
      <c r="AO2272">
        <v>89</v>
      </c>
      <c r="AP2272">
        <v>69</v>
      </c>
      <c r="AQ2272">
        <v>4</v>
      </c>
      <c r="AR2272">
        <v>3</v>
      </c>
      <c r="AS2272">
        <v>12</v>
      </c>
      <c r="AT2272">
        <v>15</v>
      </c>
    </row>
    <row r="2273" spans="1:46">
      <c r="A2273">
        <v>46205</v>
      </c>
      <c r="B2273" t="s">
        <v>13393</v>
      </c>
      <c r="C2273" t="s">
        <v>13394</v>
      </c>
      <c r="D2273" t="s">
        <v>8227</v>
      </c>
      <c r="E2273" t="s">
        <v>13395</v>
      </c>
      <c r="G2273" t="s">
        <v>1261</v>
      </c>
      <c r="H2273" t="s">
        <v>3942</v>
      </c>
      <c r="J2273" t="s">
        <v>3962</v>
      </c>
      <c r="K2273" t="s">
        <v>519</v>
      </c>
      <c r="M2273" t="s">
        <v>520</v>
      </c>
      <c r="N2273" t="s">
        <v>571</v>
      </c>
      <c r="O2273" t="s">
        <v>1233</v>
      </c>
      <c r="P2273" t="s">
        <v>1262</v>
      </c>
      <c r="Q2273" t="s">
        <v>638</v>
      </c>
      <c r="R2273" t="s">
        <v>729</v>
      </c>
      <c r="S2273" t="s">
        <v>1246</v>
      </c>
      <c r="T2273" t="s">
        <v>1235</v>
      </c>
      <c r="U2273">
        <v>165400</v>
      </c>
      <c r="V2273" t="s">
        <v>7927</v>
      </c>
      <c r="W2273" t="s">
        <v>1237</v>
      </c>
      <c r="X2273" t="s">
        <v>8229</v>
      </c>
      <c r="Y2273" t="s">
        <v>8228</v>
      </c>
      <c r="AA2273" t="s">
        <v>5078</v>
      </c>
      <c r="AC2273">
        <v>99075</v>
      </c>
      <c r="AD2273" t="s">
        <v>1264</v>
      </c>
      <c r="AE2273">
        <v>-37.18689998</v>
      </c>
      <c r="AF2273">
        <v>174.92204497</v>
      </c>
      <c r="AG2273">
        <v>48</v>
      </c>
      <c r="AH2273">
        <v>15</v>
      </c>
      <c r="AI2273">
        <v>0</v>
      </c>
      <c r="AJ2273">
        <v>1</v>
      </c>
      <c r="AK2273">
        <v>2</v>
      </c>
      <c r="AL2273">
        <v>9</v>
      </c>
      <c r="AM2273">
        <v>4</v>
      </c>
      <c r="AN2273">
        <v>0</v>
      </c>
      <c r="AO2273">
        <v>16</v>
      </c>
      <c r="AP2273">
        <v>10</v>
      </c>
      <c r="AQ2273">
        <v>2</v>
      </c>
      <c r="AR2273">
        <v>0</v>
      </c>
      <c r="AS2273">
        <v>5</v>
      </c>
      <c r="AT2273">
        <v>0</v>
      </c>
    </row>
    <row r="2274" spans="1:46">
      <c r="A2274">
        <v>46206</v>
      </c>
      <c r="B2274" t="s">
        <v>13396</v>
      </c>
      <c r="C2274" t="s">
        <v>13397</v>
      </c>
      <c r="D2274" t="s">
        <v>13398</v>
      </c>
      <c r="E2274" t="s">
        <v>13399</v>
      </c>
      <c r="F2274" t="s">
        <v>717</v>
      </c>
      <c r="G2274" t="s">
        <v>652</v>
      </c>
      <c r="H2274" t="s">
        <v>3942</v>
      </c>
      <c r="I2274" t="s">
        <v>4065</v>
      </c>
      <c r="J2274" t="s">
        <v>3962</v>
      </c>
      <c r="K2274" t="s">
        <v>519</v>
      </c>
      <c r="M2274" t="s">
        <v>520</v>
      </c>
      <c r="N2274" t="s">
        <v>571</v>
      </c>
      <c r="O2274" t="s">
        <v>718</v>
      </c>
      <c r="P2274" t="s">
        <v>654</v>
      </c>
      <c r="Q2274" t="s">
        <v>638</v>
      </c>
      <c r="R2274" t="s">
        <v>708</v>
      </c>
      <c r="S2274" t="s">
        <v>770</v>
      </c>
      <c r="T2274" t="s">
        <v>709</v>
      </c>
      <c r="U2274">
        <v>135000</v>
      </c>
      <c r="V2274" t="s">
        <v>5733</v>
      </c>
      <c r="W2274" t="s">
        <v>721</v>
      </c>
      <c r="X2274" t="s">
        <v>13400</v>
      </c>
      <c r="Y2274" t="s">
        <v>13401</v>
      </c>
      <c r="Z2274" t="s">
        <v>4098</v>
      </c>
      <c r="AA2274" t="s">
        <v>4099</v>
      </c>
      <c r="AE2274">
        <v>-36.900159369999997</v>
      </c>
      <c r="AF2274">
        <v>174.69456676999999</v>
      </c>
      <c r="AG2274">
        <v>36</v>
      </c>
      <c r="AH2274">
        <v>0</v>
      </c>
      <c r="AI2274">
        <v>0</v>
      </c>
      <c r="AJ2274">
        <v>0</v>
      </c>
      <c r="AK2274">
        <v>12</v>
      </c>
      <c r="AL2274">
        <v>9</v>
      </c>
      <c r="AM2274">
        <v>13</v>
      </c>
      <c r="AN2274">
        <v>1</v>
      </c>
      <c r="AO2274">
        <v>35</v>
      </c>
      <c r="AP2274">
        <v>5</v>
      </c>
      <c r="AQ2274">
        <v>0</v>
      </c>
      <c r="AR2274">
        <v>2</v>
      </c>
      <c r="AS2274">
        <v>29</v>
      </c>
      <c r="AT2274">
        <v>3</v>
      </c>
    </row>
    <row r="2275" spans="1:46">
      <c r="A2275">
        <v>46209</v>
      </c>
      <c r="B2275" t="s">
        <v>13402</v>
      </c>
      <c r="C2275" t="s">
        <v>13403</v>
      </c>
      <c r="D2275" t="s">
        <v>13404</v>
      </c>
      <c r="E2275" t="s">
        <v>13405</v>
      </c>
      <c r="G2275" t="s">
        <v>2065</v>
      </c>
      <c r="H2275" t="s">
        <v>6218</v>
      </c>
      <c r="I2275" t="s">
        <v>4951</v>
      </c>
      <c r="J2275" t="s">
        <v>518</v>
      </c>
      <c r="K2275" t="s">
        <v>519</v>
      </c>
      <c r="M2275" t="s">
        <v>2287</v>
      </c>
      <c r="N2275" t="s">
        <v>727</v>
      </c>
      <c r="O2275" t="s">
        <v>2066</v>
      </c>
      <c r="P2275" t="s">
        <v>523</v>
      </c>
      <c r="Q2275" t="s">
        <v>1636</v>
      </c>
      <c r="R2275" t="s">
        <v>2289</v>
      </c>
      <c r="S2275" t="s">
        <v>2067</v>
      </c>
      <c r="T2275" t="s">
        <v>1485</v>
      </c>
      <c r="U2275">
        <v>234301</v>
      </c>
      <c r="V2275" t="s">
        <v>2068</v>
      </c>
      <c r="W2275" t="s">
        <v>2069</v>
      </c>
      <c r="X2275" t="s">
        <v>13406</v>
      </c>
      <c r="Y2275" t="s">
        <v>13405</v>
      </c>
      <c r="AA2275" t="s">
        <v>13407</v>
      </c>
      <c r="AE2275">
        <v>-40.469772370000001</v>
      </c>
      <c r="AF2275">
        <v>175.28181563000001</v>
      </c>
      <c r="AG2275">
        <v>30</v>
      </c>
      <c r="AH2275">
        <v>10</v>
      </c>
      <c r="AI2275">
        <v>1</v>
      </c>
      <c r="AJ2275">
        <v>2</v>
      </c>
      <c r="AK2275">
        <v>4</v>
      </c>
      <c r="AL2275">
        <v>7</v>
      </c>
      <c r="AM2275">
        <v>6</v>
      </c>
      <c r="AN2275">
        <v>0</v>
      </c>
      <c r="AO2275">
        <v>20</v>
      </c>
      <c r="AP2275">
        <v>7</v>
      </c>
      <c r="AQ2275">
        <v>19</v>
      </c>
      <c r="AR2275">
        <v>5</v>
      </c>
      <c r="AS2275">
        <v>0</v>
      </c>
      <c r="AT2275">
        <v>0</v>
      </c>
    </row>
    <row r="2276" spans="1:46">
      <c r="A2276">
        <v>46210</v>
      </c>
      <c r="B2276" t="s">
        <v>13408</v>
      </c>
      <c r="C2276" t="s">
        <v>13409</v>
      </c>
      <c r="D2276" t="s">
        <v>13410</v>
      </c>
      <c r="E2276" t="s">
        <v>13411</v>
      </c>
      <c r="G2276" t="s">
        <v>3359</v>
      </c>
      <c r="H2276" t="s">
        <v>3942</v>
      </c>
      <c r="J2276" t="s">
        <v>3962</v>
      </c>
      <c r="K2276" t="s">
        <v>519</v>
      </c>
      <c r="M2276" t="s">
        <v>2287</v>
      </c>
      <c r="N2276" t="s">
        <v>571</v>
      </c>
      <c r="O2276" t="s">
        <v>3360</v>
      </c>
      <c r="P2276" t="s">
        <v>523</v>
      </c>
      <c r="Q2276" t="s">
        <v>3337</v>
      </c>
      <c r="R2276" t="s">
        <v>3338</v>
      </c>
      <c r="S2276" t="s">
        <v>3361</v>
      </c>
      <c r="T2276" t="s">
        <v>2448</v>
      </c>
      <c r="U2276">
        <v>345500</v>
      </c>
      <c r="V2276" t="s">
        <v>3377</v>
      </c>
      <c r="W2276" t="s">
        <v>3363</v>
      </c>
      <c r="X2276" t="s">
        <v>13412</v>
      </c>
      <c r="Y2276" t="s">
        <v>13413</v>
      </c>
      <c r="AA2276" t="s">
        <v>13414</v>
      </c>
      <c r="AB2276" t="s">
        <v>13415</v>
      </c>
      <c r="AC2276">
        <v>99049</v>
      </c>
      <c r="AD2276" t="s">
        <v>3364</v>
      </c>
      <c r="AE2276">
        <v>-45.245820039999998</v>
      </c>
      <c r="AF2276">
        <v>169.39659996</v>
      </c>
      <c r="AG2276">
        <v>43</v>
      </c>
      <c r="AH2276">
        <v>20</v>
      </c>
      <c r="AI2276">
        <v>3</v>
      </c>
      <c r="AJ2276">
        <v>11</v>
      </c>
      <c r="AK2276">
        <v>13</v>
      </c>
      <c r="AL2276">
        <v>14</v>
      </c>
      <c r="AM2276">
        <v>13</v>
      </c>
      <c r="AN2276">
        <v>0</v>
      </c>
      <c r="AO2276">
        <v>54</v>
      </c>
      <c r="AP2276">
        <v>51</v>
      </c>
      <c r="AQ2276">
        <v>8</v>
      </c>
      <c r="AR2276">
        <v>2</v>
      </c>
      <c r="AS2276">
        <v>1</v>
      </c>
      <c r="AT2276">
        <v>1</v>
      </c>
    </row>
    <row r="2277" spans="1:46">
      <c r="A2277">
        <v>46211</v>
      </c>
      <c r="B2277" t="s">
        <v>13416</v>
      </c>
      <c r="C2277" t="s">
        <v>13417</v>
      </c>
      <c r="E2277" t="s">
        <v>13418</v>
      </c>
      <c r="G2277" t="s">
        <v>8636</v>
      </c>
      <c r="H2277" t="s">
        <v>3942</v>
      </c>
      <c r="J2277" t="s">
        <v>518</v>
      </c>
      <c r="K2277" t="s">
        <v>519</v>
      </c>
      <c r="M2277" t="s">
        <v>1297</v>
      </c>
      <c r="N2277" t="s">
        <v>539</v>
      </c>
      <c r="O2277" t="s">
        <v>8637</v>
      </c>
      <c r="P2277" t="s">
        <v>523</v>
      </c>
      <c r="Q2277" t="s">
        <v>1299</v>
      </c>
      <c r="R2277" t="s">
        <v>1300</v>
      </c>
      <c r="S2277" t="s">
        <v>1417</v>
      </c>
      <c r="T2277" t="s">
        <v>1485</v>
      </c>
      <c r="U2277">
        <v>187400</v>
      </c>
      <c r="V2277" t="s">
        <v>8638</v>
      </c>
      <c r="W2277" t="s">
        <v>8639</v>
      </c>
      <c r="X2277" t="s">
        <v>13419</v>
      </c>
      <c r="Y2277" t="s">
        <v>11626</v>
      </c>
      <c r="AA2277" t="s">
        <v>8642</v>
      </c>
      <c r="AB2277" t="s">
        <v>13420</v>
      </c>
      <c r="AC2277">
        <v>99106</v>
      </c>
      <c r="AD2277" t="s">
        <v>8644</v>
      </c>
      <c r="AE2277">
        <v>-38.333829969999996</v>
      </c>
      <c r="AF2277">
        <v>175.16625995999999</v>
      </c>
      <c r="AG2277">
        <v>50</v>
      </c>
      <c r="AH2277">
        <v>10</v>
      </c>
      <c r="AI2277">
        <v>3</v>
      </c>
      <c r="AJ2277">
        <v>5</v>
      </c>
      <c r="AK2277">
        <v>6</v>
      </c>
      <c r="AL2277">
        <v>16</v>
      </c>
      <c r="AM2277">
        <v>7</v>
      </c>
      <c r="AN2277">
        <v>0</v>
      </c>
      <c r="AO2277">
        <v>37</v>
      </c>
      <c r="AP2277">
        <v>17</v>
      </c>
      <c r="AQ2277">
        <v>31</v>
      </c>
      <c r="AR2277">
        <v>5</v>
      </c>
      <c r="AS2277">
        <v>1</v>
      </c>
      <c r="AT2277">
        <v>1</v>
      </c>
    </row>
    <row r="2278" spans="1:46">
      <c r="A2278">
        <v>46217</v>
      </c>
      <c r="B2278" t="s">
        <v>13421</v>
      </c>
      <c r="C2278" t="s">
        <v>13422</v>
      </c>
      <c r="D2278" t="s">
        <v>13423</v>
      </c>
      <c r="E2278" t="s">
        <v>13424</v>
      </c>
      <c r="F2278" t="s">
        <v>726</v>
      </c>
      <c r="G2278" t="s">
        <v>652</v>
      </c>
      <c r="H2278" t="s">
        <v>3942</v>
      </c>
      <c r="J2278" t="s">
        <v>518</v>
      </c>
      <c r="K2278" t="s">
        <v>519</v>
      </c>
      <c r="M2278" t="s">
        <v>520</v>
      </c>
      <c r="N2278" t="s">
        <v>727</v>
      </c>
      <c r="O2278" t="s">
        <v>728</v>
      </c>
      <c r="P2278" t="s">
        <v>654</v>
      </c>
      <c r="Q2278" t="s">
        <v>638</v>
      </c>
      <c r="R2278" t="s">
        <v>729</v>
      </c>
      <c r="S2278" t="s">
        <v>730</v>
      </c>
      <c r="T2278" t="s">
        <v>709</v>
      </c>
      <c r="U2278">
        <v>155100</v>
      </c>
      <c r="V2278" t="s">
        <v>990</v>
      </c>
      <c r="W2278" t="s">
        <v>732</v>
      </c>
      <c r="X2278" t="s">
        <v>3943</v>
      </c>
      <c r="Y2278" t="s">
        <v>3944</v>
      </c>
      <c r="Z2278" t="s">
        <v>3945</v>
      </c>
      <c r="AA2278" t="s">
        <v>3946</v>
      </c>
      <c r="AB2278" t="s">
        <v>3947</v>
      </c>
      <c r="AE2278">
        <v>-36.953287539999998</v>
      </c>
      <c r="AF2278">
        <v>174.88622598000001</v>
      </c>
      <c r="AG2278">
        <v>80</v>
      </c>
      <c r="AH2278">
        <v>0</v>
      </c>
      <c r="AI2278">
        <v>0</v>
      </c>
      <c r="AJ2278">
        <v>0</v>
      </c>
      <c r="AK2278">
        <v>14</v>
      </c>
      <c r="AL2278">
        <v>22</v>
      </c>
      <c r="AM2278">
        <v>23</v>
      </c>
      <c r="AN2278">
        <v>1</v>
      </c>
      <c r="AO2278">
        <v>60</v>
      </c>
      <c r="AP2278">
        <v>1</v>
      </c>
      <c r="AQ2278">
        <v>8</v>
      </c>
      <c r="AR2278">
        <v>48</v>
      </c>
      <c r="AS2278">
        <v>6</v>
      </c>
      <c r="AT2278">
        <v>3</v>
      </c>
    </row>
    <row r="2279" spans="1:46">
      <c r="A2279">
        <v>46219</v>
      </c>
      <c r="B2279" t="s">
        <v>13425</v>
      </c>
      <c r="C2279" t="s">
        <v>13426</v>
      </c>
      <c r="D2279" t="s">
        <v>13427</v>
      </c>
      <c r="E2279" t="s">
        <v>13428</v>
      </c>
      <c r="G2279" t="s">
        <v>2119</v>
      </c>
      <c r="H2279" t="s">
        <v>4716</v>
      </c>
      <c r="J2279" t="s">
        <v>3962</v>
      </c>
      <c r="K2279" t="s">
        <v>519</v>
      </c>
      <c r="M2279" t="s">
        <v>1297</v>
      </c>
      <c r="N2279" t="s">
        <v>571</v>
      </c>
      <c r="O2279" t="s">
        <v>2131</v>
      </c>
      <c r="P2279" t="s">
        <v>584</v>
      </c>
      <c r="Q2279" t="s">
        <v>2118</v>
      </c>
      <c r="R2279" t="s">
        <v>2084</v>
      </c>
      <c r="S2279" t="s">
        <v>2119</v>
      </c>
      <c r="T2279" t="s">
        <v>2085</v>
      </c>
      <c r="U2279">
        <v>215401</v>
      </c>
      <c r="V2279" t="s">
        <v>8864</v>
      </c>
      <c r="W2279" t="s">
        <v>2140</v>
      </c>
      <c r="X2279" t="s">
        <v>13429</v>
      </c>
      <c r="Y2279" t="s">
        <v>13430</v>
      </c>
      <c r="Z2279" t="s">
        <v>2156</v>
      </c>
      <c r="AA2279" t="s">
        <v>12120</v>
      </c>
      <c r="AB2279" t="s">
        <v>13431</v>
      </c>
      <c r="AE2279">
        <v>-39.526132029999999</v>
      </c>
      <c r="AF2279">
        <v>176.91594617999999</v>
      </c>
      <c r="AG2279">
        <v>80</v>
      </c>
      <c r="AH2279">
        <v>80</v>
      </c>
      <c r="AI2279">
        <v>2</v>
      </c>
      <c r="AJ2279">
        <v>5</v>
      </c>
      <c r="AK2279">
        <v>6</v>
      </c>
      <c r="AL2279">
        <v>9</v>
      </c>
      <c r="AM2279">
        <v>2</v>
      </c>
      <c r="AN2279">
        <v>0</v>
      </c>
      <c r="AO2279">
        <v>24</v>
      </c>
      <c r="AP2279">
        <v>22</v>
      </c>
      <c r="AQ2279">
        <v>6</v>
      </c>
      <c r="AR2279">
        <v>1</v>
      </c>
      <c r="AS2279">
        <v>0</v>
      </c>
      <c r="AT2279">
        <v>0</v>
      </c>
    </row>
    <row r="2280" spans="1:46">
      <c r="A2280">
        <v>46222</v>
      </c>
      <c r="B2280" t="s">
        <v>13432</v>
      </c>
      <c r="C2280" t="s">
        <v>13433</v>
      </c>
      <c r="D2280" t="s">
        <v>13434</v>
      </c>
      <c r="E2280" t="s">
        <v>13435</v>
      </c>
      <c r="F2280" t="s">
        <v>847</v>
      </c>
      <c r="G2280" t="s">
        <v>652</v>
      </c>
      <c r="H2280" t="s">
        <v>343</v>
      </c>
      <c r="J2280" t="s">
        <v>518</v>
      </c>
      <c r="K2280" t="s">
        <v>519</v>
      </c>
      <c r="L2280" t="s">
        <v>4205</v>
      </c>
      <c r="M2280" t="s">
        <v>1297</v>
      </c>
      <c r="N2280" t="s">
        <v>521</v>
      </c>
      <c r="O2280" t="s">
        <v>848</v>
      </c>
      <c r="P2280" t="s">
        <v>654</v>
      </c>
      <c r="Q2280" t="s">
        <v>638</v>
      </c>
      <c r="R2280" t="s">
        <v>1300</v>
      </c>
      <c r="S2280" t="s">
        <v>849</v>
      </c>
      <c r="T2280" t="s">
        <v>709</v>
      </c>
      <c r="U2280">
        <v>147900</v>
      </c>
      <c r="V2280" t="s">
        <v>4739</v>
      </c>
      <c r="W2280" t="s">
        <v>732</v>
      </c>
      <c r="X2280" t="s">
        <v>7630</v>
      </c>
      <c r="Y2280" t="s">
        <v>4208</v>
      </c>
      <c r="Z2280" t="s">
        <v>4209</v>
      </c>
      <c r="AA2280" t="s">
        <v>4210</v>
      </c>
      <c r="AB2280" t="s">
        <v>7631</v>
      </c>
      <c r="AE2280">
        <v>-36.98346557</v>
      </c>
      <c r="AF2280">
        <v>174.76507462999999</v>
      </c>
      <c r="AG2280">
        <v>20</v>
      </c>
      <c r="AH2280">
        <v>8</v>
      </c>
      <c r="AI2280">
        <v>0</v>
      </c>
      <c r="AJ2280">
        <v>2</v>
      </c>
      <c r="AK2280">
        <v>4</v>
      </c>
      <c r="AL2280">
        <v>2</v>
      </c>
      <c r="AM2280">
        <v>5</v>
      </c>
      <c r="AN2280">
        <v>0</v>
      </c>
      <c r="AO2280">
        <v>13</v>
      </c>
      <c r="AP2280">
        <v>0</v>
      </c>
      <c r="AQ2280">
        <v>12</v>
      </c>
      <c r="AR2280">
        <v>1</v>
      </c>
      <c r="AS2280">
        <v>0</v>
      </c>
      <c r="AT2280">
        <v>0</v>
      </c>
    </row>
    <row r="2281" spans="1:46">
      <c r="A2281">
        <v>46223</v>
      </c>
      <c r="B2281" t="s">
        <v>13436</v>
      </c>
      <c r="C2281" t="s">
        <v>13437</v>
      </c>
      <c r="D2281" t="s">
        <v>13438</v>
      </c>
      <c r="E2281" t="s">
        <v>13439</v>
      </c>
      <c r="G2281" t="s">
        <v>3811</v>
      </c>
      <c r="H2281" t="s">
        <v>3942</v>
      </c>
      <c r="J2281" t="s">
        <v>3962</v>
      </c>
      <c r="K2281" t="s">
        <v>519</v>
      </c>
      <c r="M2281" t="s">
        <v>520</v>
      </c>
      <c r="N2281" t="s">
        <v>539</v>
      </c>
      <c r="O2281" t="s">
        <v>1351</v>
      </c>
      <c r="P2281" t="s">
        <v>523</v>
      </c>
      <c r="Q2281" t="s">
        <v>1299</v>
      </c>
      <c r="R2281" t="s">
        <v>729</v>
      </c>
      <c r="S2281" t="s">
        <v>1246</v>
      </c>
      <c r="T2281" t="s">
        <v>1235</v>
      </c>
      <c r="U2281">
        <v>170001</v>
      </c>
      <c r="V2281" t="s">
        <v>4542</v>
      </c>
      <c r="W2281" t="s">
        <v>3813</v>
      </c>
      <c r="X2281" t="s">
        <v>12665</v>
      </c>
      <c r="Y2281" t="s">
        <v>12666</v>
      </c>
      <c r="AA2281" t="s">
        <v>7740</v>
      </c>
      <c r="AE2281">
        <v>-37.258049990000004</v>
      </c>
      <c r="AF2281">
        <v>174.94536998000001</v>
      </c>
      <c r="AG2281">
        <v>118</v>
      </c>
      <c r="AH2281">
        <v>30</v>
      </c>
      <c r="AI2281">
        <v>3</v>
      </c>
      <c r="AJ2281">
        <v>23</v>
      </c>
      <c r="AK2281">
        <v>28</v>
      </c>
      <c r="AL2281">
        <v>27</v>
      </c>
      <c r="AM2281">
        <v>25</v>
      </c>
      <c r="AN2281">
        <v>2</v>
      </c>
      <c r="AO2281">
        <v>108</v>
      </c>
      <c r="AP2281">
        <v>76</v>
      </c>
      <c r="AQ2281">
        <v>46</v>
      </c>
      <c r="AR2281">
        <v>12</v>
      </c>
      <c r="AS2281">
        <v>11</v>
      </c>
      <c r="AT2281">
        <v>11</v>
      </c>
    </row>
    <row r="2282" spans="1:46">
      <c r="A2282">
        <v>46224</v>
      </c>
      <c r="B2282" t="s">
        <v>13440</v>
      </c>
      <c r="C2282" t="s">
        <v>13441</v>
      </c>
      <c r="D2282" t="s">
        <v>13442</v>
      </c>
      <c r="E2282" t="s">
        <v>13443</v>
      </c>
      <c r="F2282" t="s">
        <v>898</v>
      </c>
      <c r="G2282" t="s">
        <v>652</v>
      </c>
      <c r="H2282" t="s">
        <v>3942</v>
      </c>
      <c r="J2282" t="s">
        <v>3962</v>
      </c>
      <c r="K2282" t="s">
        <v>519</v>
      </c>
      <c r="M2282" t="s">
        <v>520</v>
      </c>
      <c r="N2282" t="s">
        <v>571</v>
      </c>
      <c r="O2282" t="s">
        <v>813</v>
      </c>
      <c r="P2282" t="s">
        <v>654</v>
      </c>
      <c r="Q2282" t="s">
        <v>638</v>
      </c>
      <c r="R2282" t="s">
        <v>639</v>
      </c>
      <c r="S2282" t="s">
        <v>899</v>
      </c>
      <c r="T2282" t="s">
        <v>527</v>
      </c>
      <c r="U2282">
        <v>125100</v>
      </c>
      <c r="V2282" t="s">
        <v>4305</v>
      </c>
      <c r="W2282" t="s">
        <v>815</v>
      </c>
      <c r="X2282" t="s">
        <v>13444</v>
      </c>
      <c r="Y2282" t="s">
        <v>13445</v>
      </c>
      <c r="Z2282" t="s">
        <v>898</v>
      </c>
      <c r="AA2282" t="s">
        <v>4307</v>
      </c>
      <c r="AB2282" t="s">
        <v>13446</v>
      </c>
      <c r="AE2282">
        <v>-36.864176530000002</v>
      </c>
      <c r="AF2282">
        <v>174.63342474000001</v>
      </c>
      <c r="AG2282">
        <v>80</v>
      </c>
      <c r="AH2282">
        <v>10</v>
      </c>
      <c r="AI2282">
        <v>0</v>
      </c>
      <c r="AJ2282">
        <v>8</v>
      </c>
      <c r="AK2282">
        <v>10</v>
      </c>
      <c r="AL2282">
        <v>19</v>
      </c>
      <c r="AM2282">
        <v>20</v>
      </c>
      <c r="AN2282">
        <v>2</v>
      </c>
      <c r="AO2282">
        <v>59</v>
      </c>
      <c r="AP2282">
        <v>9</v>
      </c>
      <c r="AQ2282">
        <v>4</v>
      </c>
      <c r="AR2282">
        <v>5</v>
      </c>
      <c r="AS2282">
        <v>41</v>
      </c>
      <c r="AT2282">
        <v>6</v>
      </c>
    </row>
    <row r="2283" spans="1:46">
      <c r="A2283">
        <v>46226</v>
      </c>
      <c r="B2283" t="s">
        <v>13447</v>
      </c>
      <c r="C2283" t="s">
        <v>13448</v>
      </c>
      <c r="D2283" t="s">
        <v>13449</v>
      </c>
      <c r="E2283" t="s">
        <v>8401</v>
      </c>
      <c r="G2283" t="s">
        <v>1598</v>
      </c>
      <c r="H2283" t="s">
        <v>4716</v>
      </c>
      <c r="J2283" t="s">
        <v>3962</v>
      </c>
      <c r="K2283" t="s">
        <v>519</v>
      </c>
      <c r="M2283" t="s">
        <v>520</v>
      </c>
      <c r="N2283" t="s">
        <v>4519</v>
      </c>
      <c r="O2283" t="s">
        <v>1698</v>
      </c>
      <c r="P2283" t="s">
        <v>654</v>
      </c>
      <c r="Q2283" t="s">
        <v>1471</v>
      </c>
      <c r="R2283" t="s">
        <v>708</v>
      </c>
      <c r="S2283" t="s">
        <v>1598</v>
      </c>
      <c r="T2283" t="s">
        <v>1474</v>
      </c>
      <c r="U2283">
        <v>193800</v>
      </c>
      <c r="V2283" t="s">
        <v>8402</v>
      </c>
      <c r="W2283" t="s">
        <v>3724</v>
      </c>
      <c r="X2283" t="s">
        <v>8859</v>
      </c>
      <c r="Y2283" t="s">
        <v>8401</v>
      </c>
      <c r="AA2283" t="s">
        <v>8404</v>
      </c>
      <c r="AB2283" t="s">
        <v>8857</v>
      </c>
      <c r="AE2283">
        <v>-37.684258890000002</v>
      </c>
      <c r="AF2283">
        <v>176.16818183000001</v>
      </c>
      <c r="AG2283">
        <v>50</v>
      </c>
      <c r="AH2283">
        <v>50</v>
      </c>
      <c r="AI2283">
        <v>3</v>
      </c>
      <c r="AJ2283">
        <v>12</v>
      </c>
      <c r="AK2283">
        <v>9</v>
      </c>
      <c r="AL2283">
        <v>6</v>
      </c>
      <c r="AM2283">
        <v>3</v>
      </c>
      <c r="AN2283">
        <v>1</v>
      </c>
      <c r="AO2283">
        <v>34</v>
      </c>
      <c r="AP2283">
        <v>16</v>
      </c>
      <c r="AQ2283">
        <v>1</v>
      </c>
      <c r="AR2283">
        <v>9</v>
      </c>
      <c r="AS2283">
        <v>8</v>
      </c>
      <c r="AT2283">
        <v>7</v>
      </c>
    </row>
    <row r="2284" spans="1:46">
      <c r="A2284">
        <v>46235</v>
      </c>
      <c r="B2284" t="s">
        <v>13450</v>
      </c>
      <c r="C2284" t="s">
        <v>13451</v>
      </c>
      <c r="D2284" t="s">
        <v>13452</v>
      </c>
      <c r="E2284" t="s">
        <v>13453</v>
      </c>
      <c r="F2284" t="s">
        <v>11648</v>
      </c>
      <c r="G2284" t="s">
        <v>2197</v>
      </c>
      <c r="H2284" t="s">
        <v>3942</v>
      </c>
      <c r="I2284" t="s">
        <v>4231</v>
      </c>
      <c r="J2284" t="s">
        <v>518</v>
      </c>
      <c r="K2284" t="s">
        <v>519</v>
      </c>
      <c r="M2284" t="s">
        <v>1297</v>
      </c>
      <c r="N2284" t="s">
        <v>571</v>
      </c>
      <c r="O2284" t="s">
        <v>2198</v>
      </c>
      <c r="P2284" t="s">
        <v>584</v>
      </c>
      <c r="Q2284" t="s">
        <v>2118</v>
      </c>
      <c r="R2284" t="s">
        <v>2084</v>
      </c>
      <c r="S2284" t="s">
        <v>2199</v>
      </c>
      <c r="T2284" t="s">
        <v>2085</v>
      </c>
      <c r="U2284">
        <v>210500</v>
      </c>
      <c r="V2284" t="s">
        <v>11648</v>
      </c>
      <c r="W2284" t="s">
        <v>2200</v>
      </c>
      <c r="X2284" t="s">
        <v>13454</v>
      </c>
      <c r="Y2284" t="s">
        <v>13455</v>
      </c>
      <c r="AA2284" t="s">
        <v>13456</v>
      </c>
      <c r="AC2284">
        <v>99110</v>
      </c>
      <c r="AD2284" t="s">
        <v>4237</v>
      </c>
      <c r="AE2284">
        <v>-39.635414509999997</v>
      </c>
      <c r="AF2284">
        <v>176.84620362999999</v>
      </c>
      <c r="AG2284">
        <v>40</v>
      </c>
      <c r="AH2284">
        <v>0</v>
      </c>
      <c r="AI2284">
        <v>0</v>
      </c>
      <c r="AJ2284">
        <v>0</v>
      </c>
      <c r="AK2284">
        <v>0</v>
      </c>
      <c r="AL2284">
        <v>3</v>
      </c>
      <c r="AM2284">
        <v>9</v>
      </c>
      <c r="AN2284">
        <v>17</v>
      </c>
      <c r="AO2284">
        <v>29</v>
      </c>
      <c r="AP2284">
        <v>26</v>
      </c>
      <c r="AQ2284">
        <v>8</v>
      </c>
      <c r="AR2284">
        <v>1</v>
      </c>
      <c r="AS2284">
        <v>1</v>
      </c>
      <c r="AT2284">
        <v>3</v>
      </c>
    </row>
    <row r="2285" spans="1:46">
      <c r="A2285">
        <v>46238</v>
      </c>
      <c r="B2285" t="s">
        <v>13457</v>
      </c>
      <c r="C2285" t="s">
        <v>13458</v>
      </c>
      <c r="E2285" t="s">
        <v>13459</v>
      </c>
      <c r="F2285" t="s">
        <v>1628</v>
      </c>
      <c r="G2285" t="s">
        <v>1521</v>
      </c>
      <c r="H2285" t="s">
        <v>3942</v>
      </c>
      <c r="J2285" t="s">
        <v>3962</v>
      </c>
      <c r="K2285" t="s">
        <v>519</v>
      </c>
      <c r="M2285" t="s">
        <v>1297</v>
      </c>
      <c r="N2285" t="s">
        <v>539</v>
      </c>
      <c r="O2285" t="s">
        <v>1522</v>
      </c>
      <c r="P2285" t="s">
        <v>584</v>
      </c>
      <c r="Q2285" t="s">
        <v>1471</v>
      </c>
      <c r="R2285" t="s">
        <v>1472</v>
      </c>
      <c r="S2285" t="s">
        <v>1521</v>
      </c>
      <c r="T2285" t="s">
        <v>1474</v>
      </c>
      <c r="U2285">
        <v>201401</v>
      </c>
      <c r="V2285" t="s">
        <v>1629</v>
      </c>
      <c r="W2285" t="s">
        <v>1523</v>
      </c>
      <c r="X2285" t="s">
        <v>13460</v>
      </c>
      <c r="Y2285" t="s">
        <v>13461</v>
      </c>
      <c r="Z2285" t="s">
        <v>1628</v>
      </c>
      <c r="AA2285" t="s">
        <v>8520</v>
      </c>
      <c r="AB2285" t="s">
        <v>13462</v>
      </c>
      <c r="AC2285">
        <v>99017</v>
      </c>
      <c r="AD2285" t="s">
        <v>1630</v>
      </c>
      <c r="AE2285">
        <v>-38.138241100000002</v>
      </c>
      <c r="AF2285">
        <v>176.29882449999999</v>
      </c>
      <c r="AG2285">
        <v>25</v>
      </c>
      <c r="AH2285">
        <v>0</v>
      </c>
      <c r="AI2285">
        <v>0</v>
      </c>
      <c r="AJ2285">
        <v>0</v>
      </c>
      <c r="AK2285">
        <v>3</v>
      </c>
      <c r="AL2285">
        <v>1</v>
      </c>
      <c r="AM2285">
        <v>5</v>
      </c>
      <c r="AN2285">
        <v>0</v>
      </c>
      <c r="AO2285">
        <v>9</v>
      </c>
      <c r="AP2285">
        <v>3</v>
      </c>
      <c r="AQ2285">
        <v>9</v>
      </c>
      <c r="AR2285">
        <v>2</v>
      </c>
      <c r="AS2285">
        <v>0</v>
      </c>
      <c r="AT2285">
        <v>0</v>
      </c>
    </row>
    <row r="2286" spans="1:46">
      <c r="A2286">
        <v>46240</v>
      </c>
      <c r="B2286" t="s">
        <v>13463</v>
      </c>
      <c r="C2286" t="s">
        <v>13464</v>
      </c>
      <c r="D2286" t="s">
        <v>13465</v>
      </c>
      <c r="E2286" t="s">
        <v>13466</v>
      </c>
      <c r="F2286" t="s">
        <v>7155</v>
      </c>
      <c r="G2286" t="s">
        <v>652</v>
      </c>
      <c r="H2286" t="s">
        <v>4716</v>
      </c>
      <c r="J2286" t="s">
        <v>3962</v>
      </c>
      <c r="K2286" t="s">
        <v>519</v>
      </c>
      <c r="M2286" t="s">
        <v>520</v>
      </c>
      <c r="N2286" t="s">
        <v>571</v>
      </c>
      <c r="O2286" t="s">
        <v>857</v>
      </c>
      <c r="P2286" t="s">
        <v>654</v>
      </c>
      <c r="Q2286" t="s">
        <v>638</v>
      </c>
      <c r="R2286" t="s">
        <v>708</v>
      </c>
      <c r="S2286" t="s">
        <v>858</v>
      </c>
      <c r="T2286" t="s">
        <v>709</v>
      </c>
      <c r="U2286">
        <v>133600</v>
      </c>
      <c r="V2286" t="s">
        <v>1012</v>
      </c>
      <c r="W2286" t="s">
        <v>860</v>
      </c>
      <c r="X2286" t="s">
        <v>13467</v>
      </c>
      <c r="Y2286" t="s">
        <v>8723</v>
      </c>
      <c r="Z2286" t="s">
        <v>2216</v>
      </c>
      <c r="AA2286" t="s">
        <v>8724</v>
      </c>
      <c r="AE2286">
        <v>-36.869231489999997</v>
      </c>
      <c r="AF2286">
        <v>174.73003892</v>
      </c>
      <c r="AG2286">
        <v>80</v>
      </c>
      <c r="AH2286">
        <v>80</v>
      </c>
      <c r="AI2286">
        <v>5</v>
      </c>
      <c r="AJ2286">
        <v>2</v>
      </c>
      <c r="AK2286">
        <v>8</v>
      </c>
      <c r="AL2286">
        <v>5</v>
      </c>
      <c r="AM2286">
        <v>1</v>
      </c>
      <c r="AN2286">
        <v>0</v>
      </c>
      <c r="AO2286">
        <v>21</v>
      </c>
      <c r="AP2286">
        <v>21</v>
      </c>
      <c r="AQ2286">
        <v>4</v>
      </c>
      <c r="AR2286">
        <v>0</v>
      </c>
      <c r="AS2286">
        <v>3</v>
      </c>
      <c r="AT2286">
        <v>0</v>
      </c>
    </row>
    <row r="2287" spans="1:46">
      <c r="A2287">
        <v>46252</v>
      </c>
      <c r="B2287" t="s">
        <v>13468</v>
      </c>
      <c r="E2287" t="s">
        <v>13469</v>
      </c>
      <c r="F2287" t="s">
        <v>13470</v>
      </c>
      <c r="G2287" t="s">
        <v>3382</v>
      </c>
      <c r="H2287" t="s">
        <v>517</v>
      </c>
      <c r="J2287" t="s">
        <v>518</v>
      </c>
      <c r="K2287" t="s">
        <v>519</v>
      </c>
      <c r="M2287" t="s">
        <v>2287</v>
      </c>
      <c r="N2287" t="s">
        <v>571</v>
      </c>
      <c r="O2287" t="s">
        <v>3383</v>
      </c>
      <c r="P2287" t="s">
        <v>654</v>
      </c>
      <c r="Q2287" t="s">
        <v>3337</v>
      </c>
      <c r="R2287" t="s">
        <v>3338</v>
      </c>
      <c r="S2287" t="s">
        <v>3382</v>
      </c>
      <c r="T2287" t="s">
        <v>2448</v>
      </c>
      <c r="U2287">
        <v>355100</v>
      </c>
      <c r="V2287" t="s">
        <v>13471</v>
      </c>
      <c r="W2287" t="s">
        <v>1652</v>
      </c>
      <c r="X2287" t="s">
        <v>3385</v>
      </c>
      <c r="Y2287" t="s">
        <v>3386</v>
      </c>
      <c r="Z2287" t="s">
        <v>3387</v>
      </c>
      <c r="AA2287" t="s">
        <v>3388</v>
      </c>
      <c r="AB2287" t="s">
        <v>3389</v>
      </c>
      <c r="AE2287">
        <v>-45.839091330000002</v>
      </c>
      <c r="AF2287">
        <v>170.65513910000001</v>
      </c>
      <c r="AG2287">
        <v>32</v>
      </c>
      <c r="AH2287">
        <v>0</v>
      </c>
      <c r="AI2287">
        <v>0</v>
      </c>
      <c r="AJ2287">
        <v>0</v>
      </c>
      <c r="AK2287">
        <v>6</v>
      </c>
      <c r="AL2287">
        <v>7</v>
      </c>
      <c r="AM2287">
        <v>10</v>
      </c>
      <c r="AN2287">
        <v>0</v>
      </c>
      <c r="AO2287">
        <v>23</v>
      </c>
      <c r="AP2287">
        <v>22</v>
      </c>
      <c r="AQ2287">
        <v>5</v>
      </c>
      <c r="AR2287">
        <v>0</v>
      </c>
      <c r="AS2287">
        <v>0</v>
      </c>
      <c r="AT2287">
        <v>0</v>
      </c>
    </row>
    <row r="2288" spans="1:46">
      <c r="A2288">
        <v>46253</v>
      </c>
      <c r="B2288" t="s">
        <v>13472</v>
      </c>
      <c r="C2288" t="s">
        <v>13473</v>
      </c>
      <c r="D2288" t="s">
        <v>13474</v>
      </c>
      <c r="E2288" t="s">
        <v>13475</v>
      </c>
      <c r="G2288" t="s">
        <v>5579</v>
      </c>
      <c r="H2288" t="s">
        <v>4716</v>
      </c>
      <c r="J2288" t="s">
        <v>3962</v>
      </c>
      <c r="K2288" t="s">
        <v>519</v>
      </c>
      <c r="M2288" t="s">
        <v>520</v>
      </c>
      <c r="N2288" t="s">
        <v>571</v>
      </c>
      <c r="O2288" t="s">
        <v>637</v>
      </c>
      <c r="P2288" t="s">
        <v>572</v>
      </c>
      <c r="Q2288" t="s">
        <v>638</v>
      </c>
      <c r="R2288" t="s">
        <v>639</v>
      </c>
      <c r="S2288" t="s">
        <v>640</v>
      </c>
      <c r="T2288" t="s">
        <v>527</v>
      </c>
      <c r="U2288">
        <v>113201</v>
      </c>
      <c r="V2288" t="s">
        <v>4317</v>
      </c>
      <c r="W2288" t="s">
        <v>641</v>
      </c>
      <c r="X2288" t="s">
        <v>13476</v>
      </c>
      <c r="Y2288" t="s">
        <v>13475</v>
      </c>
      <c r="AA2288" t="s">
        <v>6212</v>
      </c>
      <c r="AB2288" t="s">
        <v>13477</v>
      </c>
      <c r="AE2288">
        <v>-36.794480270000001</v>
      </c>
      <c r="AF2288">
        <v>174.48642727999999</v>
      </c>
      <c r="AG2288">
        <v>20</v>
      </c>
      <c r="AH2288">
        <v>20</v>
      </c>
      <c r="AI2288">
        <v>0</v>
      </c>
      <c r="AJ2288">
        <v>1</v>
      </c>
      <c r="AK2288">
        <v>1</v>
      </c>
      <c r="AL2288">
        <v>0</v>
      </c>
      <c r="AM2288">
        <v>0</v>
      </c>
      <c r="AN2288">
        <v>0</v>
      </c>
      <c r="AO2288">
        <v>2</v>
      </c>
      <c r="AP2288">
        <v>2</v>
      </c>
      <c r="AQ2288">
        <v>0</v>
      </c>
      <c r="AR2288">
        <v>0</v>
      </c>
      <c r="AS2288">
        <v>0</v>
      </c>
      <c r="AT2288">
        <v>0</v>
      </c>
    </row>
    <row r="2289" spans="1:46">
      <c r="A2289">
        <v>46255</v>
      </c>
      <c r="B2289" t="s">
        <v>13478</v>
      </c>
      <c r="C2289" t="s">
        <v>13479</v>
      </c>
      <c r="E2289" t="s">
        <v>13480</v>
      </c>
      <c r="G2289" t="s">
        <v>13481</v>
      </c>
      <c r="H2289" t="s">
        <v>3942</v>
      </c>
      <c r="J2289" t="s">
        <v>518</v>
      </c>
      <c r="K2289" t="s">
        <v>519</v>
      </c>
      <c r="M2289" t="s">
        <v>2287</v>
      </c>
      <c r="N2289" t="s">
        <v>4519</v>
      </c>
      <c r="O2289" t="s">
        <v>13482</v>
      </c>
      <c r="P2289" t="s">
        <v>523</v>
      </c>
      <c r="Q2289" t="s">
        <v>2943</v>
      </c>
      <c r="R2289" t="s">
        <v>2944</v>
      </c>
      <c r="S2289" t="s">
        <v>2825</v>
      </c>
      <c r="T2289" t="s">
        <v>2448</v>
      </c>
      <c r="U2289">
        <v>312901</v>
      </c>
      <c r="V2289" t="s">
        <v>13481</v>
      </c>
      <c r="W2289" t="s">
        <v>13483</v>
      </c>
      <c r="X2289" t="s">
        <v>13484</v>
      </c>
      <c r="Y2289" t="s">
        <v>13485</v>
      </c>
      <c r="AA2289" t="s">
        <v>13486</v>
      </c>
      <c r="AB2289" t="s">
        <v>13487</v>
      </c>
      <c r="AC2289">
        <v>99077</v>
      </c>
      <c r="AD2289" t="s">
        <v>2968</v>
      </c>
      <c r="AE2289">
        <v>-43.152116489999997</v>
      </c>
      <c r="AF2289">
        <v>172.72393094</v>
      </c>
      <c r="AG2289">
        <v>26</v>
      </c>
      <c r="AH2289">
        <v>0</v>
      </c>
      <c r="AI2289">
        <v>0</v>
      </c>
      <c r="AJ2289">
        <v>0</v>
      </c>
      <c r="AK2289">
        <v>0</v>
      </c>
      <c r="AL2289">
        <v>7</v>
      </c>
      <c r="AM2289">
        <v>14</v>
      </c>
      <c r="AN2289">
        <v>3</v>
      </c>
      <c r="AO2289">
        <v>24</v>
      </c>
      <c r="AP2289">
        <v>19</v>
      </c>
      <c r="AQ2289">
        <v>3</v>
      </c>
      <c r="AR2289">
        <v>0</v>
      </c>
      <c r="AS2289">
        <v>2</v>
      </c>
      <c r="AT2289">
        <v>2</v>
      </c>
    </row>
    <row r="2290" spans="1:46">
      <c r="A2290">
        <v>46256</v>
      </c>
      <c r="B2290" t="s">
        <v>13488</v>
      </c>
      <c r="C2290" t="s">
        <v>13489</v>
      </c>
      <c r="D2290" t="s">
        <v>13490</v>
      </c>
      <c r="E2290" t="s">
        <v>13491</v>
      </c>
      <c r="F2290" t="s">
        <v>828</v>
      </c>
      <c r="G2290" t="s">
        <v>652</v>
      </c>
      <c r="H2290" t="s">
        <v>3942</v>
      </c>
      <c r="J2290" t="s">
        <v>3962</v>
      </c>
      <c r="K2290" t="s">
        <v>519</v>
      </c>
      <c r="M2290" t="s">
        <v>520</v>
      </c>
      <c r="N2290" t="s">
        <v>4519</v>
      </c>
      <c r="O2290" t="s">
        <v>829</v>
      </c>
      <c r="P2290" t="s">
        <v>654</v>
      </c>
      <c r="Q2290" t="s">
        <v>638</v>
      </c>
      <c r="R2290" t="s">
        <v>708</v>
      </c>
      <c r="S2290" t="s">
        <v>805</v>
      </c>
      <c r="T2290" t="s">
        <v>709</v>
      </c>
      <c r="U2290">
        <v>145600</v>
      </c>
      <c r="V2290" t="s">
        <v>13492</v>
      </c>
      <c r="W2290" t="s">
        <v>807</v>
      </c>
      <c r="X2290" t="s">
        <v>13493</v>
      </c>
      <c r="Y2290" t="s">
        <v>13494</v>
      </c>
      <c r="Z2290" t="s">
        <v>749</v>
      </c>
      <c r="AA2290" t="s">
        <v>4289</v>
      </c>
      <c r="AE2290">
        <v>-36.917870010000001</v>
      </c>
      <c r="AF2290">
        <v>174.80088705</v>
      </c>
      <c r="AG2290">
        <v>95</v>
      </c>
      <c r="AH2290">
        <v>35</v>
      </c>
      <c r="AI2290">
        <v>1</v>
      </c>
      <c r="AJ2290">
        <v>27</v>
      </c>
      <c r="AK2290">
        <v>24</v>
      </c>
      <c r="AL2290">
        <v>16</v>
      </c>
      <c r="AM2290">
        <v>22</v>
      </c>
      <c r="AN2290">
        <v>0</v>
      </c>
      <c r="AO2290">
        <v>90</v>
      </c>
      <c r="AP2290">
        <v>76</v>
      </c>
      <c r="AQ2290">
        <v>11</v>
      </c>
      <c r="AR2290">
        <v>3</v>
      </c>
      <c r="AS2290">
        <v>17</v>
      </c>
      <c r="AT2290">
        <v>4</v>
      </c>
    </row>
    <row r="2291" spans="1:46">
      <c r="A2291">
        <v>46263</v>
      </c>
      <c r="B2291" t="s">
        <v>13495</v>
      </c>
      <c r="C2291" t="s">
        <v>13496</v>
      </c>
      <c r="E2291" t="s">
        <v>13497</v>
      </c>
      <c r="G2291" t="s">
        <v>3335</v>
      </c>
      <c r="H2291" t="s">
        <v>517</v>
      </c>
      <c r="J2291" t="s">
        <v>518</v>
      </c>
      <c r="K2291" t="s">
        <v>519</v>
      </c>
      <c r="M2291" t="s">
        <v>2287</v>
      </c>
      <c r="N2291" t="s">
        <v>539</v>
      </c>
      <c r="O2291" t="s">
        <v>3336</v>
      </c>
      <c r="P2291" t="s">
        <v>1262</v>
      </c>
      <c r="Q2291" t="s">
        <v>3337</v>
      </c>
      <c r="R2291" t="s">
        <v>3338</v>
      </c>
      <c r="S2291" t="s">
        <v>3250</v>
      </c>
      <c r="T2291" t="s">
        <v>2448</v>
      </c>
      <c r="U2291">
        <v>344200</v>
      </c>
      <c r="V2291" t="s">
        <v>13498</v>
      </c>
      <c r="W2291" t="s">
        <v>3340</v>
      </c>
      <c r="X2291" t="s">
        <v>3341</v>
      </c>
      <c r="Y2291" t="s">
        <v>3342</v>
      </c>
      <c r="AA2291" t="s">
        <v>3343</v>
      </c>
      <c r="AB2291" t="s">
        <v>3344</v>
      </c>
      <c r="AE2291">
        <v>-45.091676229999997</v>
      </c>
      <c r="AF2291">
        <v>170.97095103999999</v>
      </c>
      <c r="AG2291">
        <v>40</v>
      </c>
      <c r="AH2291">
        <v>0</v>
      </c>
      <c r="AI2291">
        <v>0</v>
      </c>
      <c r="AJ2291">
        <v>0</v>
      </c>
      <c r="AK2291">
        <v>5</v>
      </c>
      <c r="AL2291">
        <v>16</v>
      </c>
      <c r="AM2291">
        <v>24</v>
      </c>
      <c r="AN2291">
        <v>0</v>
      </c>
      <c r="AO2291">
        <v>45</v>
      </c>
      <c r="AP2291">
        <v>33</v>
      </c>
      <c r="AQ2291">
        <v>9</v>
      </c>
      <c r="AR2291">
        <v>11</v>
      </c>
      <c r="AS2291">
        <v>9</v>
      </c>
      <c r="AT2291">
        <v>1</v>
      </c>
    </row>
    <row r="2292" spans="1:46">
      <c r="A2292">
        <v>46264</v>
      </c>
      <c r="B2292" t="s">
        <v>13499</v>
      </c>
      <c r="C2292" t="s">
        <v>13500</v>
      </c>
      <c r="D2292" t="s">
        <v>13501</v>
      </c>
      <c r="E2292" t="s">
        <v>13502</v>
      </c>
      <c r="G2292" t="s">
        <v>1619</v>
      </c>
      <c r="H2292" t="s">
        <v>3942</v>
      </c>
      <c r="J2292" t="s">
        <v>3962</v>
      </c>
      <c r="K2292" t="s">
        <v>519</v>
      </c>
      <c r="M2292" t="s">
        <v>1297</v>
      </c>
      <c r="N2292" t="s">
        <v>557</v>
      </c>
      <c r="O2292" t="s">
        <v>1620</v>
      </c>
      <c r="P2292" t="s">
        <v>523</v>
      </c>
      <c r="Q2292" t="s">
        <v>1299</v>
      </c>
      <c r="R2292" t="s">
        <v>1300</v>
      </c>
      <c r="S2292" t="s">
        <v>1417</v>
      </c>
      <c r="T2292" t="s">
        <v>1485</v>
      </c>
      <c r="U2292">
        <v>185500</v>
      </c>
      <c r="V2292" t="s">
        <v>1621</v>
      </c>
      <c r="W2292" t="s">
        <v>1622</v>
      </c>
      <c r="X2292" t="s">
        <v>13503</v>
      </c>
      <c r="Y2292" t="s">
        <v>13504</v>
      </c>
      <c r="AA2292" t="s">
        <v>7740</v>
      </c>
      <c r="AB2292" t="s">
        <v>13505</v>
      </c>
      <c r="AE2292">
        <v>-38.190544170000003</v>
      </c>
      <c r="AF2292">
        <v>175.20833388</v>
      </c>
      <c r="AG2292">
        <v>35</v>
      </c>
      <c r="AH2292">
        <v>14</v>
      </c>
      <c r="AI2292">
        <v>3</v>
      </c>
      <c r="AJ2292">
        <v>9</v>
      </c>
      <c r="AK2292">
        <v>9</v>
      </c>
      <c r="AL2292">
        <v>16</v>
      </c>
      <c r="AM2292">
        <v>8</v>
      </c>
      <c r="AN2292">
        <v>0</v>
      </c>
      <c r="AO2292">
        <v>45</v>
      </c>
      <c r="AP2292">
        <v>42</v>
      </c>
      <c r="AQ2292">
        <v>18</v>
      </c>
      <c r="AR2292">
        <v>0</v>
      </c>
      <c r="AS2292">
        <v>1</v>
      </c>
      <c r="AT2292">
        <v>0</v>
      </c>
    </row>
    <row r="2293" spans="1:46">
      <c r="A2293">
        <v>46267</v>
      </c>
      <c r="B2293" t="s">
        <v>13506</v>
      </c>
      <c r="C2293" t="s">
        <v>13507</v>
      </c>
      <c r="D2293" t="s">
        <v>13508</v>
      </c>
      <c r="E2293" t="s">
        <v>13509</v>
      </c>
      <c r="F2293" t="s">
        <v>1035</v>
      </c>
      <c r="G2293" t="s">
        <v>652</v>
      </c>
      <c r="H2293" t="s">
        <v>3942</v>
      </c>
      <c r="J2293" t="s">
        <v>3962</v>
      </c>
      <c r="K2293" t="s">
        <v>519</v>
      </c>
      <c r="M2293" t="s">
        <v>520</v>
      </c>
      <c r="N2293" t="s">
        <v>539</v>
      </c>
      <c r="O2293" t="s">
        <v>728</v>
      </c>
      <c r="P2293" t="s">
        <v>654</v>
      </c>
      <c r="Q2293" t="s">
        <v>638</v>
      </c>
      <c r="R2293" t="s">
        <v>729</v>
      </c>
      <c r="S2293" t="s">
        <v>730</v>
      </c>
      <c r="T2293" t="s">
        <v>709</v>
      </c>
      <c r="U2293">
        <v>155601</v>
      </c>
      <c r="V2293" t="s">
        <v>13510</v>
      </c>
      <c r="W2293" t="s">
        <v>732</v>
      </c>
      <c r="X2293" t="s">
        <v>13511</v>
      </c>
      <c r="Y2293" t="s">
        <v>13512</v>
      </c>
      <c r="Z2293" t="s">
        <v>5158</v>
      </c>
      <c r="AA2293" t="s">
        <v>4382</v>
      </c>
      <c r="AB2293" t="s">
        <v>13513</v>
      </c>
      <c r="AE2293">
        <v>-36.969468810000002</v>
      </c>
      <c r="AF2293">
        <v>174.86601277</v>
      </c>
      <c r="AG2293">
        <v>42</v>
      </c>
      <c r="AH2293">
        <v>10</v>
      </c>
      <c r="AI2293">
        <v>1</v>
      </c>
      <c r="AJ2293">
        <v>1</v>
      </c>
      <c r="AK2293">
        <v>12</v>
      </c>
      <c r="AL2293">
        <v>10</v>
      </c>
      <c r="AM2293">
        <v>9</v>
      </c>
      <c r="AN2293">
        <v>1</v>
      </c>
      <c r="AO2293">
        <v>34</v>
      </c>
      <c r="AP2293">
        <v>0</v>
      </c>
      <c r="AQ2293">
        <v>1</v>
      </c>
      <c r="AR2293">
        <v>0</v>
      </c>
      <c r="AS2293">
        <v>33</v>
      </c>
      <c r="AT2293">
        <v>0</v>
      </c>
    </row>
    <row r="2294" spans="1:46">
      <c r="A2294">
        <v>46270</v>
      </c>
      <c r="B2294" t="s">
        <v>13514</v>
      </c>
      <c r="C2294" t="s">
        <v>13515</v>
      </c>
      <c r="E2294" t="s">
        <v>13516</v>
      </c>
      <c r="F2294" t="s">
        <v>1605</v>
      </c>
      <c r="G2294" t="s">
        <v>1521</v>
      </c>
      <c r="H2294" t="s">
        <v>3942</v>
      </c>
      <c r="J2294" t="s">
        <v>3962</v>
      </c>
      <c r="K2294" t="s">
        <v>519</v>
      </c>
      <c r="M2294" t="s">
        <v>1297</v>
      </c>
      <c r="N2294" t="s">
        <v>571</v>
      </c>
      <c r="O2294" t="s">
        <v>1522</v>
      </c>
      <c r="P2294" t="s">
        <v>572</v>
      </c>
      <c r="Q2294" t="s">
        <v>1471</v>
      </c>
      <c r="R2294" t="s">
        <v>1472</v>
      </c>
      <c r="S2294" t="s">
        <v>1521</v>
      </c>
      <c r="T2294" t="s">
        <v>1474</v>
      </c>
      <c r="U2294">
        <v>197700</v>
      </c>
      <c r="V2294" t="s">
        <v>13517</v>
      </c>
      <c r="W2294" t="s">
        <v>9827</v>
      </c>
      <c r="X2294" t="s">
        <v>13518</v>
      </c>
      <c r="Y2294" t="s">
        <v>13519</v>
      </c>
      <c r="Z2294" t="s">
        <v>1605</v>
      </c>
      <c r="AA2294" t="s">
        <v>13520</v>
      </c>
      <c r="AB2294" t="s">
        <v>13521</v>
      </c>
      <c r="AC2294">
        <v>99107</v>
      </c>
      <c r="AD2294" t="s">
        <v>1526</v>
      </c>
      <c r="AE2294">
        <v>-38.058057099999999</v>
      </c>
      <c r="AF2294">
        <v>176.20684800000001</v>
      </c>
      <c r="AG2294">
        <v>50</v>
      </c>
      <c r="AH2294">
        <v>10</v>
      </c>
      <c r="AI2294">
        <v>0</v>
      </c>
      <c r="AJ2294">
        <v>9</v>
      </c>
      <c r="AK2294">
        <v>15</v>
      </c>
      <c r="AL2294">
        <v>20</v>
      </c>
      <c r="AM2294">
        <v>16</v>
      </c>
      <c r="AN2294">
        <v>0</v>
      </c>
      <c r="AO2294">
        <v>60</v>
      </c>
      <c r="AP2294">
        <v>56</v>
      </c>
      <c r="AQ2294">
        <v>12</v>
      </c>
      <c r="AR2294">
        <v>1</v>
      </c>
      <c r="AS2294">
        <v>0</v>
      </c>
      <c r="AT2294">
        <v>4</v>
      </c>
    </row>
    <row r="2295" spans="1:46">
      <c r="A2295">
        <v>46272</v>
      </c>
      <c r="B2295" t="s">
        <v>13522</v>
      </c>
      <c r="C2295" t="s">
        <v>13523</v>
      </c>
      <c r="D2295" t="s">
        <v>13524</v>
      </c>
      <c r="E2295" t="s">
        <v>13525</v>
      </c>
      <c r="G2295" t="s">
        <v>4509</v>
      </c>
      <c r="H2295" t="s">
        <v>3942</v>
      </c>
      <c r="I2295" t="s">
        <v>4065</v>
      </c>
      <c r="J2295" t="s">
        <v>3962</v>
      </c>
      <c r="K2295" t="s">
        <v>519</v>
      </c>
      <c r="M2295" t="s">
        <v>520</v>
      </c>
      <c r="N2295" t="s">
        <v>571</v>
      </c>
      <c r="O2295" t="s">
        <v>653</v>
      </c>
      <c r="P2295" t="s">
        <v>584</v>
      </c>
      <c r="Q2295" t="s">
        <v>638</v>
      </c>
      <c r="R2295" t="s">
        <v>639</v>
      </c>
      <c r="S2295" t="s">
        <v>668</v>
      </c>
      <c r="T2295" t="s">
        <v>527</v>
      </c>
      <c r="U2295">
        <v>113800</v>
      </c>
      <c r="V2295" t="s">
        <v>7220</v>
      </c>
      <c r="W2295" t="s">
        <v>657</v>
      </c>
      <c r="X2295" t="s">
        <v>13526</v>
      </c>
      <c r="Y2295" t="s">
        <v>13527</v>
      </c>
      <c r="AA2295" t="s">
        <v>13528</v>
      </c>
      <c r="AB2295" t="s">
        <v>13529</v>
      </c>
      <c r="AE2295">
        <v>-36.616214650000003</v>
      </c>
      <c r="AF2295">
        <v>174.67696040000001</v>
      </c>
      <c r="AG2295">
        <v>45</v>
      </c>
      <c r="AH2295">
        <v>0</v>
      </c>
      <c r="AI2295">
        <v>0</v>
      </c>
      <c r="AJ2295">
        <v>0</v>
      </c>
      <c r="AK2295">
        <v>11</v>
      </c>
      <c r="AL2295">
        <v>12</v>
      </c>
      <c r="AM2295">
        <v>18</v>
      </c>
      <c r="AN2295">
        <v>2</v>
      </c>
      <c r="AO2295">
        <v>43</v>
      </c>
      <c r="AP2295">
        <v>29</v>
      </c>
      <c r="AQ2295">
        <v>3</v>
      </c>
      <c r="AR2295">
        <v>0</v>
      </c>
      <c r="AS2295">
        <v>14</v>
      </c>
      <c r="AT2295">
        <v>4</v>
      </c>
    </row>
    <row r="2296" spans="1:46">
      <c r="A2296">
        <v>46273</v>
      </c>
      <c r="B2296" t="s">
        <v>13530</v>
      </c>
      <c r="C2296" t="s">
        <v>13531</v>
      </c>
      <c r="D2296" t="s">
        <v>13065</v>
      </c>
      <c r="E2296" t="s">
        <v>13532</v>
      </c>
      <c r="F2296" t="s">
        <v>726</v>
      </c>
      <c r="G2296" t="s">
        <v>652</v>
      </c>
      <c r="H2296" t="s">
        <v>4716</v>
      </c>
      <c r="I2296" t="s">
        <v>4253</v>
      </c>
      <c r="J2296" t="s">
        <v>3962</v>
      </c>
      <c r="K2296" t="s">
        <v>519</v>
      </c>
      <c r="M2296" t="s">
        <v>520</v>
      </c>
      <c r="N2296" t="s">
        <v>521</v>
      </c>
      <c r="O2296" t="s">
        <v>728</v>
      </c>
      <c r="P2296" t="s">
        <v>654</v>
      </c>
      <c r="Q2296" t="s">
        <v>638</v>
      </c>
      <c r="R2296" t="s">
        <v>729</v>
      </c>
      <c r="S2296" t="s">
        <v>730</v>
      </c>
      <c r="T2296" t="s">
        <v>709</v>
      </c>
      <c r="U2296">
        <v>154400</v>
      </c>
      <c r="V2296" t="s">
        <v>7351</v>
      </c>
      <c r="W2296" t="s">
        <v>732</v>
      </c>
      <c r="X2296" t="s">
        <v>13067</v>
      </c>
      <c r="Y2296" t="s">
        <v>13068</v>
      </c>
      <c r="Z2296" t="s">
        <v>1072</v>
      </c>
      <c r="AA2296" t="s">
        <v>4886</v>
      </c>
      <c r="AB2296" t="s">
        <v>13069</v>
      </c>
      <c r="AE2296">
        <v>-36.96103085</v>
      </c>
      <c r="AF2296">
        <v>174.8755405</v>
      </c>
      <c r="AG2296">
        <v>60</v>
      </c>
      <c r="AH2296">
        <v>60</v>
      </c>
      <c r="AI2296">
        <v>8</v>
      </c>
      <c r="AJ2296">
        <v>11</v>
      </c>
      <c r="AK2296">
        <v>12</v>
      </c>
      <c r="AL2296">
        <v>12</v>
      </c>
      <c r="AM2296">
        <v>5</v>
      </c>
      <c r="AN2296">
        <v>0</v>
      </c>
      <c r="AO2296">
        <v>48</v>
      </c>
      <c r="AP2296">
        <v>0</v>
      </c>
      <c r="AQ2296">
        <v>0</v>
      </c>
      <c r="AR2296">
        <v>48</v>
      </c>
      <c r="AS2296">
        <v>0</v>
      </c>
      <c r="AT2296">
        <v>0</v>
      </c>
    </row>
    <row r="2297" spans="1:46">
      <c r="A2297">
        <v>46275</v>
      </c>
      <c r="B2297" t="s">
        <v>13533</v>
      </c>
      <c r="C2297" t="s">
        <v>13534</v>
      </c>
      <c r="D2297" t="s">
        <v>12049</v>
      </c>
      <c r="E2297" t="s">
        <v>13535</v>
      </c>
      <c r="F2297" t="s">
        <v>13536</v>
      </c>
      <c r="G2297" t="s">
        <v>3261</v>
      </c>
      <c r="H2297" t="s">
        <v>3942</v>
      </c>
      <c r="J2297" t="s">
        <v>3962</v>
      </c>
      <c r="K2297" t="s">
        <v>519</v>
      </c>
      <c r="M2297" t="s">
        <v>2287</v>
      </c>
      <c r="N2297" t="s">
        <v>571</v>
      </c>
      <c r="O2297" t="s">
        <v>3249</v>
      </c>
      <c r="P2297" t="s">
        <v>1262</v>
      </c>
      <c r="Q2297" t="s">
        <v>2943</v>
      </c>
      <c r="R2297" t="s">
        <v>2944</v>
      </c>
      <c r="S2297" t="s">
        <v>3219</v>
      </c>
      <c r="T2297" t="s">
        <v>2448</v>
      </c>
      <c r="U2297">
        <v>340100</v>
      </c>
      <c r="V2297" t="s">
        <v>13536</v>
      </c>
      <c r="W2297" t="s">
        <v>3263</v>
      </c>
      <c r="X2297" t="s">
        <v>13537</v>
      </c>
      <c r="Y2297" t="s">
        <v>4658</v>
      </c>
      <c r="Z2297" t="s">
        <v>958</v>
      </c>
      <c r="AA2297" t="s">
        <v>4659</v>
      </c>
      <c r="AB2297" t="s">
        <v>13538</v>
      </c>
      <c r="AC2297">
        <v>99174</v>
      </c>
      <c r="AD2297" t="s">
        <v>3268</v>
      </c>
      <c r="AE2297">
        <v>-44.388629399999999</v>
      </c>
      <c r="AF2297">
        <v>171.2100422</v>
      </c>
      <c r="AG2297">
        <v>80</v>
      </c>
      <c r="AH2297">
        <v>20</v>
      </c>
      <c r="AI2297">
        <v>6</v>
      </c>
      <c r="AJ2297">
        <v>15</v>
      </c>
      <c r="AK2297">
        <v>18</v>
      </c>
      <c r="AL2297">
        <v>16</v>
      </c>
      <c r="AM2297">
        <v>12</v>
      </c>
      <c r="AN2297">
        <v>0</v>
      </c>
      <c r="AO2297">
        <v>67</v>
      </c>
      <c r="AP2297">
        <v>50</v>
      </c>
      <c r="AQ2297">
        <v>5</v>
      </c>
      <c r="AR2297">
        <v>2</v>
      </c>
      <c r="AS2297">
        <v>17</v>
      </c>
      <c r="AT2297">
        <v>2</v>
      </c>
    </row>
    <row r="2298" spans="1:46">
      <c r="A2298">
        <v>46277</v>
      </c>
      <c r="B2298" t="s">
        <v>13539</v>
      </c>
      <c r="C2298" t="s">
        <v>13540</v>
      </c>
      <c r="D2298" t="s">
        <v>13541</v>
      </c>
      <c r="E2298" t="s">
        <v>13542</v>
      </c>
      <c r="G2298" t="s">
        <v>9064</v>
      </c>
      <c r="H2298" t="s">
        <v>3942</v>
      </c>
      <c r="J2298" t="s">
        <v>3962</v>
      </c>
      <c r="K2298" t="s">
        <v>519</v>
      </c>
      <c r="M2298" t="s">
        <v>1297</v>
      </c>
      <c r="N2298" t="s">
        <v>557</v>
      </c>
      <c r="O2298" t="s">
        <v>1351</v>
      </c>
      <c r="P2298" t="s">
        <v>540</v>
      </c>
      <c r="Q2298" t="s">
        <v>1299</v>
      </c>
      <c r="R2298" t="s">
        <v>1300</v>
      </c>
      <c r="S2298" t="s">
        <v>1300</v>
      </c>
      <c r="T2298" t="s">
        <v>1235</v>
      </c>
      <c r="U2298">
        <v>171901</v>
      </c>
      <c r="V2298" t="s">
        <v>9065</v>
      </c>
      <c r="W2298" t="s">
        <v>1353</v>
      </c>
      <c r="X2298" t="s">
        <v>13543</v>
      </c>
      <c r="Y2298" t="s">
        <v>13544</v>
      </c>
      <c r="AA2298" t="s">
        <v>13545</v>
      </c>
      <c r="AC2298">
        <v>99130</v>
      </c>
      <c r="AD2298" t="s">
        <v>1558</v>
      </c>
      <c r="AE2298">
        <v>-37.61367491</v>
      </c>
      <c r="AF2298">
        <v>175.19051277</v>
      </c>
      <c r="AG2298">
        <v>75</v>
      </c>
      <c r="AH2298">
        <v>20</v>
      </c>
      <c r="AI2298">
        <v>1</v>
      </c>
      <c r="AJ2298">
        <v>10</v>
      </c>
      <c r="AK2298">
        <v>6</v>
      </c>
      <c r="AL2298">
        <v>19</v>
      </c>
      <c r="AM2298">
        <v>22</v>
      </c>
      <c r="AN2298">
        <v>0</v>
      </c>
      <c r="AO2298">
        <v>58</v>
      </c>
      <c r="AP2298">
        <v>42</v>
      </c>
      <c r="AQ2298">
        <v>22</v>
      </c>
      <c r="AR2298">
        <v>5</v>
      </c>
      <c r="AS2298">
        <v>6</v>
      </c>
      <c r="AT2298">
        <v>1</v>
      </c>
    </row>
    <row r="2299" spans="1:46">
      <c r="A2299">
        <v>46282</v>
      </c>
      <c r="B2299" t="s">
        <v>13546</v>
      </c>
      <c r="C2299" t="s">
        <v>13547</v>
      </c>
      <c r="D2299" t="s">
        <v>13548</v>
      </c>
      <c r="E2299" t="s">
        <v>13549</v>
      </c>
      <c r="F2299" t="s">
        <v>2559</v>
      </c>
      <c r="G2299" t="s">
        <v>2289</v>
      </c>
      <c r="H2299" t="s">
        <v>3942</v>
      </c>
      <c r="J2299" t="s">
        <v>3962</v>
      </c>
      <c r="K2299" t="s">
        <v>519</v>
      </c>
      <c r="M2299" t="s">
        <v>2287</v>
      </c>
      <c r="N2299" t="s">
        <v>571</v>
      </c>
      <c r="O2299" t="s">
        <v>2536</v>
      </c>
      <c r="P2299" t="s">
        <v>654</v>
      </c>
      <c r="Q2299" t="s">
        <v>2319</v>
      </c>
      <c r="R2299" t="s">
        <v>2289</v>
      </c>
      <c r="S2299" t="s">
        <v>2553</v>
      </c>
      <c r="T2299" t="s">
        <v>2448</v>
      </c>
      <c r="U2299">
        <v>250600</v>
      </c>
      <c r="V2299" t="s">
        <v>2560</v>
      </c>
      <c r="W2299" t="s">
        <v>2561</v>
      </c>
      <c r="X2299" t="s">
        <v>12341</v>
      </c>
      <c r="Y2299" t="s">
        <v>4097</v>
      </c>
      <c r="Z2299" t="s">
        <v>4098</v>
      </c>
      <c r="AA2299" t="s">
        <v>4099</v>
      </c>
      <c r="AE2299">
        <v>-41.282852800000001</v>
      </c>
      <c r="AF2299">
        <v>174.753016</v>
      </c>
      <c r="AG2299">
        <v>100</v>
      </c>
      <c r="AH2299">
        <v>37</v>
      </c>
      <c r="AI2299">
        <v>4</v>
      </c>
      <c r="AJ2299">
        <v>23</v>
      </c>
      <c r="AK2299">
        <v>27</v>
      </c>
      <c r="AL2299">
        <v>22</v>
      </c>
      <c r="AM2299">
        <v>18</v>
      </c>
      <c r="AN2299">
        <v>1</v>
      </c>
      <c r="AO2299">
        <v>95</v>
      </c>
      <c r="AP2299">
        <v>70</v>
      </c>
      <c r="AQ2299">
        <v>5</v>
      </c>
      <c r="AR2299">
        <v>3</v>
      </c>
      <c r="AS2299">
        <v>24</v>
      </c>
      <c r="AT2299">
        <v>13</v>
      </c>
    </row>
    <row r="2300" spans="1:46">
      <c r="A2300">
        <v>46284</v>
      </c>
      <c r="B2300" t="s">
        <v>13550</v>
      </c>
      <c r="C2300" t="s">
        <v>13551</v>
      </c>
      <c r="D2300" t="s">
        <v>13552</v>
      </c>
      <c r="E2300" t="s">
        <v>13553</v>
      </c>
      <c r="F2300" t="s">
        <v>828</v>
      </c>
      <c r="G2300" t="s">
        <v>652</v>
      </c>
      <c r="H2300" t="s">
        <v>3942</v>
      </c>
      <c r="J2300" t="s">
        <v>3962</v>
      </c>
      <c r="K2300" t="s">
        <v>519</v>
      </c>
      <c r="M2300" t="s">
        <v>520</v>
      </c>
      <c r="N2300" t="s">
        <v>4519</v>
      </c>
      <c r="O2300" t="s">
        <v>829</v>
      </c>
      <c r="P2300" t="s">
        <v>654</v>
      </c>
      <c r="Q2300" t="s">
        <v>638</v>
      </c>
      <c r="R2300" t="s">
        <v>708</v>
      </c>
      <c r="S2300" t="s">
        <v>805</v>
      </c>
      <c r="T2300" t="s">
        <v>709</v>
      </c>
      <c r="U2300">
        <v>145000</v>
      </c>
      <c r="V2300" t="s">
        <v>830</v>
      </c>
      <c r="W2300" t="s">
        <v>807</v>
      </c>
      <c r="X2300" t="s">
        <v>13554</v>
      </c>
      <c r="Y2300" t="s">
        <v>4107</v>
      </c>
      <c r="AA2300" t="s">
        <v>3982</v>
      </c>
      <c r="AB2300" t="s">
        <v>13555</v>
      </c>
      <c r="AC2300">
        <v>99190</v>
      </c>
      <c r="AD2300" t="s">
        <v>831</v>
      </c>
      <c r="AE2300">
        <v>-36.918246340000003</v>
      </c>
      <c r="AF2300">
        <v>174.78592049</v>
      </c>
      <c r="AG2300">
        <v>80</v>
      </c>
      <c r="AH2300">
        <v>16</v>
      </c>
      <c r="AI2300">
        <v>2</v>
      </c>
      <c r="AJ2300">
        <v>20</v>
      </c>
      <c r="AK2300">
        <v>17</v>
      </c>
      <c r="AL2300">
        <v>19</v>
      </c>
      <c r="AM2300">
        <v>19</v>
      </c>
      <c r="AN2300">
        <v>2</v>
      </c>
      <c r="AO2300">
        <v>79</v>
      </c>
      <c r="AP2300">
        <v>69</v>
      </c>
      <c r="AQ2300">
        <v>4</v>
      </c>
      <c r="AR2300">
        <v>7</v>
      </c>
      <c r="AS2300">
        <v>12</v>
      </c>
      <c r="AT2300">
        <v>1</v>
      </c>
    </row>
    <row r="2301" spans="1:46">
      <c r="A2301">
        <v>46285</v>
      </c>
      <c r="B2301" t="s">
        <v>13556</v>
      </c>
      <c r="C2301" t="s">
        <v>13557</v>
      </c>
      <c r="D2301" t="s">
        <v>13558</v>
      </c>
      <c r="E2301" t="s">
        <v>13559</v>
      </c>
      <c r="F2301" t="s">
        <v>1029</v>
      </c>
      <c r="G2301" t="s">
        <v>652</v>
      </c>
      <c r="H2301" t="s">
        <v>3942</v>
      </c>
      <c r="J2301" t="s">
        <v>3962</v>
      </c>
      <c r="K2301" t="s">
        <v>519</v>
      </c>
      <c r="M2301" t="s">
        <v>520</v>
      </c>
      <c r="N2301" t="s">
        <v>557</v>
      </c>
      <c r="O2301" t="s">
        <v>829</v>
      </c>
      <c r="P2301" t="s">
        <v>654</v>
      </c>
      <c r="Q2301" t="s">
        <v>638</v>
      </c>
      <c r="R2301" t="s">
        <v>708</v>
      </c>
      <c r="S2301" t="s">
        <v>805</v>
      </c>
      <c r="T2301" t="s">
        <v>709</v>
      </c>
      <c r="U2301">
        <v>147202</v>
      </c>
      <c r="V2301" t="s">
        <v>1030</v>
      </c>
      <c r="W2301" t="s">
        <v>807</v>
      </c>
      <c r="X2301" t="s">
        <v>13560</v>
      </c>
      <c r="Y2301" t="s">
        <v>13561</v>
      </c>
      <c r="Z2301" t="s">
        <v>1029</v>
      </c>
      <c r="AA2301" t="s">
        <v>13562</v>
      </c>
      <c r="AB2301" t="s">
        <v>13557</v>
      </c>
      <c r="AE2301">
        <v>-36.913322770000001</v>
      </c>
      <c r="AF2301">
        <v>174.83818729000001</v>
      </c>
      <c r="AG2301">
        <v>70</v>
      </c>
      <c r="AH2301">
        <v>12</v>
      </c>
      <c r="AI2301">
        <v>1</v>
      </c>
      <c r="AJ2301">
        <v>12</v>
      </c>
      <c r="AK2301">
        <v>9</v>
      </c>
      <c r="AL2301">
        <v>21</v>
      </c>
      <c r="AM2301">
        <v>6</v>
      </c>
      <c r="AN2301">
        <v>0</v>
      </c>
      <c r="AO2301">
        <v>49</v>
      </c>
      <c r="AP2301">
        <v>20</v>
      </c>
      <c r="AQ2301">
        <v>9</v>
      </c>
      <c r="AR2301">
        <v>10</v>
      </c>
      <c r="AS2301">
        <v>23</v>
      </c>
      <c r="AT2301">
        <v>6</v>
      </c>
    </row>
    <row r="2302" spans="1:46">
      <c r="A2302">
        <v>46293</v>
      </c>
      <c r="B2302" t="s">
        <v>13563</v>
      </c>
      <c r="C2302" t="s">
        <v>13564</v>
      </c>
      <c r="D2302" t="s">
        <v>13565</v>
      </c>
      <c r="E2302" t="s">
        <v>13566</v>
      </c>
      <c r="G2302" t="s">
        <v>4509</v>
      </c>
      <c r="H2302" t="s">
        <v>3942</v>
      </c>
      <c r="J2302" t="s">
        <v>3962</v>
      </c>
      <c r="K2302" t="s">
        <v>519</v>
      </c>
      <c r="M2302" t="s">
        <v>520</v>
      </c>
      <c r="N2302" t="s">
        <v>4519</v>
      </c>
      <c r="O2302" t="s">
        <v>653</v>
      </c>
      <c r="P2302" t="s">
        <v>584</v>
      </c>
      <c r="Q2302" t="s">
        <v>638</v>
      </c>
      <c r="R2302" t="s">
        <v>639</v>
      </c>
      <c r="S2302" t="s">
        <v>668</v>
      </c>
      <c r="T2302" t="s">
        <v>527</v>
      </c>
      <c r="U2302">
        <v>113300</v>
      </c>
      <c r="V2302" t="s">
        <v>6082</v>
      </c>
      <c r="W2302" t="s">
        <v>657</v>
      </c>
      <c r="X2302" t="s">
        <v>4511</v>
      </c>
      <c r="Y2302" t="s">
        <v>4512</v>
      </c>
      <c r="Z2302" t="s">
        <v>4509</v>
      </c>
      <c r="AA2302" t="s">
        <v>13567</v>
      </c>
      <c r="AB2302" t="s">
        <v>4514</v>
      </c>
      <c r="AC2302">
        <v>99069</v>
      </c>
      <c r="AD2302" t="s">
        <v>670</v>
      </c>
      <c r="AE2302">
        <v>-36.612141020000003</v>
      </c>
      <c r="AF2302">
        <v>174.68085454999999</v>
      </c>
      <c r="AG2302">
        <v>110</v>
      </c>
      <c r="AH2302">
        <v>25</v>
      </c>
      <c r="AI2302">
        <v>1</v>
      </c>
      <c r="AJ2302">
        <v>7</v>
      </c>
      <c r="AK2302">
        <v>18</v>
      </c>
      <c r="AL2302">
        <v>27</v>
      </c>
      <c r="AM2302">
        <v>37</v>
      </c>
      <c r="AN2302">
        <v>2</v>
      </c>
      <c r="AO2302">
        <v>92</v>
      </c>
      <c r="AP2302">
        <v>54</v>
      </c>
      <c r="AQ2302">
        <v>2</v>
      </c>
      <c r="AR2302">
        <v>0</v>
      </c>
      <c r="AS2302">
        <v>41</v>
      </c>
      <c r="AT2302">
        <v>7</v>
      </c>
    </row>
    <row r="2303" spans="1:46">
      <c r="A2303">
        <v>46297</v>
      </c>
      <c r="B2303" t="s">
        <v>13568</v>
      </c>
      <c r="C2303" t="s">
        <v>13569</v>
      </c>
      <c r="E2303" t="s">
        <v>13570</v>
      </c>
      <c r="G2303" t="s">
        <v>3826</v>
      </c>
      <c r="H2303" t="s">
        <v>3942</v>
      </c>
      <c r="J2303" t="s">
        <v>3962</v>
      </c>
      <c r="K2303" t="s">
        <v>519</v>
      </c>
      <c r="M2303" t="s">
        <v>1297</v>
      </c>
      <c r="N2303" t="s">
        <v>571</v>
      </c>
      <c r="O2303" t="s">
        <v>1461</v>
      </c>
      <c r="P2303" t="s">
        <v>572</v>
      </c>
      <c r="Q2303" t="s">
        <v>1299</v>
      </c>
      <c r="R2303" t="s">
        <v>1300</v>
      </c>
      <c r="S2303" t="s">
        <v>1438</v>
      </c>
      <c r="T2303" t="s">
        <v>1235</v>
      </c>
      <c r="U2303">
        <v>166900</v>
      </c>
      <c r="V2303" t="s">
        <v>9480</v>
      </c>
      <c r="W2303" t="s">
        <v>3828</v>
      </c>
      <c r="X2303" t="s">
        <v>13571</v>
      </c>
      <c r="Y2303" t="s">
        <v>13572</v>
      </c>
      <c r="AA2303" t="s">
        <v>9022</v>
      </c>
      <c r="AB2303" t="s">
        <v>13569</v>
      </c>
      <c r="AC2303">
        <v>99155</v>
      </c>
      <c r="AD2303" t="s">
        <v>3829</v>
      </c>
      <c r="AE2303">
        <v>-36.855113459999998</v>
      </c>
      <c r="AF2303">
        <v>175.61297748000001</v>
      </c>
      <c r="AG2303">
        <v>40</v>
      </c>
      <c r="AH2303">
        <v>12</v>
      </c>
      <c r="AI2303">
        <v>3</v>
      </c>
      <c r="AJ2303">
        <v>9</v>
      </c>
      <c r="AK2303">
        <v>13</v>
      </c>
      <c r="AL2303">
        <v>13</v>
      </c>
      <c r="AM2303">
        <v>11</v>
      </c>
      <c r="AN2303">
        <v>5</v>
      </c>
      <c r="AO2303">
        <v>54</v>
      </c>
      <c r="AP2303">
        <v>52</v>
      </c>
      <c r="AQ2303">
        <v>14</v>
      </c>
      <c r="AR2303">
        <v>1</v>
      </c>
      <c r="AS2303">
        <v>0</v>
      </c>
      <c r="AT2303">
        <v>1</v>
      </c>
    </row>
    <row r="2304" spans="1:46">
      <c r="A2304">
        <v>46298</v>
      </c>
      <c r="B2304" t="s">
        <v>13573</v>
      </c>
      <c r="C2304" t="s">
        <v>13574</v>
      </c>
      <c r="D2304" t="s">
        <v>8035</v>
      </c>
      <c r="E2304" t="s">
        <v>13575</v>
      </c>
      <c r="G2304" t="s">
        <v>1234</v>
      </c>
      <c r="H2304" t="s">
        <v>3942</v>
      </c>
      <c r="J2304" t="s">
        <v>3962</v>
      </c>
      <c r="K2304" t="s">
        <v>519</v>
      </c>
      <c r="M2304" t="s">
        <v>520</v>
      </c>
      <c r="N2304" t="s">
        <v>539</v>
      </c>
      <c r="O2304" t="s">
        <v>1268</v>
      </c>
      <c r="P2304" t="s">
        <v>654</v>
      </c>
      <c r="Q2304" t="s">
        <v>638</v>
      </c>
      <c r="R2304" t="s">
        <v>729</v>
      </c>
      <c r="S2304" t="s">
        <v>1234</v>
      </c>
      <c r="T2304" t="s">
        <v>1235</v>
      </c>
      <c r="U2304">
        <v>163301</v>
      </c>
      <c r="V2304" t="s">
        <v>13576</v>
      </c>
      <c r="W2304" t="s">
        <v>1219</v>
      </c>
      <c r="X2304" t="s">
        <v>8037</v>
      </c>
      <c r="Y2304" t="s">
        <v>8038</v>
      </c>
      <c r="AA2304" t="s">
        <v>8039</v>
      </c>
      <c r="AB2304" t="s">
        <v>8040</v>
      </c>
      <c r="AC2304">
        <v>99152</v>
      </c>
      <c r="AD2304" t="s">
        <v>1270</v>
      </c>
      <c r="AE2304">
        <v>-37.056462959999998</v>
      </c>
      <c r="AF2304">
        <v>174.95615015000001</v>
      </c>
      <c r="AG2304">
        <v>70</v>
      </c>
      <c r="AH2304">
        <v>20</v>
      </c>
      <c r="AI2304">
        <v>5</v>
      </c>
      <c r="AJ2304">
        <v>11</v>
      </c>
      <c r="AK2304">
        <v>19</v>
      </c>
      <c r="AL2304">
        <v>21</v>
      </c>
      <c r="AM2304">
        <v>21</v>
      </c>
      <c r="AN2304">
        <v>0</v>
      </c>
      <c r="AO2304">
        <v>77</v>
      </c>
      <c r="AP2304">
        <v>8</v>
      </c>
      <c r="AQ2304">
        <v>22</v>
      </c>
      <c r="AR2304">
        <v>18</v>
      </c>
      <c r="AS2304">
        <v>41</v>
      </c>
      <c r="AT2304">
        <v>4</v>
      </c>
    </row>
    <row r="2305" spans="1:46">
      <c r="A2305">
        <v>46301</v>
      </c>
      <c r="B2305" t="s">
        <v>13577</v>
      </c>
      <c r="C2305" t="s">
        <v>11779</v>
      </c>
      <c r="D2305" t="s">
        <v>11780</v>
      </c>
      <c r="E2305" t="s">
        <v>11781</v>
      </c>
      <c r="F2305" t="s">
        <v>2156</v>
      </c>
      <c r="G2305" t="s">
        <v>2119</v>
      </c>
      <c r="H2305" t="s">
        <v>4716</v>
      </c>
      <c r="J2305" t="s">
        <v>3962</v>
      </c>
      <c r="K2305" t="s">
        <v>519</v>
      </c>
      <c r="M2305" t="s">
        <v>1297</v>
      </c>
      <c r="N2305" t="s">
        <v>571</v>
      </c>
      <c r="O2305" t="s">
        <v>2131</v>
      </c>
      <c r="P2305" t="s">
        <v>584</v>
      </c>
      <c r="Q2305" t="s">
        <v>2118</v>
      </c>
      <c r="R2305" t="s">
        <v>2084</v>
      </c>
      <c r="S2305" t="s">
        <v>2119</v>
      </c>
      <c r="T2305" t="s">
        <v>2085</v>
      </c>
      <c r="U2305">
        <v>212800</v>
      </c>
      <c r="V2305" t="s">
        <v>11782</v>
      </c>
      <c r="W2305" t="s">
        <v>2163</v>
      </c>
      <c r="X2305" t="s">
        <v>11783</v>
      </c>
      <c r="Y2305" t="s">
        <v>11784</v>
      </c>
      <c r="AA2305" t="s">
        <v>8791</v>
      </c>
      <c r="AB2305" t="s">
        <v>11785</v>
      </c>
      <c r="AE2305">
        <v>-39.504769529999997</v>
      </c>
      <c r="AF2305">
        <v>176.88131951</v>
      </c>
      <c r="AG2305">
        <v>80</v>
      </c>
      <c r="AH2305">
        <v>80</v>
      </c>
      <c r="AI2305">
        <v>4</v>
      </c>
      <c r="AJ2305">
        <v>11</v>
      </c>
      <c r="AK2305">
        <v>15</v>
      </c>
      <c r="AL2305">
        <v>14</v>
      </c>
      <c r="AM2305">
        <v>9</v>
      </c>
      <c r="AN2305">
        <v>0</v>
      </c>
      <c r="AO2305">
        <v>53</v>
      </c>
      <c r="AP2305">
        <v>51</v>
      </c>
      <c r="AQ2305">
        <v>7</v>
      </c>
      <c r="AR2305">
        <v>2</v>
      </c>
      <c r="AS2305">
        <v>1</v>
      </c>
      <c r="AT2305">
        <v>0</v>
      </c>
    </row>
    <row r="2306" spans="1:46">
      <c r="A2306">
        <v>46303</v>
      </c>
      <c r="B2306" t="s">
        <v>13578</v>
      </c>
      <c r="C2306" t="s">
        <v>13579</v>
      </c>
      <c r="D2306" t="s">
        <v>11028</v>
      </c>
      <c r="E2306" t="s">
        <v>13580</v>
      </c>
      <c r="F2306" t="s">
        <v>5018</v>
      </c>
      <c r="G2306" t="s">
        <v>652</v>
      </c>
      <c r="H2306" t="s">
        <v>3942</v>
      </c>
      <c r="J2306" t="s">
        <v>3962</v>
      </c>
      <c r="K2306" t="s">
        <v>519</v>
      </c>
      <c r="M2306" t="s">
        <v>520</v>
      </c>
      <c r="N2306" t="s">
        <v>571</v>
      </c>
      <c r="O2306" t="s">
        <v>1233</v>
      </c>
      <c r="P2306" t="s">
        <v>572</v>
      </c>
      <c r="Q2306" t="s">
        <v>638</v>
      </c>
      <c r="R2306" t="s">
        <v>729</v>
      </c>
      <c r="S2306" t="s">
        <v>1234</v>
      </c>
      <c r="T2306" t="s">
        <v>1235</v>
      </c>
      <c r="U2306">
        <v>161400</v>
      </c>
      <c r="V2306" t="s">
        <v>7764</v>
      </c>
      <c r="W2306" t="s">
        <v>1237</v>
      </c>
      <c r="X2306" t="s">
        <v>11030</v>
      </c>
      <c r="Y2306" t="s">
        <v>11031</v>
      </c>
      <c r="AA2306" t="s">
        <v>11032</v>
      </c>
      <c r="AC2306">
        <v>99075</v>
      </c>
      <c r="AD2306" t="s">
        <v>1264</v>
      </c>
      <c r="AE2306">
        <v>-37.122293999999997</v>
      </c>
      <c r="AF2306">
        <v>174.90262172999999</v>
      </c>
      <c r="AG2306">
        <v>30</v>
      </c>
      <c r="AH2306">
        <v>0</v>
      </c>
      <c r="AI2306">
        <v>0</v>
      </c>
      <c r="AJ2306">
        <v>0</v>
      </c>
      <c r="AK2306">
        <v>3</v>
      </c>
      <c r="AL2306">
        <v>11</v>
      </c>
      <c r="AM2306">
        <v>16</v>
      </c>
      <c r="AN2306">
        <v>0</v>
      </c>
      <c r="AO2306">
        <v>30</v>
      </c>
      <c r="AP2306">
        <v>29</v>
      </c>
      <c r="AQ2306">
        <v>3</v>
      </c>
      <c r="AR2306">
        <v>1</v>
      </c>
      <c r="AS2306">
        <v>4</v>
      </c>
      <c r="AT2306">
        <v>0</v>
      </c>
    </row>
    <row r="2307" spans="1:46">
      <c r="A2307">
        <v>46304</v>
      </c>
      <c r="B2307" t="s">
        <v>13581</v>
      </c>
      <c r="C2307" t="s">
        <v>13582</v>
      </c>
      <c r="E2307" t="s">
        <v>13583</v>
      </c>
      <c r="G2307" t="s">
        <v>3261</v>
      </c>
      <c r="H2307" t="s">
        <v>517</v>
      </c>
      <c r="J2307" t="s">
        <v>518</v>
      </c>
      <c r="K2307" t="s">
        <v>519</v>
      </c>
      <c r="M2307" t="s">
        <v>2287</v>
      </c>
      <c r="N2307" t="s">
        <v>571</v>
      </c>
      <c r="O2307" t="s">
        <v>3249</v>
      </c>
      <c r="P2307" t="s">
        <v>1262</v>
      </c>
      <c r="Q2307" t="s">
        <v>2943</v>
      </c>
      <c r="R2307" t="s">
        <v>2944</v>
      </c>
      <c r="S2307" t="s">
        <v>3219</v>
      </c>
      <c r="T2307" t="s">
        <v>2448</v>
      </c>
      <c r="U2307">
        <v>340801</v>
      </c>
      <c r="V2307" t="s">
        <v>13584</v>
      </c>
      <c r="W2307" t="s">
        <v>3263</v>
      </c>
      <c r="X2307" t="s">
        <v>3264</v>
      </c>
      <c r="Y2307" t="s">
        <v>3265</v>
      </c>
      <c r="AA2307" t="s">
        <v>3266</v>
      </c>
      <c r="AB2307" t="s">
        <v>3267</v>
      </c>
      <c r="AC2307">
        <v>99178</v>
      </c>
      <c r="AD2307" t="s">
        <v>3273</v>
      </c>
      <c r="AE2307">
        <v>-44.39972496</v>
      </c>
      <c r="AF2307">
        <v>171.24487133</v>
      </c>
      <c r="AG2307">
        <v>44</v>
      </c>
      <c r="AH2307">
        <v>12</v>
      </c>
      <c r="AI2307">
        <v>2</v>
      </c>
      <c r="AJ2307">
        <v>10</v>
      </c>
      <c r="AK2307">
        <v>14</v>
      </c>
      <c r="AL2307">
        <v>18</v>
      </c>
      <c r="AM2307">
        <v>10</v>
      </c>
      <c r="AN2307">
        <v>0</v>
      </c>
      <c r="AO2307">
        <v>54</v>
      </c>
      <c r="AP2307">
        <v>50</v>
      </c>
      <c r="AQ2307">
        <v>9</v>
      </c>
      <c r="AR2307">
        <v>2</v>
      </c>
      <c r="AS2307">
        <v>4</v>
      </c>
      <c r="AT2307">
        <v>2</v>
      </c>
    </row>
    <row r="2308" spans="1:46">
      <c r="A2308">
        <v>46306</v>
      </c>
      <c r="B2308" t="s">
        <v>13585</v>
      </c>
      <c r="C2308" t="s">
        <v>13586</v>
      </c>
      <c r="E2308" t="s">
        <v>13587</v>
      </c>
      <c r="F2308" t="s">
        <v>4441</v>
      </c>
      <c r="G2308" t="s">
        <v>652</v>
      </c>
      <c r="H2308" t="s">
        <v>3942</v>
      </c>
      <c r="I2308" t="s">
        <v>13588</v>
      </c>
      <c r="J2308" t="s">
        <v>3962</v>
      </c>
      <c r="K2308" t="s">
        <v>519</v>
      </c>
      <c r="M2308" t="s">
        <v>520</v>
      </c>
      <c r="N2308" t="s">
        <v>727</v>
      </c>
      <c r="O2308" t="s">
        <v>829</v>
      </c>
      <c r="P2308" t="s">
        <v>654</v>
      </c>
      <c r="Q2308" t="s">
        <v>638</v>
      </c>
      <c r="R2308" t="s">
        <v>708</v>
      </c>
      <c r="S2308" t="s">
        <v>730</v>
      </c>
      <c r="T2308" t="s">
        <v>709</v>
      </c>
      <c r="U2308">
        <v>146700</v>
      </c>
      <c r="V2308" t="s">
        <v>13589</v>
      </c>
      <c r="W2308" t="s">
        <v>807</v>
      </c>
      <c r="X2308" t="s">
        <v>13590</v>
      </c>
      <c r="Y2308" t="s">
        <v>13591</v>
      </c>
      <c r="Z2308" t="s">
        <v>4441</v>
      </c>
      <c r="AA2308" t="s">
        <v>4356</v>
      </c>
      <c r="AB2308" t="s">
        <v>11102</v>
      </c>
      <c r="AE2308">
        <v>-36.899646580000002</v>
      </c>
      <c r="AF2308">
        <v>174.85630488999999</v>
      </c>
      <c r="AG2308">
        <v>57</v>
      </c>
      <c r="AH2308">
        <v>12</v>
      </c>
      <c r="AI2308">
        <v>1</v>
      </c>
      <c r="AJ2308">
        <v>1</v>
      </c>
      <c r="AK2308">
        <v>6</v>
      </c>
      <c r="AL2308">
        <v>5</v>
      </c>
      <c r="AM2308">
        <v>12</v>
      </c>
      <c r="AN2308">
        <v>1</v>
      </c>
      <c r="AO2308">
        <v>26</v>
      </c>
      <c r="AP2308">
        <v>3</v>
      </c>
      <c r="AQ2308">
        <v>7</v>
      </c>
      <c r="AR2308">
        <v>12</v>
      </c>
      <c r="AS2308">
        <v>8</v>
      </c>
      <c r="AT2308">
        <v>1</v>
      </c>
    </row>
    <row r="2309" spans="1:46">
      <c r="A2309">
        <v>46308</v>
      </c>
      <c r="B2309" t="s">
        <v>13592</v>
      </c>
      <c r="C2309" t="s">
        <v>13593</v>
      </c>
      <c r="D2309" t="s">
        <v>13594</v>
      </c>
      <c r="E2309" t="s">
        <v>13595</v>
      </c>
      <c r="F2309" t="s">
        <v>2156</v>
      </c>
      <c r="G2309" t="s">
        <v>2119</v>
      </c>
      <c r="H2309" t="s">
        <v>4716</v>
      </c>
      <c r="J2309" t="s">
        <v>518</v>
      </c>
      <c r="K2309" t="s">
        <v>519</v>
      </c>
      <c r="M2309" t="s">
        <v>1297</v>
      </c>
      <c r="N2309" t="s">
        <v>727</v>
      </c>
      <c r="O2309" t="s">
        <v>2131</v>
      </c>
      <c r="P2309" t="s">
        <v>584</v>
      </c>
      <c r="Q2309" t="s">
        <v>2118</v>
      </c>
      <c r="R2309" t="s">
        <v>2084</v>
      </c>
      <c r="S2309" t="s">
        <v>2119</v>
      </c>
      <c r="T2309" t="s">
        <v>2085</v>
      </c>
      <c r="U2309">
        <v>214800</v>
      </c>
      <c r="V2309" t="s">
        <v>2157</v>
      </c>
      <c r="W2309" t="s">
        <v>2132</v>
      </c>
      <c r="X2309" t="s">
        <v>13596</v>
      </c>
      <c r="Y2309" t="s">
        <v>13597</v>
      </c>
      <c r="Z2309" t="s">
        <v>2156</v>
      </c>
      <c r="AA2309" t="s">
        <v>13598</v>
      </c>
      <c r="AB2309" t="s">
        <v>13599</v>
      </c>
      <c r="AE2309">
        <v>-39.511139450000002</v>
      </c>
      <c r="AF2309">
        <v>176.89240103</v>
      </c>
      <c r="AG2309">
        <v>80</v>
      </c>
      <c r="AH2309">
        <v>80</v>
      </c>
      <c r="AI2309">
        <v>3</v>
      </c>
      <c r="AJ2309">
        <v>8</v>
      </c>
      <c r="AK2309">
        <v>19</v>
      </c>
      <c r="AL2309">
        <v>15</v>
      </c>
      <c r="AM2309">
        <v>7</v>
      </c>
      <c r="AN2309">
        <v>0</v>
      </c>
      <c r="AO2309">
        <v>52</v>
      </c>
      <c r="AP2309">
        <v>40</v>
      </c>
      <c r="AQ2309">
        <v>21</v>
      </c>
      <c r="AR2309">
        <v>0</v>
      </c>
      <c r="AS2309">
        <v>2</v>
      </c>
      <c r="AT2309">
        <v>2</v>
      </c>
    </row>
    <row r="2310" spans="1:46">
      <c r="A2310">
        <v>46309</v>
      </c>
      <c r="B2310" t="s">
        <v>13600</v>
      </c>
      <c r="C2310" t="s">
        <v>13601</v>
      </c>
      <c r="D2310" t="s">
        <v>13602</v>
      </c>
      <c r="E2310" t="s">
        <v>13603</v>
      </c>
      <c r="F2310" t="s">
        <v>3194</v>
      </c>
      <c r="G2310" t="s">
        <v>2941</v>
      </c>
      <c r="H2310" t="s">
        <v>3942</v>
      </c>
      <c r="J2310" t="s">
        <v>3962</v>
      </c>
      <c r="K2310" t="s">
        <v>519</v>
      </c>
      <c r="M2310" t="s">
        <v>2287</v>
      </c>
      <c r="N2310" t="s">
        <v>571</v>
      </c>
      <c r="O2310" t="s">
        <v>2942</v>
      </c>
      <c r="P2310" t="s">
        <v>654</v>
      </c>
      <c r="Q2310" t="s">
        <v>2943</v>
      </c>
      <c r="R2310" t="s">
        <v>2944</v>
      </c>
      <c r="S2310" t="s">
        <v>3019</v>
      </c>
      <c r="T2310" t="s">
        <v>2448</v>
      </c>
      <c r="U2310">
        <v>324501</v>
      </c>
      <c r="V2310" t="s">
        <v>13604</v>
      </c>
      <c r="W2310" t="s">
        <v>3196</v>
      </c>
      <c r="X2310" t="s">
        <v>13605</v>
      </c>
      <c r="Y2310" t="s">
        <v>13606</v>
      </c>
      <c r="Z2310" t="s">
        <v>3194</v>
      </c>
      <c r="AA2310" t="s">
        <v>13607</v>
      </c>
      <c r="AB2310" t="s">
        <v>13608</v>
      </c>
      <c r="AE2310">
        <v>-43.577997750000002</v>
      </c>
      <c r="AF2310">
        <v>172.54785355999999</v>
      </c>
      <c r="AG2310">
        <v>75</v>
      </c>
      <c r="AH2310">
        <v>25</v>
      </c>
      <c r="AI2310">
        <v>5</v>
      </c>
      <c r="AJ2310">
        <v>19</v>
      </c>
      <c r="AK2310">
        <v>27</v>
      </c>
      <c r="AL2310">
        <v>22</v>
      </c>
      <c r="AM2310">
        <v>20</v>
      </c>
      <c r="AN2310">
        <v>3</v>
      </c>
      <c r="AO2310">
        <v>96</v>
      </c>
      <c r="AP2310">
        <v>79</v>
      </c>
      <c r="AQ2310">
        <v>6</v>
      </c>
      <c r="AR2310">
        <v>2</v>
      </c>
      <c r="AS2310">
        <v>17</v>
      </c>
      <c r="AT2310">
        <v>2</v>
      </c>
    </row>
    <row r="2311" spans="1:46">
      <c r="A2311">
        <v>46310</v>
      </c>
      <c r="B2311" t="s">
        <v>13609</v>
      </c>
      <c r="C2311" t="s">
        <v>13610</v>
      </c>
      <c r="D2311" t="s">
        <v>13611</v>
      </c>
      <c r="E2311" t="s">
        <v>13612</v>
      </c>
      <c r="F2311" t="s">
        <v>4921</v>
      </c>
      <c r="G2311" t="s">
        <v>652</v>
      </c>
      <c r="H2311" t="s">
        <v>3942</v>
      </c>
      <c r="J2311" t="s">
        <v>3962</v>
      </c>
      <c r="K2311" t="s">
        <v>519</v>
      </c>
      <c r="M2311" t="s">
        <v>520</v>
      </c>
      <c r="N2311" t="s">
        <v>571</v>
      </c>
      <c r="O2311" t="s">
        <v>957</v>
      </c>
      <c r="P2311" t="s">
        <v>654</v>
      </c>
      <c r="Q2311" t="s">
        <v>638</v>
      </c>
      <c r="R2311" t="s">
        <v>708</v>
      </c>
      <c r="S2311" t="s">
        <v>958</v>
      </c>
      <c r="T2311" t="s">
        <v>709</v>
      </c>
      <c r="U2311">
        <v>133400</v>
      </c>
      <c r="V2311" t="s">
        <v>13613</v>
      </c>
      <c r="W2311" t="s">
        <v>959</v>
      </c>
      <c r="X2311" t="s">
        <v>13614</v>
      </c>
      <c r="Y2311" t="s">
        <v>13615</v>
      </c>
      <c r="AA2311" t="s">
        <v>5314</v>
      </c>
      <c r="AB2311" t="s">
        <v>13610</v>
      </c>
      <c r="AE2311">
        <v>-36.850251610000001</v>
      </c>
      <c r="AF2311">
        <v>174.76038381999999</v>
      </c>
      <c r="AG2311">
        <v>50</v>
      </c>
      <c r="AH2311">
        <v>0</v>
      </c>
      <c r="AI2311">
        <v>0</v>
      </c>
      <c r="AJ2311">
        <v>0</v>
      </c>
      <c r="AK2311">
        <v>11</v>
      </c>
      <c r="AL2311">
        <v>13</v>
      </c>
      <c r="AM2311">
        <v>23</v>
      </c>
      <c r="AN2311">
        <v>1</v>
      </c>
      <c r="AO2311">
        <v>48</v>
      </c>
      <c r="AP2311">
        <v>16</v>
      </c>
      <c r="AQ2311">
        <v>1</v>
      </c>
      <c r="AR2311">
        <v>2</v>
      </c>
      <c r="AS2311">
        <v>40</v>
      </c>
      <c r="AT2311">
        <v>1</v>
      </c>
    </row>
    <row r="2312" spans="1:46">
      <c r="A2312">
        <v>46316</v>
      </c>
      <c r="B2312" t="s">
        <v>13616</v>
      </c>
      <c r="C2312" t="s">
        <v>13617</v>
      </c>
      <c r="D2312" t="s">
        <v>13618</v>
      </c>
      <c r="E2312" t="s">
        <v>13619</v>
      </c>
      <c r="F2312" t="s">
        <v>10949</v>
      </c>
      <c r="G2312" t="s">
        <v>2941</v>
      </c>
      <c r="H2312" t="s">
        <v>3942</v>
      </c>
      <c r="J2312" t="s">
        <v>3962</v>
      </c>
      <c r="K2312" t="s">
        <v>519</v>
      </c>
      <c r="M2312" t="s">
        <v>2287</v>
      </c>
      <c r="N2312" t="s">
        <v>571</v>
      </c>
      <c r="O2312" t="s">
        <v>2942</v>
      </c>
      <c r="P2312" t="s">
        <v>654</v>
      </c>
      <c r="Q2312" t="s">
        <v>2943</v>
      </c>
      <c r="R2312" t="s">
        <v>2944</v>
      </c>
      <c r="S2312" t="s">
        <v>2979</v>
      </c>
      <c r="T2312" t="s">
        <v>2448</v>
      </c>
      <c r="U2312">
        <v>329100</v>
      </c>
      <c r="V2312" t="s">
        <v>13620</v>
      </c>
      <c r="W2312" t="s">
        <v>2958</v>
      </c>
      <c r="X2312" t="s">
        <v>11071</v>
      </c>
      <c r="Y2312" t="s">
        <v>11072</v>
      </c>
      <c r="AA2312" t="s">
        <v>11073</v>
      </c>
      <c r="AC2312">
        <v>99177</v>
      </c>
      <c r="AD2312" t="s">
        <v>2959</v>
      </c>
      <c r="AE2312">
        <v>-43.56189706</v>
      </c>
      <c r="AF2312">
        <v>172.62817150999999</v>
      </c>
      <c r="AG2312">
        <v>100</v>
      </c>
      <c r="AH2312">
        <v>24</v>
      </c>
      <c r="AI2312">
        <v>4</v>
      </c>
      <c r="AJ2312">
        <v>18</v>
      </c>
      <c r="AK2312">
        <v>30</v>
      </c>
      <c r="AL2312">
        <v>31</v>
      </c>
      <c r="AM2312">
        <v>24</v>
      </c>
      <c r="AN2312">
        <v>5</v>
      </c>
      <c r="AO2312">
        <v>112</v>
      </c>
      <c r="AP2312">
        <v>106</v>
      </c>
      <c r="AQ2312">
        <v>13</v>
      </c>
      <c r="AR2312">
        <v>6</v>
      </c>
      <c r="AS2312">
        <v>7</v>
      </c>
      <c r="AT2312">
        <v>2</v>
      </c>
    </row>
    <row r="2313" spans="1:46">
      <c r="A2313">
        <v>46318</v>
      </c>
      <c r="B2313" t="s">
        <v>13621</v>
      </c>
      <c r="C2313" t="s">
        <v>13622</v>
      </c>
      <c r="D2313" t="s">
        <v>13623</v>
      </c>
      <c r="E2313" t="s">
        <v>13624</v>
      </c>
      <c r="G2313" t="s">
        <v>7752</v>
      </c>
      <c r="H2313" t="s">
        <v>3942</v>
      </c>
      <c r="J2313" t="s">
        <v>3962</v>
      </c>
      <c r="K2313" t="s">
        <v>519</v>
      </c>
      <c r="M2313" t="s">
        <v>520</v>
      </c>
      <c r="N2313" t="s">
        <v>4519</v>
      </c>
      <c r="O2313" t="s">
        <v>1233</v>
      </c>
      <c r="P2313" t="s">
        <v>540</v>
      </c>
      <c r="Q2313" t="s">
        <v>638</v>
      </c>
      <c r="R2313" t="s">
        <v>729</v>
      </c>
      <c r="S2313" t="s">
        <v>1234</v>
      </c>
      <c r="T2313" t="s">
        <v>1235</v>
      </c>
      <c r="U2313">
        <v>166301</v>
      </c>
      <c r="V2313" t="s">
        <v>7753</v>
      </c>
      <c r="W2313" t="s">
        <v>1237</v>
      </c>
      <c r="X2313" t="s">
        <v>13625</v>
      </c>
      <c r="Y2313" t="s">
        <v>13626</v>
      </c>
      <c r="Z2313" t="s">
        <v>7752</v>
      </c>
      <c r="AA2313" t="s">
        <v>13627</v>
      </c>
      <c r="AB2313" t="s">
        <v>13628</v>
      </c>
      <c r="AC2313">
        <v>99075</v>
      </c>
      <c r="AD2313" t="s">
        <v>1264</v>
      </c>
      <c r="AE2313">
        <v>-37.186643150000002</v>
      </c>
      <c r="AF2313">
        <v>174.99460239999999</v>
      </c>
      <c r="AG2313">
        <v>42</v>
      </c>
      <c r="AH2313">
        <v>0</v>
      </c>
      <c r="AI2313">
        <v>0</v>
      </c>
      <c r="AJ2313">
        <v>0</v>
      </c>
      <c r="AK2313">
        <v>0</v>
      </c>
      <c r="AL2313">
        <v>14</v>
      </c>
      <c r="AM2313">
        <v>33</v>
      </c>
      <c r="AN2313">
        <v>1</v>
      </c>
      <c r="AO2313">
        <v>48</v>
      </c>
      <c r="AP2313">
        <v>46</v>
      </c>
      <c r="AQ2313">
        <v>3</v>
      </c>
      <c r="AR2313">
        <v>1</v>
      </c>
      <c r="AS2313">
        <v>1</v>
      </c>
      <c r="AT2313">
        <v>0</v>
      </c>
    </row>
    <row r="2314" spans="1:46">
      <c r="A2314">
        <v>46320</v>
      </c>
      <c r="B2314" t="s">
        <v>13629</v>
      </c>
      <c r="C2314" t="s">
        <v>13630</v>
      </c>
      <c r="E2314" t="s">
        <v>13631</v>
      </c>
      <c r="G2314" t="s">
        <v>1757</v>
      </c>
      <c r="H2314" t="s">
        <v>3942</v>
      </c>
      <c r="J2314" t="s">
        <v>3962</v>
      </c>
      <c r="K2314" t="s">
        <v>519</v>
      </c>
      <c r="M2314" t="s">
        <v>1297</v>
      </c>
      <c r="N2314" t="s">
        <v>571</v>
      </c>
      <c r="O2314" t="s">
        <v>1758</v>
      </c>
      <c r="P2314" t="s">
        <v>584</v>
      </c>
      <c r="Q2314" t="s">
        <v>1759</v>
      </c>
      <c r="R2314" t="s">
        <v>1760</v>
      </c>
      <c r="S2314" t="s">
        <v>1757</v>
      </c>
      <c r="T2314" t="s">
        <v>1485</v>
      </c>
      <c r="U2314">
        <v>217000</v>
      </c>
      <c r="V2314" t="s">
        <v>13632</v>
      </c>
      <c r="W2314" t="s">
        <v>1762</v>
      </c>
      <c r="X2314" t="s">
        <v>13633</v>
      </c>
      <c r="Y2314" t="s">
        <v>4107</v>
      </c>
      <c r="AA2314" t="s">
        <v>3982</v>
      </c>
      <c r="AB2314" t="s">
        <v>13634</v>
      </c>
      <c r="AE2314">
        <v>-39.05322134</v>
      </c>
      <c r="AF2314">
        <v>174.08012033</v>
      </c>
      <c r="AG2314">
        <v>110</v>
      </c>
      <c r="AH2314">
        <v>40</v>
      </c>
      <c r="AI2314">
        <v>5</v>
      </c>
      <c r="AJ2314">
        <v>28</v>
      </c>
      <c r="AK2314">
        <v>25</v>
      </c>
      <c r="AL2314">
        <v>30</v>
      </c>
      <c r="AM2314">
        <v>21</v>
      </c>
      <c r="AN2314">
        <v>1</v>
      </c>
      <c r="AO2314">
        <v>110</v>
      </c>
      <c r="AP2314">
        <v>94</v>
      </c>
      <c r="AQ2314">
        <v>25</v>
      </c>
      <c r="AR2314">
        <v>4</v>
      </c>
      <c r="AS2314">
        <v>8</v>
      </c>
      <c r="AT2314">
        <v>9</v>
      </c>
    </row>
    <row r="2315" spans="1:46">
      <c r="A2315">
        <v>46324</v>
      </c>
      <c r="B2315" t="s">
        <v>13635</v>
      </c>
      <c r="C2315" t="s">
        <v>13636</v>
      </c>
      <c r="D2315" t="s">
        <v>13637</v>
      </c>
      <c r="E2315" t="s">
        <v>13638</v>
      </c>
      <c r="F2315" t="s">
        <v>847</v>
      </c>
      <c r="G2315" t="s">
        <v>652</v>
      </c>
      <c r="H2315" t="s">
        <v>3942</v>
      </c>
      <c r="J2315" t="s">
        <v>3962</v>
      </c>
      <c r="K2315" t="s">
        <v>519</v>
      </c>
      <c r="M2315" t="s">
        <v>520</v>
      </c>
      <c r="N2315" t="s">
        <v>521</v>
      </c>
      <c r="O2315" t="s">
        <v>848</v>
      </c>
      <c r="P2315" t="s">
        <v>654</v>
      </c>
      <c r="Q2315" t="s">
        <v>638</v>
      </c>
      <c r="R2315" t="s">
        <v>729</v>
      </c>
      <c r="S2315" t="s">
        <v>849</v>
      </c>
      <c r="T2315" t="s">
        <v>709</v>
      </c>
      <c r="U2315">
        <v>151000</v>
      </c>
      <c r="V2315" t="s">
        <v>4223</v>
      </c>
      <c r="W2315" t="s">
        <v>732</v>
      </c>
      <c r="X2315" t="s">
        <v>13639</v>
      </c>
      <c r="Y2315" t="s">
        <v>13640</v>
      </c>
      <c r="Z2315" t="s">
        <v>847</v>
      </c>
      <c r="AA2315" t="s">
        <v>13641</v>
      </c>
      <c r="AE2315">
        <v>-36.97806448</v>
      </c>
      <c r="AF2315">
        <v>174.7907912</v>
      </c>
      <c r="AG2315">
        <v>72</v>
      </c>
      <c r="AH2315">
        <v>5</v>
      </c>
      <c r="AI2315">
        <v>1</v>
      </c>
      <c r="AJ2315">
        <v>1</v>
      </c>
      <c r="AK2315">
        <v>11</v>
      </c>
      <c r="AL2315">
        <v>24</v>
      </c>
      <c r="AM2315">
        <v>18</v>
      </c>
      <c r="AN2315">
        <v>4</v>
      </c>
      <c r="AO2315">
        <v>59</v>
      </c>
      <c r="AP2315">
        <v>4</v>
      </c>
      <c r="AQ2315">
        <v>5</v>
      </c>
      <c r="AR2315">
        <v>10</v>
      </c>
      <c r="AS2315">
        <v>48</v>
      </c>
      <c r="AT2315">
        <v>4</v>
      </c>
    </row>
    <row r="2316" spans="1:46">
      <c r="A2316">
        <v>46325</v>
      </c>
      <c r="B2316" t="s">
        <v>13642</v>
      </c>
      <c r="C2316" t="s">
        <v>13643</v>
      </c>
      <c r="D2316" t="s">
        <v>13644</v>
      </c>
      <c r="E2316" t="s">
        <v>13645</v>
      </c>
      <c r="F2316" t="s">
        <v>2244</v>
      </c>
      <c r="G2316" t="s">
        <v>2197</v>
      </c>
      <c r="H2316" t="s">
        <v>3942</v>
      </c>
      <c r="J2316" t="s">
        <v>3962</v>
      </c>
      <c r="K2316" t="s">
        <v>519</v>
      </c>
      <c r="M2316" t="s">
        <v>1297</v>
      </c>
      <c r="N2316" t="s">
        <v>557</v>
      </c>
      <c r="O2316" t="s">
        <v>2198</v>
      </c>
      <c r="P2316" t="s">
        <v>584</v>
      </c>
      <c r="Q2316" t="s">
        <v>2118</v>
      </c>
      <c r="R2316" t="s">
        <v>2084</v>
      </c>
      <c r="S2316" t="s">
        <v>2199</v>
      </c>
      <c r="T2316" t="s">
        <v>2085</v>
      </c>
      <c r="U2316">
        <v>209800</v>
      </c>
      <c r="V2316" t="s">
        <v>2244</v>
      </c>
      <c r="W2316" t="s">
        <v>2200</v>
      </c>
      <c r="X2316" t="s">
        <v>13646</v>
      </c>
      <c r="Y2316" t="s">
        <v>13647</v>
      </c>
      <c r="AA2316" t="s">
        <v>13648</v>
      </c>
      <c r="AB2316" t="s">
        <v>13649</v>
      </c>
      <c r="AE2316">
        <v>-39.624560529999997</v>
      </c>
      <c r="AF2316">
        <v>176.84654137999999</v>
      </c>
      <c r="AG2316">
        <v>25</v>
      </c>
      <c r="AH2316">
        <v>14</v>
      </c>
      <c r="AI2316">
        <v>0</v>
      </c>
      <c r="AJ2316">
        <v>8</v>
      </c>
      <c r="AK2316">
        <v>10</v>
      </c>
      <c r="AL2316">
        <v>2</v>
      </c>
      <c r="AM2316">
        <v>0</v>
      </c>
      <c r="AN2316">
        <v>0</v>
      </c>
      <c r="AO2316">
        <v>20</v>
      </c>
      <c r="AP2316">
        <v>13</v>
      </c>
      <c r="AQ2316">
        <v>3</v>
      </c>
      <c r="AR2316">
        <v>1</v>
      </c>
      <c r="AS2316">
        <v>3</v>
      </c>
      <c r="AT2316">
        <v>3</v>
      </c>
    </row>
    <row r="2317" spans="1:46">
      <c r="A2317">
        <v>46326</v>
      </c>
      <c r="B2317" t="s">
        <v>13650</v>
      </c>
      <c r="C2317" t="s">
        <v>13651</v>
      </c>
      <c r="D2317" t="s">
        <v>13652</v>
      </c>
      <c r="E2317" t="s">
        <v>13653</v>
      </c>
      <c r="F2317" t="s">
        <v>3793</v>
      </c>
      <c r="G2317" t="s">
        <v>652</v>
      </c>
      <c r="H2317" t="s">
        <v>3942</v>
      </c>
      <c r="I2317" t="s">
        <v>4951</v>
      </c>
      <c r="J2317" t="s">
        <v>3962</v>
      </c>
      <c r="K2317" t="s">
        <v>519</v>
      </c>
      <c r="M2317" t="s">
        <v>520</v>
      </c>
      <c r="N2317" t="s">
        <v>557</v>
      </c>
      <c r="O2317" t="s">
        <v>1216</v>
      </c>
      <c r="P2317" t="s">
        <v>654</v>
      </c>
      <c r="Q2317" t="s">
        <v>638</v>
      </c>
      <c r="R2317" t="s">
        <v>729</v>
      </c>
      <c r="S2317" t="s">
        <v>1036</v>
      </c>
      <c r="T2317" t="s">
        <v>709</v>
      </c>
      <c r="U2317">
        <v>157600</v>
      </c>
      <c r="V2317" t="s">
        <v>1256</v>
      </c>
      <c r="W2317" t="s">
        <v>1219</v>
      </c>
      <c r="X2317" t="s">
        <v>13654</v>
      </c>
      <c r="Y2317" t="s">
        <v>13655</v>
      </c>
      <c r="Z2317" t="s">
        <v>3945</v>
      </c>
      <c r="AA2317" t="s">
        <v>4585</v>
      </c>
      <c r="AB2317" t="s">
        <v>13651</v>
      </c>
      <c r="AE2317">
        <v>-37.000927009999998</v>
      </c>
      <c r="AF2317">
        <v>174.8778489</v>
      </c>
      <c r="AG2317">
        <v>50</v>
      </c>
      <c r="AH2317">
        <v>10</v>
      </c>
      <c r="AI2317">
        <v>1</v>
      </c>
      <c r="AJ2317">
        <v>6</v>
      </c>
      <c r="AK2317">
        <v>16</v>
      </c>
      <c r="AL2317">
        <v>13</v>
      </c>
      <c r="AM2317">
        <v>14</v>
      </c>
      <c r="AN2317">
        <v>2</v>
      </c>
      <c r="AO2317">
        <v>52</v>
      </c>
      <c r="AP2317">
        <v>11</v>
      </c>
      <c r="AQ2317">
        <v>43</v>
      </c>
      <c r="AR2317">
        <v>25</v>
      </c>
      <c r="AS2317">
        <v>5</v>
      </c>
      <c r="AT2317">
        <v>1</v>
      </c>
    </row>
    <row r="2318" spans="1:46">
      <c r="A2318">
        <v>46327</v>
      </c>
      <c r="B2318" t="s">
        <v>13656</v>
      </c>
      <c r="C2318" t="s">
        <v>13657</v>
      </c>
      <c r="D2318" t="s">
        <v>13658</v>
      </c>
      <c r="E2318" t="s">
        <v>13659</v>
      </c>
      <c r="F2318" t="s">
        <v>7549</v>
      </c>
      <c r="G2318" t="s">
        <v>652</v>
      </c>
      <c r="H2318" t="s">
        <v>3942</v>
      </c>
      <c r="I2318" t="s">
        <v>3953</v>
      </c>
      <c r="J2318" t="s">
        <v>518</v>
      </c>
      <c r="K2318" t="s">
        <v>519</v>
      </c>
      <c r="M2318" t="s">
        <v>520</v>
      </c>
      <c r="N2318" t="s">
        <v>727</v>
      </c>
      <c r="O2318" t="s">
        <v>1216</v>
      </c>
      <c r="P2318" t="s">
        <v>654</v>
      </c>
      <c r="Q2318" t="s">
        <v>638</v>
      </c>
      <c r="R2318" t="s">
        <v>729</v>
      </c>
      <c r="S2318" t="s">
        <v>1036</v>
      </c>
      <c r="T2318" t="s">
        <v>709</v>
      </c>
      <c r="U2318">
        <v>159700</v>
      </c>
      <c r="V2318" t="s">
        <v>8118</v>
      </c>
      <c r="W2318" t="s">
        <v>1219</v>
      </c>
      <c r="X2318" t="s">
        <v>5102</v>
      </c>
      <c r="Y2318" t="s">
        <v>5103</v>
      </c>
      <c r="Z2318" t="s">
        <v>5104</v>
      </c>
      <c r="AA2318" t="s">
        <v>5105</v>
      </c>
      <c r="AB2318" t="s">
        <v>5106</v>
      </c>
      <c r="AE2318">
        <v>-37.029966279999996</v>
      </c>
      <c r="AF2318">
        <v>174.86505725000001</v>
      </c>
      <c r="AG2318">
        <v>80</v>
      </c>
      <c r="AH2318">
        <v>10</v>
      </c>
      <c r="AI2318">
        <v>0</v>
      </c>
      <c r="AJ2318">
        <v>3</v>
      </c>
      <c r="AK2318">
        <v>17</v>
      </c>
      <c r="AL2318">
        <v>15</v>
      </c>
      <c r="AM2318">
        <v>27</v>
      </c>
      <c r="AN2318">
        <v>1</v>
      </c>
      <c r="AO2318">
        <v>63</v>
      </c>
      <c r="AP2318">
        <v>8</v>
      </c>
      <c r="AQ2318">
        <v>19</v>
      </c>
      <c r="AR2318">
        <v>49</v>
      </c>
      <c r="AS2318">
        <v>4</v>
      </c>
      <c r="AT2318">
        <v>0</v>
      </c>
    </row>
    <row r="2319" spans="1:46">
      <c r="A2319">
        <v>46332</v>
      </c>
      <c r="B2319" t="s">
        <v>13660</v>
      </c>
      <c r="C2319" t="s">
        <v>13661</v>
      </c>
      <c r="E2319" t="s">
        <v>13662</v>
      </c>
      <c r="F2319" t="s">
        <v>4978</v>
      </c>
      <c r="G2319" t="s">
        <v>652</v>
      </c>
      <c r="H2319" t="s">
        <v>3942</v>
      </c>
      <c r="J2319" t="s">
        <v>3962</v>
      </c>
      <c r="K2319" t="s">
        <v>519</v>
      </c>
      <c r="M2319" t="s">
        <v>520</v>
      </c>
      <c r="N2319" t="s">
        <v>571</v>
      </c>
      <c r="O2319" t="s">
        <v>957</v>
      </c>
      <c r="P2319" t="s">
        <v>654</v>
      </c>
      <c r="Q2319" t="s">
        <v>638</v>
      </c>
      <c r="R2319" t="s">
        <v>708</v>
      </c>
      <c r="S2319" t="s">
        <v>958</v>
      </c>
      <c r="T2319" t="s">
        <v>709</v>
      </c>
      <c r="U2319">
        <v>136001</v>
      </c>
      <c r="V2319" t="s">
        <v>4978</v>
      </c>
      <c r="W2319" t="s">
        <v>860</v>
      </c>
      <c r="X2319" t="s">
        <v>13663</v>
      </c>
      <c r="Y2319" t="s">
        <v>4658</v>
      </c>
      <c r="Z2319" t="s">
        <v>958</v>
      </c>
      <c r="AA2319" t="s">
        <v>4659</v>
      </c>
      <c r="AB2319" t="s">
        <v>13664</v>
      </c>
      <c r="AE2319">
        <v>-36.865278799999999</v>
      </c>
      <c r="AF2319">
        <v>174.7593785</v>
      </c>
      <c r="AG2319">
        <v>50</v>
      </c>
      <c r="AH2319">
        <v>20</v>
      </c>
      <c r="AI2319">
        <v>1</v>
      </c>
      <c r="AJ2319">
        <v>4</v>
      </c>
      <c r="AK2319">
        <v>8</v>
      </c>
      <c r="AL2319">
        <v>4</v>
      </c>
      <c r="AM2319">
        <v>6</v>
      </c>
      <c r="AN2319">
        <v>0</v>
      </c>
      <c r="AO2319">
        <v>23</v>
      </c>
      <c r="AP2319">
        <v>9</v>
      </c>
      <c r="AQ2319">
        <v>0</v>
      </c>
      <c r="AR2319">
        <v>2</v>
      </c>
      <c r="AS2319">
        <v>13</v>
      </c>
      <c r="AT2319">
        <v>2</v>
      </c>
    </row>
    <row r="2320" spans="1:46">
      <c r="A2320">
        <v>46337</v>
      </c>
      <c r="B2320" t="s">
        <v>13665</v>
      </c>
      <c r="C2320" t="s">
        <v>13666</v>
      </c>
      <c r="E2320" t="s">
        <v>13667</v>
      </c>
      <c r="F2320" t="s">
        <v>1035</v>
      </c>
      <c r="G2320" t="s">
        <v>652</v>
      </c>
      <c r="H2320" t="s">
        <v>3942</v>
      </c>
      <c r="J2320" t="s">
        <v>3962</v>
      </c>
      <c r="K2320" t="s">
        <v>519</v>
      </c>
      <c r="M2320" t="s">
        <v>520</v>
      </c>
      <c r="N2320" t="s">
        <v>539</v>
      </c>
      <c r="O2320" t="s">
        <v>728</v>
      </c>
      <c r="P2320" t="s">
        <v>654</v>
      </c>
      <c r="Q2320" t="s">
        <v>638</v>
      </c>
      <c r="R2320" t="s">
        <v>729</v>
      </c>
      <c r="S2320" t="s">
        <v>730</v>
      </c>
      <c r="T2320" t="s">
        <v>709</v>
      </c>
      <c r="U2320">
        <v>155601</v>
      </c>
      <c r="V2320" t="s">
        <v>13510</v>
      </c>
      <c r="W2320" t="s">
        <v>732</v>
      </c>
      <c r="X2320" t="s">
        <v>13668</v>
      </c>
      <c r="Y2320" t="s">
        <v>13669</v>
      </c>
      <c r="Z2320" t="s">
        <v>3990</v>
      </c>
      <c r="AA2320" t="s">
        <v>3991</v>
      </c>
      <c r="AB2320" t="s">
        <v>13670</v>
      </c>
      <c r="AE2320">
        <v>-36.969227080000003</v>
      </c>
      <c r="AF2320">
        <v>174.86790621</v>
      </c>
      <c r="AG2320">
        <v>70</v>
      </c>
      <c r="AH2320">
        <v>10</v>
      </c>
      <c r="AI2320">
        <v>0</v>
      </c>
      <c r="AJ2320">
        <v>7</v>
      </c>
      <c r="AK2320">
        <v>10</v>
      </c>
      <c r="AL2320">
        <v>29</v>
      </c>
      <c r="AM2320">
        <v>19</v>
      </c>
      <c r="AN2320">
        <v>4</v>
      </c>
      <c r="AO2320">
        <v>69</v>
      </c>
      <c r="AP2320">
        <v>1</v>
      </c>
      <c r="AQ2320">
        <v>6</v>
      </c>
      <c r="AR2320">
        <v>6</v>
      </c>
      <c r="AS2320">
        <v>55</v>
      </c>
      <c r="AT2320">
        <v>2</v>
      </c>
    </row>
    <row r="2321" spans="1:46">
      <c r="A2321">
        <v>46338</v>
      </c>
      <c r="B2321" t="s">
        <v>13671</v>
      </c>
      <c r="C2321" t="s">
        <v>13672</v>
      </c>
      <c r="E2321" t="s">
        <v>13673</v>
      </c>
      <c r="G2321" t="s">
        <v>1350</v>
      </c>
      <c r="H2321" t="s">
        <v>3942</v>
      </c>
      <c r="J2321" t="s">
        <v>3962</v>
      </c>
      <c r="K2321" t="s">
        <v>519</v>
      </c>
      <c r="M2321" t="s">
        <v>1297</v>
      </c>
      <c r="N2321" t="s">
        <v>539</v>
      </c>
      <c r="O2321" t="s">
        <v>1351</v>
      </c>
      <c r="P2321" t="s">
        <v>523</v>
      </c>
      <c r="Q2321" t="s">
        <v>1299</v>
      </c>
      <c r="R2321" t="s">
        <v>1300</v>
      </c>
      <c r="S2321" t="s">
        <v>1417</v>
      </c>
      <c r="T2321" t="s">
        <v>1235</v>
      </c>
      <c r="U2321">
        <v>172100</v>
      </c>
      <c r="V2321" t="s">
        <v>1352</v>
      </c>
      <c r="W2321" t="s">
        <v>1353</v>
      </c>
      <c r="X2321" t="s">
        <v>13674</v>
      </c>
      <c r="Y2321" t="s">
        <v>13675</v>
      </c>
      <c r="Z2321" t="s">
        <v>9495</v>
      </c>
      <c r="AA2321" t="s">
        <v>8511</v>
      </c>
      <c r="AB2321" t="s">
        <v>13676</v>
      </c>
      <c r="AE2321">
        <v>-37.663294399999998</v>
      </c>
      <c r="AF2321">
        <v>175.14240691000001</v>
      </c>
      <c r="AG2321">
        <v>45</v>
      </c>
      <c r="AH2321">
        <v>10</v>
      </c>
      <c r="AI2321">
        <v>2</v>
      </c>
      <c r="AJ2321">
        <v>10</v>
      </c>
      <c r="AK2321">
        <v>11</v>
      </c>
      <c r="AL2321">
        <v>5</v>
      </c>
      <c r="AM2321">
        <v>5</v>
      </c>
      <c r="AN2321">
        <v>2</v>
      </c>
      <c r="AO2321">
        <v>35</v>
      </c>
      <c r="AP2321">
        <v>12</v>
      </c>
      <c r="AQ2321">
        <v>22</v>
      </c>
      <c r="AR2321">
        <v>3</v>
      </c>
      <c r="AS2321">
        <v>5</v>
      </c>
      <c r="AT2321">
        <v>0</v>
      </c>
    </row>
    <row r="2322" spans="1:46">
      <c r="A2322">
        <v>46342</v>
      </c>
      <c r="B2322" t="s">
        <v>13677</v>
      </c>
      <c r="D2322" t="s">
        <v>13678</v>
      </c>
      <c r="E2322" t="s">
        <v>13679</v>
      </c>
      <c r="F2322" t="s">
        <v>13680</v>
      </c>
      <c r="G2322" t="s">
        <v>2941</v>
      </c>
      <c r="H2322" t="s">
        <v>3942</v>
      </c>
      <c r="J2322" t="s">
        <v>3962</v>
      </c>
      <c r="K2322" t="s">
        <v>519</v>
      </c>
      <c r="M2322" t="s">
        <v>2287</v>
      </c>
      <c r="N2322" t="s">
        <v>571</v>
      </c>
      <c r="O2322" t="s">
        <v>2942</v>
      </c>
      <c r="P2322" t="s">
        <v>654</v>
      </c>
      <c r="Q2322" t="s">
        <v>2943</v>
      </c>
      <c r="R2322" t="s">
        <v>2944</v>
      </c>
      <c r="S2322" t="s">
        <v>2979</v>
      </c>
      <c r="T2322" t="s">
        <v>2448</v>
      </c>
      <c r="U2322">
        <v>331200</v>
      </c>
      <c r="V2322" t="s">
        <v>13680</v>
      </c>
      <c r="W2322" t="s">
        <v>2958</v>
      </c>
      <c r="X2322" t="s">
        <v>13681</v>
      </c>
      <c r="Y2322" t="s">
        <v>13682</v>
      </c>
      <c r="AA2322" t="s">
        <v>13683</v>
      </c>
      <c r="AB2322" t="s">
        <v>13684</v>
      </c>
      <c r="AC2322">
        <v>99177</v>
      </c>
      <c r="AD2322" t="s">
        <v>2959</v>
      </c>
      <c r="AE2322">
        <v>-43.565834989999999</v>
      </c>
      <c r="AF2322">
        <v>172.64747603000001</v>
      </c>
      <c r="AG2322">
        <v>30</v>
      </c>
      <c r="AH2322">
        <v>0</v>
      </c>
      <c r="AI2322">
        <v>0</v>
      </c>
      <c r="AJ2322">
        <v>0</v>
      </c>
      <c r="AK2322">
        <v>8</v>
      </c>
      <c r="AL2322">
        <v>9</v>
      </c>
      <c r="AM2322">
        <v>13</v>
      </c>
      <c r="AN2322">
        <v>2</v>
      </c>
      <c r="AO2322">
        <v>32</v>
      </c>
      <c r="AP2322">
        <v>29</v>
      </c>
      <c r="AQ2322">
        <v>2</v>
      </c>
      <c r="AR2322">
        <v>0</v>
      </c>
      <c r="AS2322">
        <v>3</v>
      </c>
      <c r="AT2322">
        <v>1</v>
      </c>
    </row>
    <row r="2323" spans="1:46">
      <c r="A2323">
        <v>46343</v>
      </c>
      <c r="B2323" t="s">
        <v>13685</v>
      </c>
      <c r="C2323" t="s">
        <v>13686</v>
      </c>
      <c r="E2323" t="s">
        <v>13687</v>
      </c>
      <c r="F2323" t="s">
        <v>12983</v>
      </c>
      <c r="G2323" t="s">
        <v>1296</v>
      </c>
      <c r="H2323" t="s">
        <v>3942</v>
      </c>
      <c r="J2323" t="s">
        <v>3962</v>
      </c>
      <c r="K2323" t="s">
        <v>519</v>
      </c>
      <c r="M2323" t="s">
        <v>1297</v>
      </c>
      <c r="N2323" t="s">
        <v>571</v>
      </c>
      <c r="O2323" t="s">
        <v>1298</v>
      </c>
      <c r="P2323" t="s">
        <v>654</v>
      </c>
      <c r="Q2323" t="s">
        <v>1299</v>
      </c>
      <c r="R2323" t="s">
        <v>1300</v>
      </c>
      <c r="S2323" t="s">
        <v>1312</v>
      </c>
      <c r="T2323" t="s">
        <v>1235</v>
      </c>
      <c r="U2323">
        <v>179600</v>
      </c>
      <c r="V2323" t="s">
        <v>8810</v>
      </c>
      <c r="W2323" t="s">
        <v>1314</v>
      </c>
      <c r="X2323" t="s">
        <v>13688</v>
      </c>
      <c r="Y2323" t="s">
        <v>13689</v>
      </c>
      <c r="Z2323" t="s">
        <v>1345</v>
      </c>
      <c r="AA2323" t="s">
        <v>8650</v>
      </c>
      <c r="AB2323" t="s">
        <v>13690</v>
      </c>
      <c r="AE2323">
        <v>-37.775161750000002</v>
      </c>
      <c r="AF2323">
        <v>175.30022412</v>
      </c>
      <c r="AG2323">
        <v>30</v>
      </c>
      <c r="AH2323">
        <v>10</v>
      </c>
      <c r="AI2323">
        <v>3</v>
      </c>
      <c r="AJ2323">
        <v>2</v>
      </c>
      <c r="AK2323">
        <v>9</v>
      </c>
      <c r="AL2323">
        <v>9</v>
      </c>
      <c r="AM2323">
        <v>9</v>
      </c>
      <c r="AN2323">
        <v>0</v>
      </c>
      <c r="AO2323">
        <v>32</v>
      </c>
      <c r="AP2323">
        <v>27</v>
      </c>
      <c r="AQ2323">
        <v>6</v>
      </c>
      <c r="AR2323">
        <v>0</v>
      </c>
      <c r="AS2323">
        <v>5</v>
      </c>
      <c r="AT2323">
        <v>2</v>
      </c>
    </row>
    <row r="2324" spans="1:46">
      <c r="A2324">
        <v>46346</v>
      </c>
      <c r="B2324" t="s">
        <v>13691</v>
      </c>
      <c r="C2324" t="s">
        <v>13692</v>
      </c>
      <c r="D2324" t="s">
        <v>13693</v>
      </c>
      <c r="E2324" t="s">
        <v>13694</v>
      </c>
      <c r="F2324" t="s">
        <v>2138</v>
      </c>
      <c r="G2324" t="s">
        <v>2119</v>
      </c>
      <c r="H2324" t="s">
        <v>3942</v>
      </c>
      <c r="J2324" t="s">
        <v>3962</v>
      </c>
      <c r="K2324" t="s">
        <v>519</v>
      </c>
      <c r="M2324" t="s">
        <v>1297</v>
      </c>
      <c r="N2324" t="s">
        <v>571</v>
      </c>
      <c r="O2324" t="s">
        <v>2131</v>
      </c>
      <c r="P2324" t="s">
        <v>584</v>
      </c>
      <c r="Q2324" t="s">
        <v>2118</v>
      </c>
      <c r="R2324" t="s">
        <v>2084</v>
      </c>
      <c r="S2324" t="s">
        <v>2119</v>
      </c>
      <c r="T2324" t="s">
        <v>2085</v>
      </c>
      <c r="U2324">
        <v>214400</v>
      </c>
      <c r="V2324" t="s">
        <v>8898</v>
      </c>
      <c r="W2324" t="s">
        <v>2140</v>
      </c>
      <c r="X2324" t="s">
        <v>13695</v>
      </c>
      <c r="Y2324" t="s">
        <v>4658</v>
      </c>
      <c r="Z2324" t="s">
        <v>958</v>
      </c>
      <c r="AA2324" t="s">
        <v>4659</v>
      </c>
      <c r="AB2324" t="s">
        <v>13696</v>
      </c>
      <c r="AC2324">
        <v>99217</v>
      </c>
      <c r="AD2324" t="s">
        <v>2141</v>
      </c>
      <c r="AE2324">
        <v>-39.522990700000001</v>
      </c>
      <c r="AF2324">
        <v>176.86931150000001</v>
      </c>
      <c r="AG2324">
        <v>89</v>
      </c>
      <c r="AH2324">
        <v>30</v>
      </c>
      <c r="AI2324">
        <v>7</v>
      </c>
      <c r="AJ2324">
        <v>11</v>
      </c>
      <c r="AK2324">
        <v>17</v>
      </c>
      <c r="AL2324">
        <v>13</v>
      </c>
      <c r="AM2324">
        <v>15</v>
      </c>
      <c r="AN2324">
        <v>0</v>
      </c>
      <c r="AO2324">
        <v>63</v>
      </c>
      <c r="AP2324">
        <v>49</v>
      </c>
      <c r="AQ2324">
        <v>20</v>
      </c>
      <c r="AR2324">
        <v>1</v>
      </c>
      <c r="AS2324">
        <v>9</v>
      </c>
      <c r="AT2324">
        <v>7</v>
      </c>
    </row>
    <row r="2325" spans="1:46">
      <c r="A2325">
        <v>46350</v>
      </c>
      <c r="B2325" t="s">
        <v>13697</v>
      </c>
      <c r="D2325" t="s">
        <v>8762</v>
      </c>
      <c r="E2325" t="s">
        <v>13698</v>
      </c>
      <c r="F2325" t="s">
        <v>1313</v>
      </c>
      <c r="G2325" t="s">
        <v>1296</v>
      </c>
      <c r="H2325" t="s">
        <v>4716</v>
      </c>
      <c r="J2325" t="s">
        <v>3962</v>
      </c>
      <c r="K2325" t="s">
        <v>519</v>
      </c>
      <c r="M2325" t="s">
        <v>1297</v>
      </c>
      <c r="N2325" t="s">
        <v>539</v>
      </c>
      <c r="O2325" t="s">
        <v>1298</v>
      </c>
      <c r="P2325" t="s">
        <v>654</v>
      </c>
      <c r="Q2325" t="s">
        <v>1299</v>
      </c>
      <c r="R2325" t="s">
        <v>1300</v>
      </c>
      <c r="S2325" t="s">
        <v>1312</v>
      </c>
      <c r="T2325" t="s">
        <v>1235</v>
      </c>
      <c r="U2325">
        <v>177300</v>
      </c>
      <c r="V2325" t="s">
        <v>1313</v>
      </c>
      <c r="W2325" t="s">
        <v>1314</v>
      </c>
      <c r="X2325" t="s">
        <v>13699</v>
      </c>
      <c r="Y2325" t="s">
        <v>8763</v>
      </c>
      <c r="Z2325" t="s">
        <v>1313</v>
      </c>
      <c r="AA2325" t="s">
        <v>8511</v>
      </c>
      <c r="AE2325">
        <v>-37.749599439999997</v>
      </c>
      <c r="AF2325">
        <v>175.27368326000001</v>
      </c>
      <c r="AG2325">
        <v>80</v>
      </c>
      <c r="AH2325">
        <v>40</v>
      </c>
      <c r="AI2325">
        <v>5</v>
      </c>
      <c r="AJ2325">
        <v>7</v>
      </c>
      <c r="AK2325">
        <v>3</v>
      </c>
      <c r="AL2325">
        <v>10</v>
      </c>
      <c r="AM2325">
        <v>8</v>
      </c>
      <c r="AN2325">
        <v>10</v>
      </c>
      <c r="AO2325">
        <v>43</v>
      </c>
      <c r="AP2325">
        <v>0</v>
      </c>
      <c r="AQ2325">
        <v>2</v>
      </c>
      <c r="AR2325">
        <v>1</v>
      </c>
      <c r="AS2325">
        <v>0</v>
      </c>
      <c r="AT2325">
        <v>41</v>
      </c>
    </row>
    <row r="2326" spans="1:46">
      <c r="A2326">
        <v>46351</v>
      </c>
      <c r="B2326" t="s">
        <v>13700</v>
      </c>
      <c r="C2326" t="s">
        <v>13701</v>
      </c>
      <c r="D2326" t="s">
        <v>13702</v>
      </c>
      <c r="E2326" t="s">
        <v>13703</v>
      </c>
      <c r="G2326" t="s">
        <v>1538</v>
      </c>
      <c r="H2326" t="s">
        <v>3942</v>
      </c>
      <c r="J2326" t="s">
        <v>3962</v>
      </c>
      <c r="K2326" t="s">
        <v>519</v>
      </c>
      <c r="M2326" t="s">
        <v>1297</v>
      </c>
      <c r="N2326" t="s">
        <v>571</v>
      </c>
      <c r="O2326" t="s">
        <v>1319</v>
      </c>
      <c r="P2326" t="s">
        <v>1262</v>
      </c>
      <c r="Q2326" t="s">
        <v>1299</v>
      </c>
      <c r="R2326" t="s">
        <v>1300</v>
      </c>
      <c r="S2326" t="s">
        <v>1417</v>
      </c>
      <c r="T2326" t="s">
        <v>1235</v>
      </c>
      <c r="U2326">
        <v>184201</v>
      </c>
      <c r="V2326" t="s">
        <v>13704</v>
      </c>
      <c r="W2326" t="s">
        <v>1540</v>
      </c>
      <c r="X2326" t="s">
        <v>13705</v>
      </c>
      <c r="Y2326" t="s">
        <v>13706</v>
      </c>
      <c r="AA2326" t="s">
        <v>9281</v>
      </c>
      <c r="AB2326" t="s">
        <v>13707</v>
      </c>
      <c r="AE2326">
        <v>-38.002969499999999</v>
      </c>
      <c r="AF2326">
        <v>175.33810333</v>
      </c>
      <c r="AG2326">
        <v>50</v>
      </c>
      <c r="AH2326">
        <v>12</v>
      </c>
      <c r="AI2326">
        <v>5</v>
      </c>
      <c r="AJ2326">
        <v>10</v>
      </c>
      <c r="AK2326">
        <v>9</v>
      </c>
      <c r="AL2326">
        <v>13</v>
      </c>
      <c r="AM2326">
        <v>14</v>
      </c>
      <c r="AN2326">
        <v>0</v>
      </c>
      <c r="AO2326">
        <v>51</v>
      </c>
      <c r="AP2326">
        <v>43</v>
      </c>
      <c r="AQ2326">
        <v>17</v>
      </c>
      <c r="AR2326">
        <v>4</v>
      </c>
      <c r="AS2326">
        <v>4</v>
      </c>
      <c r="AT2326">
        <v>2</v>
      </c>
    </row>
    <row r="2327" spans="1:46">
      <c r="A2327">
        <v>46352</v>
      </c>
      <c r="B2327" t="s">
        <v>13708</v>
      </c>
      <c r="C2327" t="s">
        <v>13709</v>
      </c>
      <c r="E2327" t="s">
        <v>13710</v>
      </c>
      <c r="F2327" t="s">
        <v>898</v>
      </c>
      <c r="G2327" t="s">
        <v>652</v>
      </c>
      <c r="H2327" t="s">
        <v>3942</v>
      </c>
      <c r="J2327" t="s">
        <v>3962</v>
      </c>
      <c r="K2327" t="s">
        <v>519</v>
      </c>
      <c r="M2327" t="s">
        <v>520</v>
      </c>
      <c r="N2327" t="s">
        <v>4519</v>
      </c>
      <c r="O2327" t="s">
        <v>813</v>
      </c>
      <c r="P2327" t="s">
        <v>654</v>
      </c>
      <c r="Q2327" t="s">
        <v>638</v>
      </c>
      <c r="R2327" t="s">
        <v>639</v>
      </c>
      <c r="S2327" t="s">
        <v>899</v>
      </c>
      <c r="T2327" t="s">
        <v>527</v>
      </c>
      <c r="U2327">
        <v>126100</v>
      </c>
      <c r="V2327" t="s">
        <v>5013</v>
      </c>
      <c r="W2327" t="s">
        <v>815</v>
      </c>
      <c r="X2327" t="s">
        <v>13711</v>
      </c>
      <c r="Y2327" t="s">
        <v>12857</v>
      </c>
      <c r="Z2327" t="s">
        <v>6203</v>
      </c>
      <c r="AA2327" t="s">
        <v>4356</v>
      </c>
      <c r="AE2327">
        <v>-36.882470169999998</v>
      </c>
      <c r="AF2327">
        <v>174.61516259999999</v>
      </c>
      <c r="AG2327">
        <v>90</v>
      </c>
      <c r="AH2327">
        <v>20</v>
      </c>
      <c r="AI2327">
        <v>2</v>
      </c>
      <c r="AJ2327">
        <v>14</v>
      </c>
      <c r="AK2327">
        <v>13</v>
      </c>
      <c r="AL2327">
        <v>21</v>
      </c>
      <c r="AM2327">
        <v>21</v>
      </c>
      <c r="AN2327">
        <v>0</v>
      </c>
      <c r="AO2327">
        <v>71</v>
      </c>
      <c r="AP2327">
        <v>10</v>
      </c>
      <c r="AQ2327">
        <v>5</v>
      </c>
      <c r="AR2327">
        <v>13</v>
      </c>
      <c r="AS2327">
        <v>42</v>
      </c>
      <c r="AT2327">
        <v>7</v>
      </c>
    </row>
    <row r="2328" spans="1:46">
      <c r="A2328">
        <v>46354</v>
      </c>
      <c r="B2328" t="s">
        <v>13712</v>
      </c>
      <c r="C2328" t="s">
        <v>13713</v>
      </c>
      <c r="D2328" t="s">
        <v>13714</v>
      </c>
      <c r="E2328" t="s">
        <v>13715</v>
      </c>
      <c r="G2328" t="s">
        <v>3855</v>
      </c>
      <c r="H2328" t="s">
        <v>3942</v>
      </c>
      <c r="J2328" t="s">
        <v>3962</v>
      </c>
      <c r="K2328" t="s">
        <v>519</v>
      </c>
      <c r="M2328" t="s">
        <v>1297</v>
      </c>
      <c r="N2328" t="s">
        <v>4519</v>
      </c>
      <c r="O2328" t="s">
        <v>1437</v>
      </c>
      <c r="P2328" t="s">
        <v>523</v>
      </c>
      <c r="Q2328" t="s">
        <v>1299</v>
      </c>
      <c r="R2328" t="s">
        <v>1300</v>
      </c>
      <c r="S2328" t="s">
        <v>1438</v>
      </c>
      <c r="T2328" t="s">
        <v>1235</v>
      </c>
      <c r="U2328">
        <v>168901</v>
      </c>
      <c r="V2328" t="s">
        <v>3855</v>
      </c>
      <c r="W2328" t="s">
        <v>3856</v>
      </c>
      <c r="X2328" t="s">
        <v>9346</v>
      </c>
      <c r="Y2328" t="s">
        <v>9345</v>
      </c>
      <c r="AA2328" t="s">
        <v>9347</v>
      </c>
      <c r="AB2328" t="s">
        <v>9348</v>
      </c>
      <c r="AE2328">
        <v>-37.278882199999998</v>
      </c>
      <c r="AF2328">
        <v>175.4921105</v>
      </c>
      <c r="AG2328">
        <v>27</v>
      </c>
      <c r="AH2328">
        <v>5</v>
      </c>
      <c r="AI2328">
        <v>0</v>
      </c>
      <c r="AJ2328">
        <v>3</v>
      </c>
      <c r="AK2328">
        <v>6</v>
      </c>
      <c r="AL2328">
        <v>5</v>
      </c>
      <c r="AM2328">
        <v>10</v>
      </c>
      <c r="AN2328">
        <v>0</v>
      </c>
      <c r="AO2328">
        <v>24</v>
      </c>
      <c r="AP2328">
        <v>20</v>
      </c>
      <c r="AQ2328">
        <v>7</v>
      </c>
      <c r="AR2328">
        <v>0</v>
      </c>
      <c r="AS2328">
        <v>5</v>
      </c>
      <c r="AT2328">
        <v>0</v>
      </c>
    </row>
    <row r="2329" spans="1:46">
      <c r="A2329">
        <v>46356</v>
      </c>
      <c r="B2329" t="s">
        <v>13716</v>
      </c>
      <c r="C2329" t="s">
        <v>1223</v>
      </c>
      <c r="E2329" t="s">
        <v>13717</v>
      </c>
      <c r="F2329" t="s">
        <v>1217</v>
      </c>
      <c r="G2329" t="s">
        <v>652</v>
      </c>
      <c r="H2329" t="s">
        <v>517</v>
      </c>
      <c r="J2329" t="s">
        <v>518</v>
      </c>
      <c r="K2329" t="s">
        <v>519</v>
      </c>
      <c r="M2329" t="s">
        <v>520</v>
      </c>
      <c r="N2329" t="s">
        <v>521</v>
      </c>
      <c r="O2329" t="s">
        <v>1268</v>
      </c>
      <c r="P2329" t="s">
        <v>654</v>
      </c>
      <c r="Q2329" t="s">
        <v>638</v>
      </c>
      <c r="R2329" t="s">
        <v>729</v>
      </c>
      <c r="S2329" t="s">
        <v>1217</v>
      </c>
      <c r="T2329" t="s">
        <v>709</v>
      </c>
      <c r="U2329">
        <v>162000</v>
      </c>
      <c r="V2329" t="s">
        <v>4049</v>
      </c>
      <c r="W2329" t="s">
        <v>1219</v>
      </c>
      <c r="X2329" t="s">
        <v>1220</v>
      </c>
      <c r="Y2329" t="s">
        <v>1221</v>
      </c>
      <c r="Z2329" t="s">
        <v>1217</v>
      </c>
      <c r="AA2329" t="s">
        <v>1222</v>
      </c>
      <c r="AB2329" t="s">
        <v>1223</v>
      </c>
      <c r="AE2329">
        <v>-37.038338000000003</v>
      </c>
      <c r="AF2329">
        <v>174.91751103999999</v>
      </c>
      <c r="AG2329">
        <v>96</v>
      </c>
      <c r="AH2329">
        <v>12</v>
      </c>
      <c r="AI2329">
        <v>4</v>
      </c>
      <c r="AJ2329">
        <v>8</v>
      </c>
      <c r="AK2329">
        <v>26</v>
      </c>
      <c r="AL2329">
        <v>23</v>
      </c>
      <c r="AM2329">
        <v>36</v>
      </c>
      <c r="AN2329">
        <v>2</v>
      </c>
      <c r="AO2329">
        <v>99</v>
      </c>
      <c r="AP2329">
        <v>42</v>
      </c>
      <c r="AQ2329">
        <v>13</v>
      </c>
      <c r="AR2329">
        <v>12</v>
      </c>
      <c r="AS2329">
        <v>53</v>
      </c>
      <c r="AT2329">
        <v>6</v>
      </c>
    </row>
    <row r="2330" spans="1:46">
      <c r="A2330">
        <v>46359</v>
      </c>
      <c r="B2330" t="s">
        <v>13718</v>
      </c>
      <c r="C2330" t="s">
        <v>13719</v>
      </c>
      <c r="D2330" t="s">
        <v>13720</v>
      </c>
      <c r="E2330" t="s">
        <v>13721</v>
      </c>
      <c r="F2330" t="s">
        <v>2613</v>
      </c>
      <c r="G2330" t="s">
        <v>2526</v>
      </c>
      <c r="H2330" t="s">
        <v>3942</v>
      </c>
      <c r="J2330" t="s">
        <v>3962</v>
      </c>
      <c r="K2330" t="s">
        <v>519</v>
      </c>
      <c r="M2330" t="s">
        <v>2287</v>
      </c>
      <c r="N2330" t="s">
        <v>557</v>
      </c>
      <c r="O2330" t="s">
        <v>2527</v>
      </c>
      <c r="P2330" t="s">
        <v>584</v>
      </c>
      <c r="Q2330" t="s">
        <v>2319</v>
      </c>
      <c r="R2330" t="s">
        <v>2289</v>
      </c>
      <c r="S2330" t="s">
        <v>2528</v>
      </c>
      <c r="T2330" t="s">
        <v>1485</v>
      </c>
      <c r="U2330">
        <v>239300</v>
      </c>
      <c r="V2330" t="s">
        <v>2614</v>
      </c>
      <c r="W2330" t="s">
        <v>2529</v>
      </c>
      <c r="X2330" t="s">
        <v>13722</v>
      </c>
      <c r="Y2330" t="s">
        <v>13721</v>
      </c>
      <c r="Z2330" t="s">
        <v>2613</v>
      </c>
      <c r="AA2330" t="s">
        <v>13723</v>
      </c>
      <c r="AC2330">
        <v>99094</v>
      </c>
      <c r="AD2330" t="s">
        <v>2615</v>
      </c>
      <c r="AE2330">
        <v>-41.128879380000001</v>
      </c>
      <c r="AF2330">
        <v>174.83252435</v>
      </c>
      <c r="AG2330">
        <v>44</v>
      </c>
      <c r="AH2330">
        <v>10</v>
      </c>
      <c r="AI2330">
        <v>1</v>
      </c>
      <c r="AJ2330">
        <v>7</v>
      </c>
      <c r="AK2330">
        <v>9</v>
      </c>
      <c r="AL2330">
        <v>14</v>
      </c>
      <c r="AM2330">
        <v>11</v>
      </c>
      <c r="AN2330">
        <v>0</v>
      </c>
      <c r="AO2330">
        <v>42</v>
      </c>
      <c r="AP2330">
        <v>18</v>
      </c>
      <c r="AQ2330">
        <v>24</v>
      </c>
      <c r="AR2330">
        <v>18</v>
      </c>
      <c r="AS2330">
        <v>5</v>
      </c>
      <c r="AT2330">
        <v>5</v>
      </c>
    </row>
    <row r="2331" spans="1:46">
      <c r="A2331">
        <v>46361</v>
      </c>
      <c r="B2331" t="s">
        <v>13724</v>
      </c>
      <c r="C2331" t="s">
        <v>13725</v>
      </c>
      <c r="D2331" t="s">
        <v>13726</v>
      </c>
      <c r="E2331" t="s">
        <v>13727</v>
      </c>
      <c r="F2331" t="s">
        <v>13107</v>
      </c>
      <c r="G2331" t="s">
        <v>652</v>
      </c>
      <c r="H2331" t="s">
        <v>3942</v>
      </c>
      <c r="J2331" t="s">
        <v>3962</v>
      </c>
      <c r="K2331" t="s">
        <v>519</v>
      </c>
      <c r="M2331" t="s">
        <v>520</v>
      </c>
      <c r="N2331" t="s">
        <v>571</v>
      </c>
      <c r="O2331" t="s">
        <v>829</v>
      </c>
      <c r="P2331" t="s">
        <v>654</v>
      </c>
      <c r="Q2331" t="s">
        <v>638</v>
      </c>
      <c r="R2331" t="s">
        <v>708</v>
      </c>
      <c r="S2331" t="s">
        <v>805</v>
      </c>
      <c r="T2331" t="s">
        <v>709</v>
      </c>
      <c r="U2331">
        <v>145300</v>
      </c>
      <c r="V2331" t="s">
        <v>8276</v>
      </c>
      <c r="W2331" t="s">
        <v>807</v>
      </c>
      <c r="X2331" t="s">
        <v>13728</v>
      </c>
      <c r="Y2331" t="s">
        <v>13729</v>
      </c>
      <c r="Z2331" t="s">
        <v>822</v>
      </c>
      <c r="AA2331" t="s">
        <v>5194</v>
      </c>
      <c r="AB2331" t="s">
        <v>13730</v>
      </c>
      <c r="AC2331">
        <v>99100</v>
      </c>
      <c r="AD2331" t="s">
        <v>1061</v>
      </c>
      <c r="AE2331">
        <v>-36.888916889999997</v>
      </c>
      <c r="AF2331">
        <v>174.83109880000001</v>
      </c>
      <c r="AG2331">
        <v>100</v>
      </c>
      <c r="AH2331">
        <v>30</v>
      </c>
      <c r="AI2331">
        <v>4</v>
      </c>
      <c r="AJ2331">
        <v>12</v>
      </c>
      <c r="AK2331">
        <v>19</v>
      </c>
      <c r="AL2331">
        <v>8</v>
      </c>
      <c r="AM2331">
        <v>17</v>
      </c>
      <c r="AN2331">
        <v>1</v>
      </c>
      <c r="AO2331">
        <v>61</v>
      </c>
      <c r="AP2331">
        <v>27</v>
      </c>
      <c r="AQ2331">
        <v>7</v>
      </c>
      <c r="AR2331">
        <v>5</v>
      </c>
      <c r="AS2331">
        <v>29</v>
      </c>
      <c r="AT2331">
        <v>7</v>
      </c>
    </row>
    <row r="2332" spans="1:46">
      <c r="A2332">
        <v>46362</v>
      </c>
      <c r="B2332" t="s">
        <v>13731</v>
      </c>
      <c r="C2332" t="s">
        <v>13732</v>
      </c>
      <c r="E2332" t="s">
        <v>13733</v>
      </c>
      <c r="F2332" t="s">
        <v>10383</v>
      </c>
      <c r="G2332" t="s">
        <v>2725</v>
      </c>
      <c r="H2332" t="s">
        <v>517</v>
      </c>
      <c r="I2332" t="s">
        <v>13734</v>
      </c>
      <c r="J2332" t="s">
        <v>518</v>
      </c>
      <c r="K2332" t="s">
        <v>519</v>
      </c>
      <c r="M2332" t="s">
        <v>2287</v>
      </c>
      <c r="N2332" t="s">
        <v>539</v>
      </c>
      <c r="O2332" t="s">
        <v>2066</v>
      </c>
      <c r="P2332" t="s">
        <v>1262</v>
      </c>
      <c r="Q2332" t="s">
        <v>1636</v>
      </c>
      <c r="R2332" t="s">
        <v>2289</v>
      </c>
      <c r="S2332" t="s">
        <v>2067</v>
      </c>
      <c r="T2332" t="s">
        <v>1485</v>
      </c>
      <c r="U2332">
        <v>235900</v>
      </c>
      <c r="V2332" t="s">
        <v>2726</v>
      </c>
      <c r="W2332" t="s">
        <v>2727</v>
      </c>
      <c r="X2332" t="s">
        <v>1889</v>
      </c>
      <c r="Y2332" t="s">
        <v>1890</v>
      </c>
      <c r="AA2332" t="s">
        <v>1891</v>
      </c>
      <c r="AB2332" t="s">
        <v>1892</v>
      </c>
      <c r="AC2332">
        <v>99058</v>
      </c>
      <c r="AD2332" t="s">
        <v>2728</v>
      </c>
      <c r="AE2332">
        <v>-40.629272729999997</v>
      </c>
      <c r="AF2332">
        <v>175.29637013000001</v>
      </c>
      <c r="AG2332">
        <v>31</v>
      </c>
      <c r="AH2332">
        <v>20</v>
      </c>
      <c r="AI2332">
        <v>2</v>
      </c>
      <c r="AJ2332">
        <v>3</v>
      </c>
      <c r="AK2332">
        <v>9</v>
      </c>
      <c r="AL2332">
        <v>6</v>
      </c>
      <c r="AM2332">
        <v>10</v>
      </c>
      <c r="AN2332">
        <v>0</v>
      </c>
      <c r="AO2332">
        <v>30</v>
      </c>
      <c r="AP2332">
        <v>17</v>
      </c>
      <c r="AQ2332">
        <v>22</v>
      </c>
      <c r="AR2332">
        <v>6</v>
      </c>
      <c r="AS2332">
        <v>1</v>
      </c>
      <c r="AT2332">
        <v>1</v>
      </c>
    </row>
    <row r="2333" spans="1:46">
      <c r="A2333">
        <v>46363</v>
      </c>
      <c r="B2333" t="s">
        <v>13735</v>
      </c>
      <c r="C2333" t="s">
        <v>13736</v>
      </c>
      <c r="D2333" t="s">
        <v>13737</v>
      </c>
      <c r="E2333" t="s">
        <v>13738</v>
      </c>
      <c r="G2333" t="s">
        <v>9080</v>
      </c>
      <c r="H2333" t="s">
        <v>3942</v>
      </c>
      <c r="J2333" t="s">
        <v>3962</v>
      </c>
      <c r="K2333" t="s">
        <v>519</v>
      </c>
      <c r="M2333" t="s">
        <v>1297</v>
      </c>
      <c r="N2333" t="s">
        <v>571</v>
      </c>
      <c r="O2333" t="s">
        <v>1351</v>
      </c>
      <c r="P2333" t="s">
        <v>540</v>
      </c>
      <c r="Q2333" t="s">
        <v>1299</v>
      </c>
      <c r="R2333" t="s">
        <v>1300</v>
      </c>
      <c r="S2333" t="s">
        <v>1417</v>
      </c>
      <c r="T2333" t="s">
        <v>1235</v>
      </c>
      <c r="U2333">
        <v>172800</v>
      </c>
      <c r="V2333" t="s">
        <v>9081</v>
      </c>
      <c r="W2333" t="s">
        <v>1353</v>
      </c>
      <c r="X2333" t="s">
        <v>13739</v>
      </c>
      <c r="Y2333" t="s">
        <v>13738</v>
      </c>
      <c r="Z2333" t="s">
        <v>9080</v>
      </c>
      <c r="AA2333" t="s">
        <v>13740</v>
      </c>
      <c r="AB2333" t="s">
        <v>13741</v>
      </c>
      <c r="AE2333">
        <v>-37.796561109999999</v>
      </c>
      <c r="AF2333">
        <v>175.15424107999999</v>
      </c>
      <c r="AG2333">
        <v>60</v>
      </c>
      <c r="AH2333">
        <v>15</v>
      </c>
      <c r="AI2333">
        <v>3</v>
      </c>
      <c r="AJ2333">
        <v>14</v>
      </c>
      <c r="AK2333">
        <v>17</v>
      </c>
      <c r="AL2333">
        <v>21</v>
      </c>
      <c r="AM2333">
        <v>19</v>
      </c>
      <c r="AN2333">
        <v>0</v>
      </c>
      <c r="AO2333">
        <v>74</v>
      </c>
      <c r="AP2333">
        <v>65</v>
      </c>
      <c r="AQ2333">
        <v>16</v>
      </c>
      <c r="AR2333">
        <v>5</v>
      </c>
      <c r="AS2333">
        <v>2</v>
      </c>
      <c r="AT2333">
        <v>3</v>
      </c>
    </row>
    <row r="2334" spans="1:46">
      <c r="A2334">
        <v>46364</v>
      </c>
      <c r="B2334" t="s">
        <v>13742</v>
      </c>
      <c r="C2334" t="s">
        <v>13743</v>
      </c>
      <c r="D2334" t="s">
        <v>13744</v>
      </c>
      <c r="E2334" t="s">
        <v>13745</v>
      </c>
      <c r="F2334" t="s">
        <v>3722</v>
      </c>
      <c r="G2334" t="s">
        <v>1598</v>
      </c>
      <c r="H2334" t="s">
        <v>3942</v>
      </c>
      <c r="J2334" t="s">
        <v>3962</v>
      </c>
      <c r="K2334" t="s">
        <v>519</v>
      </c>
      <c r="M2334" t="s">
        <v>1297</v>
      </c>
      <c r="N2334" t="s">
        <v>571</v>
      </c>
      <c r="O2334" t="s">
        <v>1698</v>
      </c>
      <c r="P2334" t="s">
        <v>654</v>
      </c>
      <c r="Q2334" t="s">
        <v>1471</v>
      </c>
      <c r="R2334" t="s">
        <v>1472</v>
      </c>
      <c r="S2334" t="s">
        <v>1598</v>
      </c>
      <c r="T2334" t="s">
        <v>1474</v>
      </c>
      <c r="U2334">
        <v>194802</v>
      </c>
      <c r="V2334" t="s">
        <v>3723</v>
      </c>
      <c r="W2334" t="s">
        <v>3724</v>
      </c>
      <c r="X2334" t="s">
        <v>12190</v>
      </c>
      <c r="Y2334" t="s">
        <v>12191</v>
      </c>
      <c r="Z2334" t="s">
        <v>12192</v>
      </c>
      <c r="AA2334" t="s">
        <v>12193</v>
      </c>
      <c r="AB2334" t="s">
        <v>12187</v>
      </c>
      <c r="AC2334">
        <v>99085</v>
      </c>
      <c r="AD2334" t="s">
        <v>1718</v>
      </c>
      <c r="AE2334">
        <v>-37.708577390000002</v>
      </c>
      <c r="AF2334">
        <v>176.14917033</v>
      </c>
      <c r="AG2334">
        <v>124</v>
      </c>
      <c r="AH2334">
        <v>40</v>
      </c>
      <c r="AI2334">
        <v>6</v>
      </c>
      <c r="AJ2334">
        <v>31</v>
      </c>
      <c r="AK2334">
        <v>33</v>
      </c>
      <c r="AL2334">
        <v>28</v>
      </c>
      <c r="AM2334">
        <v>22</v>
      </c>
      <c r="AN2334">
        <v>1</v>
      </c>
      <c r="AO2334">
        <v>121</v>
      </c>
      <c r="AP2334">
        <v>84</v>
      </c>
      <c r="AQ2334">
        <v>22</v>
      </c>
      <c r="AR2334">
        <v>5</v>
      </c>
      <c r="AS2334">
        <v>28</v>
      </c>
      <c r="AT2334">
        <v>6</v>
      </c>
    </row>
    <row r="2335" spans="1:46">
      <c r="A2335">
        <v>46365</v>
      </c>
      <c r="B2335" t="s">
        <v>13746</v>
      </c>
      <c r="C2335" t="s">
        <v>13747</v>
      </c>
      <c r="D2335" t="s">
        <v>13748</v>
      </c>
      <c r="E2335" t="s">
        <v>13749</v>
      </c>
      <c r="F2335" t="s">
        <v>855</v>
      </c>
      <c r="G2335" t="s">
        <v>652</v>
      </c>
      <c r="H2335" t="s">
        <v>3942</v>
      </c>
      <c r="J2335" t="s">
        <v>518</v>
      </c>
      <c r="K2335" t="s">
        <v>519</v>
      </c>
      <c r="M2335" t="s">
        <v>520</v>
      </c>
      <c r="N2335" t="s">
        <v>557</v>
      </c>
      <c r="O2335" t="s">
        <v>857</v>
      </c>
      <c r="P2335" t="s">
        <v>654</v>
      </c>
      <c r="Q2335" t="s">
        <v>638</v>
      </c>
      <c r="R2335" t="s">
        <v>708</v>
      </c>
      <c r="S2335" t="s">
        <v>913</v>
      </c>
      <c r="T2335" t="s">
        <v>709</v>
      </c>
      <c r="U2335">
        <v>136801</v>
      </c>
      <c r="V2335" t="s">
        <v>5126</v>
      </c>
      <c r="W2335" t="s">
        <v>860</v>
      </c>
      <c r="X2335" t="s">
        <v>13750</v>
      </c>
      <c r="Y2335" t="s">
        <v>13751</v>
      </c>
      <c r="Z2335" t="s">
        <v>4690</v>
      </c>
      <c r="AA2335" t="s">
        <v>4691</v>
      </c>
      <c r="AB2335" t="s">
        <v>13747</v>
      </c>
      <c r="AE2335">
        <v>-36.895236109999999</v>
      </c>
      <c r="AF2335">
        <v>174.72372948</v>
      </c>
      <c r="AG2335">
        <v>65</v>
      </c>
      <c r="AH2335">
        <v>18</v>
      </c>
      <c r="AI2335">
        <v>1</v>
      </c>
      <c r="AJ2335">
        <v>19</v>
      </c>
      <c r="AK2335">
        <v>12</v>
      </c>
      <c r="AL2335">
        <v>22</v>
      </c>
      <c r="AM2335">
        <v>22</v>
      </c>
      <c r="AN2335">
        <v>0</v>
      </c>
      <c r="AO2335">
        <v>76</v>
      </c>
      <c r="AP2335">
        <v>45</v>
      </c>
      <c r="AQ2335">
        <v>9</v>
      </c>
      <c r="AR2335">
        <v>14</v>
      </c>
      <c r="AS2335">
        <v>21</v>
      </c>
      <c r="AT2335">
        <v>5</v>
      </c>
    </row>
    <row r="2336" spans="1:46">
      <c r="A2336">
        <v>46366</v>
      </c>
      <c r="B2336" t="s">
        <v>13752</v>
      </c>
      <c r="C2336" t="s">
        <v>13753</v>
      </c>
      <c r="E2336" t="s">
        <v>13754</v>
      </c>
      <c r="F2336" t="s">
        <v>1335</v>
      </c>
      <c r="G2336" t="s">
        <v>1296</v>
      </c>
      <c r="H2336" t="s">
        <v>3942</v>
      </c>
      <c r="J2336" t="s">
        <v>518</v>
      </c>
      <c r="K2336" t="s">
        <v>519</v>
      </c>
      <c r="M2336" t="s">
        <v>1297</v>
      </c>
      <c r="N2336" t="s">
        <v>571</v>
      </c>
      <c r="O2336" t="s">
        <v>1298</v>
      </c>
      <c r="P2336" t="s">
        <v>654</v>
      </c>
      <c r="Q2336" t="s">
        <v>1299</v>
      </c>
      <c r="R2336" t="s">
        <v>1300</v>
      </c>
      <c r="S2336" t="s">
        <v>1301</v>
      </c>
      <c r="T2336" t="s">
        <v>1235</v>
      </c>
      <c r="U2336">
        <v>177901</v>
      </c>
      <c r="V2336" t="s">
        <v>1302</v>
      </c>
      <c r="W2336" t="s">
        <v>1303</v>
      </c>
      <c r="X2336" t="s">
        <v>13755</v>
      </c>
      <c r="Y2336" t="s">
        <v>8738</v>
      </c>
      <c r="Z2336" t="s">
        <v>1312</v>
      </c>
      <c r="AA2336" t="s">
        <v>1306</v>
      </c>
      <c r="AB2336" t="s">
        <v>13756</v>
      </c>
      <c r="AC2336">
        <v>99103</v>
      </c>
      <c r="AD2336" t="s">
        <v>8739</v>
      </c>
      <c r="AE2336">
        <v>-37.785396499999997</v>
      </c>
      <c r="AF2336">
        <v>175.250598</v>
      </c>
      <c r="AG2336">
        <v>40</v>
      </c>
      <c r="AH2336">
        <v>10</v>
      </c>
      <c r="AI2336">
        <v>4</v>
      </c>
      <c r="AJ2336">
        <v>4</v>
      </c>
      <c r="AK2336">
        <v>8</v>
      </c>
      <c r="AL2336">
        <v>17</v>
      </c>
      <c r="AM2336">
        <v>11</v>
      </c>
      <c r="AN2336">
        <v>1</v>
      </c>
      <c r="AO2336">
        <v>45</v>
      </c>
      <c r="AP2336">
        <v>32</v>
      </c>
      <c r="AQ2336">
        <v>7</v>
      </c>
      <c r="AR2336">
        <v>2</v>
      </c>
      <c r="AS2336">
        <v>9</v>
      </c>
      <c r="AT2336">
        <v>1</v>
      </c>
    </row>
    <row r="2337" spans="1:46">
      <c r="A2337">
        <v>46370</v>
      </c>
      <c r="B2337" t="s">
        <v>13757</v>
      </c>
      <c r="C2337" t="s">
        <v>13758</v>
      </c>
      <c r="D2337" t="s">
        <v>5003</v>
      </c>
      <c r="E2337" t="s">
        <v>13759</v>
      </c>
      <c r="F2337" t="s">
        <v>1035</v>
      </c>
      <c r="G2337" t="s">
        <v>652</v>
      </c>
      <c r="H2337" t="s">
        <v>3942</v>
      </c>
      <c r="J2337" t="s">
        <v>3962</v>
      </c>
      <c r="K2337" t="s">
        <v>519</v>
      </c>
      <c r="M2337" t="s">
        <v>520</v>
      </c>
      <c r="N2337" t="s">
        <v>557</v>
      </c>
      <c r="O2337" t="s">
        <v>728</v>
      </c>
      <c r="P2337" t="s">
        <v>654</v>
      </c>
      <c r="Q2337" t="s">
        <v>638</v>
      </c>
      <c r="R2337" t="s">
        <v>729</v>
      </c>
      <c r="S2337" t="s">
        <v>849</v>
      </c>
      <c r="T2337" t="s">
        <v>709</v>
      </c>
      <c r="U2337">
        <v>154201</v>
      </c>
      <c r="V2337" t="s">
        <v>13760</v>
      </c>
      <c r="W2337" t="s">
        <v>732</v>
      </c>
      <c r="X2337" t="s">
        <v>5006</v>
      </c>
      <c r="Y2337" t="s">
        <v>5007</v>
      </c>
      <c r="Z2337" t="s">
        <v>769</v>
      </c>
      <c r="AA2337" t="s">
        <v>4333</v>
      </c>
      <c r="AB2337" t="s">
        <v>5008</v>
      </c>
      <c r="AE2337">
        <v>-36.976436210000003</v>
      </c>
      <c r="AF2337">
        <v>174.83549239999999</v>
      </c>
      <c r="AG2337">
        <v>35</v>
      </c>
      <c r="AH2337">
        <v>10</v>
      </c>
      <c r="AI2337">
        <v>0</v>
      </c>
      <c r="AJ2337">
        <v>5</v>
      </c>
      <c r="AK2337">
        <v>8</v>
      </c>
      <c r="AL2337">
        <v>6</v>
      </c>
      <c r="AM2337">
        <v>15</v>
      </c>
      <c r="AN2337">
        <v>0</v>
      </c>
      <c r="AO2337">
        <v>34</v>
      </c>
      <c r="AP2337">
        <v>1</v>
      </c>
      <c r="AQ2337">
        <v>1</v>
      </c>
      <c r="AR2337">
        <v>8</v>
      </c>
      <c r="AS2337">
        <v>27</v>
      </c>
      <c r="AT2337">
        <v>0</v>
      </c>
    </row>
    <row r="2338" spans="1:46">
      <c r="A2338">
        <v>46371</v>
      </c>
      <c r="B2338" t="s">
        <v>13761</v>
      </c>
      <c r="C2338" t="s">
        <v>13762</v>
      </c>
      <c r="D2338" t="s">
        <v>13763</v>
      </c>
      <c r="E2338" t="s">
        <v>13764</v>
      </c>
      <c r="G2338" t="s">
        <v>1416</v>
      </c>
      <c r="H2338" t="s">
        <v>3942</v>
      </c>
      <c r="J2338" t="s">
        <v>3962</v>
      </c>
      <c r="K2338" t="s">
        <v>519</v>
      </c>
      <c r="M2338" t="s">
        <v>1297</v>
      </c>
      <c r="N2338" t="s">
        <v>557</v>
      </c>
      <c r="O2338" t="s">
        <v>1351</v>
      </c>
      <c r="P2338" t="s">
        <v>523</v>
      </c>
      <c r="Q2338" t="s">
        <v>1299</v>
      </c>
      <c r="R2338" t="s">
        <v>1300</v>
      </c>
      <c r="S2338" t="s">
        <v>1417</v>
      </c>
      <c r="T2338" t="s">
        <v>1235</v>
      </c>
      <c r="U2338">
        <v>171601</v>
      </c>
      <c r="V2338" t="s">
        <v>1416</v>
      </c>
      <c r="W2338" t="s">
        <v>1418</v>
      </c>
      <c r="X2338" t="s">
        <v>13765</v>
      </c>
      <c r="Y2338" t="s">
        <v>4697</v>
      </c>
      <c r="AA2338" t="s">
        <v>13766</v>
      </c>
      <c r="AB2338" t="s">
        <v>13762</v>
      </c>
      <c r="AE2338">
        <v>-37.811664669999999</v>
      </c>
      <c r="AF2338">
        <v>174.84447080000001</v>
      </c>
      <c r="AG2338">
        <v>80</v>
      </c>
      <c r="AH2338">
        <v>14</v>
      </c>
      <c r="AI2338">
        <v>1</v>
      </c>
      <c r="AJ2338">
        <v>16</v>
      </c>
      <c r="AK2338">
        <v>29</v>
      </c>
      <c r="AL2338">
        <v>21</v>
      </c>
      <c r="AM2338">
        <v>14</v>
      </c>
      <c r="AN2338">
        <v>1</v>
      </c>
      <c r="AO2338">
        <v>82</v>
      </c>
      <c r="AP2338">
        <v>79</v>
      </c>
      <c r="AQ2338">
        <v>9</v>
      </c>
      <c r="AR2338">
        <v>0</v>
      </c>
      <c r="AS2338">
        <v>2</v>
      </c>
      <c r="AT2338">
        <v>7</v>
      </c>
    </row>
    <row r="2339" spans="1:46">
      <c r="A2339">
        <v>46375</v>
      </c>
      <c r="B2339" t="s">
        <v>13767</v>
      </c>
      <c r="C2339" t="s">
        <v>13768</v>
      </c>
      <c r="D2339" t="s">
        <v>13769</v>
      </c>
      <c r="E2339" t="s">
        <v>13770</v>
      </c>
      <c r="F2339" t="s">
        <v>13771</v>
      </c>
      <c r="G2339" t="s">
        <v>2526</v>
      </c>
      <c r="H2339" t="s">
        <v>6218</v>
      </c>
      <c r="I2339" t="s">
        <v>4951</v>
      </c>
      <c r="J2339" t="s">
        <v>518</v>
      </c>
      <c r="K2339" t="s">
        <v>519</v>
      </c>
      <c r="M2339" t="s">
        <v>2287</v>
      </c>
      <c r="N2339" t="s">
        <v>557</v>
      </c>
      <c r="O2339" t="s">
        <v>2527</v>
      </c>
      <c r="P2339" t="s">
        <v>584</v>
      </c>
      <c r="Q2339" t="s">
        <v>2319</v>
      </c>
      <c r="R2339" t="s">
        <v>2289</v>
      </c>
      <c r="S2339" t="s">
        <v>2528</v>
      </c>
      <c r="T2339" t="s">
        <v>1485</v>
      </c>
      <c r="U2339">
        <v>239300</v>
      </c>
      <c r="V2339" t="s">
        <v>2614</v>
      </c>
      <c r="W2339" t="s">
        <v>2529</v>
      </c>
      <c r="X2339" t="s">
        <v>13772</v>
      </c>
      <c r="Y2339" t="s">
        <v>13773</v>
      </c>
      <c r="Z2339" t="s">
        <v>2613</v>
      </c>
      <c r="AA2339" t="s">
        <v>13723</v>
      </c>
      <c r="AE2339">
        <v>-41.126179129999997</v>
      </c>
      <c r="AF2339">
        <v>174.83556791000001</v>
      </c>
      <c r="AG2339">
        <v>50</v>
      </c>
      <c r="AH2339">
        <v>20</v>
      </c>
      <c r="AI2339">
        <v>0</v>
      </c>
      <c r="AJ2339">
        <v>13</v>
      </c>
      <c r="AK2339">
        <v>11</v>
      </c>
      <c r="AL2339">
        <v>9</v>
      </c>
      <c r="AM2339">
        <v>9</v>
      </c>
      <c r="AN2339">
        <v>0</v>
      </c>
      <c r="AO2339">
        <v>42</v>
      </c>
      <c r="AP2339">
        <v>14</v>
      </c>
      <c r="AQ2339">
        <v>41</v>
      </c>
      <c r="AR2339">
        <v>13</v>
      </c>
      <c r="AS2339">
        <v>3</v>
      </c>
      <c r="AT2339">
        <v>0</v>
      </c>
    </row>
    <row r="2340" spans="1:46">
      <c r="A2340">
        <v>46377</v>
      </c>
      <c r="B2340" t="s">
        <v>13774</v>
      </c>
      <c r="C2340" t="s">
        <v>13775</v>
      </c>
      <c r="D2340" t="s">
        <v>13776</v>
      </c>
      <c r="E2340" t="s">
        <v>13777</v>
      </c>
      <c r="F2340" t="s">
        <v>11947</v>
      </c>
      <c r="G2340" t="s">
        <v>2941</v>
      </c>
      <c r="H2340" t="s">
        <v>3942</v>
      </c>
      <c r="I2340" t="s">
        <v>3953</v>
      </c>
      <c r="J2340" t="s">
        <v>3962</v>
      </c>
      <c r="K2340" t="s">
        <v>519</v>
      </c>
      <c r="M2340" t="s">
        <v>2287</v>
      </c>
      <c r="N2340" t="s">
        <v>571</v>
      </c>
      <c r="O2340" t="s">
        <v>2942</v>
      </c>
      <c r="P2340" t="s">
        <v>654</v>
      </c>
      <c r="Q2340" t="s">
        <v>2943</v>
      </c>
      <c r="R2340" t="s">
        <v>2944</v>
      </c>
      <c r="S2340" t="s">
        <v>2973</v>
      </c>
      <c r="T2340" t="s">
        <v>2448</v>
      </c>
      <c r="U2340">
        <v>318401</v>
      </c>
      <c r="V2340" t="s">
        <v>11947</v>
      </c>
      <c r="W2340" t="s">
        <v>3070</v>
      </c>
      <c r="X2340" t="s">
        <v>12995</v>
      </c>
      <c r="Y2340" t="s">
        <v>12996</v>
      </c>
      <c r="Z2340" t="s">
        <v>12997</v>
      </c>
      <c r="AA2340" t="s">
        <v>4117</v>
      </c>
      <c r="AB2340" t="s">
        <v>12998</v>
      </c>
      <c r="AE2340">
        <v>-43.474576829999997</v>
      </c>
      <c r="AF2340">
        <v>172.6591717</v>
      </c>
      <c r="AG2340">
        <v>40</v>
      </c>
      <c r="AH2340">
        <v>5</v>
      </c>
      <c r="AI2340">
        <v>3</v>
      </c>
      <c r="AJ2340">
        <v>7</v>
      </c>
      <c r="AK2340">
        <v>11</v>
      </c>
      <c r="AL2340">
        <v>21</v>
      </c>
      <c r="AM2340">
        <v>10</v>
      </c>
      <c r="AN2340">
        <v>0</v>
      </c>
      <c r="AO2340">
        <v>52</v>
      </c>
      <c r="AP2340">
        <v>44</v>
      </c>
      <c r="AQ2340">
        <v>4</v>
      </c>
      <c r="AR2340">
        <v>6</v>
      </c>
      <c r="AS2340">
        <v>5</v>
      </c>
      <c r="AT2340">
        <v>1</v>
      </c>
    </row>
    <row r="2341" spans="1:46">
      <c r="A2341">
        <v>46378</v>
      </c>
      <c r="B2341" t="s">
        <v>13778</v>
      </c>
      <c r="C2341" t="s">
        <v>13779</v>
      </c>
      <c r="D2341" t="s">
        <v>13780</v>
      </c>
      <c r="E2341" t="s">
        <v>13781</v>
      </c>
      <c r="F2341" t="s">
        <v>3169</v>
      </c>
      <c r="G2341" t="s">
        <v>2941</v>
      </c>
      <c r="H2341" t="s">
        <v>3942</v>
      </c>
      <c r="I2341" t="s">
        <v>4065</v>
      </c>
      <c r="J2341" t="s">
        <v>3962</v>
      </c>
      <c r="K2341" t="s">
        <v>519</v>
      </c>
      <c r="M2341" t="s">
        <v>2287</v>
      </c>
      <c r="N2341" t="s">
        <v>571</v>
      </c>
      <c r="O2341" t="s">
        <v>2942</v>
      </c>
      <c r="P2341" t="s">
        <v>654</v>
      </c>
      <c r="Q2341" t="s">
        <v>2943</v>
      </c>
      <c r="R2341" t="s">
        <v>2944</v>
      </c>
      <c r="S2341" t="s">
        <v>2979</v>
      </c>
      <c r="T2341" t="s">
        <v>2448</v>
      </c>
      <c r="U2341">
        <v>332700</v>
      </c>
      <c r="V2341" t="s">
        <v>3169</v>
      </c>
      <c r="W2341" t="s">
        <v>3014</v>
      </c>
      <c r="X2341" t="s">
        <v>13782</v>
      </c>
      <c r="Y2341" t="s">
        <v>11409</v>
      </c>
      <c r="Z2341" t="s">
        <v>2956</v>
      </c>
      <c r="AA2341" t="s">
        <v>11410</v>
      </c>
      <c r="AB2341" t="s">
        <v>13783</v>
      </c>
      <c r="AC2341">
        <v>99196</v>
      </c>
      <c r="AD2341" t="s">
        <v>3064</v>
      </c>
      <c r="AE2341">
        <v>-43.57676498</v>
      </c>
      <c r="AF2341">
        <v>172.75746935999999</v>
      </c>
      <c r="AG2341">
        <v>31</v>
      </c>
      <c r="AH2341">
        <v>0</v>
      </c>
      <c r="AI2341">
        <v>0</v>
      </c>
      <c r="AJ2341">
        <v>0</v>
      </c>
      <c r="AK2341">
        <v>0</v>
      </c>
      <c r="AL2341">
        <v>16</v>
      </c>
      <c r="AM2341">
        <v>23</v>
      </c>
      <c r="AN2341">
        <v>3</v>
      </c>
      <c r="AO2341">
        <v>42</v>
      </c>
      <c r="AP2341">
        <v>41</v>
      </c>
      <c r="AQ2341">
        <v>1</v>
      </c>
      <c r="AR2341">
        <v>0</v>
      </c>
      <c r="AS2341">
        <v>2</v>
      </c>
      <c r="AT2341">
        <v>0</v>
      </c>
    </row>
    <row r="2342" spans="1:46">
      <c r="A2342">
        <v>46379</v>
      </c>
      <c r="B2342" t="s">
        <v>13784</v>
      </c>
      <c r="C2342" t="s">
        <v>13785</v>
      </c>
      <c r="D2342" t="s">
        <v>13786</v>
      </c>
      <c r="E2342" t="s">
        <v>13787</v>
      </c>
      <c r="F2342" t="s">
        <v>1756</v>
      </c>
      <c r="G2342" t="s">
        <v>1757</v>
      </c>
      <c r="H2342" t="s">
        <v>3942</v>
      </c>
      <c r="J2342" t="s">
        <v>3962</v>
      </c>
      <c r="K2342" t="s">
        <v>519</v>
      </c>
      <c r="M2342" t="s">
        <v>1297</v>
      </c>
      <c r="N2342" t="s">
        <v>4519</v>
      </c>
      <c r="O2342" t="s">
        <v>1758</v>
      </c>
      <c r="P2342" t="s">
        <v>584</v>
      </c>
      <c r="Q2342" t="s">
        <v>1759</v>
      </c>
      <c r="R2342" t="s">
        <v>1760</v>
      </c>
      <c r="S2342" t="s">
        <v>1757</v>
      </c>
      <c r="T2342" t="s">
        <v>1485</v>
      </c>
      <c r="U2342">
        <v>217701</v>
      </c>
      <c r="V2342" t="s">
        <v>12569</v>
      </c>
      <c r="W2342" t="s">
        <v>1762</v>
      </c>
      <c r="X2342" t="s">
        <v>13788</v>
      </c>
      <c r="Y2342" t="s">
        <v>13787</v>
      </c>
      <c r="AA2342" t="s">
        <v>13789</v>
      </c>
      <c r="AB2342" t="s">
        <v>13785</v>
      </c>
      <c r="AE2342">
        <v>-39.042960059999999</v>
      </c>
      <c r="AF2342">
        <v>174.13122530000001</v>
      </c>
      <c r="AG2342">
        <v>105</v>
      </c>
      <c r="AH2342">
        <v>30</v>
      </c>
      <c r="AI2342">
        <v>6</v>
      </c>
      <c r="AJ2342">
        <v>21</v>
      </c>
      <c r="AK2342">
        <v>26</v>
      </c>
      <c r="AL2342">
        <v>26</v>
      </c>
      <c r="AM2342">
        <v>27</v>
      </c>
      <c r="AN2342">
        <v>0</v>
      </c>
      <c r="AO2342">
        <v>106</v>
      </c>
      <c r="AP2342">
        <v>96</v>
      </c>
      <c r="AQ2342">
        <v>31</v>
      </c>
      <c r="AR2342">
        <v>8</v>
      </c>
      <c r="AS2342">
        <v>8</v>
      </c>
      <c r="AT2342">
        <v>1</v>
      </c>
    </row>
    <row r="2343" spans="1:46">
      <c r="A2343">
        <v>46380</v>
      </c>
      <c r="B2343" t="s">
        <v>13790</v>
      </c>
      <c r="C2343" t="s">
        <v>13791</v>
      </c>
      <c r="E2343" t="s">
        <v>13792</v>
      </c>
      <c r="G2343" t="s">
        <v>13793</v>
      </c>
      <c r="H2343" t="s">
        <v>298</v>
      </c>
      <c r="I2343" t="s">
        <v>3953</v>
      </c>
      <c r="J2343" t="s">
        <v>518</v>
      </c>
      <c r="K2343" t="s">
        <v>519</v>
      </c>
      <c r="M2343" t="s">
        <v>2287</v>
      </c>
      <c r="N2343" t="s">
        <v>571</v>
      </c>
      <c r="O2343" t="s">
        <v>13482</v>
      </c>
      <c r="P2343" t="s">
        <v>523</v>
      </c>
      <c r="Q2343" t="s">
        <v>2943</v>
      </c>
      <c r="R2343" t="s">
        <v>2944</v>
      </c>
      <c r="S2343" t="s">
        <v>2825</v>
      </c>
      <c r="T2343" t="s">
        <v>2448</v>
      </c>
      <c r="U2343">
        <v>312300</v>
      </c>
      <c r="V2343" t="s">
        <v>13793</v>
      </c>
      <c r="W2343" t="s">
        <v>13794</v>
      </c>
      <c r="X2343" t="s">
        <v>13795</v>
      </c>
      <c r="Y2343" t="s">
        <v>5187</v>
      </c>
      <c r="AA2343" t="s">
        <v>5188</v>
      </c>
      <c r="AB2343" t="s">
        <v>13796</v>
      </c>
      <c r="AE2343">
        <v>-42.522153500000002</v>
      </c>
      <c r="AF2343">
        <v>172.83154490000001</v>
      </c>
      <c r="AG2343">
        <v>25</v>
      </c>
      <c r="AH2343">
        <v>10</v>
      </c>
      <c r="AI2343">
        <v>1</v>
      </c>
      <c r="AJ2343">
        <v>2</v>
      </c>
      <c r="AK2343">
        <v>1</v>
      </c>
      <c r="AL2343">
        <v>3</v>
      </c>
      <c r="AM2343">
        <v>4</v>
      </c>
      <c r="AN2343">
        <v>0</v>
      </c>
      <c r="AO2343">
        <v>11</v>
      </c>
      <c r="AP2343">
        <v>8</v>
      </c>
      <c r="AQ2343">
        <v>3</v>
      </c>
      <c r="AR2343">
        <v>0</v>
      </c>
      <c r="AS2343">
        <v>0</v>
      </c>
      <c r="AT2343">
        <v>3</v>
      </c>
    </row>
    <row r="2344" spans="1:46">
      <c r="A2344">
        <v>46381</v>
      </c>
      <c r="B2344" t="s">
        <v>13797</v>
      </c>
      <c r="C2344" t="s">
        <v>13798</v>
      </c>
      <c r="D2344" t="s">
        <v>13799</v>
      </c>
      <c r="E2344" t="s">
        <v>13800</v>
      </c>
      <c r="F2344" t="s">
        <v>4204</v>
      </c>
      <c r="G2344" t="s">
        <v>652</v>
      </c>
      <c r="H2344" t="s">
        <v>4716</v>
      </c>
      <c r="J2344" t="s">
        <v>3962</v>
      </c>
      <c r="K2344" t="s">
        <v>519</v>
      </c>
      <c r="M2344" t="s">
        <v>520</v>
      </c>
      <c r="N2344" t="s">
        <v>539</v>
      </c>
      <c r="O2344" t="s">
        <v>728</v>
      </c>
      <c r="P2344" t="s">
        <v>654</v>
      </c>
      <c r="Q2344" t="s">
        <v>638</v>
      </c>
      <c r="R2344" t="s">
        <v>729</v>
      </c>
      <c r="S2344" t="s">
        <v>1036</v>
      </c>
      <c r="T2344" t="s">
        <v>709</v>
      </c>
      <c r="U2344">
        <v>155500</v>
      </c>
      <c r="V2344" t="s">
        <v>4338</v>
      </c>
      <c r="W2344" t="s">
        <v>732</v>
      </c>
      <c r="X2344" t="s">
        <v>13801</v>
      </c>
      <c r="Y2344" t="s">
        <v>13802</v>
      </c>
      <c r="Z2344" t="s">
        <v>5104</v>
      </c>
      <c r="AA2344" t="s">
        <v>11753</v>
      </c>
      <c r="AE2344">
        <v>-36.987755300000003</v>
      </c>
      <c r="AF2344">
        <v>174.87587450000001</v>
      </c>
      <c r="AG2344">
        <v>50</v>
      </c>
      <c r="AH2344">
        <v>50</v>
      </c>
      <c r="AI2344">
        <v>4</v>
      </c>
      <c r="AJ2344">
        <v>7</v>
      </c>
      <c r="AK2344">
        <v>8</v>
      </c>
      <c r="AL2344">
        <v>9</v>
      </c>
      <c r="AM2344">
        <v>8</v>
      </c>
      <c r="AN2344">
        <v>2</v>
      </c>
      <c r="AO2344">
        <v>38</v>
      </c>
      <c r="AP2344">
        <v>0</v>
      </c>
      <c r="AQ2344">
        <v>0</v>
      </c>
      <c r="AR2344">
        <v>33</v>
      </c>
      <c r="AS2344">
        <v>5</v>
      </c>
      <c r="AT2344">
        <v>0</v>
      </c>
    </row>
    <row r="2345" spans="1:46">
      <c r="A2345">
        <v>46382</v>
      </c>
      <c r="B2345" t="s">
        <v>13803</v>
      </c>
      <c r="C2345" t="s">
        <v>13804</v>
      </c>
      <c r="D2345" t="s">
        <v>13805</v>
      </c>
      <c r="E2345" t="s">
        <v>13806</v>
      </c>
      <c r="F2345" t="s">
        <v>13807</v>
      </c>
      <c r="G2345" t="s">
        <v>652</v>
      </c>
      <c r="H2345" t="s">
        <v>4716</v>
      </c>
      <c r="J2345" t="s">
        <v>3962</v>
      </c>
      <c r="K2345" t="s">
        <v>519</v>
      </c>
      <c r="M2345" t="s">
        <v>520</v>
      </c>
      <c r="N2345" t="s">
        <v>521</v>
      </c>
      <c r="O2345" t="s">
        <v>829</v>
      </c>
      <c r="P2345" t="s">
        <v>654</v>
      </c>
      <c r="Q2345" t="s">
        <v>638</v>
      </c>
      <c r="R2345" t="s">
        <v>708</v>
      </c>
      <c r="S2345" t="s">
        <v>805</v>
      </c>
      <c r="T2345" t="s">
        <v>709</v>
      </c>
      <c r="U2345">
        <v>145900</v>
      </c>
      <c r="V2345" t="s">
        <v>13807</v>
      </c>
      <c r="W2345" t="s">
        <v>807</v>
      </c>
      <c r="X2345" t="s">
        <v>13808</v>
      </c>
      <c r="Y2345" t="s">
        <v>8763</v>
      </c>
      <c r="Z2345" t="s">
        <v>1313</v>
      </c>
      <c r="AA2345" t="s">
        <v>8511</v>
      </c>
      <c r="AE2345">
        <v>-36.90733942</v>
      </c>
      <c r="AF2345">
        <v>174.81478519999999</v>
      </c>
      <c r="AG2345">
        <v>80</v>
      </c>
      <c r="AH2345">
        <v>80</v>
      </c>
      <c r="AI2345">
        <v>2</v>
      </c>
      <c r="AJ2345">
        <v>11</v>
      </c>
      <c r="AK2345">
        <v>16</v>
      </c>
      <c r="AL2345">
        <v>8</v>
      </c>
      <c r="AM2345">
        <v>5</v>
      </c>
      <c r="AN2345">
        <v>0</v>
      </c>
      <c r="AO2345">
        <v>42</v>
      </c>
      <c r="AP2345">
        <v>26</v>
      </c>
      <c r="AQ2345">
        <v>4</v>
      </c>
      <c r="AR2345">
        <v>6</v>
      </c>
      <c r="AS2345">
        <v>13</v>
      </c>
      <c r="AT2345">
        <v>3</v>
      </c>
    </row>
    <row r="2346" spans="1:46">
      <c r="A2346">
        <v>46383</v>
      </c>
      <c r="B2346" t="s">
        <v>13809</v>
      </c>
      <c r="C2346" t="s">
        <v>13810</v>
      </c>
      <c r="D2346" t="s">
        <v>13811</v>
      </c>
      <c r="E2346" t="s">
        <v>13812</v>
      </c>
      <c r="F2346" t="s">
        <v>1035</v>
      </c>
      <c r="G2346" t="s">
        <v>652</v>
      </c>
      <c r="H2346" t="s">
        <v>3942</v>
      </c>
      <c r="J2346" t="s">
        <v>3962</v>
      </c>
      <c r="K2346" t="s">
        <v>519</v>
      </c>
      <c r="M2346" t="s">
        <v>520</v>
      </c>
      <c r="N2346" t="s">
        <v>557</v>
      </c>
      <c r="O2346" t="s">
        <v>728</v>
      </c>
      <c r="P2346" t="s">
        <v>654</v>
      </c>
      <c r="Q2346" t="s">
        <v>638</v>
      </c>
      <c r="R2346" t="s">
        <v>729</v>
      </c>
      <c r="S2346" t="s">
        <v>1036</v>
      </c>
      <c r="T2346" t="s">
        <v>709</v>
      </c>
      <c r="U2346">
        <v>156201</v>
      </c>
      <c r="V2346" t="s">
        <v>4090</v>
      </c>
      <c r="W2346" t="s">
        <v>732</v>
      </c>
      <c r="X2346" t="s">
        <v>13813</v>
      </c>
      <c r="Y2346" t="s">
        <v>13814</v>
      </c>
      <c r="Z2346" t="s">
        <v>5104</v>
      </c>
      <c r="AA2346" t="s">
        <v>5000</v>
      </c>
      <c r="AB2346" t="s">
        <v>13815</v>
      </c>
      <c r="AE2346">
        <v>-36.976367379999999</v>
      </c>
      <c r="AF2346">
        <v>174.86736083</v>
      </c>
      <c r="AG2346">
        <v>42</v>
      </c>
      <c r="AH2346">
        <v>13</v>
      </c>
      <c r="AI2346">
        <v>0</v>
      </c>
      <c r="AJ2346">
        <v>4</v>
      </c>
      <c r="AK2346">
        <v>13</v>
      </c>
      <c r="AL2346">
        <v>14</v>
      </c>
      <c r="AM2346">
        <v>12</v>
      </c>
      <c r="AN2346">
        <v>0</v>
      </c>
      <c r="AO2346">
        <v>43</v>
      </c>
      <c r="AP2346">
        <v>3</v>
      </c>
      <c r="AQ2346">
        <v>0</v>
      </c>
      <c r="AR2346">
        <v>6</v>
      </c>
      <c r="AS2346">
        <v>36</v>
      </c>
      <c r="AT2346">
        <v>0</v>
      </c>
    </row>
    <row r="2347" spans="1:46">
      <c r="A2347">
        <v>46387</v>
      </c>
      <c r="B2347" t="s">
        <v>13816</v>
      </c>
      <c r="C2347" t="s">
        <v>13817</v>
      </c>
      <c r="D2347" t="s">
        <v>13818</v>
      </c>
      <c r="E2347" t="s">
        <v>13819</v>
      </c>
      <c r="F2347" t="s">
        <v>3194</v>
      </c>
      <c r="G2347" t="s">
        <v>2941</v>
      </c>
      <c r="H2347" t="s">
        <v>3942</v>
      </c>
      <c r="J2347" t="s">
        <v>3962</v>
      </c>
      <c r="K2347" t="s">
        <v>519</v>
      </c>
      <c r="M2347" t="s">
        <v>2287</v>
      </c>
      <c r="N2347" t="s">
        <v>571</v>
      </c>
      <c r="O2347" t="s">
        <v>2942</v>
      </c>
      <c r="P2347" t="s">
        <v>654</v>
      </c>
      <c r="Q2347" t="s">
        <v>2943</v>
      </c>
      <c r="R2347" t="s">
        <v>2944</v>
      </c>
      <c r="S2347" t="s">
        <v>2979</v>
      </c>
      <c r="T2347" t="s">
        <v>2448</v>
      </c>
      <c r="U2347">
        <v>327301</v>
      </c>
      <c r="V2347" t="s">
        <v>3649</v>
      </c>
      <c r="W2347" t="s">
        <v>3196</v>
      </c>
      <c r="X2347" t="s">
        <v>13820</v>
      </c>
      <c r="Y2347" t="s">
        <v>13819</v>
      </c>
      <c r="AA2347" t="s">
        <v>12954</v>
      </c>
      <c r="AB2347" t="s">
        <v>13817</v>
      </c>
      <c r="AE2347">
        <v>-43.58298224</v>
      </c>
      <c r="AF2347">
        <v>172.56963801000001</v>
      </c>
      <c r="AG2347">
        <v>80</v>
      </c>
      <c r="AH2347">
        <v>16</v>
      </c>
      <c r="AI2347">
        <v>1</v>
      </c>
      <c r="AJ2347">
        <v>10</v>
      </c>
      <c r="AK2347">
        <v>17</v>
      </c>
      <c r="AL2347">
        <v>14</v>
      </c>
      <c r="AM2347">
        <v>14</v>
      </c>
      <c r="AN2347">
        <v>0</v>
      </c>
      <c r="AO2347">
        <v>56</v>
      </c>
      <c r="AP2347">
        <v>50</v>
      </c>
      <c r="AQ2347">
        <v>5</v>
      </c>
      <c r="AR2347">
        <v>0</v>
      </c>
      <c r="AS2347">
        <v>9</v>
      </c>
      <c r="AT2347">
        <v>1</v>
      </c>
    </row>
    <row r="2348" spans="1:46">
      <c r="A2348">
        <v>46391</v>
      </c>
      <c r="B2348" t="s">
        <v>13821</v>
      </c>
      <c r="C2348" t="s">
        <v>13822</v>
      </c>
      <c r="D2348" t="s">
        <v>13823</v>
      </c>
      <c r="E2348" t="s">
        <v>13824</v>
      </c>
      <c r="F2348" t="s">
        <v>828</v>
      </c>
      <c r="G2348" t="s">
        <v>652</v>
      </c>
      <c r="H2348" t="s">
        <v>3942</v>
      </c>
      <c r="J2348" t="s">
        <v>518</v>
      </c>
      <c r="K2348" t="s">
        <v>519</v>
      </c>
      <c r="M2348" t="s">
        <v>520</v>
      </c>
      <c r="N2348" t="s">
        <v>539</v>
      </c>
      <c r="O2348" t="s">
        <v>829</v>
      </c>
      <c r="P2348" t="s">
        <v>654</v>
      </c>
      <c r="Q2348" t="s">
        <v>638</v>
      </c>
      <c r="R2348" t="s">
        <v>708</v>
      </c>
      <c r="S2348" t="s">
        <v>805</v>
      </c>
      <c r="T2348" t="s">
        <v>709</v>
      </c>
      <c r="U2348">
        <v>145600</v>
      </c>
      <c r="V2348" t="s">
        <v>13492</v>
      </c>
      <c r="W2348" t="s">
        <v>807</v>
      </c>
      <c r="X2348" t="s">
        <v>13825</v>
      </c>
      <c r="Y2348" t="s">
        <v>13826</v>
      </c>
      <c r="Z2348" t="s">
        <v>4031</v>
      </c>
      <c r="AA2348" t="s">
        <v>4659</v>
      </c>
      <c r="AB2348" t="s">
        <v>13827</v>
      </c>
      <c r="AE2348">
        <v>-36.91509525</v>
      </c>
      <c r="AF2348">
        <v>174.79980789999999</v>
      </c>
      <c r="AG2348">
        <v>40</v>
      </c>
      <c r="AH2348">
        <v>6</v>
      </c>
      <c r="AI2348">
        <v>1</v>
      </c>
      <c r="AJ2348">
        <v>5</v>
      </c>
      <c r="AK2348">
        <v>8</v>
      </c>
      <c r="AL2348">
        <v>8</v>
      </c>
      <c r="AM2348">
        <v>8</v>
      </c>
      <c r="AN2348">
        <v>0</v>
      </c>
      <c r="AO2348">
        <v>30</v>
      </c>
      <c r="AP2348">
        <v>6</v>
      </c>
      <c r="AQ2348">
        <v>14</v>
      </c>
      <c r="AR2348">
        <v>23</v>
      </c>
      <c r="AS2348">
        <v>4</v>
      </c>
      <c r="AT2348">
        <v>0</v>
      </c>
    </row>
    <row r="2349" spans="1:46">
      <c r="A2349">
        <v>46393</v>
      </c>
      <c r="B2349" t="s">
        <v>13828</v>
      </c>
      <c r="C2349" t="s">
        <v>13829</v>
      </c>
      <c r="E2349" t="s">
        <v>13830</v>
      </c>
      <c r="F2349" t="s">
        <v>1345</v>
      </c>
      <c r="G2349" t="s">
        <v>1296</v>
      </c>
      <c r="H2349" t="s">
        <v>3942</v>
      </c>
      <c r="J2349" t="s">
        <v>518</v>
      </c>
      <c r="K2349" t="s">
        <v>519</v>
      </c>
      <c r="M2349" t="s">
        <v>1297</v>
      </c>
      <c r="N2349" t="s">
        <v>539</v>
      </c>
      <c r="O2349" t="s">
        <v>1298</v>
      </c>
      <c r="P2349" t="s">
        <v>654</v>
      </c>
      <c r="Q2349" t="s">
        <v>1299</v>
      </c>
      <c r="R2349" t="s">
        <v>1300</v>
      </c>
      <c r="S2349" t="s">
        <v>1301</v>
      </c>
      <c r="T2349" t="s">
        <v>1235</v>
      </c>
      <c r="U2349">
        <v>178901</v>
      </c>
      <c r="V2349" t="s">
        <v>8352</v>
      </c>
      <c r="W2349" t="s">
        <v>1303</v>
      </c>
      <c r="X2349" t="s">
        <v>8377</v>
      </c>
      <c r="Y2349" t="s">
        <v>3944</v>
      </c>
      <c r="Z2349" t="s">
        <v>3945</v>
      </c>
      <c r="AA2349" t="s">
        <v>3946</v>
      </c>
      <c r="AB2349" t="s">
        <v>8378</v>
      </c>
      <c r="AE2349">
        <v>-37.790034519999999</v>
      </c>
      <c r="AF2349">
        <v>175.25894843</v>
      </c>
      <c r="AG2349">
        <v>80</v>
      </c>
      <c r="AH2349">
        <v>20</v>
      </c>
      <c r="AI2349">
        <v>2</v>
      </c>
      <c r="AJ2349">
        <v>8</v>
      </c>
      <c r="AK2349">
        <v>18</v>
      </c>
      <c r="AL2349">
        <v>16</v>
      </c>
      <c r="AM2349">
        <v>24</v>
      </c>
      <c r="AN2349">
        <v>0</v>
      </c>
      <c r="AO2349">
        <v>68</v>
      </c>
      <c r="AP2349">
        <v>18</v>
      </c>
      <c r="AQ2349">
        <v>49</v>
      </c>
      <c r="AR2349">
        <v>10</v>
      </c>
      <c r="AS2349">
        <v>10</v>
      </c>
      <c r="AT2349">
        <v>2</v>
      </c>
    </row>
    <row r="2350" spans="1:46">
      <c r="A2350">
        <v>46395</v>
      </c>
      <c r="B2350" t="s">
        <v>13831</v>
      </c>
      <c r="C2350" t="s">
        <v>13832</v>
      </c>
      <c r="E2350" t="s">
        <v>13833</v>
      </c>
      <c r="F2350" t="s">
        <v>1781</v>
      </c>
      <c r="G2350" t="s">
        <v>1757</v>
      </c>
      <c r="H2350" t="s">
        <v>3942</v>
      </c>
      <c r="J2350" t="s">
        <v>3962</v>
      </c>
      <c r="K2350" t="s">
        <v>519</v>
      </c>
      <c r="M2350" t="s">
        <v>1297</v>
      </c>
      <c r="N2350" t="s">
        <v>4519</v>
      </c>
      <c r="O2350" t="s">
        <v>1758</v>
      </c>
      <c r="P2350" t="s">
        <v>584</v>
      </c>
      <c r="Q2350" t="s">
        <v>1759</v>
      </c>
      <c r="R2350" t="s">
        <v>1760</v>
      </c>
      <c r="S2350" t="s">
        <v>1757</v>
      </c>
      <c r="T2350" t="s">
        <v>1485</v>
      </c>
      <c r="U2350">
        <v>218401</v>
      </c>
      <c r="V2350" t="s">
        <v>1782</v>
      </c>
      <c r="W2350" t="s">
        <v>1762</v>
      </c>
      <c r="X2350" t="s">
        <v>13834</v>
      </c>
      <c r="Y2350" t="s">
        <v>13835</v>
      </c>
      <c r="Z2350" t="s">
        <v>1781</v>
      </c>
      <c r="AA2350" t="s">
        <v>13789</v>
      </c>
      <c r="AB2350" t="s">
        <v>13836</v>
      </c>
      <c r="AE2350">
        <v>-39.050414979999999</v>
      </c>
      <c r="AF2350">
        <v>174.10502908000001</v>
      </c>
      <c r="AG2350">
        <v>38</v>
      </c>
      <c r="AH2350">
        <v>8</v>
      </c>
      <c r="AI2350">
        <v>2</v>
      </c>
      <c r="AJ2350">
        <v>10</v>
      </c>
      <c r="AK2350">
        <v>7</v>
      </c>
      <c r="AL2350">
        <v>15</v>
      </c>
      <c r="AM2350">
        <v>14</v>
      </c>
      <c r="AN2350">
        <v>0</v>
      </c>
      <c r="AO2350">
        <v>48</v>
      </c>
      <c r="AP2350">
        <v>41</v>
      </c>
      <c r="AQ2350">
        <v>7</v>
      </c>
      <c r="AR2350">
        <v>2</v>
      </c>
      <c r="AS2350">
        <v>0</v>
      </c>
      <c r="AT2350">
        <v>0</v>
      </c>
    </row>
    <row r="2351" spans="1:46">
      <c r="A2351">
        <v>46399</v>
      </c>
      <c r="B2351" t="s">
        <v>13837</v>
      </c>
      <c r="C2351" t="s">
        <v>13838</v>
      </c>
      <c r="D2351" t="s">
        <v>13839</v>
      </c>
      <c r="E2351" t="s">
        <v>13840</v>
      </c>
      <c r="F2351" t="s">
        <v>1898</v>
      </c>
      <c r="G2351" t="s">
        <v>1842</v>
      </c>
      <c r="H2351" t="s">
        <v>6218</v>
      </c>
      <c r="I2351" t="s">
        <v>4951</v>
      </c>
      <c r="J2351" t="s">
        <v>518</v>
      </c>
      <c r="K2351" t="s">
        <v>519</v>
      </c>
      <c r="M2351" t="s">
        <v>1297</v>
      </c>
      <c r="N2351" t="s">
        <v>727</v>
      </c>
      <c r="O2351" t="s">
        <v>1887</v>
      </c>
      <c r="P2351" t="s">
        <v>584</v>
      </c>
      <c r="Q2351" t="s">
        <v>1636</v>
      </c>
      <c r="R2351" t="s">
        <v>1760</v>
      </c>
      <c r="S2351" t="s">
        <v>1842</v>
      </c>
      <c r="T2351" t="s">
        <v>1485</v>
      </c>
      <c r="U2351">
        <v>223800</v>
      </c>
      <c r="V2351" t="s">
        <v>1921</v>
      </c>
      <c r="W2351" t="s">
        <v>1652</v>
      </c>
      <c r="X2351" t="s">
        <v>13841</v>
      </c>
      <c r="Y2351" t="s">
        <v>13840</v>
      </c>
      <c r="Z2351" t="s">
        <v>1898</v>
      </c>
      <c r="AA2351" t="s">
        <v>13842</v>
      </c>
      <c r="AB2351" t="s">
        <v>13843</v>
      </c>
      <c r="AE2351">
        <v>-39.941806939999999</v>
      </c>
      <c r="AF2351">
        <v>174.99551031999999</v>
      </c>
      <c r="AG2351">
        <v>30</v>
      </c>
      <c r="AH2351">
        <v>10</v>
      </c>
      <c r="AI2351">
        <v>1</v>
      </c>
      <c r="AJ2351">
        <v>5</v>
      </c>
      <c r="AK2351">
        <v>2</v>
      </c>
      <c r="AL2351">
        <v>6</v>
      </c>
      <c r="AM2351">
        <v>4</v>
      </c>
      <c r="AN2351">
        <v>0</v>
      </c>
      <c r="AO2351">
        <v>18</v>
      </c>
      <c r="AP2351">
        <v>4</v>
      </c>
      <c r="AQ2351">
        <v>18</v>
      </c>
      <c r="AR2351">
        <v>8</v>
      </c>
      <c r="AS2351">
        <v>0</v>
      </c>
      <c r="AT2351">
        <v>0</v>
      </c>
    </row>
    <row r="2352" spans="1:46">
      <c r="A2352">
        <v>46400</v>
      </c>
      <c r="B2352" t="s">
        <v>13844</v>
      </c>
      <c r="C2352" t="s">
        <v>13845</v>
      </c>
      <c r="D2352" t="s">
        <v>13846</v>
      </c>
      <c r="E2352" t="s">
        <v>13847</v>
      </c>
      <c r="F2352" t="s">
        <v>3706</v>
      </c>
      <c r="G2352" t="s">
        <v>652</v>
      </c>
      <c r="H2352" t="s">
        <v>3942</v>
      </c>
      <c r="I2352" t="s">
        <v>4065</v>
      </c>
      <c r="J2352" t="s">
        <v>3962</v>
      </c>
      <c r="K2352" t="s">
        <v>519</v>
      </c>
      <c r="M2352" t="s">
        <v>520</v>
      </c>
      <c r="N2352" t="s">
        <v>571</v>
      </c>
      <c r="O2352" t="s">
        <v>1168</v>
      </c>
      <c r="P2352" t="s">
        <v>654</v>
      </c>
      <c r="Q2352" t="s">
        <v>638</v>
      </c>
      <c r="R2352" t="s">
        <v>639</v>
      </c>
      <c r="S2352" t="s">
        <v>655</v>
      </c>
      <c r="T2352" t="s">
        <v>527</v>
      </c>
      <c r="U2352">
        <v>118600</v>
      </c>
      <c r="V2352" t="s">
        <v>4012</v>
      </c>
      <c r="W2352" t="s">
        <v>657</v>
      </c>
      <c r="X2352" t="s">
        <v>13848</v>
      </c>
      <c r="Y2352" t="s">
        <v>13849</v>
      </c>
      <c r="Z2352" t="s">
        <v>3706</v>
      </c>
      <c r="AA2352" t="s">
        <v>13850</v>
      </c>
      <c r="AB2352" t="s">
        <v>13845</v>
      </c>
      <c r="AE2352">
        <v>-36.752562599999997</v>
      </c>
      <c r="AF2352">
        <v>174.7110198</v>
      </c>
      <c r="AG2352">
        <v>30</v>
      </c>
      <c r="AH2352">
        <v>0</v>
      </c>
      <c r="AI2352">
        <v>0</v>
      </c>
      <c r="AJ2352">
        <v>0</v>
      </c>
      <c r="AK2352">
        <v>4</v>
      </c>
      <c r="AL2352">
        <v>5</v>
      </c>
      <c r="AM2352">
        <v>5</v>
      </c>
      <c r="AN2352">
        <v>2</v>
      </c>
      <c r="AO2352">
        <v>16</v>
      </c>
      <c r="AP2352">
        <v>4</v>
      </c>
      <c r="AQ2352">
        <v>2</v>
      </c>
      <c r="AR2352">
        <v>0</v>
      </c>
      <c r="AS2352">
        <v>14</v>
      </c>
      <c r="AT2352">
        <v>1</v>
      </c>
    </row>
    <row r="2353" spans="1:46">
      <c r="A2353">
        <v>46403</v>
      </c>
      <c r="B2353" t="s">
        <v>13851</v>
      </c>
      <c r="C2353" t="s">
        <v>13852</v>
      </c>
      <c r="D2353" t="s">
        <v>13853</v>
      </c>
      <c r="E2353" t="s">
        <v>13854</v>
      </c>
      <c r="G2353" t="s">
        <v>13855</v>
      </c>
      <c r="H2353" t="s">
        <v>3942</v>
      </c>
      <c r="J2353" t="s">
        <v>3962</v>
      </c>
      <c r="K2353" t="s">
        <v>519</v>
      </c>
      <c r="M2353" t="s">
        <v>520</v>
      </c>
      <c r="N2353" t="s">
        <v>557</v>
      </c>
      <c r="O2353" t="s">
        <v>522</v>
      </c>
      <c r="P2353" t="s">
        <v>540</v>
      </c>
      <c r="Q2353" t="s">
        <v>524</v>
      </c>
      <c r="R2353" t="s">
        <v>525</v>
      </c>
      <c r="S2353" t="s">
        <v>526</v>
      </c>
      <c r="T2353" t="s">
        <v>527</v>
      </c>
      <c r="U2353">
        <v>101101</v>
      </c>
      <c r="V2353" t="s">
        <v>541</v>
      </c>
      <c r="W2353" t="s">
        <v>529</v>
      </c>
      <c r="X2353" t="s">
        <v>3980</v>
      </c>
      <c r="Y2353" t="s">
        <v>3981</v>
      </c>
      <c r="AA2353" t="s">
        <v>3982</v>
      </c>
      <c r="AE2353">
        <v>-34.991644800000003</v>
      </c>
      <c r="AF2353">
        <v>173.50890870000001</v>
      </c>
      <c r="AG2353">
        <v>56</v>
      </c>
      <c r="AH2353">
        <v>16</v>
      </c>
      <c r="AI2353">
        <v>1</v>
      </c>
      <c r="AJ2353">
        <v>3</v>
      </c>
      <c r="AK2353">
        <v>14</v>
      </c>
      <c r="AL2353">
        <v>12</v>
      </c>
      <c r="AM2353">
        <v>16</v>
      </c>
      <c r="AN2353">
        <v>0</v>
      </c>
      <c r="AO2353">
        <v>46</v>
      </c>
      <c r="AP2353">
        <v>34</v>
      </c>
      <c r="AQ2353">
        <v>28</v>
      </c>
      <c r="AR2353">
        <v>4</v>
      </c>
      <c r="AS2353">
        <v>1</v>
      </c>
      <c r="AT2353">
        <v>3</v>
      </c>
    </row>
    <row r="2354" spans="1:46">
      <c r="A2354">
        <v>46408</v>
      </c>
      <c r="B2354" t="s">
        <v>13368</v>
      </c>
      <c r="C2354" t="s">
        <v>13856</v>
      </c>
      <c r="D2354" t="s">
        <v>13857</v>
      </c>
      <c r="E2354" t="s">
        <v>13858</v>
      </c>
      <c r="F2354" t="s">
        <v>5104</v>
      </c>
      <c r="G2354" t="s">
        <v>652</v>
      </c>
      <c r="H2354" t="s">
        <v>3942</v>
      </c>
      <c r="J2354" t="s">
        <v>3962</v>
      </c>
      <c r="K2354" t="s">
        <v>519</v>
      </c>
      <c r="M2354" t="s">
        <v>520</v>
      </c>
      <c r="N2354" t="s">
        <v>571</v>
      </c>
      <c r="O2354" t="s">
        <v>707</v>
      </c>
      <c r="P2354" t="s">
        <v>654</v>
      </c>
      <c r="Q2354" t="s">
        <v>638</v>
      </c>
      <c r="R2354" t="s">
        <v>729</v>
      </c>
      <c r="S2354" t="s">
        <v>778</v>
      </c>
      <c r="T2354" t="s">
        <v>709</v>
      </c>
      <c r="U2354">
        <v>158001</v>
      </c>
      <c r="V2354" t="s">
        <v>13859</v>
      </c>
      <c r="W2354" t="s">
        <v>711</v>
      </c>
      <c r="X2354" t="s">
        <v>13372</v>
      </c>
      <c r="Y2354" t="s">
        <v>13373</v>
      </c>
      <c r="Z2354" t="s">
        <v>5104</v>
      </c>
      <c r="AA2354" t="s">
        <v>5000</v>
      </c>
      <c r="AE2354">
        <v>-36.97691141</v>
      </c>
      <c r="AF2354">
        <v>174.90445376</v>
      </c>
      <c r="AG2354">
        <v>39</v>
      </c>
      <c r="AH2354">
        <v>10</v>
      </c>
      <c r="AI2354">
        <v>1</v>
      </c>
      <c r="AJ2354">
        <v>3</v>
      </c>
      <c r="AK2354">
        <v>13</v>
      </c>
      <c r="AL2354">
        <v>9</v>
      </c>
      <c r="AM2354">
        <v>14</v>
      </c>
      <c r="AN2354">
        <v>0</v>
      </c>
      <c r="AO2354">
        <v>40</v>
      </c>
      <c r="AP2354">
        <v>0</v>
      </c>
      <c r="AQ2354">
        <v>4</v>
      </c>
      <c r="AR2354">
        <v>8</v>
      </c>
      <c r="AS2354">
        <v>31</v>
      </c>
      <c r="AT2354">
        <v>0</v>
      </c>
    </row>
    <row r="2355" spans="1:46">
      <c r="A2355">
        <v>46411</v>
      </c>
      <c r="B2355" t="s">
        <v>13860</v>
      </c>
      <c r="C2355" t="s">
        <v>13861</v>
      </c>
      <c r="D2355" t="s">
        <v>13862</v>
      </c>
      <c r="E2355" t="s">
        <v>13863</v>
      </c>
      <c r="F2355" t="s">
        <v>2767</v>
      </c>
      <c r="G2355" t="s">
        <v>2526</v>
      </c>
      <c r="H2355" t="s">
        <v>3942</v>
      </c>
      <c r="J2355" t="s">
        <v>518</v>
      </c>
      <c r="K2355" t="s">
        <v>519</v>
      </c>
      <c r="M2355" t="s">
        <v>2287</v>
      </c>
      <c r="N2355" t="s">
        <v>521</v>
      </c>
      <c r="O2355" t="s">
        <v>2527</v>
      </c>
      <c r="P2355" t="s">
        <v>584</v>
      </c>
      <c r="Q2355" t="s">
        <v>2319</v>
      </c>
      <c r="R2355" t="s">
        <v>2289</v>
      </c>
      <c r="S2355" t="s">
        <v>2528</v>
      </c>
      <c r="T2355" t="s">
        <v>1485</v>
      </c>
      <c r="U2355">
        <v>240801</v>
      </c>
      <c r="V2355" t="s">
        <v>2768</v>
      </c>
      <c r="W2355" t="s">
        <v>2529</v>
      </c>
      <c r="X2355" t="s">
        <v>10434</v>
      </c>
      <c r="Y2355" t="s">
        <v>3944</v>
      </c>
      <c r="Z2355" t="s">
        <v>3945</v>
      </c>
      <c r="AA2355" t="s">
        <v>3946</v>
      </c>
      <c r="AC2355">
        <v>99074</v>
      </c>
      <c r="AD2355" t="s">
        <v>2632</v>
      </c>
      <c r="AE2355">
        <v>-41.127047939999997</v>
      </c>
      <c r="AF2355">
        <v>174.88068688999999</v>
      </c>
      <c r="AG2355">
        <v>90</v>
      </c>
      <c r="AH2355">
        <v>20</v>
      </c>
      <c r="AI2355">
        <v>6</v>
      </c>
      <c r="AJ2355">
        <v>16</v>
      </c>
      <c r="AK2355">
        <v>26</v>
      </c>
      <c r="AL2355">
        <v>30</v>
      </c>
      <c r="AM2355">
        <v>17</v>
      </c>
      <c r="AN2355">
        <v>0</v>
      </c>
      <c r="AO2355">
        <v>95</v>
      </c>
      <c r="AP2355">
        <v>33</v>
      </c>
      <c r="AQ2355">
        <v>22</v>
      </c>
      <c r="AR2355">
        <v>55</v>
      </c>
      <c r="AS2355">
        <v>13</v>
      </c>
      <c r="AT2355">
        <v>4</v>
      </c>
    </row>
    <row r="2356" spans="1:46">
      <c r="A2356">
        <v>46421</v>
      </c>
      <c r="B2356" t="s">
        <v>13864</v>
      </c>
      <c r="C2356" t="s">
        <v>13865</v>
      </c>
      <c r="D2356" t="s">
        <v>13866</v>
      </c>
      <c r="E2356" t="s">
        <v>13867</v>
      </c>
      <c r="G2356" t="s">
        <v>13868</v>
      </c>
      <c r="H2356" t="s">
        <v>3942</v>
      </c>
      <c r="J2356" t="s">
        <v>518</v>
      </c>
      <c r="K2356" t="s">
        <v>519</v>
      </c>
      <c r="M2356" t="s">
        <v>2287</v>
      </c>
      <c r="N2356" t="s">
        <v>539</v>
      </c>
      <c r="O2356" t="s">
        <v>3514</v>
      </c>
      <c r="P2356" t="s">
        <v>523</v>
      </c>
      <c r="Q2356" t="s">
        <v>3497</v>
      </c>
      <c r="R2356" t="s">
        <v>3338</v>
      </c>
      <c r="S2356" t="s">
        <v>3361</v>
      </c>
      <c r="T2356" t="s">
        <v>2448</v>
      </c>
      <c r="U2356">
        <v>360400</v>
      </c>
      <c r="V2356" t="s">
        <v>13868</v>
      </c>
      <c r="W2356" t="s">
        <v>13869</v>
      </c>
      <c r="X2356" t="s">
        <v>13870</v>
      </c>
      <c r="Y2356" t="s">
        <v>9536</v>
      </c>
      <c r="AA2356" t="s">
        <v>13871</v>
      </c>
      <c r="AB2356" t="s">
        <v>13865</v>
      </c>
      <c r="AC2356">
        <v>99055</v>
      </c>
      <c r="AD2356" t="s">
        <v>3517</v>
      </c>
      <c r="AE2356">
        <v>-46.194206559999998</v>
      </c>
      <c r="AF2356">
        <v>168.86384039000001</v>
      </c>
      <c r="AG2356">
        <v>45</v>
      </c>
      <c r="AH2356">
        <v>15</v>
      </c>
      <c r="AI2356">
        <v>1</v>
      </c>
      <c r="AJ2356">
        <v>12</v>
      </c>
      <c r="AK2356">
        <v>13</v>
      </c>
      <c r="AL2356">
        <v>18</v>
      </c>
      <c r="AM2356">
        <v>19</v>
      </c>
      <c r="AN2356">
        <v>0</v>
      </c>
      <c r="AO2356">
        <v>63</v>
      </c>
      <c r="AP2356">
        <v>44</v>
      </c>
      <c r="AQ2356">
        <v>15</v>
      </c>
      <c r="AR2356">
        <v>4</v>
      </c>
      <c r="AS2356">
        <v>5</v>
      </c>
      <c r="AT2356">
        <v>3</v>
      </c>
    </row>
    <row r="2357" spans="1:46">
      <c r="A2357">
        <v>46426</v>
      </c>
      <c r="B2357" t="s">
        <v>13872</v>
      </c>
      <c r="C2357" t="s">
        <v>13531</v>
      </c>
      <c r="D2357" t="s">
        <v>13873</v>
      </c>
      <c r="E2357" t="s">
        <v>13066</v>
      </c>
      <c r="F2357" t="s">
        <v>726</v>
      </c>
      <c r="G2357" t="s">
        <v>652</v>
      </c>
      <c r="H2357" t="s">
        <v>4716</v>
      </c>
      <c r="I2357" t="s">
        <v>4253</v>
      </c>
      <c r="J2357" t="s">
        <v>3962</v>
      </c>
      <c r="K2357" t="s">
        <v>519</v>
      </c>
      <c r="M2357" t="s">
        <v>520</v>
      </c>
      <c r="N2357" t="s">
        <v>521</v>
      </c>
      <c r="O2357" t="s">
        <v>728</v>
      </c>
      <c r="P2357" t="s">
        <v>654</v>
      </c>
      <c r="Q2357" t="s">
        <v>638</v>
      </c>
      <c r="R2357" t="s">
        <v>729</v>
      </c>
      <c r="S2357" t="s">
        <v>730</v>
      </c>
      <c r="T2357" t="s">
        <v>709</v>
      </c>
      <c r="U2357">
        <v>154400</v>
      </c>
      <c r="V2357" t="s">
        <v>7351</v>
      </c>
      <c r="W2357" t="s">
        <v>732</v>
      </c>
      <c r="X2357" t="s">
        <v>13067</v>
      </c>
      <c r="Y2357" t="s">
        <v>13068</v>
      </c>
      <c r="Z2357" t="s">
        <v>1072</v>
      </c>
      <c r="AA2357" t="s">
        <v>4886</v>
      </c>
      <c r="AB2357" t="s">
        <v>13069</v>
      </c>
      <c r="AE2357">
        <v>-36.961009539999999</v>
      </c>
      <c r="AF2357">
        <v>174.87556599999999</v>
      </c>
      <c r="AG2357">
        <v>60</v>
      </c>
      <c r="AH2357">
        <v>60</v>
      </c>
      <c r="AI2357">
        <v>5</v>
      </c>
      <c r="AJ2357">
        <v>7</v>
      </c>
      <c r="AK2357">
        <v>11</v>
      </c>
      <c r="AL2357">
        <v>10</v>
      </c>
      <c r="AM2357">
        <v>7</v>
      </c>
      <c r="AN2357">
        <v>0</v>
      </c>
      <c r="AO2357">
        <v>40</v>
      </c>
      <c r="AP2357">
        <v>0</v>
      </c>
      <c r="AQ2357">
        <v>1</v>
      </c>
      <c r="AR2357">
        <v>40</v>
      </c>
      <c r="AS2357">
        <v>0</v>
      </c>
      <c r="AT2357">
        <v>0</v>
      </c>
    </row>
    <row r="2358" spans="1:46">
      <c r="A2358">
        <v>46427</v>
      </c>
      <c r="B2358" t="s">
        <v>13874</v>
      </c>
      <c r="C2358" t="s">
        <v>13875</v>
      </c>
      <c r="D2358" t="s">
        <v>13876</v>
      </c>
      <c r="E2358" t="s">
        <v>13066</v>
      </c>
      <c r="F2358" t="s">
        <v>726</v>
      </c>
      <c r="G2358" t="s">
        <v>652</v>
      </c>
      <c r="H2358" t="s">
        <v>4716</v>
      </c>
      <c r="I2358" t="s">
        <v>4253</v>
      </c>
      <c r="J2358" t="s">
        <v>3962</v>
      </c>
      <c r="K2358" t="s">
        <v>519</v>
      </c>
      <c r="M2358" t="s">
        <v>520</v>
      </c>
      <c r="N2358" t="s">
        <v>521</v>
      </c>
      <c r="O2358" t="s">
        <v>728</v>
      </c>
      <c r="P2358" t="s">
        <v>654</v>
      </c>
      <c r="Q2358" t="s">
        <v>638</v>
      </c>
      <c r="R2358" t="s">
        <v>729</v>
      </c>
      <c r="S2358" t="s">
        <v>730</v>
      </c>
      <c r="T2358" t="s">
        <v>709</v>
      </c>
      <c r="U2358">
        <v>154400</v>
      </c>
      <c r="V2358" t="s">
        <v>7351</v>
      </c>
      <c r="W2358" t="s">
        <v>732</v>
      </c>
      <c r="X2358" t="s">
        <v>13067</v>
      </c>
      <c r="Y2358" t="s">
        <v>13068</v>
      </c>
      <c r="Z2358" t="s">
        <v>1072</v>
      </c>
      <c r="AA2358" t="s">
        <v>4886</v>
      </c>
      <c r="AB2358" t="s">
        <v>13069</v>
      </c>
      <c r="AE2358">
        <v>-36.960949380000002</v>
      </c>
      <c r="AF2358">
        <v>174.87565549999999</v>
      </c>
      <c r="AG2358">
        <v>60</v>
      </c>
      <c r="AH2358">
        <v>60</v>
      </c>
      <c r="AI2358">
        <v>7</v>
      </c>
      <c r="AJ2358">
        <v>7</v>
      </c>
      <c r="AK2358">
        <v>6</v>
      </c>
      <c r="AL2358">
        <v>9</v>
      </c>
      <c r="AM2358">
        <v>6</v>
      </c>
      <c r="AN2358">
        <v>1</v>
      </c>
      <c r="AO2358">
        <v>36</v>
      </c>
      <c r="AP2358">
        <v>0</v>
      </c>
      <c r="AQ2358">
        <v>1</v>
      </c>
      <c r="AR2358">
        <v>36</v>
      </c>
      <c r="AS2358">
        <v>0</v>
      </c>
      <c r="AT2358">
        <v>0</v>
      </c>
    </row>
    <row r="2359" spans="1:46">
      <c r="A2359">
        <v>46429</v>
      </c>
      <c r="B2359" t="s">
        <v>13877</v>
      </c>
      <c r="C2359" t="s">
        <v>13878</v>
      </c>
      <c r="D2359" t="s">
        <v>13879</v>
      </c>
      <c r="E2359" t="s">
        <v>13880</v>
      </c>
      <c r="F2359" t="s">
        <v>5976</v>
      </c>
      <c r="G2359" t="s">
        <v>652</v>
      </c>
      <c r="H2359" t="s">
        <v>4716</v>
      </c>
      <c r="J2359" t="s">
        <v>3962</v>
      </c>
      <c r="K2359" t="s">
        <v>519</v>
      </c>
      <c r="M2359" t="s">
        <v>520</v>
      </c>
      <c r="N2359" t="s">
        <v>571</v>
      </c>
      <c r="O2359" t="s">
        <v>857</v>
      </c>
      <c r="P2359" t="s">
        <v>654</v>
      </c>
      <c r="Q2359" t="s">
        <v>638</v>
      </c>
      <c r="R2359" t="s">
        <v>708</v>
      </c>
      <c r="S2359" t="s">
        <v>858</v>
      </c>
      <c r="T2359" t="s">
        <v>709</v>
      </c>
      <c r="U2359">
        <v>129902</v>
      </c>
      <c r="V2359" t="s">
        <v>6520</v>
      </c>
      <c r="W2359" t="s">
        <v>860</v>
      </c>
      <c r="X2359" t="s">
        <v>13881</v>
      </c>
      <c r="Y2359" t="s">
        <v>13882</v>
      </c>
      <c r="AA2359" t="s">
        <v>6522</v>
      </c>
      <c r="AE2359">
        <v>-36.86544344</v>
      </c>
      <c r="AF2359">
        <v>174.70685338000001</v>
      </c>
      <c r="AG2359">
        <v>80</v>
      </c>
      <c r="AH2359">
        <v>80</v>
      </c>
      <c r="AI2359">
        <v>4</v>
      </c>
      <c r="AJ2359">
        <v>16</v>
      </c>
      <c r="AK2359">
        <v>10</v>
      </c>
      <c r="AL2359">
        <v>6</v>
      </c>
      <c r="AM2359">
        <v>2</v>
      </c>
      <c r="AN2359">
        <v>0</v>
      </c>
      <c r="AO2359">
        <v>38</v>
      </c>
      <c r="AP2359">
        <v>37</v>
      </c>
      <c r="AQ2359">
        <v>7</v>
      </c>
      <c r="AR2359">
        <v>1</v>
      </c>
      <c r="AS2359">
        <v>7</v>
      </c>
      <c r="AT2359">
        <v>0</v>
      </c>
    </row>
    <row r="2360" spans="1:46">
      <c r="A2360">
        <v>46430</v>
      </c>
      <c r="B2360" t="s">
        <v>13883</v>
      </c>
      <c r="D2360" t="s">
        <v>13884</v>
      </c>
      <c r="E2360" t="s">
        <v>13885</v>
      </c>
      <c r="G2360" t="s">
        <v>2116</v>
      </c>
      <c r="H2360" t="s">
        <v>517</v>
      </c>
      <c r="J2360" t="s">
        <v>518</v>
      </c>
      <c r="K2360" t="s">
        <v>519</v>
      </c>
      <c r="M2360" t="s">
        <v>1297</v>
      </c>
      <c r="N2360" t="s">
        <v>539</v>
      </c>
      <c r="O2360" t="s">
        <v>2117</v>
      </c>
      <c r="P2360" t="s">
        <v>523</v>
      </c>
      <c r="Q2360" t="s">
        <v>2118</v>
      </c>
      <c r="R2360" t="s">
        <v>2084</v>
      </c>
      <c r="S2360" t="s">
        <v>2119</v>
      </c>
      <c r="T2360" t="s">
        <v>2085</v>
      </c>
      <c r="U2360">
        <v>207800</v>
      </c>
      <c r="V2360" t="s">
        <v>2116</v>
      </c>
      <c r="W2360" t="s">
        <v>565</v>
      </c>
      <c r="X2360" t="s">
        <v>2120</v>
      </c>
      <c r="Y2360" t="s">
        <v>2121</v>
      </c>
      <c r="Z2360" t="s">
        <v>2122</v>
      </c>
      <c r="AA2360" t="s">
        <v>2123</v>
      </c>
      <c r="AB2360" t="s">
        <v>2124</v>
      </c>
      <c r="AC2360">
        <v>99091</v>
      </c>
      <c r="AD2360" t="s">
        <v>2125</v>
      </c>
      <c r="AE2360">
        <v>-39.025027219999998</v>
      </c>
      <c r="AF2360">
        <v>177.42061129000001</v>
      </c>
      <c r="AG2360">
        <v>45</v>
      </c>
      <c r="AH2360">
        <v>0</v>
      </c>
      <c r="AI2360">
        <v>0</v>
      </c>
      <c r="AJ2360">
        <v>0</v>
      </c>
      <c r="AK2360">
        <v>5</v>
      </c>
      <c r="AL2360">
        <v>11</v>
      </c>
      <c r="AM2360">
        <v>11</v>
      </c>
      <c r="AN2360">
        <v>2</v>
      </c>
      <c r="AO2360">
        <v>29</v>
      </c>
      <c r="AP2360">
        <v>10</v>
      </c>
      <c r="AQ2360">
        <v>23</v>
      </c>
      <c r="AR2360">
        <v>3</v>
      </c>
      <c r="AS2360">
        <v>1</v>
      </c>
      <c r="AT2360">
        <v>0</v>
      </c>
    </row>
    <row r="2361" spans="1:46">
      <c r="A2361">
        <v>46436</v>
      </c>
      <c r="B2361" t="s">
        <v>13886</v>
      </c>
      <c r="C2361" t="s">
        <v>13887</v>
      </c>
      <c r="E2361" t="s">
        <v>13888</v>
      </c>
      <c r="F2361" t="s">
        <v>9750</v>
      </c>
      <c r="G2361" t="s">
        <v>1598</v>
      </c>
      <c r="H2361" t="s">
        <v>3942</v>
      </c>
      <c r="J2361" t="s">
        <v>3962</v>
      </c>
      <c r="K2361" t="s">
        <v>519</v>
      </c>
      <c r="M2361" t="s">
        <v>1297</v>
      </c>
      <c r="N2361" t="s">
        <v>571</v>
      </c>
      <c r="O2361" t="s">
        <v>1743</v>
      </c>
      <c r="P2361" t="s">
        <v>572</v>
      </c>
      <c r="Q2361" t="s">
        <v>1471</v>
      </c>
      <c r="R2361" t="s">
        <v>1472</v>
      </c>
      <c r="S2361" t="s">
        <v>1699</v>
      </c>
      <c r="T2361" t="s">
        <v>1474</v>
      </c>
      <c r="U2361">
        <v>191201</v>
      </c>
      <c r="V2361" t="s">
        <v>9738</v>
      </c>
      <c r="W2361" t="s">
        <v>8759</v>
      </c>
      <c r="X2361" t="s">
        <v>13889</v>
      </c>
      <c r="Y2361" t="s">
        <v>13890</v>
      </c>
      <c r="Z2361" t="s">
        <v>13150</v>
      </c>
      <c r="AA2361" t="s">
        <v>13891</v>
      </c>
      <c r="AE2361">
        <v>-37.6953435</v>
      </c>
      <c r="AF2361">
        <v>176.07334130000001</v>
      </c>
      <c r="AG2361">
        <v>78</v>
      </c>
      <c r="AH2361">
        <v>20</v>
      </c>
      <c r="AI2361">
        <v>1</v>
      </c>
      <c r="AJ2361">
        <v>21</v>
      </c>
      <c r="AK2361">
        <v>16</v>
      </c>
      <c r="AL2361">
        <v>23</v>
      </c>
      <c r="AM2361">
        <v>20</v>
      </c>
      <c r="AN2361">
        <v>0</v>
      </c>
      <c r="AO2361">
        <v>81</v>
      </c>
      <c r="AP2361">
        <v>62</v>
      </c>
      <c r="AQ2361">
        <v>24</v>
      </c>
      <c r="AR2361">
        <v>5</v>
      </c>
      <c r="AS2361">
        <v>5</v>
      </c>
      <c r="AT2361">
        <v>1</v>
      </c>
    </row>
    <row r="2362" spans="1:46">
      <c r="A2362">
        <v>46441</v>
      </c>
      <c r="B2362" t="s">
        <v>13892</v>
      </c>
      <c r="D2362" t="s">
        <v>12360</v>
      </c>
      <c r="E2362" t="s">
        <v>13893</v>
      </c>
      <c r="F2362" t="s">
        <v>13807</v>
      </c>
      <c r="G2362" t="s">
        <v>652</v>
      </c>
      <c r="H2362" t="s">
        <v>3942</v>
      </c>
      <c r="J2362" t="s">
        <v>3962</v>
      </c>
      <c r="K2362" t="s">
        <v>519</v>
      </c>
      <c r="M2362" t="s">
        <v>520</v>
      </c>
      <c r="N2362" t="s">
        <v>571</v>
      </c>
      <c r="O2362" t="s">
        <v>829</v>
      </c>
      <c r="P2362" t="s">
        <v>654</v>
      </c>
      <c r="Q2362" t="s">
        <v>638</v>
      </c>
      <c r="R2362" t="s">
        <v>708</v>
      </c>
      <c r="S2362" t="s">
        <v>805</v>
      </c>
      <c r="T2362" t="s">
        <v>709</v>
      </c>
      <c r="U2362">
        <v>143800</v>
      </c>
      <c r="V2362" t="s">
        <v>6146</v>
      </c>
      <c r="W2362" t="s">
        <v>807</v>
      </c>
      <c r="X2362" t="s">
        <v>12362</v>
      </c>
      <c r="Y2362" t="s">
        <v>12363</v>
      </c>
      <c r="Z2362" t="s">
        <v>821</v>
      </c>
      <c r="AA2362" t="s">
        <v>4069</v>
      </c>
      <c r="AB2362" t="s">
        <v>12364</v>
      </c>
      <c r="AE2362">
        <v>-36.904682719999997</v>
      </c>
      <c r="AF2362">
        <v>174.80421118000001</v>
      </c>
      <c r="AG2362">
        <v>86</v>
      </c>
      <c r="AH2362">
        <v>26</v>
      </c>
      <c r="AI2362">
        <v>3</v>
      </c>
      <c r="AJ2362">
        <v>12</v>
      </c>
      <c r="AK2362">
        <v>21</v>
      </c>
      <c r="AL2362">
        <v>11</v>
      </c>
      <c r="AM2362">
        <v>13</v>
      </c>
      <c r="AN2362">
        <v>1</v>
      </c>
      <c r="AO2362">
        <v>61</v>
      </c>
      <c r="AP2362">
        <v>31</v>
      </c>
      <c r="AQ2362">
        <v>3</v>
      </c>
      <c r="AR2362">
        <v>6</v>
      </c>
      <c r="AS2362">
        <v>27</v>
      </c>
      <c r="AT2362">
        <v>9</v>
      </c>
    </row>
    <row r="2363" spans="1:46">
      <c r="A2363">
        <v>46443</v>
      </c>
      <c r="B2363" t="s">
        <v>13894</v>
      </c>
      <c r="C2363" t="s">
        <v>12955</v>
      </c>
      <c r="D2363" t="s">
        <v>12951</v>
      </c>
      <c r="E2363" t="s">
        <v>13895</v>
      </c>
      <c r="F2363" t="s">
        <v>13210</v>
      </c>
      <c r="G2363" t="s">
        <v>2941</v>
      </c>
      <c r="H2363" t="s">
        <v>3942</v>
      </c>
      <c r="J2363" t="s">
        <v>3962</v>
      </c>
      <c r="K2363" t="s">
        <v>519</v>
      </c>
      <c r="M2363" t="s">
        <v>2287</v>
      </c>
      <c r="N2363" t="s">
        <v>4519</v>
      </c>
      <c r="O2363" t="s">
        <v>2942</v>
      </c>
      <c r="P2363" t="s">
        <v>654</v>
      </c>
      <c r="Q2363" t="s">
        <v>2943</v>
      </c>
      <c r="R2363" t="s">
        <v>2944</v>
      </c>
      <c r="S2363" t="s">
        <v>3019</v>
      </c>
      <c r="T2363" t="s">
        <v>2448</v>
      </c>
      <c r="U2363">
        <v>322000</v>
      </c>
      <c r="V2363" t="s">
        <v>13207</v>
      </c>
      <c r="W2363" t="s">
        <v>3076</v>
      </c>
      <c r="X2363" t="s">
        <v>12953</v>
      </c>
      <c r="Y2363" t="s">
        <v>13896</v>
      </c>
      <c r="Z2363" t="s">
        <v>3194</v>
      </c>
      <c r="AA2363" t="s">
        <v>12954</v>
      </c>
      <c r="AB2363" t="s">
        <v>12955</v>
      </c>
      <c r="AE2363">
        <v>-43.533813960000003</v>
      </c>
      <c r="AF2363">
        <v>172.56483514000001</v>
      </c>
      <c r="AG2363">
        <v>30</v>
      </c>
      <c r="AH2363">
        <v>10</v>
      </c>
      <c r="AI2363">
        <v>0</v>
      </c>
      <c r="AJ2363">
        <v>5</v>
      </c>
      <c r="AK2363">
        <v>8</v>
      </c>
      <c r="AL2363">
        <v>10</v>
      </c>
      <c r="AM2363">
        <v>10</v>
      </c>
      <c r="AN2363">
        <v>0</v>
      </c>
      <c r="AO2363">
        <v>33</v>
      </c>
      <c r="AP2363">
        <v>20</v>
      </c>
      <c r="AQ2363">
        <v>5</v>
      </c>
      <c r="AR2363">
        <v>2</v>
      </c>
      <c r="AS2363">
        <v>11</v>
      </c>
      <c r="AT2363">
        <v>0</v>
      </c>
    </row>
    <row r="2364" spans="1:46">
      <c r="A2364">
        <v>46444</v>
      </c>
      <c r="B2364" t="s">
        <v>13897</v>
      </c>
      <c r="C2364" t="s">
        <v>13898</v>
      </c>
      <c r="D2364" t="s">
        <v>11149</v>
      </c>
      <c r="E2364" t="s">
        <v>11150</v>
      </c>
      <c r="F2364" t="s">
        <v>3990</v>
      </c>
      <c r="G2364" t="s">
        <v>652</v>
      </c>
      <c r="H2364" t="s">
        <v>4716</v>
      </c>
      <c r="J2364" t="s">
        <v>3962</v>
      </c>
      <c r="K2364" t="s">
        <v>519</v>
      </c>
      <c r="M2364" t="s">
        <v>520</v>
      </c>
      <c r="N2364" t="s">
        <v>557</v>
      </c>
      <c r="O2364" t="s">
        <v>728</v>
      </c>
      <c r="P2364" t="s">
        <v>654</v>
      </c>
      <c r="Q2364" t="s">
        <v>638</v>
      </c>
      <c r="R2364" t="s">
        <v>729</v>
      </c>
      <c r="S2364" t="s">
        <v>730</v>
      </c>
      <c r="T2364" t="s">
        <v>709</v>
      </c>
      <c r="U2364">
        <v>155100</v>
      </c>
      <c r="V2364" t="s">
        <v>990</v>
      </c>
      <c r="W2364" t="s">
        <v>732</v>
      </c>
      <c r="X2364" t="s">
        <v>11151</v>
      </c>
      <c r="Y2364" t="s">
        <v>11152</v>
      </c>
      <c r="Z2364" t="s">
        <v>6408</v>
      </c>
      <c r="AA2364" t="s">
        <v>6409</v>
      </c>
      <c r="AB2364" t="s">
        <v>11148</v>
      </c>
      <c r="AE2364">
        <v>-36.952231140000002</v>
      </c>
      <c r="AF2364">
        <v>174.89058864</v>
      </c>
      <c r="AG2364">
        <v>80</v>
      </c>
      <c r="AH2364">
        <v>80</v>
      </c>
      <c r="AI2364">
        <v>3</v>
      </c>
      <c r="AJ2364">
        <v>7</v>
      </c>
      <c r="AK2364">
        <v>10</v>
      </c>
      <c r="AL2364">
        <v>11</v>
      </c>
      <c r="AM2364">
        <v>9</v>
      </c>
      <c r="AN2364">
        <v>0</v>
      </c>
      <c r="AO2364">
        <v>40</v>
      </c>
      <c r="AP2364">
        <v>4</v>
      </c>
      <c r="AQ2364">
        <v>0</v>
      </c>
      <c r="AR2364">
        <v>8</v>
      </c>
      <c r="AS2364">
        <v>27</v>
      </c>
      <c r="AT2364">
        <v>2</v>
      </c>
    </row>
    <row r="2365" spans="1:46">
      <c r="A2365">
        <v>46446</v>
      </c>
      <c r="B2365" t="s">
        <v>13899</v>
      </c>
      <c r="C2365" t="s">
        <v>13900</v>
      </c>
      <c r="D2365" t="s">
        <v>13901</v>
      </c>
      <c r="E2365" t="s">
        <v>13902</v>
      </c>
      <c r="F2365" t="s">
        <v>1036</v>
      </c>
      <c r="G2365" t="s">
        <v>652</v>
      </c>
      <c r="H2365" t="s">
        <v>3942</v>
      </c>
      <c r="J2365" t="s">
        <v>3962</v>
      </c>
      <c r="K2365" t="s">
        <v>519</v>
      </c>
      <c r="M2365" t="s">
        <v>520</v>
      </c>
      <c r="N2365" t="s">
        <v>521</v>
      </c>
      <c r="O2365" t="s">
        <v>1216</v>
      </c>
      <c r="P2365" t="s">
        <v>654</v>
      </c>
      <c r="Q2365" t="s">
        <v>638</v>
      </c>
      <c r="R2365" t="s">
        <v>729</v>
      </c>
      <c r="S2365" t="s">
        <v>1036</v>
      </c>
      <c r="T2365" t="s">
        <v>709</v>
      </c>
      <c r="U2365">
        <v>159700</v>
      </c>
      <c r="V2365" t="s">
        <v>8118</v>
      </c>
      <c r="W2365" t="s">
        <v>1219</v>
      </c>
      <c r="X2365" t="s">
        <v>13903</v>
      </c>
      <c r="Y2365" t="s">
        <v>3981</v>
      </c>
      <c r="AA2365" t="s">
        <v>3982</v>
      </c>
      <c r="AB2365" t="s">
        <v>13904</v>
      </c>
      <c r="AE2365">
        <v>-37.029737789999999</v>
      </c>
      <c r="AF2365">
        <v>174.86759268</v>
      </c>
      <c r="AG2365">
        <v>90</v>
      </c>
      <c r="AH2365">
        <v>20</v>
      </c>
      <c r="AI2365">
        <v>6</v>
      </c>
      <c r="AJ2365">
        <v>11</v>
      </c>
      <c r="AK2365">
        <v>17</v>
      </c>
      <c r="AL2365">
        <v>25</v>
      </c>
      <c r="AM2365">
        <v>27</v>
      </c>
      <c r="AN2365">
        <v>2</v>
      </c>
      <c r="AO2365">
        <v>88</v>
      </c>
      <c r="AP2365">
        <v>10</v>
      </c>
      <c r="AQ2365">
        <v>28</v>
      </c>
      <c r="AR2365">
        <v>50</v>
      </c>
      <c r="AS2365">
        <v>25</v>
      </c>
      <c r="AT2365">
        <v>3</v>
      </c>
    </row>
    <row r="2366" spans="1:46">
      <c r="A2366">
        <v>46448</v>
      </c>
      <c r="B2366" t="s">
        <v>13905</v>
      </c>
      <c r="C2366" t="s">
        <v>13906</v>
      </c>
      <c r="D2366" t="s">
        <v>13907</v>
      </c>
      <c r="E2366" t="s">
        <v>13908</v>
      </c>
      <c r="F2366" t="s">
        <v>11307</v>
      </c>
      <c r="G2366" t="s">
        <v>1757</v>
      </c>
      <c r="H2366" t="s">
        <v>3942</v>
      </c>
      <c r="J2366" t="s">
        <v>3962</v>
      </c>
      <c r="K2366" t="s">
        <v>519</v>
      </c>
      <c r="M2366" t="s">
        <v>1297</v>
      </c>
      <c r="N2366" t="s">
        <v>4519</v>
      </c>
      <c r="O2366" t="s">
        <v>1758</v>
      </c>
      <c r="P2366" t="s">
        <v>584</v>
      </c>
      <c r="Q2366" t="s">
        <v>1759</v>
      </c>
      <c r="R2366" t="s">
        <v>1760</v>
      </c>
      <c r="S2366" t="s">
        <v>1757</v>
      </c>
      <c r="T2366" t="s">
        <v>1485</v>
      </c>
      <c r="U2366">
        <v>217300</v>
      </c>
      <c r="V2366" t="s">
        <v>11307</v>
      </c>
      <c r="W2366" t="s">
        <v>1762</v>
      </c>
      <c r="X2366" t="s">
        <v>13909</v>
      </c>
      <c r="Y2366" t="s">
        <v>13910</v>
      </c>
      <c r="AA2366" t="s">
        <v>12572</v>
      </c>
      <c r="AB2366" t="s">
        <v>13911</v>
      </c>
      <c r="AE2366">
        <v>-39.056557509999998</v>
      </c>
      <c r="AF2366">
        <v>174.10362595999999</v>
      </c>
      <c r="AG2366">
        <v>60</v>
      </c>
      <c r="AH2366">
        <v>0</v>
      </c>
      <c r="AI2366">
        <v>0</v>
      </c>
      <c r="AJ2366">
        <v>0</v>
      </c>
      <c r="AK2366">
        <v>0</v>
      </c>
      <c r="AL2366">
        <v>10</v>
      </c>
      <c r="AM2366">
        <v>35</v>
      </c>
      <c r="AN2366">
        <v>1</v>
      </c>
      <c r="AO2366">
        <v>46</v>
      </c>
      <c r="AP2366">
        <v>43</v>
      </c>
      <c r="AQ2366">
        <v>3</v>
      </c>
      <c r="AR2366">
        <v>0</v>
      </c>
      <c r="AS2366">
        <v>5</v>
      </c>
      <c r="AT2366">
        <v>0</v>
      </c>
    </row>
    <row r="2367" spans="1:46">
      <c r="A2367">
        <v>46449</v>
      </c>
      <c r="B2367" t="s">
        <v>13912</v>
      </c>
      <c r="C2367" t="s">
        <v>13913</v>
      </c>
      <c r="D2367" t="s">
        <v>13914</v>
      </c>
      <c r="E2367" t="s">
        <v>13915</v>
      </c>
      <c r="F2367" t="s">
        <v>4466</v>
      </c>
      <c r="G2367" t="s">
        <v>652</v>
      </c>
      <c r="H2367" t="s">
        <v>4716</v>
      </c>
      <c r="I2367" t="s">
        <v>4065</v>
      </c>
      <c r="J2367" t="s">
        <v>3962</v>
      </c>
      <c r="K2367" t="s">
        <v>519</v>
      </c>
      <c r="M2367" t="s">
        <v>520</v>
      </c>
      <c r="N2367" t="s">
        <v>539</v>
      </c>
      <c r="O2367" t="s">
        <v>813</v>
      </c>
      <c r="P2367" t="s">
        <v>654</v>
      </c>
      <c r="Q2367" t="s">
        <v>638</v>
      </c>
      <c r="R2367" t="s">
        <v>639</v>
      </c>
      <c r="S2367" t="s">
        <v>719</v>
      </c>
      <c r="T2367" t="s">
        <v>709</v>
      </c>
      <c r="U2367">
        <v>128901</v>
      </c>
      <c r="V2367" t="s">
        <v>13916</v>
      </c>
      <c r="W2367" t="s">
        <v>815</v>
      </c>
      <c r="X2367" t="s">
        <v>13917</v>
      </c>
      <c r="Y2367" t="s">
        <v>13915</v>
      </c>
      <c r="Z2367" t="s">
        <v>4466</v>
      </c>
      <c r="AA2367" t="s">
        <v>4985</v>
      </c>
      <c r="AB2367" t="s">
        <v>13913</v>
      </c>
      <c r="AE2367">
        <v>-36.891020849999997</v>
      </c>
      <c r="AF2367">
        <v>174.64922598999999</v>
      </c>
      <c r="AG2367">
        <v>80</v>
      </c>
      <c r="AH2367">
        <v>80</v>
      </c>
      <c r="AI2367">
        <v>5</v>
      </c>
      <c r="AJ2367">
        <v>5</v>
      </c>
      <c r="AK2367">
        <v>9</v>
      </c>
      <c r="AL2367">
        <v>8</v>
      </c>
      <c r="AM2367">
        <v>8</v>
      </c>
      <c r="AN2367">
        <v>3</v>
      </c>
      <c r="AO2367">
        <v>38</v>
      </c>
      <c r="AP2367">
        <v>0</v>
      </c>
      <c r="AQ2367">
        <v>0</v>
      </c>
      <c r="AR2367">
        <v>9</v>
      </c>
      <c r="AS2367">
        <v>27</v>
      </c>
      <c r="AT2367">
        <v>2</v>
      </c>
    </row>
    <row r="2368" spans="1:46">
      <c r="A2368">
        <v>46450</v>
      </c>
      <c r="B2368" t="s">
        <v>13918</v>
      </c>
      <c r="C2368" t="s">
        <v>13919</v>
      </c>
      <c r="D2368" t="s">
        <v>13920</v>
      </c>
      <c r="E2368" t="s">
        <v>13921</v>
      </c>
      <c r="G2368" t="s">
        <v>1234</v>
      </c>
      <c r="H2368" t="s">
        <v>3942</v>
      </c>
      <c r="J2368" t="s">
        <v>3962</v>
      </c>
      <c r="K2368" t="s">
        <v>519</v>
      </c>
      <c r="M2368" t="s">
        <v>520</v>
      </c>
      <c r="N2368" t="s">
        <v>727</v>
      </c>
      <c r="O2368" t="s">
        <v>1268</v>
      </c>
      <c r="P2368" t="s">
        <v>654</v>
      </c>
      <c r="Q2368" t="s">
        <v>638</v>
      </c>
      <c r="R2368" t="s">
        <v>729</v>
      </c>
      <c r="S2368" t="s">
        <v>1234</v>
      </c>
      <c r="T2368" t="s">
        <v>1235</v>
      </c>
      <c r="U2368">
        <v>163501</v>
      </c>
      <c r="V2368" t="s">
        <v>1269</v>
      </c>
      <c r="W2368" t="s">
        <v>1219</v>
      </c>
      <c r="X2368" t="s">
        <v>12646</v>
      </c>
      <c r="Y2368" t="s">
        <v>12647</v>
      </c>
      <c r="Z2368" t="s">
        <v>836</v>
      </c>
      <c r="AA2368" t="s">
        <v>4282</v>
      </c>
      <c r="AB2368" t="s">
        <v>12648</v>
      </c>
      <c r="AC2368">
        <v>99152</v>
      </c>
      <c r="AD2368" t="s">
        <v>1270</v>
      </c>
      <c r="AE2368">
        <v>-37.058975590000003</v>
      </c>
      <c r="AF2368">
        <v>174.95744513</v>
      </c>
      <c r="AG2368">
        <v>100</v>
      </c>
      <c r="AH2368">
        <v>20</v>
      </c>
      <c r="AI2368">
        <v>0</v>
      </c>
      <c r="AJ2368">
        <v>0</v>
      </c>
      <c r="AK2368">
        <v>34</v>
      </c>
      <c r="AL2368">
        <v>44</v>
      </c>
      <c r="AM2368">
        <v>47</v>
      </c>
      <c r="AN2368">
        <v>7</v>
      </c>
      <c r="AO2368">
        <v>132</v>
      </c>
      <c r="AP2368">
        <v>20</v>
      </c>
      <c r="AQ2368">
        <v>81</v>
      </c>
      <c r="AR2368">
        <v>52</v>
      </c>
      <c r="AS2368">
        <v>20</v>
      </c>
      <c r="AT2368">
        <v>2</v>
      </c>
    </row>
    <row r="2369" spans="1:46">
      <c r="A2369">
        <v>46453</v>
      </c>
      <c r="B2369" t="s">
        <v>13922</v>
      </c>
      <c r="C2369" t="s">
        <v>13923</v>
      </c>
      <c r="E2369" t="s">
        <v>13924</v>
      </c>
      <c r="F2369" t="s">
        <v>13925</v>
      </c>
      <c r="G2369" t="s">
        <v>3498</v>
      </c>
      <c r="H2369" t="s">
        <v>4716</v>
      </c>
      <c r="J2369" t="s">
        <v>3962</v>
      </c>
      <c r="K2369" t="s">
        <v>519</v>
      </c>
      <c r="M2369" t="s">
        <v>2287</v>
      </c>
      <c r="N2369" t="s">
        <v>571</v>
      </c>
      <c r="O2369" t="s">
        <v>3496</v>
      </c>
      <c r="P2369" t="s">
        <v>584</v>
      </c>
      <c r="Q2369" t="s">
        <v>3497</v>
      </c>
      <c r="R2369" t="s">
        <v>3338</v>
      </c>
      <c r="S2369" t="s">
        <v>3498</v>
      </c>
      <c r="T2369" t="s">
        <v>2448</v>
      </c>
      <c r="U2369">
        <v>361300</v>
      </c>
      <c r="V2369" t="s">
        <v>13925</v>
      </c>
      <c r="W2369" t="s">
        <v>1652</v>
      </c>
      <c r="X2369" t="s">
        <v>13926</v>
      </c>
      <c r="Y2369" t="s">
        <v>13927</v>
      </c>
      <c r="Z2369" t="s">
        <v>3585</v>
      </c>
      <c r="AA2369" t="s">
        <v>11903</v>
      </c>
      <c r="AB2369" t="s">
        <v>13928</v>
      </c>
      <c r="AE2369">
        <v>-46.400440260000003</v>
      </c>
      <c r="AF2369">
        <v>168.34700050000001</v>
      </c>
      <c r="AG2369">
        <v>100</v>
      </c>
      <c r="AH2369">
        <v>100</v>
      </c>
      <c r="AI2369">
        <v>3</v>
      </c>
      <c r="AJ2369">
        <v>14</v>
      </c>
      <c r="AK2369">
        <v>15</v>
      </c>
      <c r="AL2369">
        <v>15</v>
      </c>
      <c r="AM2369">
        <v>8</v>
      </c>
      <c r="AN2369">
        <v>2</v>
      </c>
      <c r="AO2369">
        <v>57</v>
      </c>
      <c r="AP2369">
        <v>42</v>
      </c>
      <c r="AQ2369">
        <v>18</v>
      </c>
      <c r="AR2369">
        <v>2</v>
      </c>
      <c r="AS2369">
        <v>0</v>
      </c>
      <c r="AT2369">
        <v>3</v>
      </c>
    </row>
    <row r="2370" spans="1:46">
      <c r="A2370">
        <v>46455</v>
      </c>
      <c r="B2370" t="s">
        <v>13929</v>
      </c>
      <c r="C2370" t="s">
        <v>13930</v>
      </c>
      <c r="D2370" t="s">
        <v>13931</v>
      </c>
      <c r="E2370" t="s">
        <v>13932</v>
      </c>
      <c r="F2370" t="s">
        <v>1398</v>
      </c>
      <c r="G2370" t="s">
        <v>1296</v>
      </c>
      <c r="H2370" t="s">
        <v>3942</v>
      </c>
      <c r="I2370" t="s">
        <v>13933</v>
      </c>
      <c r="J2370" t="s">
        <v>518</v>
      </c>
      <c r="K2370" t="s">
        <v>519</v>
      </c>
      <c r="M2370" t="s">
        <v>1297</v>
      </c>
      <c r="N2370" t="s">
        <v>539</v>
      </c>
      <c r="O2370" t="s">
        <v>1298</v>
      </c>
      <c r="P2370" t="s">
        <v>654</v>
      </c>
      <c r="Q2370" t="s">
        <v>1299</v>
      </c>
      <c r="R2370" t="s">
        <v>1300</v>
      </c>
      <c r="S2370" t="s">
        <v>1312</v>
      </c>
      <c r="T2370" t="s">
        <v>1235</v>
      </c>
      <c r="U2370">
        <v>179300</v>
      </c>
      <c r="V2370" t="s">
        <v>1398</v>
      </c>
      <c r="W2370" t="s">
        <v>1314</v>
      </c>
      <c r="X2370" t="s">
        <v>13934</v>
      </c>
      <c r="Y2370" t="s">
        <v>13935</v>
      </c>
      <c r="Z2370" t="s">
        <v>13936</v>
      </c>
      <c r="AA2370" t="s">
        <v>9301</v>
      </c>
      <c r="AE2370">
        <v>-37.775048679999998</v>
      </c>
      <c r="AF2370">
        <v>175.28458345999999</v>
      </c>
      <c r="AG2370">
        <v>30</v>
      </c>
      <c r="AH2370">
        <v>0</v>
      </c>
      <c r="AI2370">
        <v>0</v>
      </c>
      <c r="AJ2370">
        <v>0</v>
      </c>
      <c r="AK2370">
        <v>2</v>
      </c>
      <c r="AL2370">
        <v>10</v>
      </c>
      <c r="AM2370">
        <v>15</v>
      </c>
      <c r="AN2370">
        <v>1</v>
      </c>
      <c r="AO2370">
        <v>28</v>
      </c>
      <c r="AP2370">
        <v>2</v>
      </c>
      <c r="AQ2370">
        <v>0</v>
      </c>
      <c r="AR2370">
        <v>2</v>
      </c>
      <c r="AS2370">
        <v>8</v>
      </c>
      <c r="AT2370">
        <v>19</v>
      </c>
    </row>
    <row r="2371" spans="1:46">
      <c r="A2371">
        <v>46457</v>
      </c>
      <c r="B2371" t="s">
        <v>13937</v>
      </c>
      <c r="C2371" t="s">
        <v>8295</v>
      </c>
      <c r="D2371" t="s">
        <v>13938</v>
      </c>
      <c r="E2371" t="s">
        <v>13939</v>
      </c>
      <c r="F2371" t="s">
        <v>3885</v>
      </c>
      <c r="G2371" t="s">
        <v>652</v>
      </c>
      <c r="H2371" t="s">
        <v>3942</v>
      </c>
      <c r="J2371" t="s">
        <v>3962</v>
      </c>
      <c r="K2371" t="s">
        <v>519</v>
      </c>
      <c r="M2371" t="s">
        <v>520</v>
      </c>
      <c r="N2371" t="s">
        <v>571</v>
      </c>
      <c r="O2371" t="s">
        <v>1268</v>
      </c>
      <c r="P2371" t="s">
        <v>654</v>
      </c>
      <c r="Q2371" t="s">
        <v>638</v>
      </c>
      <c r="R2371" t="s">
        <v>729</v>
      </c>
      <c r="S2371" t="s">
        <v>1217</v>
      </c>
      <c r="T2371" t="s">
        <v>709</v>
      </c>
      <c r="U2371">
        <v>161800</v>
      </c>
      <c r="V2371" t="s">
        <v>3886</v>
      </c>
      <c r="W2371" t="s">
        <v>1219</v>
      </c>
      <c r="X2371" t="s">
        <v>8294</v>
      </c>
      <c r="Y2371" t="s">
        <v>4658</v>
      </c>
      <c r="Z2371" t="s">
        <v>958</v>
      </c>
      <c r="AA2371" t="s">
        <v>4659</v>
      </c>
      <c r="AB2371" t="s">
        <v>8295</v>
      </c>
      <c r="AE2371">
        <v>-37.047056310000002</v>
      </c>
      <c r="AF2371">
        <v>174.91074774000001</v>
      </c>
      <c r="AG2371">
        <v>75</v>
      </c>
      <c r="AH2371">
        <v>25</v>
      </c>
      <c r="AI2371">
        <v>5</v>
      </c>
      <c r="AJ2371">
        <v>15</v>
      </c>
      <c r="AK2371">
        <v>16</v>
      </c>
      <c r="AL2371">
        <v>18</v>
      </c>
      <c r="AM2371">
        <v>22</v>
      </c>
      <c r="AN2371">
        <v>0</v>
      </c>
      <c r="AO2371">
        <v>76</v>
      </c>
      <c r="AP2371">
        <v>31</v>
      </c>
      <c r="AQ2371">
        <v>10</v>
      </c>
      <c r="AR2371">
        <v>10</v>
      </c>
      <c r="AS2371">
        <v>39</v>
      </c>
      <c r="AT2371">
        <v>8</v>
      </c>
    </row>
    <row r="2372" spans="1:46">
      <c r="A2372">
        <v>46460</v>
      </c>
      <c r="B2372" t="s">
        <v>13940</v>
      </c>
      <c r="C2372" t="s">
        <v>13941</v>
      </c>
      <c r="D2372" t="s">
        <v>13942</v>
      </c>
      <c r="E2372" t="s">
        <v>13943</v>
      </c>
      <c r="F2372" t="s">
        <v>4785</v>
      </c>
      <c r="G2372" t="s">
        <v>652</v>
      </c>
      <c r="H2372" t="s">
        <v>3942</v>
      </c>
      <c r="J2372" t="s">
        <v>518</v>
      </c>
      <c r="K2372" t="s">
        <v>519</v>
      </c>
      <c r="M2372" t="s">
        <v>520</v>
      </c>
      <c r="N2372" t="s">
        <v>557</v>
      </c>
      <c r="O2372" t="s">
        <v>1216</v>
      </c>
      <c r="P2372" t="s">
        <v>654</v>
      </c>
      <c r="Q2372" t="s">
        <v>638</v>
      </c>
      <c r="R2372" t="s">
        <v>729</v>
      </c>
      <c r="S2372" t="s">
        <v>1217</v>
      </c>
      <c r="T2372" t="s">
        <v>709</v>
      </c>
      <c r="U2372">
        <v>161000</v>
      </c>
      <c r="V2372" t="s">
        <v>4786</v>
      </c>
      <c r="W2372" t="s">
        <v>1219</v>
      </c>
      <c r="X2372" t="s">
        <v>3943</v>
      </c>
      <c r="Y2372" t="s">
        <v>3944</v>
      </c>
      <c r="Z2372" t="s">
        <v>3945</v>
      </c>
      <c r="AA2372" t="s">
        <v>3946</v>
      </c>
      <c r="AB2372" t="s">
        <v>3947</v>
      </c>
      <c r="AC2372">
        <v>99186</v>
      </c>
      <c r="AD2372" t="s">
        <v>1224</v>
      </c>
      <c r="AE2372">
        <v>-37.020781970000002</v>
      </c>
      <c r="AF2372">
        <v>174.92144668</v>
      </c>
      <c r="AG2372">
        <v>110</v>
      </c>
      <c r="AH2372">
        <v>20</v>
      </c>
      <c r="AI2372">
        <v>3</v>
      </c>
      <c r="AJ2372">
        <v>10</v>
      </c>
      <c r="AK2372">
        <v>26</v>
      </c>
      <c r="AL2372">
        <v>30</v>
      </c>
      <c r="AM2372">
        <v>25</v>
      </c>
      <c r="AN2372">
        <v>1</v>
      </c>
      <c r="AO2372">
        <v>95</v>
      </c>
      <c r="AP2372">
        <v>13</v>
      </c>
      <c r="AQ2372">
        <v>7</v>
      </c>
      <c r="AR2372">
        <v>23</v>
      </c>
      <c r="AS2372">
        <v>62</v>
      </c>
      <c r="AT2372">
        <v>6</v>
      </c>
    </row>
    <row r="2373" spans="1:46">
      <c r="A2373">
        <v>46462</v>
      </c>
      <c r="B2373" t="s">
        <v>13944</v>
      </c>
      <c r="C2373" t="s">
        <v>13945</v>
      </c>
      <c r="E2373" t="s">
        <v>13946</v>
      </c>
      <c r="F2373" t="s">
        <v>3115</v>
      </c>
      <c r="G2373" t="s">
        <v>2941</v>
      </c>
      <c r="H2373" t="s">
        <v>3942</v>
      </c>
      <c r="I2373" t="s">
        <v>4065</v>
      </c>
      <c r="J2373" t="s">
        <v>3962</v>
      </c>
      <c r="K2373" t="s">
        <v>519</v>
      </c>
      <c r="M2373" t="s">
        <v>2287</v>
      </c>
      <c r="N2373" t="s">
        <v>4519</v>
      </c>
      <c r="O2373" t="s">
        <v>2942</v>
      </c>
      <c r="P2373" t="s">
        <v>654</v>
      </c>
      <c r="Q2373" t="s">
        <v>2943</v>
      </c>
      <c r="R2373" t="s">
        <v>2944</v>
      </c>
      <c r="S2373" t="s">
        <v>2945</v>
      </c>
      <c r="T2373" t="s">
        <v>2448</v>
      </c>
      <c r="U2373">
        <v>320100</v>
      </c>
      <c r="V2373" t="s">
        <v>13947</v>
      </c>
      <c r="W2373" t="s">
        <v>3098</v>
      </c>
      <c r="X2373" t="s">
        <v>13948</v>
      </c>
      <c r="Y2373" t="s">
        <v>4107</v>
      </c>
      <c r="AA2373" t="s">
        <v>3982</v>
      </c>
      <c r="AE2373">
        <v>-43.49522451</v>
      </c>
      <c r="AF2373">
        <v>172.60379042</v>
      </c>
      <c r="AG2373">
        <v>90</v>
      </c>
      <c r="AH2373">
        <v>25</v>
      </c>
      <c r="AI2373">
        <v>1</v>
      </c>
      <c r="AJ2373">
        <v>20</v>
      </c>
      <c r="AK2373">
        <v>21</v>
      </c>
      <c r="AL2373">
        <v>33</v>
      </c>
      <c r="AM2373">
        <v>36</v>
      </c>
      <c r="AN2373">
        <v>2</v>
      </c>
      <c r="AO2373">
        <v>113</v>
      </c>
      <c r="AP2373">
        <v>65</v>
      </c>
      <c r="AQ2373">
        <v>12</v>
      </c>
      <c r="AR2373">
        <v>4</v>
      </c>
      <c r="AS2373">
        <v>51</v>
      </c>
      <c r="AT2373">
        <v>4</v>
      </c>
    </row>
    <row r="2374" spans="1:46">
      <c r="A2374">
        <v>46466</v>
      </c>
      <c r="B2374" t="s">
        <v>13949</v>
      </c>
      <c r="C2374" t="s">
        <v>13950</v>
      </c>
      <c r="D2374" t="s">
        <v>13951</v>
      </c>
      <c r="E2374" t="s">
        <v>13952</v>
      </c>
      <c r="F2374" t="s">
        <v>1313</v>
      </c>
      <c r="G2374" t="s">
        <v>1296</v>
      </c>
      <c r="H2374" t="s">
        <v>3942</v>
      </c>
      <c r="I2374" t="s">
        <v>4065</v>
      </c>
      <c r="J2374" t="s">
        <v>3962</v>
      </c>
      <c r="K2374" t="s">
        <v>519</v>
      </c>
      <c r="M2374" t="s">
        <v>1297</v>
      </c>
      <c r="N2374" t="s">
        <v>571</v>
      </c>
      <c r="O2374" t="s">
        <v>1298</v>
      </c>
      <c r="P2374" t="s">
        <v>654</v>
      </c>
      <c r="Q2374" t="s">
        <v>1299</v>
      </c>
      <c r="R2374" t="s">
        <v>1300</v>
      </c>
      <c r="S2374" t="s">
        <v>1312</v>
      </c>
      <c r="T2374" t="s">
        <v>1235</v>
      </c>
      <c r="U2374">
        <v>178500</v>
      </c>
      <c r="V2374" t="s">
        <v>13953</v>
      </c>
      <c r="W2374" t="s">
        <v>1314</v>
      </c>
      <c r="X2374" t="s">
        <v>13954</v>
      </c>
      <c r="Y2374" t="s">
        <v>13952</v>
      </c>
      <c r="Z2374" t="s">
        <v>1313</v>
      </c>
      <c r="AA2374" t="s">
        <v>8511</v>
      </c>
      <c r="AE2374">
        <v>-37.750606410000003</v>
      </c>
      <c r="AF2374">
        <v>175.29443756000001</v>
      </c>
      <c r="AG2374">
        <v>50</v>
      </c>
      <c r="AH2374">
        <v>10</v>
      </c>
      <c r="AI2374">
        <v>0</v>
      </c>
      <c r="AJ2374">
        <v>6</v>
      </c>
      <c r="AK2374">
        <v>5</v>
      </c>
      <c r="AL2374">
        <v>6</v>
      </c>
      <c r="AM2374">
        <v>7</v>
      </c>
      <c r="AN2374">
        <v>1</v>
      </c>
      <c r="AO2374">
        <v>25</v>
      </c>
      <c r="AP2374">
        <v>11</v>
      </c>
      <c r="AQ2374">
        <v>2</v>
      </c>
      <c r="AR2374">
        <v>0</v>
      </c>
      <c r="AS2374">
        <v>20</v>
      </c>
      <c r="AT2374">
        <v>5</v>
      </c>
    </row>
    <row r="2375" spans="1:46">
      <c r="A2375">
        <v>46470</v>
      </c>
      <c r="B2375" t="s">
        <v>13955</v>
      </c>
      <c r="C2375" t="s">
        <v>13956</v>
      </c>
      <c r="E2375" t="s">
        <v>13957</v>
      </c>
      <c r="G2375" t="s">
        <v>550</v>
      </c>
      <c r="H2375" t="s">
        <v>3942</v>
      </c>
      <c r="I2375" t="s">
        <v>4951</v>
      </c>
      <c r="J2375" t="s">
        <v>3962</v>
      </c>
      <c r="K2375" t="s">
        <v>519</v>
      </c>
      <c r="M2375" t="s">
        <v>520</v>
      </c>
      <c r="N2375" t="s">
        <v>727</v>
      </c>
      <c r="O2375" t="s">
        <v>522</v>
      </c>
      <c r="P2375" t="s">
        <v>523</v>
      </c>
      <c r="Q2375" t="s">
        <v>524</v>
      </c>
      <c r="R2375" t="s">
        <v>525</v>
      </c>
      <c r="S2375" t="s">
        <v>526</v>
      </c>
      <c r="T2375" t="s">
        <v>527</v>
      </c>
      <c r="U2375">
        <v>103501</v>
      </c>
      <c r="V2375" t="s">
        <v>550</v>
      </c>
      <c r="W2375" t="s">
        <v>551</v>
      </c>
      <c r="X2375" t="s">
        <v>13958</v>
      </c>
      <c r="Y2375" t="s">
        <v>13959</v>
      </c>
      <c r="Z2375" t="s">
        <v>1036</v>
      </c>
      <c r="AA2375" t="s">
        <v>7336</v>
      </c>
      <c r="AB2375" t="s">
        <v>13956</v>
      </c>
      <c r="AC2375">
        <v>99060</v>
      </c>
      <c r="AD2375" t="s">
        <v>552</v>
      </c>
      <c r="AE2375">
        <v>-35.407705620000002</v>
      </c>
      <c r="AF2375">
        <v>173.79341582000001</v>
      </c>
      <c r="AG2375">
        <v>60</v>
      </c>
      <c r="AH2375">
        <v>15</v>
      </c>
      <c r="AI2375">
        <v>1</v>
      </c>
      <c r="AJ2375">
        <v>5</v>
      </c>
      <c r="AK2375">
        <v>10</v>
      </c>
      <c r="AL2375">
        <v>17</v>
      </c>
      <c r="AM2375">
        <v>12</v>
      </c>
      <c r="AN2375">
        <v>0</v>
      </c>
      <c r="AO2375">
        <v>45</v>
      </c>
      <c r="AP2375">
        <v>10</v>
      </c>
      <c r="AQ2375">
        <v>42</v>
      </c>
      <c r="AR2375">
        <v>4</v>
      </c>
      <c r="AS2375">
        <v>2</v>
      </c>
      <c r="AT2375">
        <v>0</v>
      </c>
    </row>
    <row r="2376" spans="1:46">
      <c r="A2376">
        <v>46474</v>
      </c>
      <c r="B2376" t="s">
        <v>13960</v>
      </c>
      <c r="C2376" t="s">
        <v>13961</v>
      </c>
      <c r="D2376" t="s">
        <v>13962</v>
      </c>
      <c r="E2376" t="s">
        <v>13963</v>
      </c>
      <c r="G2376" t="s">
        <v>13964</v>
      </c>
      <c r="H2376" t="s">
        <v>3942</v>
      </c>
      <c r="J2376" t="s">
        <v>518</v>
      </c>
      <c r="K2376" t="s">
        <v>519</v>
      </c>
      <c r="L2376" t="s">
        <v>4205</v>
      </c>
      <c r="M2376" t="s">
        <v>1297</v>
      </c>
      <c r="N2376" t="s">
        <v>521</v>
      </c>
      <c r="O2376" t="s">
        <v>2082</v>
      </c>
      <c r="P2376" t="s">
        <v>540</v>
      </c>
      <c r="Q2376" t="s">
        <v>2083</v>
      </c>
      <c r="R2376" t="s">
        <v>2084</v>
      </c>
      <c r="S2376" t="s">
        <v>1473</v>
      </c>
      <c r="T2376" t="s">
        <v>2085</v>
      </c>
      <c r="U2376">
        <v>204700</v>
      </c>
      <c r="V2376" t="s">
        <v>13965</v>
      </c>
      <c r="W2376" t="s">
        <v>2087</v>
      </c>
      <c r="X2376" t="s">
        <v>13966</v>
      </c>
      <c r="Y2376" t="s">
        <v>4208</v>
      </c>
      <c r="Z2376" t="s">
        <v>4209</v>
      </c>
      <c r="AA2376" t="s">
        <v>4210</v>
      </c>
      <c r="AB2376" t="s">
        <v>13967</v>
      </c>
      <c r="AC2376">
        <v>99162</v>
      </c>
      <c r="AD2376" t="s">
        <v>13356</v>
      </c>
      <c r="AE2376">
        <v>-37.591199099999997</v>
      </c>
      <c r="AF2376">
        <v>178.29182025</v>
      </c>
      <c r="AG2376">
        <v>20</v>
      </c>
      <c r="AH2376">
        <v>0</v>
      </c>
      <c r="AI2376">
        <v>0</v>
      </c>
      <c r="AJ2376">
        <v>0</v>
      </c>
      <c r="AK2376">
        <v>0</v>
      </c>
      <c r="AL2376">
        <v>4</v>
      </c>
      <c r="AM2376">
        <v>5</v>
      </c>
      <c r="AN2376">
        <v>0</v>
      </c>
      <c r="AO2376">
        <v>9</v>
      </c>
      <c r="AP2376">
        <v>0</v>
      </c>
      <c r="AQ2376">
        <v>9</v>
      </c>
      <c r="AR2376">
        <v>0</v>
      </c>
      <c r="AS2376">
        <v>0</v>
      </c>
      <c r="AT2376">
        <v>0</v>
      </c>
    </row>
    <row r="2377" spans="1:46">
      <c r="A2377">
        <v>46476</v>
      </c>
      <c r="B2377" t="s">
        <v>13968</v>
      </c>
      <c r="C2377" t="s">
        <v>13969</v>
      </c>
      <c r="D2377" t="s">
        <v>13970</v>
      </c>
      <c r="E2377" t="s">
        <v>13971</v>
      </c>
      <c r="F2377" t="s">
        <v>1427</v>
      </c>
      <c r="G2377" t="s">
        <v>1296</v>
      </c>
      <c r="H2377" t="s">
        <v>3942</v>
      </c>
      <c r="J2377" t="s">
        <v>3962</v>
      </c>
      <c r="K2377" t="s">
        <v>519</v>
      </c>
      <c r="M2377" t="s">
        <v>1297</v>
      </c>
      <c r="N2377" t="s">
        <v>571</v>
      </c>
      <c r="O2377" t="s">
        <v>1298</v>
      </c>
      <c r="P2377" t="s">
        <v>654</v>
      </c>
      <c r="Q2377" t="s">
        <v>1299</v>
      </c>
      <c r="R2377" t="s">
        <v>1300</v>
      </c>
      <c r="S2377" t="s">
        <v>1301</v>
      </c>
      <c r="T2377" t="s">
        <v>1235</v>
      </c>
      <c r="U2377">
        <v>180900</v>
      </c>
      <c r="V2377" t="s">
        <v>1427</v>
      </c>
      <c r="W2377" t="s">
        <v>1303</v>
      </c>
      <c r="X2377" t="s">
        <v>13972</v>
      </c>
      <c r="Y2377" t="s">
        <v>13973</v>
      </c>
      <c r="AA2377" t="s">
        <v>8511</v>
      </c>
      <c r="AB2377" t="s">
        <v>13974</v>
      </c>
      <c r="AE2377">
        <v>-37.819608379999998</v>
      </c>
      <c r="AF2377">
        <v>175.2859139</v>
      </c>
      <c r="AG2377">
        <v>37</v>
      </c>
      <c r="AH2377">
        <v>0</v>
      </c>
      <c r="AI2377">
        <v>0</v>
      </c>
      <c r="AJ2377">
        <v>0</v>
      </c>
      <c r="AK2377">
        <v>9</v>
      </c>
      <c r="AL2377">
        <v>12</v>
      </c>
      <c r="AM2377">
        <v>16</v>
      </c>
      <c r="AN2377">
        <v>0</v>
      </c>
      <c r="AO2377">
        <v>37</v>
      </c>
      <c r="AP2377">
        <v>18</v>
      </c>
      <c r="AQ2377">
        <v>17</v>
      </c>
      <c r="AR2377">
        <v>1</v>
      </c>
      <c r="AS2377">
        <v>9</v>
      </c>
      <c r="AT2377">
        <v>2</v>
      </c>
    </row>
    <row r="2378" spans="1:46">
      <c r="A2378">
        <v>46477</v>
      </c>
      <c r="B2378" t="s">
        <v>13975</v>
      </c>
      <c r="C2378" t="s">
        <v>13976</v>
      </c>
      <c r="D2378" t="s">
        <v>13977</v>
      </c>
      <c r="E2378" t="s">
        <v>13978</v>
      </c>
      <c r="G2378" t="s">
        <v>1436</v>
      </c>
      <c r="H2378" t="s">
        <v>3942</v>
      </c>
      <c r="J2378" t="s">
        <v>3962</v>
      </c>
      <c r="K2378" t="s">
        <v>519</v>
      </c>
      <c r="M2378" t="s">
        <v>1297</v>
      </c>
      <c r="N2378" t="s">
        <v>539</v>
      </c>
      <c r="O2378" t="s">
        <v>1437</v>
      </c>
      <c r="P2378" t="s">
        <v>523</v>
      </c>
      <c r="Q2378" t="s">
        <v>1299</v>
      </c>
      <c r="R2378" t="s">
        <v>1300</v>
      </c>
      <c r="S2378" t="s">
        <v>1438</v>
      </c>
      <c r="T2378" t="s">
        <v>1235</v>
      </c>
      <c r="U2378">
        <v>169200</v>
      </c>
      <c r="V2378" t="s">
        <v>1436</v>
      </c>
      <c r="W2378" t="s">
        <v>1439</v>
      </c>
      <c r="X2378" t="s">
        <v>13979</v>
      </c>
      <c r="Y2378" t="s">
        <v>13978</v>
      </c>
      <c r="AA2378" t="s">
        <v>9347</v>
      </c>
      <c r="AB2378" t="s">
        <v>13976</v>
      </c>
      <c r="AE2378">
        <v>-37.376452389999997</v>
      </c>
      <c r="AF2378">
        <v>175.67149216999999</v>
      </c>
      <c r="AG2378">
        <v>40</v>
      </c>
      <c r="AH2378">
        <v>10</v>
      </c>
      <c r="AI2378">
        <v>3</v>
      </c>
      <c r="AJ2378">
        <v>5</v>
      </c>
      <c r="AK2378">
        <v>11</v>
      </c>
      <c r="AL2378">
        <v>11</v>
      </c>
      <c r="AM2378">
        <v>13</v>
      </c>
      <c r="AN2378">
        <v>1</v>
      </c>
      <c r="AO2378">
        <v>44</v>
      </c>
      <c r="AP2378">
        <v>31</v>
      </c>
      <c r="AQ2378">
        <v>20</v>
      </c>
      <c r="AR2378">
        <v>4</v>
      </c>
      <c r="AS2378">
        <v>3</v>
      </c>
      <c r="AT2378">
        <v>4</v>
      </c>
    </row>
    <row r="2379" spans="1:46">
      <c r="A2379">
        <v>46480</v>
      </c>
      <c r="B2379" t="s">
        <v>13980</v>
      </c>
      <c r="D2379" t="s">
        <v>13981</v>
      </c>
      <c r="E2379" t="s">
        <v>13982</v>
      </c>
      <c r="G2379" t="s">
        <v>1555</v>
      </c>
      <c r="H2379" t="s">
        <v>3942</v>
      </c>
      <c r="J2379" t="s">
        <v>3962</v>
      </c>
      <c r="K2379" t="s">
        <v>519</v>
      </c>
      <c r="M2379" t="s">
        <v>1297</v>
      </c>
      <c r="N2379" t="s">
        <v>521</v>
      </c>
      <c r="O2379" t="s">
        <v>1351</v>
      </c>
      <c r="P2379" t="s">
        <v>523</v>
      </c>
      <c r="Q2379" t="s">
        <v>1299</v>
      </c>
      <c r="R2379" t="s">
        <v>1300</v>
      </c>
      <c r="S2379" t="s">
        <v>1300</v>
      </c>
      <c r="T2379" t="s">
        <v>1235</v>
      </c>
      <c r="U2379">
        <v>171400</v>
      </c>
      <c r="V2379" t="s">
        <v>9525</v>
      </c>
      <c r="W2379" t="s">
        <v>1557</v>
      </c>
      <c r="X2379" t="s">
        <v>13983</v>
      </c>
      <c r="Y2379" t="s">
        <v>10558</v>
      </c>
      <c r="Z2379" t="s">
        <v>9369</v>
      </c>
      <c r="AA2379" t="s">
        <v>10559</v>
      </c>
      <c r="AB2379" t="s">
        <v>13984</v>
      </c>
      <c r="AE2379">
        <v>-37.558675989999998</v>
      </c>
      <c r="AF2379">
        <v>175.15034997000001</v>
      </c>
      <c r="AG2379">
        <v>35</v>
      </c>
      <c r="AH2379">
        <v>5</v>
      </c>
      <c r="AI2379">
        <v>0</v>
      </c>
      <c r="AJ2379">
        <v>0</v>
      </c>
      <c r="AK2379">
        <v>4</v>
      </c>
      <c r="AL2379">
        <v>14</v>
      </c>
      <c r="AM2379">
        <v>15</v>
      </c>
      <c r="AN2379">
        <v>0</v>
      </c>
      <c r="AO2379">
        <v>33</v>
      </c>
      <c r="AP2379">
        <v>6</v>
      </c>
      <c r="AQ2379">
        <v>30</v>
      </c>
      <c r="AR2379">
        <v>2</v>
      </c>
      <c r="AS2379">
        <v>1</v>
      </c>
      <c r="AT2379">
        <v>0</v>
      </c>
    </row>
    <row r="2380" spans="1:46">
      <c r="A2380">
        <v>46481</v>
      </c>
      <c r="B2380" t="s">
        <v>13985</v>
      </c>
      <c r="C2380" t="s">
        <v>8761</v>
      </c>
      <c r="D2380" t="s">
        <v>13805</v>
      </c>
      <c r="E2380" t="s">
        <v>13986</v>
      </c>
      <c r="F2380" t="s">
        <v>13807</v>
      </c>
      <c r="G2380" t="s">
        <v>652</v>
      </c>
      <c r="H2380" t="s">
        <v>4716</v>
      </c>
      <c r="J2380" t="s">
        <v>3962</v>
      </c>
      <c r="K2380" t="s">
        <v>519</v>
      </c>
      <c r="M2380" t="s">
        <v>520</v>
      </c>
      <c r="N2380" t="s">
        <v>539</v>
      </c>
      <c r="O2380" t="s">
        <v>829</v>
      </c>
      <c r="P2380" t="s">
        <v>654</v>
      </c>
      <c r="Q2380" t="s">
        <v>638</v>
      </c>
      <c r="R2380" t="s">
        <v>708</v>
      </c>
      <c r="S2380" t="s">
        <v>805</v>
      </c>
      <c r="T2380" t="s">
        <v>709</v>
      </c>
      <c r="U2380">
        <v>145900</v>
      </c>
      <c r="V2380" t="s">
        <v>13807</v>
      </c>
      <c r="W2380" t="s">
        <v>807</v>
      </c>
      <c r="X2380" t="s">
        <v>13808</v>
      </c>
      <c r="Y2380" t="s">
        <v>8763</v>
      </c>
      <c r="Z2380" t="s">
        <v>1313</v>
      </c>
      <c r="AA2380" t="s">
        <v>8511</v>
      </c>
      <c r="AE2380">
        <v>-36.907367010000002</v>
      </c>
      <c r="AF2380">
        <v>174.8147429</v>
      </c>
      <c r="AG2380">
        <v>80</v>
      </c>
      <c r="AH2380">
        <v>80</v>
      </c>
      <c r="AI2380">
        <v>3</v>
      </c>
      <c r="AJ2380">
        <v>3</v>
      </c>
      <c r="AK2380">
        <v>4</v>
      </c>
      <c r="AL2380">
        <v>4</v>
      </c>
      <c r="AM2380">
        <v>2</v>
      </c>
      <c r="AN2380">
        <v>0</v>
      </c>
      <c r="AO2380">
        <v>16</v>
      </c>
      <c r="AP2380">
        <v>7</v>
      </c>
      <c r="AQ2380">
        <v>4</v>
      </c>
      <c r="AR2380">
        <v>2</v>
      </c>
      <c r="AS2380">
        <v>5</v>
      </c>
      <c r="AT2380">
        <v>5</v>
      </c>
    </row>
    <row r="2381" spans="1:46">
      <c r="A2381">
        <v>46482</v>
      </c>
      <c r="B2381" t="s">
        <v>13987</v>
      </c>
      <c r="C2381" t="s">
        <v>13988</v>
      </c>
      <c r="E2381" t="s">
        <v>13989</v>
      </c>
      <c r="F2381" t="s">
        <v>737</v>
      </c>
      <c r="G2381" t="s">
        <v>652</v>
      </c>
      <c r="H2381" t="s">
        <v>3942</v>
      </c>
      <c r="J2381" t="s">
        <v>3962</v>
      </c>
      <c r="K2381" t="s">
        <v>519</v>
      </c>
      <c r="M2381" t="s">
        <v>520</v>
      </c>
      <c r="N2381" t="s">
        <v>571</v>
      </c>
      <c r="O2381" t="s">
        <v>738</v>
      </c>
      <c r="P2381" t="s">
        <v>654</v>
      </c>
      <c r="Q2381" t="s">
        <v>638</v>
      </c>
      <c r="R2381" t="s">
        <v>639</v>
      </c>
      <c r="S2381" t="s">
        <v>739</v>
      </c>
      <c r="T2381" t="s">
        <v>527</v>
      </c>
      <c r="U2381">
        <v>123100</v>
      </c>
      <c r="V2381" t="s">
        <v>886</v>
      </c>
      <c r="W2381" t="s">
        <v>741</v>
      </c>
      <c r="X2381" t="s">
        <v>12102</v>
      </c>
      <c r="Y2381" t="s">
        <v>4658</v>
      </c>
      <c r="Z2381" t="s">
        <v>958</v>
      </c>
      <c r="AA2381" t="s">
        <v>4659</v>
      </c>
      <c r="AB2381" t="s">
        <v>12103</v>
      </c>
      <c r="AE2381">
        <v>-36.775521990000001</v>
      </c>
      <c r="AF2381">
        <v>174.72135667000001</v>
      </c>
      <c r="AG2381">
        <v>60</v>
      </c>
      <c r="AH2381">
        <v>12</v>
      </c>
      <c r="AI2381">
        <v>3</v>
      </c>
      <c r="AJ2381">
        <v>11</v>
      </c>
      <c r="AK2381">
        <v>11</v>
      </c>
      <c r="AL2381">
        <v>9</v>
      </c>
      <c r="AM2381">
        <v>7</v>
      </c>
      <c r="AN2381">
        <v>1</v>
      </c>
      <c r="AO2381">
        <v>42</v>
      </c>
      <c r="AP2381">
        <v>23</v>
      </c>
      <c r="AQ2381">
        <v>4</v>
      </c>
      <c r="AR2381">
        <v>3</v>
      </c>
      <c r="AS2381">
        <v>19</v>
      </c>
      <c r="AT2381">
        <v>3</v>
      </c>
    </row>
    <row r="2382" spans="1:46">
      <c r="A2382">
        <v>46491</v>
      </c>
      <c r="B2382" t="s">
        <v>13990</v>
      </c>
      <c r="C2382" t="s">
        <v>13991</v>
      </c>
      <c r="D2382" t="s">
        <v>13992</v>
      </c>
      <c r="E2382" t="s">
        <v>13993</v>
      </c>
      <c r="F2382" t="s">
        <v>975</v>
      </c>
      <c r="G2382" t="s">
        <v>652</v>
      </c>
      <c r="H2382" t="s">
        <v>3942</v>
      </c>
      <c r="J2382" t="s">
        <v>3962</v>
      </c>
      <c r="K2382" t="s">
        <v>519</v>
      </c>
      <c r="M2382" t="s">
        <v>520</v>
      </c>
      <c r="N2382" t="s">
        <v>557</v>
      </c>
      <c r="O2382" t="s">
        <v>848</v>
      </c>
      <c r="P2382" t="s">
        <v>654</v>
      </c>
      <c r="Q2382" t="s">
        <v>638</v>
      </c>
      <c r="R2382" t="s">
        <v>729</v>
      </c>
      <c r="S2382" t="s">
        <v>849</v>
      </c>
      <c r="T2382" t="s">
        <v>709</v>
      </c>
      <c r="U2382">
        <v>146800</v>
      </c>
      <c r="V2382" t="s">
        <v>4943</v>
      </c>
      <c r="W2382" t="s">
        <v>732</v>
      </c>
      <c r="X2382" t="s">
        <v>13994</v>
      </c>
      <c r="Y2382" t="s">
        <v>13995</v>
      </c>
      <c r="Z2382" t="s">
        <v>1146</v>
      </c>
      <c r="AA2382" t="s">
        <v>4414</v>
      </c>
      <c r="AE2382">
        <v>-36.94443691</v>
      </c>
      <c r="AF2382">
        <v>174.79514126999999</v>
      </c>
      <c r="AG2382">
        <v>80</v>
      </c>
      <c r="AH2382">
        <v>30</v>
      </c>
      <c r="AI2382">
        <v>3</v>
      </c>
      <c r="AJ2382">
        <v>9</v>
      </c>
      <c r="AK2382">
        <v>14</v>
      </c>
      <c r="AL2382">
        <v>17</v>
      </c>
      <c r="AM2382">
        <v>12</v>
      </c>
      <c r="AN2382">
        <v>1</v>
      </c>
      <c r="AO2382">
        <v>56</v>
      </c>
      <c r="AP2382">
        <v>12</v>
      </c>
      <c r="AQ2382">
        <v>16</v>
      </c>
      <c r="AR2382">
        <v>40</v>
      </c>
      <c r="AS2382">
        <v>12</v>
      </c>
      <c r="AT2382">
        <v>0</v>
      </c>
    </row>
    <row r="2383" spans="1:46">
      <c r="A2383">
        <v>46498</v>
      </c>
      <c r="B2383" t="s">
        <v>13996</v>
      </c>
      <c r="C2383" t="s">
        <v>13997</v>
      </c>
      <c r="D2383" t="s">
        <v>8035</v>
      </c>
      <c r="E2383" t="s">
        <v>13998</v>
      </c>
      <c r="F2383" t="s">
        <v>1072</v>
      </c>
      <c r="G2383" t="s">
        <v>652</v>
      </c>
      <c r="H2383" t="s">
        <v>3942</v>
      </c>
      <c r="J2383" t="s">
        <v>3962</v>
      </c>
      <c r="K2383" t="s">
        <v>519</v>
      </c>
      <c r="M2383" t="s">
        <v>520</v>
      </c>
      <c r="N2383" t="s">
        <v>727</v>
      </c>
      <c r="O2383" t="s">
        <v>848</v>
      </c>
      <c r="P2383" t="s">
        <v>654</v>
      </c>
      <c r="Q2383" t="s">
        <v>638</v>
      </c>
      <c r="R2383" t="s">
        <v>729</v>
      </c>
      <c r="S2383" t="s">
        <v>730</v>
      </c>
      <c r="T2383" t="s">
        <v>709</v>
      </c>
      <c r="U2383">
        <v>151900</v>
      </c>
      <c r="V2383" t="s">
        <v>1073</v>
      </c>
      <c r="W2383" t="s">
        <v>732</v>
      </c>
      <c r="X2383" t="s">
        <v>8037</v>
      </c>
      <c r="Y2383" t="s">
        <v>8038</v>
      </c>
      <c r="AA2383" t="s">
        <v>8039</v>
      </c>
      <c r="AB2383" t="s">
        <v>8040</v>
      </c>
      <c r="AE2383">
        <v>-36.954537190000003</v>
      </c>
      <c r="AF2383">
        <v>174.84903244</v>
      </c>
      <c r="AG2383">
        <v>64</v>
      </c>
      <c r="AH2383">
        <v>15</v>
      </c>
      <c r="AI2383">
        <v>4</v>
      </c>
      <c r="AJ2383">
        <v>6</v>
      </c>
      <c r="AK2383">
        <v>16</v>
      </c>
      <c r="AL2383">
        <v>14</v>
      </c>
      <c r="AM2383">
        <v>22</v>
      </c>
      <c r="AN2383">
        <v>1</v>
      </c>
      <c r="AO2383">
        <v>63</v>
      </c>
      <c r="AP2383">
        <v>5</v>
      </c>
      <c r="AQ2383">
        <v>5</v>
      </c>
      <c r="AR2383">
        <v>19</v>
      </c>
      <c r="AS2383">
        <v>40</v>
      </c>
      <c r="AT2383">
        <v>1</v>
      </c>
    </row>
    <row r="2384" spans="1:46">
      <c r="A2384">
        <v>46502</v>
      </c>
      <c r="B2384" t="s">
        <v>13999</v>
      </c>
      <c r="D2384" t="s">
        <v>14000</v>
      </c>
      <c r="E2384" t="s">
        <v>14001</v>
      </c>
      <c r="F2384" t="s">
        <v>1393</v>
      </c>
      <c r="G2384" t="s">
        <v>1296</v>
      </c>
      <c r="H2384" t="s">
        <v>3942</v>
      </c>
      <c r="J2384" t="s">
        <v>3962</v>
      </c>
      <c r="K2384" t="s">
        <v>519</v>
      </c>
      <c r="M2384" t="s">
        <v>1297</v>
      </c>
      <c r="N2384" t="s">
        <v>571</v>
      </c>
      <c r="O2384" t="s">
        <v>1298</v>
      </c>
      <c r="P2384" t="s">
        <v>654</v>
      </c>
      <c r="Q2384" t="s">
        <v>1299</v>
      </c>
      <c r="R2384" t="s">
        <v>1300</v>
      </c>
      <c r="S2384" t="s">
        <v>1301</v>
      </c>
      <c r="T2384" t="s">
        <v>1235</v>
      </c>
      <c r="U2384">
        <v>179502</v>
      </c>
      <c r="V2384" t="s">
        <v>1363</v>
      </c>
      <c r="W2384" t="s">
        <v>1303</v>
      </c>
      <c r="X2384" t="s">
        <v>14002</v>
      </c>
      <c r="Y2384" t="s">
        <v>14001</v>
      </c>
      <c r="Z2384" t="s">
        <v>1393</v>
      </c>
      <c r="AA2384" t="s">
        <v>8998</v>
      </c>
      <c r="AB2384" t="s">
        <v>14003</v>
      </c>
      <c r="AE2384">
        <v>-37.803148729999997</v>
      </c>
      <c r="AF2384">
        <v>175.28174730000001</v>
      </c>
      <c r="AG2384">
        <v>42</v>
      </c>
      <c r="AH2384">
        <v>12</v>
      </c>
      <c r="AI2384">
        <v>0</v>
      </c>
      <c r="AJ2384">
        <v>3</v>
      </c>
      <c r="AK2384">
        <v>13</v>
      </c>
      <c r="AL2384">
        <v>13</v>
      </c>
      <c r="AM2384">
        <v>14</v>
      </c>
      <c r="AN2384">
        <v>1</v>
      </c>
      <c r="AO2384">
        <v>44</v>
      </c>
      <c r="AP2384">
        <v>13</v>
      </c>
      <c r="AQ2384">
        <v>2</v>
      </c>
      <c r="AR2384">
        <v>2</v>
      </c>
      <c r="AS2384">
        <v>30</v>
      </c>
      <c r="AT2384">
        <v>1</v>
      </c>
    </row>
    <row r="2385" spans="1:46">
      <c r="A2385">
        <v>46507</v>
      </c>
      <c r="B2385" t="s">
        <v>14004</v>
      </c>
      <c r="C2385" t="s">
        <v>14005</v>
      </c>
      <c r="D2385" t="s">
        <v>9113</v>
      </c>
      <c r="E2385" t="s">
        <v>14006</v>
      </c>
      <c r="F2385" t="s">
        <v>1345</v>
      </c>
      <c r="G2385" t="s">
        <v>1296</v>
      </c>
      <c r="H2385" t="s">
        <v>3942</v>
      </c>
      <c r="J2385" t="s">
        <v>3962</v>
      </c>
      <c r="K2385" t="s">
        <v>519</v>
      </c>
      <c r="M2385" t="s">
        <v>1297</v>
      </c>
      <c r="N2385" t="s">
        <v>557</v>
      </c>
      <c r="O2385" t="s">
        <v>1298</v>
      </c>
      <c r="P2385" t="s">
        <v>654</v>
      </c>
      <c r="Q2385" t="s">
        <v>1299</v>
      </c>
      <c r="R2385" t="s">
        <v>1300</v>
      </c>
      <c r="S2385" t="s">
        <v>1301</v>
      </c>
      <c r="T2385" t="s">
        <v>1235</v>
      </c>
      <c r="U2385">
        <v>178901</v>
      </c>
      <c r="V2385" t="s">
        <v>8352</v>
      </c>
      <c r="W2385" t="s">
        <v>1303</v>
      </c>
      <c r="X2385" t="s">
        <v>9115</v>
      </c>
      <c r="Y2385" t="s">
        <v>9116</v>
      </c>
      <c r="Z2385" t="s">
        <v>4125</v>
      </c>
      <c r="AA2385" t="s">
        <v>4564</v>
      </c>
      <c r="AB2385" t="s">
        <v>9117</v>
      </c>
      <c r="AE2385">
        <v>-37.78520322</v>
      </c>
      <c r="AF2385">
        <v>175.26526061000001</v>
      </c>
      <c r="AG2385">
        <v>100</v>
      </c>
      <c r="AH2385">
        <v>25</v>
      </c>
      <c r="AI2385">
        <v>5</v>
      </c>
      <c r="AJ2385">
        <v>9</v>
      </c>
      <c r="AK2385">
        <v>18</v>
      </c>
      <c r="AL2385">
        <v>23</v>
      </c>
      <c r="AM2385">
        <v>17</v>
      </c>
      <c r="AN2385">
        <v>0</v>
      </c>
      <c r="AO2385">
        <v>72</v>
      </c>
      <c r="AP2385">
        <v>11</v>
      </c>
      <c r="AQ2385">
        <v>13</v>
      </c>
      <c r="AR2385">
        <v>9</v>
      </c>
      <c r="AS2385">
        <v>47</v>
      </c>
      <c r="AT2385">
        <v>3</v>
      </c>
    </row>
    <row r="2386" spans="1:46">
      <c r="A2386">
        <v>46510</v>
      </c>
      <c r="B2386" t="s">
        <v>14007</v>
      </c>
      <c r="C2386" t="s">
        <v>14008</v>
      </c>
      <c r="E2386" t="s">
        <v>14009</v>
      </c>
      <c r="G2386" t="s">
        <v>3811</v>
      </c>
      <c r="H2386" t="s">
        <v>3942</v>
      </c>
      <c r="J2386" t="s">
        <v>3962</v>
      </c>
      <c r="K2386" t="s">
        <v>519</v>
      </c>
      <c r="M2386" t="s">
        <v>520</v>
      </c>
      <c r="N2386" t="s">
        <v>521</v>
      </c>
      <c r="O2386" t="s">
        <v>1351</v>
      </c>
      <c r="P2386" t="s">
        <v>523</v>
      </c>
      <c r="Q2386" t="s">
        <v>1299</v>
      </c>
      <c r="R2386" t="s">
        <v>729</v>
      </c>
      <c r="S2386" t="s">
        <v>1246</v>
      </c>
      <c r="T2386" t="s">
        <v>1235</v>
      </c>
      <c r="U2386">
        <v>170300</v>
      </c>
      <c r="V2386" t="s">
        <v>3812</v>
      </c>
      <c r="W2386" t="s">
        <v>3813</v>
      </c>
      <c r="X2386" t="s">
        <v>14010</v>
      </c>
      <c r="Y2386" t="s">
        <v>14011</v>
      </c>
      <c r="Z2386" t="s">
        <v>836</v>
      </c>
      <c r="AA2386" t="s">
        <v>3991</v>
      </c>
      <c r="AE2386">
        <v>-37.265233629999997</v>
      </c>
      <c r="AF2386">
        <v>174.94345281</v>
      </c>
      <c r="AG2386">
        <v>45</v>
      </c>
      <c r="AH2386">
        <v>0</v>
      </c>
      <c r="AI2386">
        <v>0</v>
      </c>
      <c r="AJ2386">
        <v>0</v>
      </c>
      <c r="AK2386">
        <v>4</v>
      </c>
      <c r="AL2386">
        <v>12</v>
      </c>
      <c r="AM2386">
        <v>13</v>
      </c>
      <c r="AN2386">
        <v>2</v>
      </c>
      <c r="AO2386">
        <v>31</v>
      </c>
      <c r="AP2386">
        <v>5</v>
      </c>
      <c r="AQ2386">
        <v>10</v>
      </c>
      <c r="AR2386">
        <v>10</v>
      </c>
      <c r="AS2386">
        <v>10</v>
      </c>
      <c r="AT2386">
        <v>1</v>
      </c>
    </row>
    <row r="2387" spans="1:46">
      <c r="A2387">
        <v>46515</v>
      </c>
      <c r="B2387" t="s">
        <v>14012</v>
      </c>
      <c r="C2387" t="s">
        <v>8761</v>
      </c>
      <c r="E2387" t="s">
        <v>14013</v>
      </c>
      <c r="G2387" t="s">
        <v>1598</v>
      </c>
      <c r="H2387" t="s">
        <v>4716</v>
      </c>
      <c r="J2387" t="s">
        <v>3962</v>
      </c>
      <c r="K2387" t="s">
        <v>519</v>
      </c>
      <c r="M2387" t="s">
        <v>1297</v>
      </c>
      <c r="N2387" t="s">
        <v>557</v>
      </c>
      <c r="O2387" t="s">
        <v>1698</v>
      </c>
      <c r="P2387" t="s">
        <v>654</v>
      </c>
      <c r="Q2387" t="s">
        <v>1471</v>
      </c>
      <c r="R2387" t="s">
        <v>1472</v>
      </c>
      <c r="S2387" t="s">
        <v>1598</v>
      </c>
      <c r="T2387" t="s">
        <v>1474</v>
      </c>
      <c r="U2387">
        <v>194801</v>
      </c>
      <c r="V2387" t="s">
        <v>3722</v>
      </c>
      <c r="W2387" t="s">
        <v>3724</v>
      </c>
      <c r="X2387" t="s">
        <v>14014</v>
      </c>
      <c r="Y2387" t="s">
        <v>8763</v>
      </c>
      <c r="Z2387" t="s">
        <v>1313</v>
      </c>
      <c r="AA2387" t="s">
        <v>8511</v>
      </c>
      <c r="AB2387" t="s">
        <v>8761</v>
      </c>
      <c r="AE2387">
        <v>-37.707339310000002</v>
      </c>
      <c r="AF2387">
        <v>176.16025662999999</v>
      </c>
      <c r="AG2387">
        <v>80</v>
      </c>
      <c r="AH2387">
        <v>80</v>
      </c>
      <c r="AI2387">
        <v>3</v>
      </c>
      <c r="AJ2387">
        <v>10</v>
      </c>
      <c r="AK2387">
        <v>12</v>
      </c>
      <c r="AL2387">
        <v>10</v>
      </c>
      <c r="AM2387">
        <v>9</v>
      </c>
      <c r="AN2387">
        <v>2</v>
      </c>
      <c r="AO2387">
        <v>46</v>
      </c>
      <c r="AP2387">
        <v>38</v>
      </c>
      <c r="AQ2387">
        <v>15</v>
      </c>
      <c r="AR2387">
        <v>3</v>
      </c>
      <c r="AS2387">
        <v>3</v>
      </c>
      <c r="AT2387">
        <v>1</v>
      </c>
    </row>
    <row r="2388" spans="1:46">
      <c r="A2388">
        <v>46521</v>
      </c>
      <c r="B2388" t="s">
        <v>14015</v>
      </c>
      <c r="C2388" t="s">
        <v>14016</v>
      </c>
      <c r="E2388" t="s">
        <v>14017</v>
      </c>
      <c r="G2388" t="s">
        <v>3248</v>
      </c>
      <c r="H2388" t="s">
        <v>3942</v>
      </c>
      <c r="I2388" t="s">
        <v>4065</v>
      </c>
      <c r="J2388" t="s">
        <v>3962</v>
      </c>
      <c r="K2388" t="s">
        <v>519</v>
      </c>
      <c r="M2388" t="s">
        <v>2287</v>
      </c>
      <c r="N2388" t="s">
        <v>4519</v>
      </c>
      <c r="O2388" t="s">
        <v>3249</v>
      </c>
      <c r="P2388" t="s">
        <v>523</v>
      </c>
      <c r="Q2388" t="s">
        <v>2943</v>
      </c>
      <c r="R2388" t="s">
        <v>2944</v>
      </c>
      <c r="S2388" t="s">
        <v>3250</v>
      </c>
      <c r="T2388" t="s">
        <v>2448</v>
      </c>
      <c r="U2388">
        <v>338901</v>
      </c>
      <c r="V2388" t="s">
        <v>3248</v>
      </c>
      <c r="W2388" t="s">
        <v>3251</v>
      </c>
      <c r="X2388" t="s">
        <v>14018</v>
      </c>
      <c r="Y2388" t="s">
        <v>14017</v>
      </c>
      <c r="AA2388" t="s">
        <v>14019</v>
      </c>
      <c r="AB2388" t="s">
        <v>14020</v>
      </c>
      <c r="AC2388">
        <v>99053</v>
      </c>
      <c r="AD2388" t="s">
        <v>3256</v>
      </c>
      <c r="AE2388">
        <v>-44.097902619999999</v>
      </c>
      <c r="AF2388">
        <v>171.23838161</v>
      </c>
      <c r="AG2388">
        <v>30</v>
      </c>
      <c r="AH2388">
        <v>0</v>
      </c>
      <c r="AI2388">
        <v>0</v>
      </c>
      <c r="AJ2388">
        <v>0</v>
      </c>
      <c r="AK2388">
        <v>6</v>
      </c>
      <c r="AL2388">
        <v>7</v>
      </c>
      <c r="AM2388">
        <v>6</v>
      </c>
      <c r="AN2388">
        <v>1</v>
      </c>
      <c r="AO2388">
        <v>20</v>
      </c>
      <c r="AP2388">
        <v>13</v>
      </c>
      <c r="AQ2388">
        <v>1</v>
      </c>
      <c r="AR2388">
        <v>0</v>
      </c>
      <c r="AS2388">
        <v>0</v>
      </c>
      <c r="AT2388">
        <v>9</v>
      </c>
    </row>
    <row r="2389" spans="1:46">
      <c r="A2389">
        <v>46522</v>
      </c>
      <c r="B2389" t="s">
        <v>14021</v>
      </c>
      <c r="C2389" t="s">
        <v>14022</v>
      </c>
      <c r="D2389" t="s">
        <v>14023</v>
      </c>
      <c r="E2389" t="s">
        <v>14024</v>
      </c>
      <c r="F2389" t="s">
        <v>919</v>
      </c>
      <c r="G2389" t="s">
        <v>652</v>
      </c>
      <c r="H2389" t="s">
        <v>517</v>
      </c>
      <c r="J2389" t="s">
        <v>518</v>
      </c>
      <c r="K2389" t="s">
        <v>519</v>
      </c>
      <c r="M2389" t="s">
        <v>520</v>
      </c>
      <c r="N2389" t="s">
        <v>571</v>
      </c>
      <c r="O2389" t="s">
        <v>1168</v>
      </c>
      <c r="P2389" t="s">
        <v>654</v>
      </c>
      <c r="Q2389" t="s">
        <v>638</v>
      </c>
      <c r="R2389" t="s">
        <v>639</v>
      </c>
      <c r="S2389" t="s">
        <v>739</v>
      </c>
      <c r="T2389" t="s">
        <v>527</v>
      </c>
      <c r="U2389">
        <v>120201</v>
      </c>
      <c r="V2389" t="s">
        <v>14025</v>
      </c>
      <c r="W2389" t="s">
        <v>657</v>
      </c>
      <c r="X2389" t="s">
        <v>658</v>
      </c>
      <c r="Y2389" t="s">
        <v>659</v>
      </c>
      <c r="Z2389" t="s">
        <v>660</v>
      </c>
      <c r="AA2389" t="s">
        <v>661</v>
      </c>
      <c r="AC2389">
        <v>99129</v>
      </c>
      <c r="AD2389" t="s">
        <v>921</v>
      </c>
      <c r="AE2389">
        <v>-36.792324620000002</v>
      </c>
      <c r="AF2389">
        <v>174.6606974</v>
      </c>
      <c r="AG2389">
        <v>80</v>
      </c>
      <c r="AH2389">
        <v>20</v>
      </c>
      <c r="AI2389">
        <v>1</v>
      </c>
      <c r="AJ2389">
        <v>13</v>
      </c>
      <c r="AK2389">
        <v>14</v>
      </c>
      <c r="AL2389">
        <v>29</v>
      </c>
      <c r="AM2389">
        <v>25</v>
      </c>
      <c r="AN2389">
        <v>1</v>
      </c>
      <c r="AO2389">
        <v>83</v>
      </c>
      <c r="AP2389">
        <v>54</v>
      </c>
      <c r="AQ2389">
        <v>1</v>
      </c>
      <c r="AR2389">
        <v>3</v>
      </c>
      <c r="AS2389">
        <v>36</v>
      </c>
      <c r="AT2389">
        <v>5</v>
      </c>
    </row>
    <row r="2390" spans="1:46">
      <c r="A2390">
        <v>46525</v>
      </c>
      <c r="B2390" t="s">
        <v>14026</v>
      </c>
      <c r="C2390" t="s">
        <v>14027</v>
      </c>
      <c r="D2390" t="s">
        <v>14028</v>
      </c>
      <c r="E2390" t="s">
        <v>14029</v>
      </c>
      <c r="F2390" t="s">
        <v>7155</v>
      </c>
      <c r="G2390" t="s">
        <v>652</v>
      </c>
      <c r="H2390" t="s">
        <v>3942</v>
      </c>
      <c r="J2390" t="s">
        <v>3962</v>
      </c>
      <c r="K2390" t="s">
        <v>519</v>
      </c>
      <c r="M2390" t="s">
        <v>520</v>
      </c>
      <c r="N2390" t="s">
        <v>571</v>
      </c>
      <c r="O2390" t="s">
        <v>857</v>
      </c>
      <c r="P2390" t="s">
        <v>654</v>
      </c>
      <c r="Q2390" t="s">
        <v>638</v>
      </c>
      <c r="R2390" t="s">
        <v>708</v>
      </c>
      <c r="S2390" t="s">
        <v>858</v>
      </c>
      <c r="T2390" t="s">
        <v>709</v>
      </c>
      <c r="U2390">
        <v>133600</v>
      </c>
      <c r="V2390" t="s">
        <v>1012</v>
      </c>
      <c r="W2390" t="s">
        <v>860</v>
      </c>
      <c r="X2390" t="s">
        <v>14030</v>
      </c>
      <c r="Y2390" t="s">
        <v>14031</v>
      </c>
      <c r="Z2390" t="s">
        <v>769</v>
      </c>
      <c r="AA2390" t="s">
        <v>4333</v>
      </c>
      <c r="AB2390" t="s">
        <v>14032</v>
      </c>
      <c r="AE2390">
        <v>-36.869007570000001</v>
      </c>
      <c r="AF2390">
        <v>174.73124437999999</v>
      </c>
      <c r="AG2390">
        <v>30</v>
      </c>
      <c r="AH2390">
        <v>0</v>
      </c>
      <c r="AI2390">
        <v>0</v>
      </c>
      <c r="AJ2390">
        <v>0</v>
      </c>
      <c r="AK2390">
        <v>10</v>
      </c>
      <c r="AL2390">
        <v>11</v>
      </c>
      <c r="AM2390">
        <v>10</v>
      </c>
      <c r="AN2390">
        <v>1</v>
      </c>
      <c r="AO2390">
        <v>32</v>
      </c>
      <c r="AP2390">
        <v>30</v>
      </c>
      <c r="AQ2390">
        <v>4</v>
      </c>
      <c r="AR2390">
        <v>2</v>
      </c>
      <c r="AS2390">
        <v>1</v>
      </c>
      <c r="AT2390">
        <v>1</v>
      </c>
    </row>
    <row r="2391" spans="1:46">
      <c r="A2391">
        <v>46531</v>
      </c>
      <c r="B2391" t="s">
        <v>14033</v>
      </c>
      <c r="C2391" t="s">
        <v>14034</v>
      </c>
      <c r="D2391" t="s">
        <v>6813</v>
      </c>
      <c r="E2391" t="s">
        <v>14035</v>
      </c>
      <c r="F2391" t="s">
        <v>821</v>
      </c>
      <c r="G2391" t="s">
        <v>652</v>
      </c>
      <c r="H2391" t="s">
        <v>298</v>
      </c>
      <c r="J2391" t="s">
        <v>518</v>
      </c>
      <c r="K2391" t="s">
        <v>519</v>
      </c>
      <c r="M2391" t="s">
        <v>520</v>
      </c>
      <c r="N2391" t="s">
        <v>571</v>
      </c>
      <c r="O2391" t="s">
        <v>804</v>
      </c>
      <c r="P2391" t="s">
        <v>654</v>
      </c>
      <c r="Q2391" t="s">
        <v>638</v>
      </c>
      <c r="R2391" t="s">
        <v>708</v>
      </c>
      <c r="S2391" t="s">
        <v>880</v>
      </c>
      <c r="T2391" t="s">
        <v>709</v>
      </c>
      <c r="U2391">
        <v>143100</v>
      </c>
      <c r="V2391" t="s">
        <v>6196</v>
      </c>
      <c r="W2391" t="s">
        <v>824</v>
      </c>
      <c r="X2391" t="s">
        <v>6816</v>
      </c>
      <c r="Y2391" t="s">
        <v>5187</v>
      </c>
      <c r="AA2391" t="s">
        <v>5188</v>
      </c>
      <c r="AB2391" t="s">
        <v>6817</v>
      </c>
      <c r="AE2391">
        <v>-36.880928240000003</v>
      </c>
      <c r="AF2391">
        <v>174.81239855000001</v>
      </c>
      <c r="AG2391">
        <v>25</v>
      </c>
      <c r="AH2391">
        <v>15</v>
      </c>
      <c r="AI2391">
        <v>24</v>
      </c>
      <c r="AJ2391">
        <v>7</v>
      </c>
      <c r="AK2391">
        <v>11</v>
      </c>
      <c r="AL2391">
        <v>9</v>
      </c>
      <c r="AM2391">
        <v>2</v>
      </c>
      <c r="AN2391">
        <v>0</v>
      </c>
      <c r="AO2391">
        <v>53</v>
      </c>
      <c r="AP2391">
        <v>41</v>
      </c>
      <c r="AQ2391">
        <v>4</v>
      </c>
      <c r="AR2391">
        <v>3</v>
      </c>
      <c r="AS2391">
        <v>15</v>
      </c>
      <c r="AT2391">
        <v>6</v>
      </c>
    </row>
    <row r="2392" spans="1:46">
      <c r="A2392">
        <v>46534</v>
      </c>
      <c r="B2392" t="s">
        <v>14036</v>
      </c>
      <c r="C2392" t="s">
        <v>14037</v>
      </c>
      <c r="E2392" t="s">
        <v>14038</v>
      </c>
      <c r="G2392" t="s">
        <v>1538</v>
      </c>
      <c r="H2392" t="s">
        <v>3942</v>
      </c>
      <c r="J2392" t="s">
        <v>518</v>
      </c>
      <c r="K2392" t="s">
        <v>519</v>
      </c>
      <c r="M2392" t="s">
        <v>1297</v>
      </c>
      <c r="N2392" t="s">
        <v>571</v>
      </c>
      <c r="O2392" t="s">
        <v>1319</v>
      </c>
      <c r="P2392" t="s">
        <v>1262</v>
      </c>
      <c r="Q2392" t="s">
        <v>1299</v>
      </c>
      <c r="R2392" t="s">
        <v>1300</v>
      </c>
      <c r="S2392" t="s">
        <v>1417</v>
      </c>
      <c r="T2392" t="s">
        <v>1235</v>
      </c>
      <c r="U2392">
        <v>184400</v>
      </c>
      <c r="V2392" t="s">
        <v>1539</v>
      </c>
      <c r="W2392" t="s">
        <v>1540</v>
      </c>
      <c r="X2392" t="s">
        <v>14039</v>
      </c>
      <c r="Y2392" t="s">
        <v>14040</v>
      </c>
      <c r="Z2392" t="s">
        <v>1422</v>
      </c>
      <c r="AA2392" t="s">
        <v>14041</v>
      </c>
      <c r="AB2392" t="s">
        <v>14042</v>
      </c>
      <c r="AE2392">
        <v>-38.020834809999997</v>
      </c>
      <c r="AF2392">
        <v>175.33080858</v>
      </c>
      <c r="AG2392">
        <v>40</v>
      </c>
      <c r="AH2392">
        <v>0</v>
      </c>
      <c r="AI2392">
        <v>0</v>
      </c>
      <c r="AJ2392">
        <v>0</v>
      </c>
      <c r="AK2392">
        <v>3</v>
      </c>
      <c r="AL2392">
        <v>16</v>
      </c>
      <c r="AM2392">
        <v>10</v>
      </c>
      <c r="AN2392">
        <v>4</v>
      </c>
      <c r="AO2392">
        <v>33</v>
      </c>
      <c r="AP2392">
        <v>27</v>
      </c>
      <c r="AQ2392">
        <v>2</v>
      </c>
      <c r="AR2392">
        <v>1</v>
      </c>
      <c r="AS2392">
        <v>2</v>
      </c>
      <c r="AT2392">
        <v>3</v>
      </c>
    </row>
    <row r="2393" spans="1:46">
      <c r="A2393">
        <v>46535</v>
      </c>
      <c r="B2393" t="s">
        <v>14043</v>
      </c>
      <c r="E2393" t="s">
        <v>14044</v>
      </c>
      <c r="F2393" t="s">
        <v>3722</v>
      </c>
      <c r="G2393" t="s">
        <v>1598</v>
      </c>
      <c r="H2393" t="s">
        <v>3942</v>
      </c>
      <c r="I2393" t="s">
        <v>4065</v>
      </c>
      <c r="J2393" t="s">
        <v>3962</v>
      </c>
      <c r="K2393" t="s">
        <v>519</v>
      </c>
      <c r="M2393" t="s">
        <v>1297</v>
      </c>
      <c r="N2393" t="s">
        <v>571</v>
      </c>
      <c r="O2393" t="s">
        <v>1698</v>
      </c>
      <c r="P2393" t="s">
        <v>654</v>
      </c>
      <c r="Q2393" t="s">
        <v>1471</v>
      </c>
      <c r="R2393" t="s">
        <v>1472</v>
      </c>
      <c r="S2393" t="s">
        <v>1598</v>
      </c>
      <c r="T2393" t="s">
        <v>1474</v>
      </c>
      <c r="U2393">
        <v>194801</v>
      </c>
      <c r="V2393" t="s">
        <v>3722</v>
      </c>
      <c r="W2393" t="s">
        <v>3724</v>
      </c>
      <c r="X2393" t="s">
        <v>12633</v>
      </c>
      <c r="Y2393" t="s">
        <v>12632</v>
      </c>
      <c r="AA2393" t="s">
        <v>8884</v>
      </c>
      <c r="AB2393" t="s">
        <v>12634</v>
      </c>
      <c r="AC2393">
        <v>99085</v>
      </c>
      <c r="AD2393" t="s">
        <v>1718</v>
      </c>
      <c r="AE2393">
        <v>-37.704994509999999</v>
      </c>
      <c r="AF2393">
        <v>176.15524323</v>
      </c>
      <c r="AG2393">
        <v>50</v>
      </c>
      <c r="AH2393">
        <v>10</v>
      </c>
      <c r="AI2393">
        <v>0</v>
      </c>
      <c r="AJ2393">
        <v>5</v>
      </c>
      <c r="AK2393">
        <v>11</v>
      </c>
      <c r="AL2393">
        <v>9</v>
      </c>
      <c r="AM2393">
        <v>16</v>
      </c>
      <c r="AN2393">
        <v>0</v>
      </c>
      <c r="AO2393">
        <v>41</v>
      </c>
      <c r="AP2393">
        <v>14</v>
      </c>
      <c r="AQ2393">
        <v>6</v>
      </c>
      <c r="AR2393">
        <v>1</v>
      </c>
      <c r="AS2393">
        <v>21</v>
      </c>
      <c r="AT2393">
        <v>2</v>
      </c>
    </row>
    <row r="2394" spans="1:46">
      <c r="A2394">
        <v>46536</v>
      </c>
      <c r="B2394" t="s">
        <v>14045</v>
      </c>
      <c r="C2394" t="s">
        <v>14046</v>
      </c>
      <c r="D2394" t="s">
        <v>14047</v>
      </c>
      <c r="E2394" t="s">
        <v>14048</v>
      </c>
      <c r="F2394" t="s">
        <v>1072</v>
      </c>
      <c r="G2394" t="s">
        <v>652</v>
      </c>
      <c r="H2394" t="s">
        <v>4716</v>
      </c>
      <c r="I2394" t="s">
        <v>4253</v>
      </c>
      <c r="J2394" t="s">
        <v>3962</v>
      </c>
      <c r="K2394" t="s">
        <v>519</v>
      </c>
      <c r="M2394" t="s">
        <v>520</v>
      </c>
      <c r="N2394" t="s">
        <v>727</v>
      </c>
      <c r="O2394" t="s">
        <v>848</v>
      </c>
      <c r="P2394" t="s">
        <v>654</v>
      </c>
      <c r="Q2394" t="s">
        <v>638</v>
      </c>
      <c r="R2394" t="s">
        <v>729</v>
      </c>
      <c r="S2394" t="s">
        <v>730</v>
      </c>
      <c r="T2394" t="s">
        <v>709</v>
      </c>
      <c r="U2394">
        <v>150101</v>
      </c>
      <c r="V2394" t="s">
        <v>4105</v>
      </c>
      <c r="W2394" t="s">
        <v>732</v>
      </c>
      <c r="X2394" t="s">
        <v>14049</v>
      </c>
      <c r="Y2394" t="s">
        <v>14050</v>
      </c>
      <c r="Z2394" t="s">
        <v>1072</v>
      </c>
      <c r="AA2394" t="s">
        <v>4886</v>
      </c>
      <c r="AB2394" t="s">
        <v>14051</v>
      </c>
      <c r="AE2394">
        <v>-36.941197299999999</v>
      </c>
      <c r="AF2394">
        <v>174.84170259999999</v>
      </c>
      <c r="AG2394">
        <v>40</v>
      </c>
      <c r="AH2394">
        <v>40</v>
      </c>
      <c r="AI2394">
        <v>0</v>
      </c>
      <c r="AJ2394">
        <v>4</v>
      </c>
      <c r="AK2394">
        <v>6</v>
      </c>
      <c r="AL2394">
        <v>8</v>
      </c>
      <c r="AM2394">
        <v>8</v>
      </c>
      <c r="AN2394">
        <v>1</v>
      </c>
      <c r="AO2394">
        <v>27</v>
      </c>
      <c r="AP2394">
        <v>1</v>
      </c>
      <c r="AQ2394">
        <v>3</v>
      </c>
      <c r="AR2394">
        <v>27</v>
      </c>
      <c r="AS2394">
        <v>0</v>
      </c>
      <c r="AT2394">
        <v>0</v>
      </c>
    </row>
    <row r="2395" spans="1:46">
      <c r="A2395">
        <v>46539</v>
      </c>
      <c r="B2395" t="s">
        <v>14052</v>
      </c>
      <c r="C2395" t="s">
        <v>14053</v>
      </c>
      <c r="D2395" t="s">
        <v>14054</v>
      </c>
      <c r="E2395" t="s">
        <v>14055</v>
      </c>
      <c r="F2395" t="s">
        <v>2223</v>
      </c>
      <c r="G2395" t="s">
        <v>2197</v>
      </c>
      <c r="H2395" t="s">
        <v>3942</v>
      </c>
      <c r="I2395" t="s">
        <v>13734</v>
      </c>
      <c r="J2395" t="s">
        <v>518</v>
      </c>
      <c r="K2395" t="s">
        <v>519</v>
      </c>
      <c r="M2395" t="s">
        <v>1297</v>
      </c>
      <c r="N2395" t="s">
        <v>727</v>
      </c>
      <c r="O2395" t="s">
        <v>2198</v>
      </c>
      <c r="P2395" t="s">
        <v>584</v>
      </c>
      <c r="Q2395" t="s">
        <v>2118</v>
      </c>
      <c r="R2395" t="s">
        <v>2084</v>
      </c>
      <c r="S2395" t="s">
        <v>2199</v>
      </c>
      <c r="T2395" t="s">
        <v>2085</v>
      </c>
      <c r="U2395">
        <v>209100</v>
      </c>
      <c r="V2395" t="s">
        <v>2235</v>
      </c>
      <c r="W2395" t="s">
        <v>2225</v>
      </c>
      <c r="X2395" t="s">
        <v>14056</v>
      </c>
      <c r="Y2395" t="s">
        <v>14057</v>
      </c>
      <c r="Z2395" t="s">
        <v>2138</v>
      </c>
      <c r="AA2395" t="s">
        <v>14058</v>
      </c>
      <c r="AB2395" t="s">
        <v>14059</v>
      </c>
      <c r="AC2395">
        <v>99135</v>
      </c>
      <c r="AD2395" t="s">
        <v>2226</v>
      </c>
      <c r="AE2395">
        <v>-39.621660489999996</v>
      </c>
      <c r="AF2395">
        <v>176.78876572999999</v>
      </c>
      <c r="AG2395">
        <v>30</v>
      </c>
      <c r="AH2395">
        <v>20</v>
      </c>
      <c r="AI2395">
        <v>3</v>
      </c>
      <c r="AJ2395">
        <v>6</v>
      </c>
      <c r="AK2395">
        <v>4</v>
      </c>
      <c r="AL2395">
        <v>2</v>
      </c>
      <c r="AM2395">
        <v>0</v>
      </c>
      <c r="AN2395">
        <v>0</v>
      </c>
      <c r="AO2395">
        <v>15</v>
      </c>
      <c r="AP2395">
        <v>5</v>
      </c>
      <c r="AQ2395">
        <v>15</v>
      </c>
      <c r="AR2395">
        <v>0</v>
      </c>
      <c r="AS2395">
        <v>0</v>
      </c>
      <c r="AT2395">
        <v>0</v>
      </c>
    </row>
    <row r="2396" spans="1:46">
      <c r="A2396">
        <v>46540</v>
      </c>
      <c r="B2396" t="s">
        <v>14060</v>
      </c>
      <c r="D2396" t="s">
        <v>12137</v>
      </c>
      <c r="E2396" t="s">
        <v>12138</v>
      </c>
      <c r="F2396" t="s">
        <v>2852</v>
      </c>
      <c r="G2396" t="s">
        <v>2853</v>
      </c>
      <c r="H2396" t="s">
        <v>4716</v>
      </c>
      <c r="J2396" t="s">
        <v>3962</v>
      </c>
      <c r="K2396" t="s">
        <v>519</v>
      </c>
      <c r="M2396" t="s">
        <v>2287</v>
      </c>
      <c r="N2396" t="s">
        <v>571</v>
      </c>
      <c r="O2396" t="s">
        <v>2854</v>
      </c>
      <c r="P2396" t="s">
        <v>584</v>
      </c>
      <c r="Q2396" t="s">
        <v>2855</v>
      </c>
      <c r="R2396" t="s">
        <v>2824</v>
      </c>
      <c r="S2396" t="s">
        <v>2853</v>
      </c>
      <c r="T2396" t="s">
        <v>2448</v>
      </c>
      <c r="U2396">
        <v>304400</v>
      </c>
      <c r="V2396" t="s">
        <v>2856</v>
      </c>
      <c r="W2396" t="s">
        <v>2857</v>
      </c>
      <c r="X2396" t="s">
        <v>14061</v>
      </c>
      <c r="Y2396" t="s">
        <v>12138</v>
      </c>
      <c r="Z2396" t="s">
        <v>2852</v>
      </c>
      <c r="AA2396" t="s">
        <v>11528</v>
      </c>
      <c r="AB2396" t="s">
        <v>14062</v>
      </c>
      <c r="AE2396">
        <v>-41.307479800000003</v>
      </c>
      <c r="AF2396">
        <v>173.22948880000001</v>
      </c>
      <c r="AG2396">
        <v>80</v>
      </c>
      <c r="AH2396">
        <v>80</v>
      </c>
      <c r="AI2396">
        <v>4</v>
      </c>
      <c r="AJ2396">
        <v>14</v>
      </c>
      <c r="AK2396">
        <v>20</v>
      </c>
      <c r="AL2396">
        <v>18</v>
      </c>
      <c r="AM2396">
        <v>7</v>
      </c>
      <c r="AN2396">
        <v>0</v>
      </c>
      <c r="AO2396">
        <v>63</v>
      </c>
      <c r="AP2396">
        <v>62</v>
      </c>
      <c r="AQ2396">
        <v>10</v>
      </c>
      <c r="AR2396">
        <v>0</v>
      </c>
      <c r="AS2396">
        <v>4</v>
      </c>
      <c r="AT2396">
        <v>3</v>
      </c>
    </row>
    <row r="2397" spans="1:46">
      <c r="A2397">
        <v>46543</v>
      </c>
      <c r="B2397" t="s">
        <v>14063</v>
      </c>
      <c r="C2397" t="s">
        <v>14064</v>
      </c>
      <c r="E2397" t="s">
        <v>14065</v>
      </c>
      <c r="G2397" t="s">
        <v>1538</v>
      </c>
      <c r="H2397" t="s">
        <v>3942</v>
      </c>
      <c r="I2397" t="s">
        <v>4065</v>
      </c>
      <c r="J2397" t="s">
        <v>3962</v>
      </c>
      <c r="K2397" t="s">
        <v>519</v>
      </c>
      <c r="M2397" t="s">
        <v>1297</v>
      </c>
      <c r="N2397" t="s">
        <v>571</v>
      </c>
      <c r="O2397" t="s">
        <v>1319</v>
      </c>
      <c r="P2397" t="s">
        <v>1262</v>
      </c>
      <c r="Q2397" t="s">
        <v>1299</v>
      </c>
      <c r="R2397" t="s">
        <v>1300</v>
      </c>
      <c r="S2397" t="s">
        <v>1417</v>
      </c>
      <c r="T2397" t="s">
        <v>1235</v>
      </c>
      <c r="U2397">
        <v>184000</v>
      </c>
      <c r="V2397" t="s">
        <v>9279</v>
      </c>
      <c r="W2397" t="s">
        <v>1540</v>
      </c>
      <c r="X2397" t="s">
        <v>14066</v>
      </c>
      <c r="Y2397" t="s">
        <v>14065</v>
      </c>
      <c r="AA2397" t="s">
        <v>9281</v>
      </c>
      <c r="AB2397" t="s">
        <v>14067</v>
      </c>
      <c r="AE2397">
        <v>-38.018441959999997</v>
      </c>
      <c r="AF2397">
        <v>175.31783081</v>
      </c>
      <c r="AG2397">
        <v>35</v>
      </c>
      <c r="AH2397">
        <v>8</v>
      </c>
      <c r="AI2397">
        <v>0</v>
      </c>
      <c r="AJ2397">
        <v>1</v>
      </c>
      <c r="AK2397">
        <v>7</v>
      </c>
      <c r="AL2397">
        <v>3</v>
      </c>
      <c r="AM2397">
        <v>10</v>
      </c>
      <c r="AN2397">
        <v>1</v>
      </c>
      <c r="AO2397">
        <v>22</v>
      </c>
      <c r="AP2397">
        <v>16</v>
      </c>
      <c r="AQ2397">
        <v>8</v>
      </c>
      <c r="AR2397">
        <v>4</v>
      </c>
      <c r="AS2397">
        <v>5</v>
      </c>
      <c r="AT2397">
        <v>1</v>
      </c>
    </row>
    <row r="2398" spans="1:46">
      <c r="A2398">
        <v>46549</v>
      </c>
      <c r="B2398" t="s">
        <v>14068</v>
      </c>
      <c r="D2398" t="s">
        <v>14069</v>
      </c>
      <c r="E2398" t="s">
        <v>14070</v>
      </c>
      <c r="F2398" t="s">
        <v>4203</v>
      </c>
      <c r="G2398" t="s">
        <v>652</v>
      </c>
      <c r="H2398" t="s">
        <v>3942</v>
      </c>
      <c r="J2398" t="s">
        <v>3962</v>
      </c>
      <c r="K2398" t="s">
        <v>519</v>
      </c>
      <c r="M2398" t="s">
        <v>520</v>
      </c>
      <c r="N2398" t="s">
        <v>521</v>
      </c>
      <c r="O2398" t="s">
        <v>1216</v>
      </c>
      <c r="P2398" t="s">
        <v>654</v>
      </c>
      <c r="Q2398" t="s">
        <v>638</v>
      </c>
      <c r="R2398" t="s">
        <v>729</v>
      </c>
      <c r="S2398" t="s">
        <v>1036</v>
      </c>
      <c r="T2398" t="s">
        <v>709</v>
      </c>
      <c r="U2398">
        <v>160202</v>
      </c>
      <c r="V2398" t="s">
        <v>7550</v>
      </c>
      <c r="W2398" t="s">
        <v>1219</v>
      </c>
      <c r="X2398" t="s">
        <v>4633</v>
      </c>
      <c r="Y2398" t="s">
        <v>11995</v>
      </c>
      <c r="Z2398" t="s">
        <v>770</v>
      </c>
      <c r="AA2398" t="s">
        <v>11996</v>
      </c>
      <c r="AB2398" t="s">
        <v>4636</v>
      </c>
      <c r="AE2398">
        <v>-37.038936900000003</v>
      </c>
      <c r="AF2398">
        <v>174.86701020000001</v>
      </c>
      <c r="AG2398">
        <v>45</v>
      </c>
      <c r="AH2398">
        <v>0</v>
      </c>
      <c r="AI2398">
        <v>0</v>
      </c>
      <c r="AJ2398">
        <v>0</v>
      </c>
      <c r="AK2398">
        <v>7</v>
      </c>
      <c r="AL2398">
        <v>15</v>
      </c>
      <c r="AM2398">
        <v>14</v>
      </c>
      <c r="AN2398">
        <v>2</v>
      </c>
      <c r="AO2398">
        <v>38</v>
      </c>
      <c r="AP2398">
        <v>2</v>
      </c>
      <c r="AQ2398">
        <v>14</v>
      </c>
      <c r="AR2398">
        <v>22</v>
      </c>
      <c r="AS2398">
        <v>11</v>
      </c>
      <c r="AT2398">
        <v>2</v>
      </c>
    </row>
    <row r="2399" spans="1:46">
      <c r="A2399">
        <v>46557</v>
      </c>
      <c r="B2399" t="s">
        <v>14071</v>
      </c>
      <c r="C2399" t="s">
        <v>14072</v>
      </c>
      <c r="D2399" t="s">
        <v>14073</v>
      </c>
      <c r="E2399" t="s">
        <v>14074</v>
      </c>
      <c r="G2399" t="s">
        <v>14075</v>
      </c>
      <c r="H2399" t="s">
        <v>3942</v>
      </c>
      <c r="J2399" t="s">
        <v>3962</v>
      </c>
      <c r="K2399" t="s">
        <v>519</v>
      </c>
      <c r="M2399" t="s">
        <v>2287</v>
      </c>
      <c r="N2399" t="s">
        <v>4519</v>
      </c>
      <c r="O2399" t="s">
        <v>2288</v>
      </c>
      <c r="P2399" t="s">
        <v>523</v>
      </c>
      <c r="Q2399" t="s">
        <v>1636</v>
      </c>
      <c r="R2399" t="s">
        <v>2289</v>
      </c>
      <c r="S2399" t="s">
        <v>2269</v>
      </c>
      <c r="T2399" t="s">
        <v>2085</v>
      </c>
      <c r="U2399">
        <v>233100</v>
      </c>
      <c r="V2399" t="s">
        <v>14075</v>
      </c>
      <c r="W2399" t="s">
        <v>2307</v>
      </c>
      <c r="X2399" t="s">
        <v>14076</v>
      </c>
      <c r="Y2399" t="s">
        <v>14077</v>
      </c>
      <c r="AA2399" t="s">
        <v>14078</v>
      </c>
      <c r="AC2399">
        <v>99071</v>
      </c>
      <c r="AD2399" t="s">
        <v>2308</v>
      </c>
      <c r="AE2399">
        <v>-40.337688280000002</v>
      </c>
      <c r="AF2399">
        <v>175.86988195000001</v>
      </c>
      <c r="AG2399">
        <v>40</v>
      </c>
      <c r="AH2399">
        <v>10</v>
      </c>
      <c r="AI2399">
        <v>1</v>
      </c>
      <c r="AJ2399">
        <v>5</v>
      </c>
      <c r="AK2399">
        <v>13</v>
      </c>
      <c r="AL2399">
        <v>11</v>
      </c>
      <c r="AM2399">
        <v>13</v>
      </c>
      <c r="AN2399">
        <v>0</v>
      </c>
      <c r="AO2399">
        <v>43</v>
      </c>
      <c r="AP2399">
        <v>33</v>
      </c>
      <c r="AQ2399">
        <v>22</v>
      </c>
      <c r="AR2399">
        <v>2</v>
      </c>
      <c r="AS2399">
        <v>0</v>
      </c>
      <c r="AT2399">
        <v>1</v>
      </c>
    </row>
    <row r="2400" spans="1:46">
      <c r="A2400">
        <v>46559</v>
      </c>
      <c r="B2400" t="s">
        <v>14079</v>
      </c>
      <c r="C2400" t="s">
        <v>14080</v>
      </c>
      <c r="D2400" t="s">
        <v>14081</v>
      </c>
      <c r="E2400" t="s">
        <v>14082</v>
      </c>
      <c r="F2400" t="s">
        <v>3987</v>
      </c>
      <c r="G2400" t="s">
        <v>652</v>
      </c>
      <c r="H2400" t="s">
        <v>3942</v>
      </c>
      <c r="J2400" t="s">
        <v>3962</v>
      </c>
      <c r="K2400" t="s">
        <v>519</v>
      </c>
      <c r="M2400" t="s">
        <v>520</v>
      </c>
      <c r="N2400" t="s">
        <v>571</v>
      </c>
      <c r="O2400" t="s">
        <v>1233</v>
      </c>
      <c r="P2400" t="s">
        <v>1262</v>
      </c>
      <c r="Q2400" t="s">
        <v>638</v>
      </c>
      <c r="R2400" t="s">
        <v>729</v>
      </c>
      <c r="S2400" t="s">
        <v>1246</v>
      </c>
      <c r="T2400" t="s">
        <v>1235</v>
      </c>
      <c r="U2400">
        <v>165301</v>
      </c>
      <c r="V2400" t="s">
        <v>7621</v>
      </c>
      <c r="W2400" t="s">
        <v>1237</v>
      </c>
      <c r="X2400" t="s">
        <v>14083</v>
      </c>
      <c r="Y2400" t="s">
        <v>14082</v>
      </c>
      <c r="AA2400" t="s">
        <v>5264</v>
      </c>
      <c r="AB2400" t="s">
        <v>14084</v>
      </c>
      <c r="AC2400">
        <v>99075</v>
      </c>
      <c r="AD2400" t="s">
        <v>1264</v>
      </c>
      <c r="AE2400">
        <v>-37.168951569999997</v>
      </c>
      <c r="AF2400">
        <v>174.89648688</v>
      </c>
      <c r="AG2400">
        <v>72</v>
      </c>
      <c r="AH2400">
        <v>20</v>
      </c>
      <c r="AI2400">
        <v>3</v>
      </c>
      <c r="AJ2400">
        <v>13</v>
      </c>
      <c r="AK2400">
        <v>15</v>
      </c>
      <c r="AL2400">
        <v>17</v>
      </c>
      <c r="AM2400">
        <v>17</v>
      </c>
      <c r="AN2400">
        <v>0</v>
      </c>
      <c r="AO2400">
        <v>65</v>
      </c>
      <c r="AP2400">
        <v>63</v>
      </c>
      <c r="AQ2400">
        <v>8</v>
      </c>
      <c r="AR2400">
        <v>2</v>
      </c>
      <c r="AS2400">
        <v>5</v>
      </c>
      <c r="AT2400">
        <v>2</v>
      </c>
    </row>
    <row r="2401" spans="1:46">
      <c r="A2401">
        <v>46561</v>
      </c>
      <c r="B2401" t="s">
        <v>14085</v>
      </c>
      <c r="C2401" t="s">
        <v>14086</v>
      </c>
      <c r="D2401" t="s">
        <v>14087</v>
      </c>
      <c r="E2401" t="s">
        <v>14088</v>
      </c>
      <c r="F2401" t="s">
        <v>1035</v>
      </c>
      <c r="G2401" t="s">
        <v>652</v>
      </c>
      <c r="H2401" t="s">
        <v>3942</v>
      </c>
      <c r="J2401" t="s">
        <v>3962</v>
      </c>
      <c r="K2401" t="s">
        <v>519</v>
      </c>
      <c r="M2401" t="s">
        <v>520</v>
      </c>
      <c r="N2401" t="s">
        <v>521</v>
      </c>
      <c r="O2401" t="s">
        <v>728</v>
      </c>
      <c r="P2401" t="s">
        <v>654</v>
      </c>
      <c r="Q2401" t="s">
        <v>638</v>
      </c>
      <c r="R2401" t="s">
        <v>729</v>
      </c>
      <c r="S2401" t="s">
        <v>849</v>
      </c>
      <c r="T2401" t="s">
        <v>709</v>
      </c>
      <c r="U2401">
        <v>154801</v>
      </c>
      <c r="V2401" t="s">
        <v>14089</v>
      </c>
      <c r="W2401" t="s">
        <v>732</v>
      </c>
      <c r="X2401" t="s">
        <v>12442</v>
      </c>
      <c r="Y2401" t="s">
        <v>12443</v>
      </c>
      <c r="AA2401" t="s">
        <v>14090</v>
      </c>
      <c r="AC2401">
        <v>99102</v>
      </c>
      <c r="AD2401" t="s">
        <v>1038</v>
      </c>
      <c r="AE2401">
        <v>-36.973534469999997</v>
      </c>
      <c r="AF2401">
        <v>174.83900244</v>
      </c>
      <c r="AG2401">
        <v>55</v>
      </c>
      <c r="AH2401">
        <v>0</v>
      </c>
      <c r="AI2401">
        <v>0</v>
      </c>
      <c r="AJ2401">
        <v>0</v>
      </c>
      <c r="AK2401">
        <v>9</v>
      </c>
      <c r="AL2401">
        <v>17</v>
      </c>
      <c r="AM2401">
        <v>15</v>
      </c>
      <c r="AN2401">
        <v>4</v>
      </c>
      <c r="AO2401">
        <v>45</v>
      </c>
      <c r="AP2401">
        <v>0</v>
      </c>
      <c r="AQ2401">
        <v>6</v>
      </c>
      <c r="AR2401">
        <v>17</v>
      </c>
      <c r="AS2401">
        <v>27</v>
      </c>
      <c r="AT2401">
        <v>0</v>
      </c>
    </row>
    <row r="2402" spans="1:46">
      <c r="A2402">
        <v>46567</v>
      </c>
      <c r="B2402" t="s">
        <v>14091</v>
      </c>
      <c r="C2402" t="s">
        <v>14092</v>
      </c>
      <c r="D2402" t="s">
        <v>14093</v>
      </c>
      <c r="E2402" t="s">
        <v>14094</v>
      </c>
      <c r="F2402" t="s">
        <v>3183</v>
      </c>
      <c r="G2402" t="s">
        <v>2941</v>
      </c>
      <c r="H2402" t="s">
        <v>3942</v>
      </c>
      <c r="J2402" t="s">
        <v>518</v>
      </c>
      <c r="K2402" t="s">
        <v>519</v>
      </c>
      <c r="M2402" t="s">
        <v>2287</v>
      </c>
      <c r="N2402" t="s">
        <v>571</v>
      </c>
      <c r="O2402" t="s">
        <v>2942</v>
      </c>
      <c r="P2402" t="s">
        <v>654</v>
      </c>
      <c r="Q2402" t="s">
        <v>2943</v>
      </c>
      <c r="R2402" t="s">
        <v>2944</v>
      </c>
      <c r="S2402" t="s">
        <v>2945</v>
      </c>
      <c r="T2402" t="s">
        <v>2448</v>
      </c>
      <c r="U2402">
        <v>322600</v>
      </c>
      <c r="V2402" t="s">
        <v>14095</v>
      </c>
      <c r="W2402" t="s">
        <v>2999</v>
      </c>
      <c r="X2402" t="s">
        <v>10801</v>
      </c>
      <c r="Y2402" t="s">
        <v>3944</v>
      </c>
      <c r="Z2402" t="s">
        <v>3945</v>
      </c>
      <c r="AA2402" t="s">
        <v>3946</v>
      </c>
      <c r="AC2402">
        <v>99027</v>
      </c>
      <c r="AD2402" t="s">
        <v>3000</v>
      </c>
      <c r="AE2402">
        <v>-43.519841079999999</v>
      </c>
      <c r="AF2402">
        <v>172.60543580999999</v>
      </c>
      <c r="AG2402">
        <v>46</v>
      </c>
      <c r="AH2402">
        <v>15</v>
      </c>
      <c r="AI2402">
        <v>2</v>
      </c>
      <c r="AJ2402">
        <v>8</v>
      </c>
      <c r="AK2402">
        <v>8</v>
      </c>
      <c r="AL2402">
        <v>12</v>
      </c>
      <c r="AM2402">
        <v>7</v>
      </c>
      <c r="AN2402">
        <v>0</v>
      </c>
      <c r="AO2402">
        <v>37</v>
      </c>
      <c r="AP2402">
        <v>27</v>
      </c>
      <c r="AQ2402">
        <v>3</v>
      </c>
      <c r="AR2402">
        <v>1</v>
      </c>
      <c r="AS2402">
        <v>10</v>
      </c>
      <c r="AT2402">
        <v>0</v>
      </c>
    </row>
    <row r="2403" spans="1:46">
      <c r="A2403">
        <v>46568</v>
      </c>
      <c r="B2403" t="s">
        <v>14096</v>
      </c>
      <c r="C2403" t="s">
        <v>14097</v>
      </c>
      <c r="E2403" t="s">
        <v>14098</v>
      </c>
      <c r="G2403" t="s">
        <v>582</v>
      </c>
      <c r="H2403" t="s">
        <v>517</v>
      </c>
      <c r="J2403" t="s">
        <v>518</v>
      </c>
      <c r="K2403" t="s">
        <v>519</v>
      </c>
      <c r="M2403" t="s">
        <v>520</v>
      </c>
      <c r="N2403" t="s">
        <v>727</v>
      </c>
      <c r="O2403" t="s">
        <v>583</v>
      </c>
      <c r="P2403" t="s">
        <v>584</v>
      </c>
      <c r="Q2403" t="s">
        <v>524</v>
      </c>
      <c r="R2403" t="s">
        <v>525</v>
      </c>
      <c r="S2403" t="s">
        <v>585</v>
      </c>
      <c r="T2403" t="s">
        <v>527</v>
      </c>
      <c r="U2403">
        <v>107300</v>
      </c>
      <c r="V2403" t="s">
        <v>623</v>
      </c>
      <c r="W2403" t="s">
        <v>587</v>
      </c>
      <c r="X2403" t="s">
        <v>530</v>
      </c>
      <c r="Y2403" t="s">
        <v>531</v>
      </c>
      <c r="Z2403" t="s">
        <v>532</v>
      </c>
      <c r="AA2403" t="s">
        <v>533</v>
      </c>
      <c r="AB2403" t="s">
        <v>534</v>
      </c>
      <c r="AC2403">
        <v>99181</v>
      </c>
      <c r="AD2403" t="s">
        <v>594</v>
      </c>
      <c r="AE2403">
        <v>-35.745782230000003</v>
      </c>
      <c r="AF2403">
        <v>174.30263500000001</v>
      </c>
      <c r="AG2403">
        <v>30</v>
      </c>
      <c r="AH2403">
        <v>0</v>
      </c>
      <c r="AI2403">
        <v>0</v>
      </c>
      <c r="AJ2403">
        <v>0</v>
      </c>
      <c r="AK2403">
        <v>5</v>
      </c>
      <c r="AL2403">
        <v>11</v>
      </c>
      <c r="AM2403">
        <v>19</v>
      </c>
      <c r="AN2403">
        <v>0</v>
      </c>
      <c r="AO2403">
        <v>35</v>
      </c>
      <c r="AP2403">
        <v>15</v>
      </c>
      <c r="AQ2403">
        <v>27</v>
      </c>
      <c r="AR2403">
        <v>4</v>
      </c>
      <c r="AS2403">
        <v>0</v>
      </c>
      <c r="AT2403">
        <v>2</v>
      </c>
    </row>
    <row r="2404" spans="1:46">
      <c r="A2404">
        <v>46569</v>
      </c>
      <c r="B2404" t="s">
        <v>14099</v>
      </c>
      <c r="C2404" t="s">
        <v>14100</v>
      </c>
      <c r="E2404" t="s">
        <v>14101</v>
      </c>
      <c r="F2404" t="s">
        <v>1427</v>
      </c>
      <c r="G2404" t="s">
        <v>1296</v>
      </c>
      <c r="H2404" t="s">
        <v>3942</v>
      </c>
      <c r="J2404" t="s">
        <v>3962</v>
      </c>
      <c r="K2404" t="s">
        <v>519</v>
      </c>
      <c r="M2404" t="s">
        <v>1297</v>
      </c>
      <c r="N2404" t="s">
        <v>557</v>
      </c>
      <c r="O2404" t="s">
        <v>1298</v>
      </c>
      <c r="P2404" t="s">
        <v>654</v>
      </c>
      <c r="Q2404" t="s">
        <v>1299</v>
      </c>
      <c r="R2404" t="s">
        <v>1300</v>
      </c>
      <c r="S2404" t="s">
        <v>1301</v>
      </c>
      <c r="T2404" t="s">
        <v>1235</v>
      </c>
      <c r="U2404">
        <v>181000</v>
      </c>
      <c r="V2404" t="s">
        <v>12273</v>
      </c>
      <c r="W2404" t="s">
        <v>1303</v>
      </c>
      <c r="X2404" t="s">
        <v>14102</v>
      </c>
      <c r="Y2404" t="s">
        <v>14101</v>
      </c>
      <c r="Z2404" t="s">
        <v>1427</v>
      </c>
      <c r="AA2404" t="s">
        <v>14103</v>
      </c>
      <c r="AB2404" t="s">
        <v>14104</v>
      </c>
      <c r="AE2404">
        <v>-37.820174289999997</v>
      </c>
      <c r="AF2404">
        <v>175.28216499000001</v>
      </c>
      <c r="AG2404">
        <v>29</v>
      </c>
      <c r="AH2404">
        <v>10</v>
      </c>
      <c r="AI2404">
        <v>0</v>
      </c>
      <c r="AJ2404">
        <v>5</v>
      </c>
      <c r="AK2404">
        <v>9</v>
      </c>
      <c r="AL2404">
        <v>8</v>
      </c>
      <c r="AM2404">
        <v>6</v>
      </c>
      <c r="AN2404">
        <v>0</v>
      </c>
      <c r="AO2404">
        <v>28</v>
      </c>
      <c r="AP2404">
        <v>8</v>
      </c>
      <c r="AQ2404">
        <v>25</v>
      </c>
      <c r="AR2404">
        <v>9</v>
      </c>
      <c r="AS2404">
        <v>2</v>
      </c>
      <c r="AT2404">
        <v>0</v>
      </c>
    </row>
    <row r="2405" spans="1:46">
      <c r="A2405">
        <v>46570</v>
      </c>
      <c r="B2405" t="s">
        <v>14105</v>
      </c>
      <c r="C2405" t="s">
        <v>14106</v>
      </c>
      <c r="D2405" t="s">
        <v>14107</v>
      </c>
      <c r="E2405" t="s">
        <v>14108</v>
      </c>
      <c r="F2405" t="s">
        <v>2544</v>
      </c>
      <c r="G2405" t="s">
        <v>2289</v>
      </c>
      <c r="H2405" t="s">
        <v>3942</v>
      </c>
      <c r="J2405" t="s">
        <v>3962</v>
      </c>
      <c r="K2405" t="s">
        <v>519</v>
      </c>
      <c r="M2405" t="s">
        <v>2287</v>
      </c>
      <c r="N2405" t="s">
        <v>571</v>
      </c>
      <c r="O2405" t="s">
        <v>2536</v>
      </c>
      <c r="P2405" t="s">
        <v>654</v>
      </c>
      <c r="Q2405" t="s">
        <v>2319</v>
      </c>
      <c r="R2405" t="s">
        <v>2289</v>
      </c>
      <c r="S2405" t="s">
        <v>2545</v>
      </c>
      <c r="T2405" t="s">
        <v>1485</v>
      </c>
      <c r="U2405">
        <v>247900</v>
      </c>
      <c r="V2405" t="s">
        <v>2778</v>
      </c>
      <c r="W2405" t="s">
        <v>2547</v>
      </c>
      <c r="X2405" t="s">
        <v>14109</v>
      </c>
      <c r="Y2405" t="s">
        <v>14110</v>
      </c>
      <c r="AA2405" t="s">
        <v>14111</v>
      </c>
      <c r="AE2405">
        <v>-41.182854620000001</v>
      </c>
      <c r="AF2405">
        <v>174.8246815</v>
      </c>
      <c r="AG2405">
        <v>39</v>
      </c>
      <c r="AH2405">
        <v>16</v>
      </c>
      <c r="AI2405">
        <v>2</v>
      </c>
      <c r="AJ2405">
        <v>10</v>
      </c>
      <c r="AK2405">
        <v>15</v>
      </c>
      <c r="AL2405">
        <v>8</v>
      </c>
      <c r="AM2405">
        <v>5</v>
      </c>
      <c r="AN2405">
        <v>0</v>
      </c>
      <c r="AO2405">
        <v>40</v>
      </c>
      <c r="AP2405">
        <v>24</v>
      </c>
      <c r="AQ2405">
        <v>3</v>
      </c>
      <c r="AR2405">
        <v>2</v>
      </c>
      <c r="AS2405">
        <v>18</v>
      </c>
      <c r="AT2405">
        <v>2</v>
      </c>
    </row>
    <row r="2406" spans="1:46">
      <c r="A2406">
        <v>46572</v>
      </c>
      <c r="B2406" t="s">
        <v>14112</v>
      </c>
      <c r="D2406" t="s">
        <v>14113</v>
      </c>
      <c r="E2406" t="s">
        <v>14114</v>
      </c>
      <c r="F2406" t="s">
        <v>1183</v>
      </c>
      <c r="G2406" t="s">
        <v>652</v>
      </c>
      <c r="H2406" t="s">
        <v>3942</v>
      </c>
      <c r="J2406" t="s">
        <v>3962</v>
      </c>
      <c r="K2406" t="s">
        <v>519</v>
      </c>
      <c r="M2406" t="s">
        <v>520</v>
      </c>
      <c r="N2406" t="s">
        <v>571</v>
      </c>
      <c r="O2406" t="s">
        <v>813</v>
      </c>
      <c r="P2406" t="s">
        <v>654</v>
      </c>
      <c r="Q2406" t="s">
        <v>638</v>
      </c>
      <c r="R2406" t="s">
        <v>639</v>
      </c>
      <c r="S2406" t="s">
        <v>899</v>
      </c>
      <c r="T2406" t="s">
        <v>527</v>
      </c>
      <c r="U2406">
        <v>124500</v>
      </c>
      <c r="V2406" t="s">
        <v>1184</v>
      </c>
      <c r="W2406" t="s">
        <v>815</v>
      </c>
      <c r="X2406" t="s">
        <v>6290</v>
      </c>
      <c r="Y2406" t="s">
        <v>14114</v>
      </c>
      <c r="Z2406" t="s">
        <v>6554</v>
      </c>
      <c r="AA2406" t="s">
        <v>4307</v>
      </c>
      <c r="AE2406">
        <v>-36.833676490000002</v>
      </c>
      <c r="AF2406">
        <v>174.64979008</v>
      </c>
      <c r="AG2406">
        <v>120</v>
      </c>
      <c r="AH2406">
        <v>32</v>
      </c>
      <c r="AI2406">
        <v>2</v>
      </c>
      <c r="AJ2406">
        <v>18</v>
      </c>
      <c r="AK2406">
        <v>27</v>
      </c>
      <c r="AL2406">
        <v>41</v>
      </c>
      <c r="AM2406">
        <v>42</v>
      </c>
      <c r="AN2406">
        <v>2</v>
      </c>
      <c r="AO2406">
        <v>132</v>
      </c>
      <c r="AP2406">
        <v>96</v>
      </c>
      <c r="AQ2406">
        <v>28</v>
      </c>
      <c r="AR2406">
        <v>15</v>
      </c>
      <c r="AS2406">
        <v>24</v>
      </c>
      <c r="AT2406">
        <v>11</v>
      </c>
    </row>
    <row r="2407" spans="1:46">
      <c r="A2407">
        <v>46576</v>
      </c>
      <c r="B2407" t="s">
        <v>14115</v>
      </c>
      <c r="C2407" t="s">
        <v>14116</v>
      </c>
      <c r="D2407" t="s">
        <v>14117</v>
      </c>
      <c r="E2407" t="s">
        <v>14118</v>
      </c>
      <c r="F2407" t="s">
        <v>2441</v>
      </c>
      <c r="G2407" t="s">
        <v>2427</v>
      </c>
      <c r="H2407" t="s">
        <v>3942</v>
      </c>
      <c r="J2407" t="s">
        <v>3962</v>
      </c>
      <c r="K2407" t="s">
        <v>519</v>
      </c>
      <c r="M2407" t="s">
        <v>2287</v>
      </c>
      <c r="N2407" t="s">
        <v>571</v>
      </c>
      <c r="O2407" t="s">
        <v>2428</v>
      </c>
      <c r="P2407" t="s">
        <v>654</v>
      </c>
      <c r="Q2407" t="s">
        <v>2319</v>
      </c>
      <c r="R2407" t="s">
        <v>2289</v>
      </c>
      <c r="S2407" t="s">
        <v>2429</v>
      </c>
      <c r="T2407" t="s">
        <v>2448</v>
      </c>
      <c r="U2407">
        <v>244300</v>
      </c>
      <c r="V2407" t="s">
        <v>9027</v>
      </c>
      <c r="W2407" t="s">
        <v>2443</v>
      </c>
      <c r="X2407" t="s">
        <v>11535</v>
      </c>
      <c r="Y2407" t="s">
        <v>14119</v>
      </c>
      <c r="Z2407" t="s">
        <v>821</v>
      </c>
      <c r="AA2407" t="s">
        <v>4069</v>
      </c>
      <c r="AB2407" t="s">
        <v>11537</v>
      </c>
      <c r="AE2407">
        <v>-41.209713450000002</v>
      </c>
      <c r="AF2407">
        <v>174.90066155</v>
      </c>
      <c r="AG2407">
        <v>100</v>
      </c>
      <c r="AH2407">
        <v>34</v>
      </c>
      <c r="AI2407">
        <v>9</v>
      </c>
      <c r="AJ2407">
        <v>19</v>
      </c>
      <c r="AK2407">
        <v>26</v>
      </c>
      <c r="AL2407">
        <v>26</v>
      </c>
      <c r="AM2407">
        <v>12</v>
      </c>
      <c r="AN2407">
        <v>2</v>
      </c>
      <c r="AO2407">
        <v>94</v>
      </c>
      <c r="AP2407">
        <v>78</v>
      </c>
      <c r="AQ2407">
        <v>22</v>
      </c>
      <c r="AR2407">
        <v>8</v>
      </c>
      <c r="AS2407">
        <v>11</v>
      </c>
      <c r="AT2407">
        <v>2</v>
      </c>
    </row>
    <row r="2408" spans="1:46">
      <c r="A2408">
        <v>46577</v>
      </c>
      <c r="B2408" t="s">
        <v>14120</v>
      </c>
      <c r="C2408" t="s">
        <v>14121</v>
      </c>
      <c r="D2408" t="s">
        <v>14122</v>
      </c>
      <c r="E2408" t="s">
        <v>14123</v>
      </c>
      <c r="G2408" t="s">
        <v>3283</v>
      </c>
      <c r="H2408" t="s">
        <v>3942</v>
      </c>
      <c r="J2408" t="s">
        <v>3962</v>
      </c>
      <c r="K2408" t="s">
        <v>519</v>
      </c>
      <c r="M2408" t="s">
        <v>2287</v>
      </c>
      <c r="N2408" t="s">
        <v>571</v>
      </c>
      <c r="O2408" t="s">
        <v>3284</v>
      </c>
      <c r="P2408" t="s">
        <v>540</v>
      </c>
      <c r="Q2408" t="s">
        <v>2943</v>
      </c>
      <c r="R2408" t="s">
        <v>2944</v>
      </c>
      <c r="S2408" t="s">
        <v>3250</v>
      </c>
      <c r="T2408" t="s">
        <v>2448</v>
      </c>
      <c r="U2408">
        <v>342000</v>
      </c>
      <c r="V2408" t="s">
        <v>3283</v>
      </c>
      <c r="W2408" t="s">
        <v>3285</v>
      </c>
      <c r="X2408" t="s">
        <v>14124</v>
      </c>
      <c r="Y2408" t="s">
        <v>14123</v>
      </c>
      <c r="AA2408" t="s">
        <v>14125</v>
      </c>
      <c r="AC2408">
        <v>99143</v>
      </c>
      <c r="AD2408" t="s">
        <v>3286</v>
      </c>
      <c r="AE2408">
        <v>-44.10360507</v>
      </c>
      <c r="AF2408">
        <v>170.82619682999999</v>
      </c>
      <c r="AG2408">
        <v>40</v>
      </c>
      <c r="AH2408">
        <v>10</v>
      </c>
      <c r="AI2408">
        <v>2</v>
      </c>
      <c r="AJ2408">
        <v>8</v>
      </c>
      <c r="AK2408">
        <v>10</v>
      </c>
      <c r="AL2408">
        <v>8</v>
      </c>
      <c r="AM2408">
        <v>16</v>
      </c>
      <c r="AN2408">
        <v>0</v>
      </c>
      <c r="AO2408">
        <v>44</v>
      </c>
      <c r="AP2408">
        <v>41</v>
      </c>
      <c r="AQ2408">
        <v>8</v>
      </c>
      <c r="AR2408">
        <v>1</v>
      </c>
      <c r="AS2408">
        <v>3</v>
      </c>
      <c r="AT2408">
        <v>1</v>
      </c>
    </row>
    <row r="2409" spans="1:46">
      <c r="A2409">
        <v>46579</v>
      </c>
      <c r="B2409" t="s">
        <v>14126</v>
      </c>
      <c r="C2409" t="s">
        <v>14127</v>
      </c>
      <c r="D2409" t="s">
        <v>14128</v>
      </c>
      <c r="E2409" t="s">
        <v>14129</v>
      </c>
      <c r="F2409" t="s">
        <v>3770</v>
      </c>
      <c r="G2409" t="s">
        <v>1598</v>
      </c>
      <c r="H2409" t="s">
        <v>3942</v>
      </c>
      <c r="J2409" t="s">
        <v>3962</v>
      </c>
      <c r="K2409" t="s">
        <v>519</v>
      </c>
      <c r="M2409" t="s">
        <v>1297</v>
      </c>
      <c r="N2409" t="s">
        <v>571</v>
      </c>
      <c r="O2409" t="s">
        <v>1698</v>
      </c>
      <c r="P2409" t="s">
        <v>654</v>
      </c>
      <c r="Q2409" t="s">
        <v>1471</v>
      </c>
      <c r="R2409" t="s">
        <v>1472</v>
      </c>
      <c r="S2409" t="s">
        <v>1699</v>
      </c>
      <c r="T2409" t="s">
        <v>1474</v>
      </c>
      <c r="U2409">
        <v>197500</v>
      </c>
      <c r="V2409" t="s">
        <v>11848</v>
      </c>
      <c r="W2409" t="s">
        <v>3772</v>
      </c>
      <c r="X2409" t="s">
        <v>14130</v>
      </c>
      <c r="Y2409" t="s">
        <v>4107</v>
      </c>
      <c r="AA2409" t="s">
        <v>3982</v>
      </c>
      <c r="AB2409" t="s">
        <v>14127</v>
      </c>
      <c r="AE2409">
        <v>-37.718711630000001</v>
      </c>
      <c r="AF2409">
        <v>176.34255478</v>
      </c>
      <c r="AG2409">
        <v>62</v>
      </c>
      <c r="AH2409">
        <v>19</v>
      </c>
      <c r="AI2409">
        <v>0</v>
      </c>
      <c r="AJ2409">
        <v>10</v>
      </c>
      <c r="AK2409">
        <v>13</v>
      </c>
      <c r="AL2409">
        <v>17</v>
      </c>
      <c r="AM2409">
        <v>16</v>
      </c>
      <c r="AN2409">
        <v>1</v>
      </c>
      <c r="AO2409">
        <v>57</v>
      </c>
      <c r="AP2409">
        <v>36</v>
      </c>
      <c r="AQ2409">
        <v>16</v>
      </c>
      <c r="AR2409">
        <v>3</v>
      </c>
      <c r="AS2409">
        <v>12</v>
      </c>
      <c r="AT2409">
        <v>2</v>
      </c>
    </row>
    <row r="2410" spans="1:46">
      <c r="A2410">
        <v>46580</v>
      </c>
      <c r="B2410" t="s">
        <v>14131</v>
      </c>
      <c r="C2410" t="s">
        <v>14132</v>
      </c>
      <c r="E2410" t="s">
        <v>14133</v>
      </c>
      <c r="G2410" t="s">
        <v>14134</v>
      </c>
      <c r="H2410" t="s">
        <v>3942</v>
      </c>
      <c r="J2410" t="s">
        <v>3962</v>
      </c>
      <c r="K2410" t="s">
        <v>519</v>
      </c>
      <c r="M2410" t="s">
        <v>520</v>
      </c>
      <c r="N2410" t="s">
        <v>571</v>
      </c>
      <c r="O2410" t="s">
        <v>522</v>
      </c>
      <c r="P2410" t="s">
        <v>523</v>
      </c>
      <c r="Q2410" t="s">
        <v>524</v>
      </c>
      <c r="R2410" t="s">
        <v>525</v>
      </c>
      <c r="S2410" t="s">
        <v>526</v>
      </c>
      <c r="T2410" t="s">
        <v>527</v>
      </c>
      <c r="U2410">
        <v>104301</v>
      </c>
      <c r="V2410" t="s">
        <v>14135</v>
      </c>
      <c r="W2410" t="s">
        <v>558</v>
      </c>
      <c r="X2410" t="s">
        <v>14136</v>
      </c>
      <c r="Y2410" t="s">
        <v>14137</v>
      </c>
      <c r="AA2410" t="s">
        <v>14138</v>
      </c>
      <c r="AC2410">
        <v>99117</v>
      </c>
      <c r="AD2410" t="s">
        <v>559</v>
      </c>
      <c r="AE2410">
        <v>-35.311244680000001</v>
      </c>
      <c r="AF2410">
        <v>174.10215640999999</v>
      </c>
      <c r="AG2410">
        <v>30</v>
      </c>
      <c r="AH2410">
        <v>5</v>
      </c>
      <c r="AI2410">
        <v>0</v>
      </c>
      <c r="AJ2410">
        <v>0</v>
      </c>
      <c r="AK2410">
        <v>8</v>
      </c>
      <c r="AL2410">
        <v>9</v>
      </c>
      <c r="AM2410">
        <v>14</v>
      </c>
      <c r="AN2410">
        <v>0</v>
      </c>
      <c r="AO2410">
        <v>31</v>
      </c>
      <c r="AP2410">
        <v>23</v>
      </c>
      <c r="AQ2410">
        <v>12</v>
      </c>
      <c r="AR2410">
        <v>0</v>
      </c>
      <c r="AS2410">
        <v>4</v>
      </c>
      <c r="AT2410">
        <v>0</v>
      </c>
    </row>
    <row r="2411" spans="1:46">
      <c r="A2411">
        <v>46581</v>
      </c>
      <c r="B2411" t="s">
        <v>14139</v>
      </c>
      <c r="C2411" t="s">
        <v>14140</v>
      </c>
      <c r="D2411" t="s">
        <v>14141</v>
      </c>
      <c r="E2411" t="s">
        <v>14142</v>
      </c>
      <c r="G2411" t="s">
        <v>699</v>
      </c>
      <c r="H2411" t="s">
        <v>3942</v>
      </c>
      <c r="J2411" t="s">
        <v>3962</v>
      </c>
      <c r="K2411" t="s">
        <v>519</v>
      </c>
      <c r="M2411" t="s">
        <v>520</v>
      </c>
      <c r="N2411" t="s">
        <v>571</v>
      </c>
      <c r="O2411" t="s">
        <v>653</v>
      </c>
      <c r="P2411" t="s">
        <v>584</v>
      </c>
      <c r="Q2411" t="s">
        <v>638</v>
      </c>
      <c r="R2411" t="s">
        <v>639</v>
      </c>
      <c r="S2411" t="s">
        <v>668</v>
      </c>
      <c r="T2411" t="s">
        <v>527</v>
      </c>
      <c r="U2411">
        <v>114901</v>
      </c>
      <c r="V2411" t="s">
        <v>5068</v>
      </c>
      <c r="W2411" t="s">
        <v>657</v>
      </c>
      <c r="X2411" t="s">
        <v>14143</v>
      </c>
      <c r="Y2411" t="s">
        <v>14142</v>
      </c>
      <c r="Z2411" t="s">
        <v>699</v>
      </c>
      <c r="AA2411" t="s">
        <v>6344</v>
      </c>
      <c r="AB2411" t="s">
        <v>14144</v>
      </c>
      <c r="AE2411">
        <v>-36.635448230000002</v>
      </c>
      <c r="AF2411">
        <v>174.73811079999999</v>
      </c>
      <c r="AG2411">
        <v>37</v>
      </c>
      <c r="AH2411">
        <v>12</v>
      </c>
      <c r="AI2411">
        <v>3</v>
      </c>
      <c r="AJ2411">
        <v>7</v>
      </c>
      <c r="AK2411">
        <v>5</v>
      </c>
      <c r="AL2411">
        <v>11</v>
      </c>
      <c r="AM2411">
        <v>7</v>
      </c>
      <c r="AN2411">
        <v>0</v>
      </c>
      <c r="AO2411">
        <v>33</v>
      </c>
      <c r="AP2411">
        <v>21</v>
      </c>
      <c r="AQ2411">
        <v>1</v>
      </c>
      <c r="AR2411">
        <v>0</v>
      </c>
      <c r="AS2411">
        <v>8</v>
      </c>
      <c r="AT2411">
        <v>5</v>
      </c>
    </row>
    <row r="2412" spans="1:46">
      <c r="A2412">
        <v>46583</v>
      </c>
      <c r="B2412" t="s">
        <v>14145</v>
      </c>
      <c r="C2412" t="s">
        <v>8761</v>
      </c>
      <c r="D2412" t="s">
        <v>13805</v>
      </c>
      <c r="E2412" t="s">
        <v>13986</v>
      </c>
      <c r="F2412" t="s">
        <v>13807</v>
      </c>
      <c r="G2412" t="s">
        <v>652</v>
      </c>
      <c r="H2412" t="s">
        <v>4716</v>
      </c>
      <c r="J2412" t="s">
        <v>3962</v>
      </c>
      <c r="K2412" t="s">
        <v>519</v>
      </c>
      <c r="M2412" t="s">
        <v>520</v>
      </c>
      <c r="N2412" t="s">
        <v>3144</v>
      </c>
      <c r="O2412" t="s">
        <v>829</v>
      </c>
      <c r="P2412" t="s">
        <v>654</v>
      </c>
      <c r="Q2412" t="s">
        <v>638</v>
      </c>
      <c r="R2412" t="s">
        <v>708</v>
      </c>
      <c r="S2412" t="s">
        <v>805</v>
      </c>
      <c r="T2412" t="s">
        <v>709</v>
      </c>
      <c r="U2412">
        <v>145900</v>
      </c>
      <c r="V2412" t="s">
        <v>13807</v>
      </c>
      <c r="W2412" t="s">
        <v>807</v>
      </c>
      <c r="Y2412" t="s">
        <v>8763</v>
      </c>
      <c r="Z2412" t="s">
        <v>1313</v>
      </c>
      <c r="AA2412" t="s">
        <v>8511</v>
      </c>
      <c r="AE2412">
        <v>-36.907398389999997</v>
      </c>
      <c r="AF2412">
        <v>174.8147007</v>
      </c>
      <c r="AG2412">
        <v>0</v>
      </c>
      <c r="AH2412">
        <v>0</v>
      </c>
      <c r="AI2412">
        <v>3</v>
      </c>
      <c r="AJ2412">
        <v>4</v>
      </c>
      <c r="AK2412">
        <v>7</v>
      </c>
      <c r="AL2412">
        <v>4</v>
      </c>
      <c r="AM2412">
        <v>5</v>
      </c>
      <c r="AN2412">
        <v>2</v>
      </c>
      <c r="AO2412">
        <v>25</v>
      </c>
      <c r="AP2412">
        <v>7</v>
      </c>
      <c r="AQ2412">
        <v>1</v>
      </c>
      <c r="AR2412">
        <v>0</v>
      </c>
      <c r="AS2412">
        <v>9</v>
      </c>
      <c r="AT2412">
        <v>9</v>
      </c>
    </row>
    <row r="2413" spans="1:46">
      <c r="A2413">
        <v>46584</v>
      </c>
      <c r="B2413" t="s">
        <v>14146</v>
      </c>
      <c r="C2413" t="s">
        <v>14147</v>
      </c>
      <c r="D2413" t="s">
        <v>14148</v>
      </c>
      <c r="E2413" t="s">
        <v>14149</v>
      </c>
      <c r="F2413" t="s">
        <v>4204</v>
      </c>
      <c r="G2413" t="s">
        <v>652</v>
      </c>
      <c r="H2413" t="s">
        <v>3942</v>
      </c>
      <c r="J2413" t="s">
        <v>3962</v>
      </c>
      <c r="K2413" t="s">
        <v>519</v>
      </c>
      <c r="M2413" t="s">
        <v>520</v>
      </c>
      <c r="N2413" t="s">
        <v>539</v>
      </c>
      <c r="O2413" t="s">
        <v>1216</v>
      </c>
      <c r="P2413" t="s">
        <v>654</v>
      </c>
      <c r="Q2413" t="s">
        <v>638</v>
      </c>
      <c r="R2413" t="s">
        <v>729</v>
      </c>
      <c r="S2413" t="s">
        <v>1036</v>
      </c>
      <c r="T2413" t="s">
        <v>709</v>
      </c>
      <c r="U2413">
        <v>157600</v>
      </c>
      <c r="V2413" t="s">
        <v>1256</v>
      </c>
      <c r="W2413" t="s">
        <v>1219</v>
      </c>
      <c r="X2413" t="s">
        <v>7999</v>
      </c>
      <c r="Y2413" t="s">
        <v>14149</v>
      </c>
      <c r="Z2413" t="s">
        <v>4204</v>
      </c>
      <c r="AA2413" t="s">
        <v>11753</v>
      </c>
      <c r="AB2413" t="s">
        <v>14150</v>
      </c>
      <c r="AC2413">
        <v>99187</v>
      </c>
      <c r="AD2413" t="s">
        <v>1257</v>
      </c>
      <c r="AE2413">
        <v>-37.002739439999999</v>
      </c>
      <c r="AF2413">
        <v>174.88915127999999</v>
      </c>
      <c r="AG2413">
        <v>120</v>
      </c>
      <c r="AH2413">
        <v>25</v>
      </c>
      <c r="AI2413">
        <v>7</v>
      </c>
      <c r="AJ2413">
        <v>18</v>
      </c>
      <c r="AK2413">
        <v>21</v>
      </c>
      <c r="AL2413">
        <v>27</v>
      </c>
      <c r="AM2413">
        <v>30</v>
      </c>
      <c r="AN2413">
        <v>0</v>
      </c>
      <c r="AO2413">
        <v>103</v>
      </c>
      <c r="AP2413">
        <v>20</v>
      </c>
      <c r="AQ2413">
        <v>17</v>
      </c>
      <c r="AR2413">
        <v>14</v>
      </c>
      <c r="AS2413">
        <v>80</v>
      </c>
      <c r="AT2413">
        <v>2</v>
      </c>
    </row>
    <row r="2414" spans="1:46">
      <c r="A2414">
        <v>46585</v>
      </c>
      <c r="B2414" t="s">
        <v>14151</v>
      </c>
      <c r="C2414" t="s">
        <v>14152</v>
      </c>
      <c r="E2414" t="s">
        <v>14153</v>
      </c>
      <c r="F2414" t="s">
        <v>13953</v>
      </c>
      <c r="G2414" t="s">
        <v>1296</v>
      </c>
      <c r="H2414" t="s">
        <v>3942</v>
      </c>
      <c r="J2414" t="s">
        <v>518</v>
      </c>
      <c r="K2414" t="s">
        <v>519</v>
      </c>
      <c r="M2414" t="s">
        <v>1297</v>
      </c>
      <c r="N2414" t="s">
        <v>557</v>
      </c>
      <c r="O2414" t="s">
        <v>1298</v>
      </c>
      <c r="P2414" t="s">
        <v>654</v>
      </c>
      <c r="Q2414" t="s">
        <v>1299</v>
      </c>
      <c r="R2414" t="s">
        <v>1300</v>
      </c>
      <c r="S2414" t="s">
        <v>1312</v>
      </c>
      <c r="T2414" t="s">
        <v>1235</v>
      </c>
      <c r="U2414">
        <v>178500</v>
      </c>
      <c r="V2414" t="s">
        <v>13953</v>
      </c>
      <c r="W2414" t="s">
        <v>1314</v>
      </c>
      <c r="X2414" t="s">
        <v>8377</v>
      </c>
      <c r="Y2414" t="s">
        <v>3944</v>
      </c>
      <c r="Z2414" t="s">
        <v>3945</v>
      </c>
      <c r="AA2414" t="s">
        <v>3946</v>
      </c>
      <c r="AB2414" t="s">
        <v>8378</v>
      </c>
      <c r="AE2414">
        <v>-37.765445049999997</v>
      </c>
      <c r="AF2414">
        <v>175.30440683</v>
      </c>
      <c r="AG2414">
        <v>50</v>
      </c>
      <c r="AH2414">
        <v>0</v>
      </c>
      <c r="AI2414">
        <v>0</v>
      </c>
      <c r="AJ2414">
        <v>0</v>
      </c>
      <c r="AK2414">
        <v>8</v>
      </c>
      <c r="AL2414">
        <v>17</v>
      </c>
      <c r="AM2414">
        <v>20</v>
      </c>
      <c r="AN2414">
        <v>3</v>
      </c>
      <c r="AO2414">
        <v>48</v>
      </c>
      <c r="AP2414">
        <v>12</v>
      </c>
      <c r="AQ2414">
        <v>28</v>
      </c>
      <c r="AR2414">
        <v>6</v>
      </c>
      <c r="AS2414">
        <v>5</v>
      </c>
      <c r="AT2414">
        <v>5</v>
      </c>
    </row>
    <row r="2415" spans="1:46">
      <c r="A2415">
        <v>46589</v>
      </c>
      <c r="B2415" t="s">
        <v>14154</v>
      </c>
      <c r="C2415" t="s">
        <v>14155</v>
      </c>
      <c r="D2415" t="s">
        <v>13465</v>
      </c>
      <c r="E2415" t="s">
        <v>14156</v>
      </c>
      <c r="G2415" t="s">
        <v>2216</v>
      </c>
      <c r="H2415" t="s">
        <v>4716</v>
      </c>
      <c r="J2415" t="s">
        <v>3962</v>
      </c>
      <c r="K2415" t="s">
        <v>519</v>
      </c>
      <c r="M2415" t="s">
        <v>1297</v>
      </c>
      <c r="N2415" t="s">
        <v>571</v>
      </c>
      <c r="O2415" t="s">
        <v>2198</v>
      </c>
      <c r="P2415" t="s">
        <v>1262</v>
      </c>
      <c r="Q2415" t="s">
        <v>2118</v>
      </c>
      <c r="R2415" t="s">
        <v>2084</v>
      </c>
      <c r="S2415" t="s">
        <v>2199</v>
      </c>
      <c r="T2415" t="s">
        <v>2085</v>
      </c>
      <c r="U2415">
        <v>211600</v>
      </c>
      <c r="V2415" t="s">
        <v>8721</v>
      </c>
      <c r="W2415" t="s">
        <v>2200</v>
      </c>
      <c r="X2415" t="s">
        <v>14157</v>
      </c>
      <c r="Y2415" t="s">
        <v>8723</v>
      </c>
      <c r="Z2415" t="s">
        <v>2216</v>
      </c>
      <c r="AA2415" t="s">
        <v>8724</v>
      </c>
      <c r="AB2415" t="s">
        <v>14158</v>
      </c>
      <c r="AC2415">
        <v>99022</v>
      </c>
      <c r="AD2415" t="s">
        <v>2218</v>
      </c>
      <c r="AE2415">
        <v>-39.668029300000001</v>
      </c>
      <c r="AF2415">
        <v>176.8779002</v>
      </c>
      <c r="AG2415">
        <v>80</v>
      </c>
      <c r="AH2415">
        <v>80</v>
      </c>
      <c r="AI2415">
        <v>2</v>
      </c>
      <c r="AJ2415">
        <v>5</v>
      </c>
      <c r="AK2415">
        <v>9</v>
      </c>
      <c r="AL2415">
        <v>7</v>
      </c>
      <c r="AM2415">
        <v>2</v>
      </c>
      <c r="AN2415">
        <v>0</v>
      </c>
      <c r="AO2415">
        <v>25</v>
      </c>
      <c r="AP2415">
        <v>19</v>
      </c>
      <c r="AQ2415">
        <v>7</v>
      </c>
      <c r="AR2415">
        <v>3</v>
      </c>
      <c r="AS2415">
        <v>3</v>
      </c>
      <c r="AT2415">
        <v>2</v>
      </c>
    </row>
    <row r="2416" spans="1:46">
      <c r="A2416">
        <v>46590</v>
      </c>
      <c r="B2416" t="s">
        <v>14159</v>
      </c>
      <c r="C2416" t="s">
        <v>14160</v>
      </c>
      <c r="D2416" t="s">
        <v>14161</v>
      </c>
      <c r="E2416" t="s">
        <v>14162</v>
      </c>
      <c r="G2416" t="s">
        <v>1586</v>
      </c>
      <c r="H2416" t="s">
        <v>3942</v>
      </c>
      <c r="J2416" t="s">
        <v>3962</v>
      </c>
      <c r="K2416" t="s">
        <v>519</v>
      </c>
      <c r="M2416" t="s">
        <v>1297</v>
      </c>
      <c r="N2416" t="s">
        <v>571</v>
      </c>
      <c r="O2416" t="s">
        <v>1450</v>
      </c>
      <c r="P2416" t="s">
        <v>523</v>
      </c>
      <c r="Q2416" t="s">
        <v>1299</v>
      </c>
      <c r="R2416" t="s">
        <v>1300</v>
      </c>
      <c r="S2416" t="s">
        <v>1300</v>
      </c>
      <c r="T2416" t="s">
        <v>1235</v>
      </c>
      <c r="U2416">
        <v>173902</v>
      </c>
      <c r="V2416" t="s">
        <v>1587</v>
      </c>
      <c r="W2416" t="s">
        <v>1588</v>
      </c>
      <c r="X2416" t="s">
        <v>14163</v>
      </c>
      <c r="Y2416" t="s">
        <v>14164</v>
      </c>
      <c r="AA2416" t="s">
        <v>14165</v>
      </c>
      <c r="AB2416" t="s">
        <v>14166</v>
      </c>
      <c r="AC2416">
        <v>99131</v>
      </c>
      <c r="AD2416" t="s">
        <v>1589</v>
      </c>
      <c r="AE2416">
        <v>-37.649948719999998</v>
      </c>
      <c r="AF2416">
        <v>175.54174592000001</v>
      </c>
      <c r="AG2416">
        <v>80</v>
      </c>
      <c r="AH2416">
        <v>25</v>
      </c>
      <c r="AI2416">
        <v>8</v>
      </c>
      <c r="AJ2416">
        <v>16</v>
      </c>
      <c r="AK2416">
        <v>26</v>
      </c>
      <c r="AL2416">
        <v>21</v>
      </c>
      <c r="AM2416">
        <v>28</v>
      </c>
      <c r="AN2416">
        <v>0</v>
      </c>
      <c r="AO2416">
        <v>99</v>
      </c>
      <c r="AP2416">
        <v>87</v>
      </c>
      <c r="AQ2416">
        <v>11</v>
      </c>
      <c r="AR2416">
        <v>3</v>
      </c>
      <c r="AS2416">
        <v>11</v>
      </c>
      <c r="AT2416">
        <v>1</v>
      </c>
    </row>
    <row r="2417" spans="1:46">
      <c r="A2417">
        <v>46594</v>
      </c>
      <c r="B2417" t="s">
        <v>14167</v>
      </c>
      <c r="C2417" t="s">
        <v>14168</v>
      </c>
      <c r="E2417" t="s">
        <v>14169</v>
      </c>
      <c r="F2417" t="s">
        <v>14170</v>
      </c>
      <c r="G2417" t="s">
        <v>652</v>
      </c>
      <c r="H2417" t="s">
        <v>3942</v>
      </c>
      <c r="J2417" t="s">
        <v>3962</v>
      </c>
      <c r="K2417" t="s">
        <v>519</v>
      </c>
      <c r="M2417" t="s">
        <v>520</v>
      </c>
      <c r="N2417" t="s">
        <v>521</v>
      </c>
      <c r="O2417" t="s">
        <v>1216</v>
      </c>
      <c r="P2417" t="s">
        <v>654</v>
      </c>
      <c r="Q2417" t="s">
        <v>638</v>
      </c>
      <c r="R2417" t="s">
        <v>729</v>
      </c>
      <c r="S2417" t="s">
        <v>1036</v>
      </c>
      <c r="T2417" t="s">
        <v>709</v>
      </c>
      <c r="U2417">
        <v>158700</v>
      </c>
      <c r="V2417" t="s">
        <v>1287</v>
      </c>
      <c r="W2417" t="s">
        <v>1219</v>
      </c>
      <c r="X2417" t="s">
        <v>14171</v>
      </c>
      <c r="Y2417" t="s">
        <v>14172</v>
      </c>
      <c r="Z2417" t="s">
        <v>5104</v>
      </c>
      <c r="AA2417" t="s">
        <v>14173</v>
      </c>
      <c r="AB2417" t="s">
        <v>14174</v>
      </c>
      <c r="AE2417">
        <v>-37.024034409999999</v>
      </c>
      <c r="AF2417">
        <v>174.86419494</v>
      </c>
      <c r="AG2417">
        <v>31</v>
      </c>
      <c r="AH2417">
        <v>5</v>
      </c>
      <c r="AI2417">
        <v>0</v>
      </c>
      <c r="AJ2417">
        <v>3</v>
      </c>
      <c r="AK2417">
        <v>7</v>
      </c>
      <c r="AL2417">
        <v>5</v>
      </c>
      <c r="AM2417">
        <v>6</v>
      </c>
      <c r="AN2417">
        <v>3</v>
      </c>
      <c r="AO2417">
        <v>24</v>
      </c>
      <c r="AP2417">
        <v>1</v>
      </c>
      <c r="AQ2417">
        <v>6</v>
      </c>
      <c r="AR2417">
        <v>19</v>
      </c>
      <c r="AS2417">
        <v>3</v>
      </c>
      <c r="AT2417">
        <v>0</v>
      </c>
    </row>
    <row r="2418" spans="1:46">
      <c r="A2418">
        <v>46595</v>
      </c>
      <c r="B2418" t="s">
        <v>11644</v>
      </c>
      <c r="C2418" t="s">
        <v>14175</v>
      </c>
      <c r="D2418" t="s">
        <v>11646</v>
      </c>
      <c r="E2418" t="s">
        <v>14176</v>
      </c>
      <c r="G2418" t="s">
        <v>2197</v>
      </c>
      <c r="H2418" t="s">
        <v>4716</v>
      </c>
      <c r="J2418" t="s">
        <v>3962</v>
      </c>
      <c r="K2418" t="s">
        <v>519</v>
      </c>
      <c r="M2418" t="s">
        <v>1297</v>
      </c>
      <c r="N2418" t="s">
        <v>571</v>
      </c>
      <c r="O2418" t="s">
        <v>2198</v>
      </c>
      <c r="P2418" t="s">
        <v>584</v>
      </c>
      <c r="Q2418" t="s">
        <v>2118</v>
      </c>
      <c r="R2418" t="s">
        <v>1760</v>
      </c>
      <c r="S2418" t="s">
        <v>2199</v>
      </c>
      <c r="T2418" t="s">
        <v>2085</v>
      </c>
      <c r="U2418">
        <v>210500</v>
      </c>
      <c r="V2418" t="s">
        <v>11648</v>
      </c>
      <c r="W2418" t="s">
        <v>2200</v>
      </c>
      <c r="X2418" t="s">
        <v>14177</v>
      </c>
      <c r="Y2418" t="s">
        <v>11647</v>
      </c>
      <c r="AA2418" t="s">
        <v>11650</v>
      </c>
      <c r="AB2418" t="s">
        <v>14178</v>
      </c>
      <c r="AE2418">
        <v>-39.641322500000001</v>
      </c>
      <c r="AF2418">
        <v>176.8469455</v>
      </c>
      <c r="AG2418">
        <v>80</v>
      </c>
      <c r="AH2418">
        <v>80</v>
      </c>
      <c r="AI2418">
        <v>3</v>
      </c>
      <c r="AJ2418">
        <v>13</v>
      </c>
      <c r="AK2418">
        <v>12</v>
      </c>
      <c r="AL2418">
        <v>12</v>
      </c>
      <c r="AM2418">
        <v>5</v>
      </c>
      <c r="AN2418">
        <v>0</v>
      </c>
      <c r="AO2418">
        <v>45</v>
      </c>
      <c r="AP2418">
        <v>42</v>
      </c>
      <c r="AQ2418">
        <v>13</v>
      </c>
      <c r="AR2418">
        <v>2</v>
      </c>
      <c r="AS2418">
        <v>3</v>
      </c>
      <c r="AT2418">
        <v>0</v>
      </c>
    </row>
    <row r="2419" spans="1:46">
      <c r="A2419">
        <v>46598</v>
      </c>
      <c r="B2419" t="s">
        <v>14179</v>
      </c>
      <c r="C2419" t="s">
        <v>14180</v>
      </c>
      <c r="D2419" t="s">
        <v>9018</v>
      </c>
      <c r="E2419" t="s">
        <v>14181</v>
      </c>
      <c r="G2419" t="s">
        <v>3826</v>
      </c>
      <c r="H2419" t="s">
        <v>3942</v>
      </c>
      <c r="J2419" t="s">
        <v>3962</v>
      </c>
      <c r="K2419" t="s">
        <v>519</v>
      </c>
      <c r="M2419" t="s">
        <v>1297</v>
      </c>
      <c r="N2419" t="s">
        <v>571</v>
      </c>
      <c r="O2419" t="s">
        <v>1461</v>
      </c>
      <c r="P2419" t="s">
        <v>523</v>
      </c>
      <c r="Q2419" t="s">
        <v>1299</v>
      </c>
      <c r="R2419" t="s">
        <v>1300</v>
      </c>
      <c r="S2419" t="s">
        <v>1438</v>
      </c>
      <c r="T2419" t="s">
        <v>1235</v>
      </c>
      <c r="U2419">
        <v>167000</v>
      </c>
      <c r="V2419" t="s">
        <v>14182</v>
      </c>
      <c r="W2419" t="s">
        <v>3828</v>
      </c>
      <c r="X2419" t="s">
        <v>9021</v>
      </c>
      <c r="Y2419" t="s">
        <v>9019</v>
      </c>
      <c r="AA2419" t="s">
        <v>14183</v>
      </c>
      <c r="AB2419" t="s">
        <v>9017</v>
      </c>
      <c r="AC2419">
        <v>99155</v>
      </c>
      <c r="AD2419" t="s">
        <v>3829</v>
      </c>
      <c r="AE2419">
        <v>-36.822626900000003</v>
      </c>
      <c r="AF2419">
        <v>175.68818282999999</v>
      </c>
      <c r="AG2419">
        <v>40</v>
      </c>
      <c r="AH2419">
        <v>15</v>
      </c>
      <c r="AI2419">
        <v>0</v>
      </c>
      <c r="AJ2419">
        <v>8</v>
      </c>
      <c r="AK2419">
        <v>6</v>
      </c>
      <c r="AL2419">
        <v>9</v>
      </c>
      <c r="AM2419">
        <v>5</v>
      </c>
      <c r="AN2419">
        <v>2</v>
      </c>
      <c r="AO2419">
        <v>30</v>
      </c>
      <c r="AP2419">
        <v>29</v>
      </c>
      <c r="AQ2419">
        <v>11</v>
      </c>
      <c r="AR2419">
        <v>0</v>
      </c>
      <c r="AS2419">
        <v>0</v>
      </c>
      <c r="AT2419">
        <v>0</v>
      </c>
    </row>
    <row r="2420" spans="1:46">
      <c r="A2420">
        <v>46603</v>
      </c>
      <c r="B2420" t="s">
        <v>14184</v>
      </c>
      <c r="C2420" t="s">
        <v>14185</v>
      </c>
      <c r="D2420" t="s">
        <v>14186</v>
      </c>
      <c r="E2420" t="s">
        <v>14187</v>
      </c>
      <c r="F2420" t="s">
        <v>5976</v>
      </c>
      <c r="G2420" t="s">
        <v>652</v>
      </c>
      <c r="H2420" t="s">
        <v>3942</v>
      </c>
      <c r="J2420" t="s">
        <v>3962</v>
      </c>
      <c r="K2420" t="s">
        <v>519</v>
      </c>
      <c r="M2420" t="s">
        <v>520</v>
      </c>
      <c r="N2420" t="s">
        <v>571</v>
      </c>
      <c r="O2420" t="s">
        <v>857</v>
      </c>
      <c r="P2420" t="s">
        <v>654</v>
      </c>
      <c r="Q2420" t="s">
        <v>638</v>
      </c>
      <c r="R2420" t="s">
        <v>708</v>
      </c>
      <c r="S2420" t="s">
        <v>858</v>
      </c>
      <c r="T2420" t="s">
        <v>709</v>
      </c>
      <c r="U2420">
        <v>129901</v>
      </c>
      <c r="V2420" t="s">
        <v>14188</v>
      </c>
      <c r="W2420" t="s">
        <v>860</v>
      </c>
      <c r="X2420" t="s">
        <v>5971</v>
      </c>
      <c r="Y2420" t="s">
        <v>4689</v>
      </c>
      <c r="Z2420" t="s">
        <v>4690</v>
      </c>
      <c r="AA2420" t="s">
        <v>4691</v>
      </c>
      <c r="AB2420" t="s">
        <v>5972</v>
      </c>
      <c r="AE2420">
        <v>-36.861233839999997</v>
      </c>
      <c r="AF2420">
        <v>174.70484321999999</v>
      </c>
      <c r="AG2420">
        <v>74</v>
      </c>
      <c r="AH2420">
        <v>25</v>
      </c>
      <c r="AI2420">
        <v>1</v>
      </c>
      <c r="AJ2420">
        <v>19</v>
      </c>
      <c r="AK2420">
        <v>27</v>
      </c>
      <c r="AL2420">
        <v>28</v>
      </c>
      <c r="AM2420">
        <v>18</v>
      </c>
      <c r="AN2420">
        <v>0</v>
      </c>
      <c r="AO2420">
        <v>93</v>
      </c>
      <c r="AP2420">
        <v>89</v>
      </c>
      <c r="AQ2420">
        <v>11</v>
      </c>
      <c r="AR2420">
        <v>2</v>
      </c>
      <c r="AS2420">
        <v>7</v>
      </c>
      <c r="AT2420">
        <v>1</v>
      </c>
    </row>
    <row r="2421" spans="1:46">
      <c r="A2421">
        <v>46604</v>
      </c>
      <c r="B2421" t="s">
        <v>14189</v>
      </c>
      <c r="C2421" t="s">
        <v>14190</v>
      </c>
      <c r="D2421" t="s">
        <v>14191</v>
      </c>
      <c r="E2421" t="s">
        <v>14192</v>
      </c>
      <c r="F2421" t="s">
        <v>660</v>
      </c>
      <c r="G2421" t="s">
        <v>652</v>
      </c>
      <c r="H2421" t="s">
        <v>3942</v>
      </c>
      <c r="J2421" t="s">
        <v>3962</v>
      </c>
      <c r="K2421" t="s">
        <v>519</v>
      </c>
      <c r="M2421" t="s">
        <v>520</v>
      </c>
      <c r="N2421" t="s">
        <v>571</v>
      </c>
      <c r="O2421" t="s">
        <v>653</v>
      </c>
      <c r="P2421" t="s">
        <v>654</v>
      </c>
      <c r="Q2421" t="s">
        <v>638</v>
      </c>
      <c r="R2421" t="s">
        <v>639</v>
      </c>
      <c r="S2421" t="s">
        <v>655</v>
      </c>
      <c r="T2421" t="s">
        <v>527</v>
      </c>
      <c r="U2421">
        <v>118300</v>
      </c>
      <c r="V2421" t="s">
        <v>689</v>
      </c>
      <c r="W2421" t="s">
        <v>657</v>
      </c>
      <c r="X2421" t="s">
        <v>14193</v>
      </c>
      <c r="Y2421" t="s">
        <v>14194</v>
      </c>
      <c r="Z2421" t="s">
        <v>3706</v>
      </c>
      <c r="AA2421" t="s">
        <v>14195</v>
      </c>
      <c r="AB2421" t="s">
        <v>14196</v>
      </c>
      <c r="AE2421">
        <v>-36.717007479999999</v>
      </c>
      <c r="AF2421">
        <v>174.74665769999999</v>
      </c>
      <c r="AG2421">
        <v>97</v>
      </c>
      <c r="AH2421">
        <v>25</v>
      </c>
      <c r="AI2421">
        <v>1</v>
      </c>
      <c r="AJ2421">
        <v>8</v>
      </c>
      <c r="AK2421">
        <v>17</v>
      </c>
      <c r="AL2421">
        <v>12</v>
      </c>
      <c r="AM2421">
        <v>17</v>
      </c>
      <c r="AN2421">
        <v>1</v>
      </c>
      <c r="AO2421">
        <v>56</v>
      </c>
      <c r="AP2421">
        <v>29</v>
      </c>
      <c r="AQ2421">
        <v>6</v>
      </c>
      <c r="AR2421">
        <v>3</v>
      </c>
      <c r="AS2421">
        <v>30</v>
      </c>
      <c r="AT2421">
        <v>1</v>
      </c>
    </row>
    <row r="2422" spans="1:46">
      <c r="A2422">
        <v>46606</v>
      </c>
      <c r="B2422" t="s">
        <v>14197</v>
      </c>
      <c r="C2422" t="s">
        <v>14198</v>
      </c>
      <c r="D2422" t="s">
        <v>14199</v>
      </c>
      <c r="E2422" t="s">
        <v>14200</v>
      </c>
      <c r="G2422" t="s">
        <v>516</v>
      </c>
      <c r="H2422" t="s">
        <v>3942</v>
      </c>
      <c r="I2422" t="s">
        <v>4951</v>
      </c>
      <c r="J2422" t="s">
        <v>3962</v>
      </c>
      <c r="K2422" t="s">
        <v>519</v>
      </c>
      <c r="M2422" t="s">
        <v>520</v>
      </c>
      <c r="N2422" t="s">
        <v>727</v>
      </c>
      <c r="O2422" t="s">
        <v>522</v>
      </c>
      <c r="P2422" t="s">
        <v>523</v>
      </c>
      <c r="Q2422" t="s">
        <v>524</v>
      </c>
      <c r="R2422" t="s">
        <v>525</v>
      </c>
      <c r="S2422" t="s">
        <v>526</v>
      </c>
      <c r="T2422" t="s">
        <v>527</v>
      </c>
      <c r="U2422">
        <v>100700</v>
      </c>
      <c r="V2422" t="s">
        <v>546</v>
      </c>
      <c r="W2422" t="s">
        <v>529</v>
      </c>
      <c r="X2422" t="s">
        <v>14201</v>
      </c>
      <c r="Y2422" t="s">
        <v>14202</v>
      </c>
      <c r="AA2422" t="s">
        <v>14203</v>
      </c>
      <c r="AB2422" t="s">
        <v>14204</v>
      </c>
      <c r="AE2422">
        <v>-35.109621939999997</v>
      </c>
      <c r="AF2422">
        <v>173.25891375</v>
      </c>
      <c r="AG2422">
        <v>25</v>
      </c>
      <c r="AH2422">
        <v>10</v>
      </c>
      <c r="AI2422">
        <v>1</v>
      </c>
      <c r="AJ2422">
        <v>2</v>
      </c>
      <c r="AK2422">
        <v>4</v>
      </c>
      <c r="AL2422">
        <v>6</v>
      </c>
      <c r="AM2422">
        <v>5</v>
      </c>
      <c r="AN2422">
        <v>2</v>
      </c>
      <c r="AO2422">
        <v>20</v>
      </c>
      <c r="AP2422">
        <v>7</v>
      </c>
      <c r="AQ2422">
        <v>15</v>
      </c>
      <c r="AR2422">
        <v>1</v>
      </c>
      <c r="AS2422">
        <v>1</v>
      </c>
      <c r="AT2422">
        <v>0</v>
      </c>
    </row>
    <row r="2423" spans="1:46">
      <c r="A2423">
        <v>46610</v>
      </c>
      <c r="B2423" t="s">
        <v>14205</v>
      </c>
      <c r="C2423" t="s">
        <v>14206</v>
      </c>
      <c r="D2423" t="s">
        <v>14207</v>
      </c>
      <c r="E2423" t="s">
        <v>14208</v>
      </c>
      <c r="G2423" t="s">
        <v>3187</v>
      </c>
      <c r="H2423" t="s">
        <v>3942</v>
      </c>
      <c r="J2423" t="s">
        <v>3962</v>
      </c>
      <c r="K2423" t="s">
        <v>519</v>
      </c>
      <c r="M2423" t="s">
        <v>2287</v>
      </c>
      <c r="N2423" t="s">
        <v>571</v>
      </c>
      <c r="O2423" t="s">
        <v>2964</v>
      </c>
      <c r="P2423" t="s">
        <v>1262</v>
      </c>
      <c r="Q2423" t="s">
        <v>2943</v>
      </c>
      <c r="R2423" t="s">
        <v>2944</v>
      </c>
      <c r="S2423" t="s">
        <v>2965</v>
      </c>
      <c r="T2423" t="s">
        <v>2448</v>
      </c>
      <c r="U2423">
        <v>315901</v>
      </c>
      <c r="V2423" t="s">
        <v>14209</v>
      </c>
      <c r="W2423" t="s">
        <v>3189</v>
      </c>
      <c r="X2423" t="s">
        <v>14210</v>
      </c>
      <c r="Y2423" t="s">
        <v>14208</v>
      </c>
      <c r="AA2423" t="s">
        <v>14211</v>
      </c>
      <c r="AB2423" t="s">
        <v>14212</v>
      </c>
      <c r="AC2423">
        <v>99061</v>
      </c>
      <c r="AD2423" t="s">
        <v>3190</v>
      </c>
      <c r="AE2423">
        <v>-43.367757240000003</v>
      </c>
      <c r="AF2423">
        <v>172.66438546000001</v>
      </c>
      <c r="AG2423">
        <v>75</v>
      </c>
      <c r="AH2423">
        <v>15</v>
      </c>
      <c r="AI2423">
        <v>3</v>
      </c>
      <c r="AJ2423">
        <v>6</v>
      </c>
      <c r="AK2423">
        <v>16</v>
      </c>
      <c r="AL2423">
        <v>12</v>
      </c>
      <c r="AM2423">
        <v>15</v>
      </c>
      <c r="AN2423">
        <v>0</v>
      </c>
      <c r="AO2423">
        <v>52</v>
      </c>
      <c r="AP2423">
        <v>43</v>
      </c>
      <c r="AQ2423">
        <v>17</v>
      </c>
      <c r="AR2423">
        <v>4</v>
      </c>
      <c r="AS2423">
        <v>6</v>
      </c>
      <c r="AT2423">
        <v>0</v>
      </c>
    </row>
    <row r="2424" spans="1:46">
      <c r="A2424">
        <v>46612</v>
      </c>
      <c r="B2424" t="s">
        <v>14213</v>
      </c>
      <c r="C2424" t="s">
        <v>14214</v>
      </c>
      <c r="E2424" t="s">
        <v>14215</v>
      </c>
      <c r="G2424" t="s">
        <v>1611</v>
      </c>
      <c r="H2424" t="s">
        <v>343</v>
      </c>
      <c r="J2424" t="s">
        <v>518</v>
      </c>
      <c r="K2424" t="s">
        <v>519</v>
      </c>
      <c r="L2424" t="s">
        <v>4205</v>
      </c>
      <c r="M2424" t="s">
        <v>1297</v>
      </c>
      <c r="N2424" t="s">
        <v>521</v>
      </c>
      <c r="O2424" t="s">
        <v>1612</v>
      </c>
      <c r="P2424" t="s">
        <v>572</v>
      </c>
      <c r="Q2424" t="s">
        <v>1471</v>
      </c>
      <c r="R2424" t="s">
        <v>1472</v>
      </c>
      <c r="S2424" t="s">
        <v>1473</v>
      </c>
      <c r="T2424" t="s">
        <v>1474</v>
      </c>
      <c r="U2424">
        <v>204200</v>
      </c>
      <c r="V2424" t="s">
        <v>10224</v>
      </c>
      <c r="W2424" t="s">
        <v>10225</v>
      </c>
      <c r="X2424" t="s">
        <v>10125</v>
      </c>
      <c r="Y2424" t="s">
        <v>4208</v>
      </c>
      <c r="Z2424" t="s">
        <v>4209</v>
      </c>
      <c r="AA2424" t="s">
        <v>4210</v>
      </c>
      <c r="AB2424" t="s">
        <v>10126</v>
      </c>
      <c r="AE2424">
        <v>-37.648068649999999</v>
      </c>
      <c r="AF2424">
        <v>177.87533525000001</v>
      </c>
      <c r="AG2424">
        <v>25</v>
      </c>
      <c r="AH2424">
        <v>8</v>
      </c>
      <c r="AI2424">
        <v>0</v>
      </c>
      <c r="AJ2424">
        <v>0</v>
      </c>
      <c r="AK2424">
        <v>4</v>
      </c>
      <c r="AL2424">
        <v>4</v>
      </c>
      <c r="AM2424">
        <v>7</v>
      </c>
      <c r="AN2424">
        <v>0</v>
      </c>
      <c r="AO2424">
        <v>15</v>
      </c>
      <c r="AP2424">
        <v>0</v>
      </c>
      <c r="AQ2424">
        <v>15</v>
      </c>
      <c r="AR2424">
        <v>0</v>
      </c>
      <c r="AS2424">
        <v>0</v>
      </c>
      <c r="AT2424">
        <v>0</v>
      </c>
    </row>
    <row r="2425" spans="1:46">
      <c r="A2425">
        <v>46616</v>
      </c>
      <c r="B2425" t="s">
        <v>14216</v>
      </c>
      <c r="C2425" t="s">
        <v>14217</v>
      </c>
      <c r="D2425" t="s">
        <v>14218</v>
      </c>
      <c r="E2425" t="s">
        <v>14219</v>
      </c>
      <c r="F2425" t="s">
        <v>1029</v>
      </c>
      <c r="G2425" t="s">
        <v>652</v>
      </c>
      <c r="H2425" t="s">
        <v>3942</v>
      </c>
      <c r="J2425" t="s">
        <v>3962</v>
      </c>
      <c r="K2425" t="s">
        <v>519</v>
      </c>
      <c r="M2425" t="s">
        <v>520</v>
      </c>
      <c r="N2425" t="s">
        <v>571</v>
      </c>
      <c r="O2425" t="s">
        <v>829</v>
      </c>
      <c r="P2425" t="s">
        <v>654</v>
      </c>
      <c r="Q2425" t="s">
        <v>638</v>
      </c>
      <c r="R2425" t="s">
        <v>708</v>
      </c>
      <c r="S2425" t="s">
        <v>805</v>
      </c>
      <c r="T2425" t="s">
        <v>709</v>
      </c>
      <c r="U2425">
        <v>146600</v>
      </c>
      <c r="V2425" t="s">
        <v>4270</v>
      </c>
      <c r="W2425" t="s">
        <v>807</v>
      </c>
      <c r="X2425" t="s">
        <v>14220</v>
      </c>
      <c r="Y2425" t="s">
        <v>14221</v>
      </c>
      <c r="Z2425" t="s">
        <v>3902</v>
      </c>
      <c r="AA2425" t="s">
        <v>4537</v>
      </c>
      <c r="AE2425">
        <v>-36.90791119</v>
      </c>
      <c r="AF2425">
        <v>174.82600952000001</v>
      </c>
      <c r="AG2425">
        <v>82</v>
      </c>
      <c r="AH2425">
        <v>30</v>
      </c>
      <c r="AI2425">
        <v>4</v>
      </c>
      <c r="AJ2425">
        <v>19</v>
      </c>
      <c r="AK2425">
        <v>21</v>
      </c>
      <c r="AL2425">
        <v>24</v>
      </c>
      <c r="AM2425">
        <v>15</v>
      </c>
      <c r="AN2425">
        <v>0</v>
      </c>
      <c r="AO2425">
        <v>83</v>
      </c>
      <c r="AP2425">
        <v>31</v>
      </c>
      <c r="AQ2425">
        <v>10</v>
      </c>
      <c r="AR2425">
        <v>14</v>
      </c>
      <c r="AS2425">
        <v>43</v>
      </c>
      <c r="AT2425">
        <v>1</v>
      </c>
    </row>
    <row r="2426" spans="1:46">
      <c r="A2426">
        <v>46617</v>
      </c>
      <c r="B2426" t="s">
        <v>14222</v>
      </c>
      <c r="C2426" t="s">
        <v>8761</v>
      </c>
      <c r="E2426" t="s">
        <v>14013</v>
      </c>
      <c r="G2426" t="s">
        <v>1598</v>
      </c>
      <c r="H2426" t="s">
        <v>4716</v>
      </c>
      <c r="J2426" t="s">
        <v>3962</v>
      </c>
      <c r="K2426" t="s">
        <v>519</v>
      </c>
      <c r="M2426" t="s">
        <v>1297</v>
      </c>
      <c r="N2426" t="s">
        <v>539</v>
      </c>
      <c r="O2426" t="s">
        <v>1698</v>
      </c>
      <c r="P2426" t="s">
        <v>654</v>
      </c>
      <c r="Q2426" t="s">
        <v>1471</v>
      </c>
      <c r="R2426" t="s">
        <v>1472</v>
      </c>
      <c r="S2426" t="s">
        <v>1598</v>
      </c>
      <c r="T2426" t="s">
        <v>1474</v>
      </c>
      <c r="U2426">
        <v>194801</v>
      </c>
      <c r="V2426" t="s">
        <v>3722</v>
      </c>
      <c r="W2426" t="s">
        <v>3724</v>
      </c>
      <c r="X2426" t="s">
        <v>14014</v>
      </c>
      <c r="Y2426" t="s">
        <v>8763</v>
      </c>
      <c r="Z2426" t="s">
        <v>1313</v>
      </c>
      <c r="AA2426" t="s">
        <v>8511</v>
      </c>
      <c r="AB2426" t="s">
        <v>8761</v>
      </c>
      <c r="AE2426">
        <v>-37.707355069999998</v>
      </c>
      <c r="AF2426">
        <v>176.16028030999999</v>
      </c>
      <c r="AG2426">
        <v>80</v>
      </c>
      <c r="AH2426">
        <v>80</v>
      </c>
      <c r="AI2426">
        <v>4</v>
      </c>
      <c r="AJ2426">
        <v>7</v>
      </c>
      <c r="AK2426">
        <v>4</v>
      </c>
      <c r="AL2426">
        <v>6</v>
      </c>
      <c r="AM2426">
        <v>7</v>
      </c>
      <c r="AN2426">
        <v>1</v>
      </c>
      <c r="AO2426">
        <v>29</v>
      </c>
      <c r="AP2426">
        <v>19</v>
      </c>
      <c r="AQ2426">
        <v>22</v>
      </c>
      <c r="AR2426">
        <v>3</v>
      </c>
      <c r="AS2426">
        <v>4</v>
      </c>
      <c r="AT2426">
        <v>1</v>
      </c>
    </row>
    <row r="2427" spans="1:46">
      <c r="A2427">
        <v>46618</v>
      </c>
      <c r="B2427" t="s">
        <v>14223</v>
      </c>
      <c r="C2427" t="s">
        <v>14224</v>
      </c>
      <c r="E2427" t="s">
        <v>14225</v>
      </c>
      <c r="F2427" t="s">
        <v>1707</v>
      </c>
      <c r="G2427" t="s">
        <v>1598</v>
      </c>
      <c r="H2427" t="s">
        <v>3942</v>
      </c>
      <c r="J2427" t="s">
        <v>3962</v>
      </c>
      <c r="K2427" t="s">
        <v>519</v>
      </c>
      <c r="M2427" t="s">
        <v>1297</v>
      </c>
      <c r="N2427" t="s">
        <v>571</v>
      </c>
      <c r="O2427" t="s">
        <v>1698</v>
      </c>
      <c r="P2427" t="s">
        <v>654</v>
      </c>
      <c r="Q2427" t="s">
        <v>1471</v>
      </c>
      <c r="R2427" t="s">
        <v>1472</v>
      </c>
      <c r="S2427" t="s">
        <v>1598</v>
      </c>
      <c r="T2427" t="s">
        <v>1474</v>
      </c>
      <c r="U2427">
        <v>193201</v>
      </c>
      <c r="V2427" t="s">
        <v>10784</v>
      </c>
      <c r="W2427" t="s">
        <v>1737</v>
      </c>
      <c r="X2427" t="s">
        <v>14226</v>
      </c>
      <c r="Y2427" t="s">
        <v>14227</v>
      </c>
      <c r="Z2427" t="s">
        <v>10037</v>
      </c>
      <c r="AA2427" t="s">
        <v>14228</v>
      </c>
      <c r="AB2427" t="s">
        <v>14229</v>
      </c>
      <c r="AC2427">
        <v>99036</v>
      </c>
      <c r="AD2427" t="s">
        <v>1710</v>
      </c>
      <c r="AE2427">
        <v>-37.666246440000002</v>
      </c>
      <c r="AF2427">
        <v>176.14604387</v>
      </c>
      <c r="AG2427">
        <v>28</v>
      </c>
      <c r="AH2427">
        <v>8</v>
      </c>
      <c r="AI2427">
        <v>0</v>
      </c>
      <c r="AJ2427">
        <v>3</v>
      </c>
      <c r="AK2427">
        <v>10</v>
      </c>
      <c r="AL2427">
        <v>8</v>
      </c>
      <c r="AM2427">
        <v>14</v>
      </c>
      <c r="AN2427">
        <v>0</v>
      </c>
      <c r="AO2427">
        <v>35</v>
      </c>
      <c r="AP2427">
        <v>32</v>
      </c>
      <c r="AQ2427">
        <v>2</v>
      </c>
      <c r="AR2427">
        <v>0</v>
      </c>
      <c r="AS2427">
        <v>2</v>
      </c>
      <c r="AT2427">
        <v>1</v>
      </c>
    </row>
    <row r="2428" spans="1:46">
      <c r="A2428">
        <v>46621</v>
      </c>
      <c r="B2428" t="s">
        <v>14230</v>
      </c>
      <c r="C2428" t="s">
        <v>14231</v>
      </c>
      <c r="E2428" t="s">
        <v>14232</v>
      </c>
      <c r="F2428" t="s">
        <v>717</v>
      </c>
      <c r="G2428" t="s">
        <v>652</v>
      </c>
      <c r="H2428" t="s">
        <v>3942</v>
      </c>
      <c r="J2428" t="s">
        <v>3962</v>
      </c>
      <c r="K2428" t="s">
        <v>519</v>
      </c>
      <c r="M2428" t="s">
        <v>520</v>
      </c>
      <c r="N2428" t="s">
        <v>571</v>
      </c>
      <c r="O2428" t="s">
        <v>718</v>
      </c>
      <c r="P2428" t="s">
        <v>654</v>
      </c>
      <c r="Q2428" t="s">
        <v>638</v>
      </c>
      <c r="R2428" t="s">
        <v>708</v>
      </c>
      <c r="S2428" t="s">
        <v>719</v>
      </c>
      <c r="T2428" t="s">
        <v>709</v>
      </c>
      <c r="U2428">
        <v>128700</v>
      </c>
      <c r="V2428" t="s">
        <v>11721</v>
      </c>
      <c r="W2428" t="s">
        <v>721</v>
      </c>
      <c r="X2428" t="s">
        <v>12791</v>
      </c>
      <c r="Y2428" t="s">
        <v>10566</v>
      </c>
      <c r="Z2428" t="s">
        <v>891</v>
      </c>
      <c r="AA2428" t="s">
        <v>10567</v>
      </c>
      <c r="AB2428" t="s">
        <v>14231</v>
      </c>
      <c r="AE2428">
        <v>-36.883903490000002</v>
      </c>
      <c r="AF2428">
        <v>174.6828788</v>
      </c>
      <c r="AG2428">
        <v>150</v>
      </c>
      <c r="AH2428">
        <v>50</v>
      </c>
      <c r="AI2428">
        <v>9</v>
      </c>
      <c r="AJ2428">
        <v>36</v>
      </c>
      <c r="AK2428">
        <v>29</v>
      </c>
      <c r="AL2428">
        <v>30</v>
      </c>
      <c r="AM2428">
        <v>26</v>
      </c>
      <c r="AN2428">
        <v>0</v>
      </c>
      <c r="AO2428">
        <v>130</v>
      </c>
      <c r="AP2428">
        <v>68</v>
      </c>
      <c r="AQ2428">
        <v>17</v>
      </c>
      <c r="AR2428">
        <v>19</v>
      </c>
      <c r="AS2428">
        <v>47</v>
      </c>
      <c r="AT2428">
        <v>12</v>
      </c>
    </row>
    <row r="2429" spans="1:46">
      <c r="A2429">
        <v>46622</v>
      </c>
      <c r="B2429" t="s">
        <v>14233</v>
      </c>
      <c r="C2429" t="s">
        <v>14234</v>
      </c>
      <c r="E2429" t="s">
        <v>14235</v>
      </c>
      <c r="F2429" t="s">
        <v>898</v>
      </c>
      <c r="G2429" t="s">
        <v>652</v>
      </c>
      <c r="H2429" t="s">
        <v>3942</v>
      </c>
      <c r="J2429" t="s">
        <v>3962</v>
      </c>
      <c r="K2429" t="s">
        <v>519</v>
      </c>
      <c r="M2429" t="s">
        <v>520</v>
      </c>
      <c r="N2429" t="s">
        <v>557</v>
      </c>
      <c r="O2429" t="s">
        <v>813</v>
      </c>
      <c r="P2429" t="s">
        <v>654</v>
      </c>
      <c r="Q2429" t="s">
        <v>638</v>
      </c>
      <c r="R2429" t="s">
        <v>639</v>
      </c>
      <c r="S2429" t="s">
        <v>899</v>
      </c>
      <c r="T2429" t="s">
        <v>527</v>
      </c>
      <c r="U2429">
        <v>125701</v>
      </c>
      <c r="V2429" t="s">
        <v>5792</v>
      </c>
      <c r="W2429" t="s">
        <v>815</v>
      </c>
      <c r="X2429" t="s">
        <v>14236</v>
      </c>
      <c r="Y2429" t="s">
        <v>4658</v>
      </c>
      <c r="Z2429" t="s">
        <v>958</v>
      </c>
      <c r="AA2429" t="s">
        <v>4659</v>
      </c>
      <c r="AB2429" t="s">
        <v>14237</v>
      </c>
      <c r="AE2429">
        <v>-36.870007090000001</v>
      </c>
      <c r="AF2429">
        <v>174.61830660000001</v>
      </c>
      <c r="AG2429">
        <v>75</v>
      </c>
      <c r="AH2429">
        <v>20</v>
      </c>
      <c r="AI2429">
        <v>2</v>
      </c>
      <c r="AJ2429">
        <v>14</v>
      </c>
      <c r="AK2429">
        <v>15</v>
      </c>
      <c r="AL2429">
        <v>11</v>
      </c>
      <c r="AM2429">
        <v>16</v>
      </c>
      <c r="AN2429">
        <v>2</v>
      </c>
      <c r="AO2429">
        <v>60</v>
      </c>
      <c r="AP2429">
        <v>23</v>
      </c>
      <c r="AQ2429">
        <v>12</v>
      </c>
      <c r="AR2429">
        <v>14</v>
      </c>
      <c r="AS2429">
        <v>31</v>
      </c>
      <c r="AT2429">
        <v>6</v>
      </c>
    </row>
    <row r="2430" spans="1:46">
      <c r="A2430">
        <v>46625</v>
      </c>
      <c r="B2430" t="s">
        <v>14238</v>
      </c>
      <c r="C2430" t="s">
        <v>14239</v>
      </c>
      <c r="D2430" t="s">
        <v>14240</v>
      </c>
      <c r="E2430" t="s">
        <v>14241</v>
      </c>
      <c r="F2430" t="s">
        <v>12983</v>
      </c>
      <c r="G2430" t="s">
        <v>1296</v>
      </c>
      <c r="H2430" t="s">
        <v>6218</v>
      </c>
      <c r="I2430" t="s">
        <v>4575</v>
      </c>
      <c r="J2430" t="s">
        <v>518</v>
      </c>
      <c r="K2430" t="s">
        <v>519</v>
      </c>
      <c r="M2430" t="s">
        <v>1297</v>
      </c>
      <c r="N2430" t="s">
        <v>521</v>
      </c>
      <c r="O2430" t="s">
        <v>1298</v>
      </c>
      <c r="P2430" t="s">
        <v>654</v>
      </c>
      <c r="Q2430" t="s">
        <v>1299</v>
      </c>
      <c r="R2430" t="s">
        <v>1300</v>
      </c>
      <c r="S2430" t="s">
        <v>1312</v>
      </c>
      <c r="T2430" t="s">
        <v>1235</v>
      </c>
      <c r="U2430">
        <v>179100</v>
      </c>
      <c r="V2430" t="s">
        <v>9687</v>
      </c>
      <c r="W2430" t="s">
        <v>1314</v>
      </c>
      <c r="X2430" t="s">
        <v>14242</v>
      </c>
      <c r="Y2430" t="s">
        <v>14243</v>
      </c>
      <c r="AA2430" t="s">
        <v>1306</v>
      </c>
      <c r="AB2430" t="s">
        <v>14244</v>
      </c>
      <c r="AC2430">
        <v>99084</v>
      </c>
      <c r="AD2430" t="s">
        <v>14245</v>
      </c>
      <c r="AE2430">
        <v>-37.768311400000002</v>
      </c>
      <c r="AF2430">
        <v>175.29386289999999</v>
      </c>
      <c r="AG2430">
        <v>50</v>
      </c>
      <c r="AH2430">
        <v>25</v>
      </c>
      <c r="AI2430">
        <v>3</v>
      </c>
      <c r="AJ2430">
        <v>15</v>
      </c>
      <c r="AK2430">
        <v>23</v>
      </c>
      <c r="AL2430">
        <v>18</v>
      </c>
      <c r="AM2430">
        <v>21</v>
      </c>
      <c r="AN2430">
        <v>2</v>
      </c>
      <c r="AO2430">
        <v>82</v>
      </c>
      <c r="AP2430">
        <v>8</v>
      </c>
      <c r="AQ2430">
        <v>80</v>
      </c>
      <c r="AR2430">
        <v>8</v>
      </c>
      <c r="AS2430">
        <v>7</v>
      </c>
      <c r="AT2430">
        <v>1</v>
      </c>
    </row>
    <row r="2431" spans="1:46">
      <c r="A2431">
        <v>46627</v>
      </c>
      <c r="B2431" t="s">
        <v>14246</v>
      </c>
      <c r="C2431" t="s">
        <v>14247</v>
      </c>
      <c r="E2431" t="s">
        <v>8254</v>
      </c>
      <c r="F2431" t="s">
        <v>8255</v>
      </c>
      <c r="G2431" t="s">
        <v>652</v>
      </c>
      <c r="H2431" t="s">
        <v>4716</v>
      </c>
      <c r="J2431" t="s">
        <v>3962</v>
      </c>
      <c r="K2431" t="s">
        <v>519</v>
      </c>
      <c r="M2431" t="s">
        <v>520</v>
      </c>
      <c r="N2431" t="s">
        <v>571</v>
      </c>
      <c r="O2431" t="s">
        <v>1168</v>
      </c>
      <c r="P2431" t="s">
        <v>654</v>
      </c>
      <c r="Q2431" t="s">
        <v>638</v>
      </c>
      <c r="R2431" t="s">
        <v>639</v>
      </c>
      <c r="S2431" t="s">
        <v>655</v>
      </c>
      <c r="T2431" t="s">
        <v>527</v>
      </c>
      <c r="U2431">
        <v>118600</v>
      </c>
      <c r="V2431" t="s">
        <v>4012</v>
      </c>
      <c r="W2431" t="s">
        <v>657</v>
      </c>
      <c r="X2431" t="s">
        <v>6268</v>
      </c>
      <c r="Y2431" t="s">
        <v>6269</v>
      </c>
      <c r="Z2431" t="s">
        <v>3706</v>
      </c>
      <c r="AA2431" t="s">
        <v>6270</v>
      </c>
      <c r="AE2431">
        <v>-36.74603741</v>
      </c>
      <c r="AF2431">
        <v>174.70432332999999</v>
      </c>
      <c r="AG2431">
        <v>80</v>
      </c>
      <c r="AH2431">
        <v>80</v>
      </c>
      <c r="AI2431">
        <v>4</v>
      </c>
      <c r="AJ2431">
        <v>12</v>
      </c>
      <c r="AK2431">
        <v>11</v>
      </c>
      <c r="AL2431">
        <v>11</v>
      </c>
      <c r="AM2431">
        <v>12</v>
      </c>
      <c r="AN2431">
        <v>0</v>
      </c>
      <c r="AO2431">
        <v>50</v>
      </c>
      <c r="AP2431">
        <v>1</v>
      </c>
      <c r="AQ2431">
        <v>0</v>
      </c>
      <c r="AR2431">
        <v>0</v>
      </c>
      <c r="AS2431">
        <v>50</v>
      </c>
      <c r="AT2431">
        <v>0</v>
      </c>
    </row>
    <row r="2432" spans="1:46">
      <c r="A2432">
        <v>46629</v>
      </c>
      <c r="B2432" t="s">
        <v>14248</v>
      </c>
      <c r="C2432" t="s">
        <v>14249</v>
      </c>
      <c r="D2432" t="s">
        <v>14250</v>
      </c>
      <c r="E2432" t="s">
        <v>14251</v>
      </c>
      <c r="G2432" t="s">
        <v>1436</v>
      </c>
      <c r="H2432" t="s">
        <v>3942</v>
      </c>
      <c r="J2432" t="s">
        <v>3962</v>
      </c>
      <c r="K2432" t="s">
        <v>519</v>
      </c>
      <c r="M2432" t="s">
        <v>1297</v>
      </c>
      <c r="N2432" t="s">
        <v>521</v>
      </c>
      <c r="O2432" t="s">
        <v>1437</v>
      </c>
      <c r="P2432" t="s">
        <v>523</v>
      </c>
      <c r="Q2432" t="s">
        <v>1299</v>
      </c>
      <c r="R2432" t="s">
        <v>1300</v>
      </c>
      <c r="S2432" t="s">
        <v>1438</v>
      </c>
      <c r="T2432" t="s">
        <v>1235</v>
      </c>
      <c r="U2432">
        <v>169200</v>
      </c>
      <c r="V2432" t="s">
        <v>1436</v>
      </c>
      <c r="W2432" t="s">
        <v>1439</v>
      </c>
      <c r="X2432" t="s">
        <v>9346</v>
      </c>
      <c r="Y2432" t="s">
        <v>9345</v>
      </c>
      <c r="AA2432" t="s">
        <v>9347</v>
      </c>
      <c r="AB2432" t="s">
        <v>9348</v>
      </c>
      <c r="AC2432">
        <v>99070</v>
      </c>
      <c r="AD2432" t="s">
        <v>1444</v>
      </c>
      <c r="AE2432">
        <v>-37.379973909999997</v>
      </c>
      <c r="AF2432">
        <v>175.66974959000001</v>
      </c>
      <c r="AG2432">
        <v>80</v>
      </c>
      <c r="AH2432">
        <v>30</v>
      </c>
      <c r="AI2432">
        <v>0</v>
      </c>
      <c r="AJ2432">
        <v>3</v>
      </c>
      <c r="AK2432">
        <v>7</v>
      </c>
      <c r="AL2432">
        <v>13</v>
      </c>
      <c r="AM2432">
        <v>9</v>
      </c>
      <c r="AN2432">
        <v>0</v>
      </c>
      <c r="AO2432">
        <v>32</v>
      </c>
      <c r="AP2432">
        <v>28</v>
      </c>
      <c r="AQ2432">
        <v>11</v>
      </c>
      <c r="AR2432">
        <v>2</v>
      </c>
      <c r="AS2432">
        <v>1</v>
      </c>
      <c r="AT2432">
        <v>0</v>
      </c>
    </row>
    <row r="2433" spans="1:46">
      <c r="A2433">
        <v>46630</v>
      </c>
      <c r="B2433" t="s">
        <v>14252</v>
      </c>
      <c r="C2433" t="s">
        <v>14253</v>
      </c>
      <c r="D2433" t="s">
        <v>14254</v>
      </c>
      <c r="E2433" t="s">
        <v>14255</v>
      </c>
      <c r="F2433" t="s">
        <v>14256</v>
      </c>
      <c r="G2433" t="s">
        <v>2725</v>
      </c>
      <c r="H2433" t="s">
        <v>3942</v>
      </c>
      <c r="J2433" t="s">
        <v>3962</v>
      </c>
      <c r="K2433" t="s">
        <v>519</v>
      </c>
      <c r="M2433" t="s">
        <v>2287</v>
      </c>
      <c r="N2433" t="s">
        <v>539</v>
      </c>
      <c r="O2433" t="s">
        <v>2066</v>
      </c>
      <c r="P2433" t="s">
        <v>1262</v>
      </c>
      <c r="Q2433" t="s">
        <v>1636</v>
      </c>
      <c r="R2433" t="s">
        <v>2289</v>
      </c>
      <c r="S2433" t="s">
        <v>2067</v>
      </c>
      <c r="T2433" t="s">
        <v>1485</v>
      </c>
      <c r="U2433">
        <v>235200</v>
      </c>
      <c r="V2433" t="s">
        <v>3645</v>
      </c>
      <c r="W2433" t="s">
        <v>2727</v>
      </c>
      <c r="X2433" t="s">
        <v>14257</v>
      </c>
      <c r="Y2433" t="s">
        <v>4658</v>
      </c>
      <c r="Z2433" t="s">
        <v>958</v>
      </c>
      <c r="AA2433" t="s">
        <v>4659</v>
      </c>
      <c r="AE2433">
        <v>-40.624030429999998</v>
      </c>
      <c r="AF2433">
        <v>175.27893754999999</v>
      </c>
      <c r="AG2433">
        <v>64</v>
      </c>
      <c r="AH2433">
        <v>25</v>
      </c>
      <c r="AI2433">
        <v>1</v>
      </c>
      <c r="AJ2433">
        <v>14</v>
      </c>
      <c r="AK2433">
        <v>13</v>
      </c>
      <c r="AL2433">
        <v>18</v>
      </c>
      <c r="AM2433">
        <v>10</v>
      </c>
      <c r="AN2433">
        <v>0</v>
      </c>
      <c r="AO2433">
        <v>56</v>
      </c>
      <c r="AP2433">
        <v>34</v>
      </c>
      <c r="AQ2433">
        <v>31</v>
      </c>
      <c r="AR2433">
        <v>9</v>
      </c>
      <c r="AS2433">
        <v>10</v>
      </c>
      <c r="AT2433">
        <v>1</v>
      </c>
    </row>
    <row r="2434" spans="1:46">
      <c r="A2434">
        <v>46632</v>
      </c>
      <c r="B2434" t="s">
        <v>14258</v>
      </c>
      <c r="C2434" t="s">
        <v>14259</v>
      </c>
      <c r="E2434" t="s">
        <v>14260</v>
      </c>
      <c r="G2434" t="s">
        <v>14261</v>
      </c>
      <c r="H2434" t="s">
        <v>3942</v>
      </c>
      <c r="J2434" t="s">
        <v>3962</v>
      </c>
      <c r="K2434" t="s">
        <v>519</v>
      </c>
      <c r="M2434" t="s">
        <v>2287</v>
      </c>
      <c r="N2434" t="s">
        <v>571</v>
      </c>
      <c r="O2434" t="s">
        <v>13482</v>
      </c>
      <c r="P2434" t="s">
        <v>540</v>
      </c>
      <c r="Q2434" t="s">
        <v>2943</v>
      </c>
      <c r="R2434" t="s">
        <v>2944</v>
      </c>
      <c r="S2434" t="s">
        <v>2825</v>
      </c>
      <c r="T2434" t="s">
        <v>2448</v>
      </c>
      <c r="U2434">
        <v>312400</v>
      </c>
      <c r="V2434" t="s">
        <v>14262</v>
      </c>
      <c r="W2434" t="s">
        <v>13794</v>
      </c>
      <c r="X2434" t="s">
        <v>14263</v>
      </c>
      <c r="Y2434" t="s">
        <v>14264</v>
      </c>
      <c r="AA2434" t="s">
        <v>14265</v>
      </c>
      <c r="AB2434" t="s">
        <v>14259</v>
      </c>
      <c r="AE2434">
        <v>-42.925957510000003</v>
      </c>
      <c r="AF2434">
        <v>172.64902701</v>
      </c>
      <c r="AG2434">
        <v>27</v>
      </c>
      <c r="AH2434">
        <v>5</v>
      </c>
      <c r="AI2434">
        <v>0</v>
      </c>
      <c r="AJ2434">
        <v>3</v>
      </c>
      <c r="AK2434">
        <v>7</v>
      </c>
      <c r="AL2434">
        <v>11</v>
      </c>
      <c r="AM2434">
        <v>13</v>
      </c>
      <c r="AN2434">
        <v>0</v>
      </c>
      <c r="AO2434">
        <v>34</v>
      </c>
      <c r="AP2434">
        <v>31</v>
      </c>
      <c r="AQ2434">
        <v>8</v>
      </c>
      <c r="AR2434">
        <v>0</v>
      </c>
      <c r="AS2434">
        <v>0</v>
      </c>
      <c r="AT2434">
        <v>2</v>
      </c>
    </row>
    <row r="2435" spans="1:46">
      <c r="A2435">
        <v>46633</v>
      </c>
      <c r="B2435" t="s">
        <v>14266</v>
      </c>
      <c r="C2435" t="s">
        <v>14267</v>
      </c>
      <c r="E2435" t="s">
        <v>14268</v>
      </c>
      <c r="F2435" t="s">
        <v>8907</v>
      </c>
      <c r="G2435" t="s">
        <v>1521</v>
      </c>
      <c r="H2435" t="s">
        <v>3942</v>
      </c>
      <c r="J2435" t="s">
        <v>3962</v>
      </c>
      <c r="K2435" t="s">
        <v>519</v>
      </c>
      <c r="M2435" t="s">
        <v>1297</v>
      </c>
      <c r="N2435" t="s">
        <v>521</v>
      </c>
      <c r="O2435" t="s">
        <v>1522</v>
      </c>
      <c r="P2435" t="s">
        <v>584</v>
      </c>
      <c r="Q2435" t="s">
        <v>1471</v>
      </c>
      <c r="R2435" t="s">
        <v>1472</v>
      </c>
      <c r="S2435" t="s">
        <v>1521</v>
      </c>
      <c r="T2435" t="s">
        <v>1474</v>
      </c>
      <c r="U2435">
        <v>200500</v>
      </c>
      <c r="V2435" t="s">
        <v>8905</v>
      </c>
      <c r="W2435" t="s">
        <v>1523</v>
      </c>
      <c r="X2435" t="s">
        <v>13460</v>
      </c>
      <c r="Y2435" t="s">
        <v>13461</v>
      </c>
      <c r="Z2435" t="s">
        <v>1628</v>
      </c>
      <c r="AA2435" t="s">
        <v>8520</v>
      </c>
      <c r="AB2435" t="s">
        <v>13462</v>
      </c>
      <c r="AC2435">
        <v>99019</v>
      </c>
      <c r="AD2435" t="s">
        <v>1565</v>
      </c>
      <c r="AE2435">
        <v>-38.149185260000003</v>
      </c>
      <c r="AF2435">
        <v>176.24614105000001</v>
      </c>
      <c r="AG2435">
        <v>35</v>
      </c>
      <c r="AH2435">
        <v>8</v>
      </c>
      <c r="AI2435">
        <v>1</v>
      </c>
      <c r="AJ2435">
        <v>4</v>
      </c>
      <c r="AK2435">
        <v>3</v>
      </c>
      <c r="AL2435">
        <v>12</v>
      </c>
      <c r="AM2435">
        <v>3</v>
      </c>
      <c r="AN2435">
        <v>0</v>
      </c>
      <c r="AO2435">
        <v>23</v>
      </c>
      <c r="AP2435">
        <v>2</v>
      </c>
      <c r="AQ2435">
        <v>19</v>
      </c>
      <c r="AR2435">
        <v>5</v>
      </c>
      <c r="AS2435">
        <v>3</v>
      </c>
      <c r="AT2435">
        <v>1</v>
      </c>
    </row>
    <row r="2436" spans="1:46">
      <c r="A2436">
        <v>46634</v>
      </c>
      <c r="B2436" t="s">
        <v>14269</v>
      </c>
      <c r="C2436" t="s">
        <v>14270</v>
      </c>
      <c r="D2436" t="s">
        <v>14271</v>
      </c>
      <c r="E2436" t="s">
        <v>14272</v>
      </c>
      <c r="F2436" t="s">
        <v>14273</v>
      </c>
      <c r="G2436" t="s">
        <v>2941</v>
      </c>
      <c r="H2436" t="s">
        <v>3942</v>
      </c>
      <c r="J2436" t="s">
        <v>3962</v>
      </c>
      <c r="K2436" t="s">
        <v>519</v>
      </c>
      <c r="M2436" t="s">
        <v>2287</v>
      </c>
      <c r="N2436" t="s">
        <v>571</v>
      </c>
      <c r="O2436" t="s">
        <v>2942</v>
      </c>
      <c r="P2436" t="s">
        <v>654</v>
      </c>
      <c r="Q2436" t="s">
        <v>2943</v>
      </c>
      <c r="R2436" t="s">
        <v>2944</v>
      </c>
      <c r="S2436" t="s">
        <v>2965</v>
      </c>
      <c r="T2436" t="s">
        <v>2448</v>
      </c>
      <c r="U2436">
        <v>316800</v>
      </c>
      <c r="V2436" t="s">
        <v>14274</v>
      </c>
      <c r="W2436" t="s">
        <v>2986</v>
      </c>
      <c r="X2436" t="s">
        <v>14275</v>
      </c>
      <c r="Y2436" t="s">
        <v>14276</v>
      </c>
      <c r="AA2436" t="s">
        <v>14277</v>
      </c>
      <c r="AB2436" t="s">
        <v>14278</v>
      </c>
      <c r="AC2436">
        <v>99039</v>
      </c>
      <c r="AD2436" t="s">
        <v>2987</v>
      </c>
      <c r="AE2436">
        <v>-43.459793849999997</v>
      </c>
      <c r="AF2436">
        <v>172.5904535</v>
      </c>
      <c r="AG2436">
        <v>69</v>
      </c>
      <c r="AH2436">
        <v>16</v>
      </c>
      <c r="AI2436">
        <v>5</v>
      </c>
      <c r="AJ2436">
        <v>16</v>
      </c>
      <c r="AK2436">
        <v>15</v>
      </c>
      <c r="AL2436">
        <v>23</v>
      </c>
      <c r="AM2436">
        <v>20</v>
      </c>
      <c r="AN2436">
        <v>0</v>
      </c>
      <c r="AO2436">
        <v>79</v>
      </c>
      <c r="AP2436">
        <v>77</v>
      </c>
      <c r="AQ2436">
        <v>8</v>
      </c>
      <c r="AR2436">
        <v>2</v>
      </c>
      <c r="AS2436">
        <v>0</v>
      </c>
      <c r="AT2436">
        <v>2</v>
      </c>
    </row>
    <row r="2437" spans="1:46">
      <c r="A2437">
        <v>46636</v>
      </c>
      <c r="B2437" t="s">
        <v>14279</v>
      </c>
      <c r="C2437" t="s">
        <v>14280</v>
      </c>
      <c r="D2437" t="s">
        <v>14281</v>
      </c>
      <c r="E2437" t="s">
        <v>14282</v>
      </c>
      <c r="G2437" t="s">
        <v>14283</v>
      </c>
      <c r="H2437" t="s">
        <v>517</v>
      </c>
      <c r="J2437" t="s">
        <v>518</v>
      </c>
      <c r="K2437" t="s">
        <v>519</v>
      </c>
      <c r="M2437" t="s">
        <v>2287</v>
      </c>
      <c r="N2437" t="s">
        <v>571</v>
      </c>
      <c r="O2437" t="s">
        <v>2942</v>
      </c>
      <c r="P2437" t="s">
        <v>523</v>
      </c>
      <c r="Q2437" t="s">
        <v>2943</v>
      </c>
      <c r="R2437" t="s">
        <v>2944</v>
      </c>
      <c r="S2437" t="s">
        <v>2979</v>
      </c>
      <c r="T2437" t="s">
        <v>2448</v>
      </c>
      <c r="U2437">
        <v>332901</v>
      </c>
      <c r="V2437" t="s">
        <v>14283</v>
      </c>
      <c r="W2437" t="s">
        <v>3063</v>
      </c>
      <c r="X2437" t="s">
        <v>2948</v>
      </c>
      <c r="Y2437" t="s">
        <v>2949</v>
      </c>
      <c r="Z2437" t="s">
        <v>2950</v>
      </c>
      <c r="AA2437" t="s">
        <v>2951</v>
      </c>
      <c r="AB2437" t="s">
        <v>2952</v>
      </c>
      <c r="AC2437">
        <v>99177</v>
      </c>
      <c r="AD2437" t="s">
        <v>2959</v>
      </c>
      <c r="AE2437">
        <v>-43.630123079999997</v>
      </c>
      <c r="AF2437">
        <v>172.72671564000001</v>
      </c>
      <c r="AG2437">
        <v>40</v>
      </c>
      <c r="AH2437">
        <v>8</v>
      </c>
      <c r="AI2437">
        <v>0</v>
      </c>
      <c r="AJ2437">
        <v>5</v>
      </c>
      <c r="AK2437">
        <v>6</v>
      </c>
      <c r="AL2437">
        <v>6</v>
      </c>
      <c r="AM2437">
        <v>10</v>
      </c>
      <c r="AN2437">
        <v>0</v>
      </c>
      <c r="AO2437">
        <v>27</v>
      </c>
      <c r="AP2437">
        <v>26</v>
      </c>
      <c r="AQ2437">
        <v>2</v>
      </c>
      <c r="AR2437">
        <v>2</v>
      </c>
      <c r="AS2437">
        <v>1</v>
      </c>
      <c r="AT2437">
        <v>0</v>
      </c>
    </row>
    <row r="2438" spans="1:46">
      <c r="A2438">
        <v>46637</v>
      </c>
      <c r="B2438" t="s">
        <v>14284</v>
      </c>
      <c r="C2438" t="s">
        <v>14285</v>
      </c>
      <c r="D2438" t="s">
        <v>14286</v>
      </c>
      <c r="E2438" t="s">
        <v>14287</v>
      </c>
      <c r="F2438" t="s">
        <v>2637</v>
      </c>
      <c r="G2438" t="s">
        <v>2289</v>
      </c>
      <c r="H2438" t="s">
        <v>3942</v>
      </c>
      <c r="J2438" t="s">
        <v>3962</v>
      </c>
      <c r="K2438" t="s">
        <v>519</v>
      </c>
      <c r="M2438" t="s">
        <v>2287</v>
      </c>
      <c r="N2438" t="s">
        <v>571</v>
      </c>
      <c r="O2438" t="s">
        <v>2536</v>
      </c>
      <c r="P2438" t="s">
        <v>654</v>
      </c>
      <c r="Q2438" t="s">
        <v>2319</v>
      </c>
      <c r="R2438" t="s">
        <v>2289</v>
      </c>
      <c r="S2438" t="s">
        <v>2537</v>
      </c>
      <c r="T2438" t="s">
        <v>2448</v>
      </c>
      <c r="U2438">
        <v>254900</v>
      </c>
      <c r="V2438" t="s">
        <v>14288</v>
      </c>
      <c r="W2438" t="s">
        <v>2591</v>
      </c>
      <c r="X2438" t="s">
        <v>12395</v>
      </c>
      <c r="Y2438" t="s">
        <v>12396</v>
      </c>
      <c r="Z2438" t="s">
        <v>12397</v>
      </c>
      <c r="AA2438" t="s">
        <v>12398</v>
      </c>
      <c r="AE2438">
        <v>-41.325533210000003</v>
      </c>
      <c r="AF2438">
        <v>174.81222794000001</v>
      </c>
      <c r="AG2438">
        <v>28</v>
      </c>
      <c r="AH2438">
        <v>5</v>
      </c>
      <c r="AI2438">
        <v>1</v>
      </c>
      <c r="AJ2438">
        <v>6</v>
      </c>
      <c r="AK2438">
        <v>8</v>
      </c>
      <c r="AL2438">
        <v>7</v>
      </c>
      <c r="AM2438">
        <v>8</v>
      </c>
      <c r="AN2438">
        <v>0</v>
      </c>
      <c r="AO2438">
        <v>30</v>
      </c>
      <c r="AP2438">
        <v>23</v>
      </c>
      <c r="AQ2438">
        <v>4</v>
      </c>
      <c r="AR2438">
        <v>1</v>
      </c>
      <c r="AS2438">
        <v>4</v>
      </c>
      <c r="AT2438">
        <v>4</v>
      </c>
    </row>
    <row r="2439" spans="1:46">
      <c r="A2439">
        <v>46638</v>
      </c>
      <c r="B2439" t="s">
        <v>14289</v>
      </c>
      <c r="C2439" t="s">
        <v>14290</v>
      </c>
      <c r="D2439" t="s">
        <v>8302</v>
      </c>
      <c r="E2439" t="s">
        <v>14291</v>
      </c>
      <c r="F2439" t="s">
        <v>1036</v>
      </c>
      <c r="G2439" t="s">
        <v>652</v>
      </c>
      <c r="H2439" t="s">
        <v>3942</v>
      </c>
      <c r="J2439" t="s">
        <v>518</v>
      </c>
      <c r="K2439" t="s">
        <v>519</v>
      </c>
      <c r="M2439" t="s">
        <v>520</v>
      </c>
      <c r="N2439" t="s">
        <v>557</v>
      </c>
      <c r="O2439" t="s">
        <v>1216</v>
      </c>
      <c r="P2439" t="s">
        <v>654</v>
      </c>
      <c r="Q2439" t="s">
        <v>638</v>
      </c>
      <c r="R2439" t="s">
        <v>729</v>
      </c>
      <c r="S2439" t="s">
        <v>1036</v>
      </c>
      <c r="T2439" t="s">
        <v>709</v>
      </c>
      <c r="U2439">
        <v>159101</v>
      </c>
      <c r="V2439" t="s">
        <v>11994</v>
      </c>
      <c r="W2439" t="s">
        <v>1219</v>
      </c>
      <c r="X2439" t="s">
        <v>8304</v>
      </c>
      <c r="Y2439" t="s">
        <v>8305</v>
      </c>
      <c r="Z2439" t="s">
        <v>1036</v>
      </c>
      <c r="AA2439" t="s">
        <v>5202</v>
      </c>
      <c r="AB2439" t="s">
        <v>8306</v>
      </c>
      <c r="AE2439">
        <v>-37.014067599999997</v>
      </c>
      <c r="AF2439">
        <v>174.89199762999999</v>
      </c>
      <c r="AG2439">
        <v>49</v>
      </c>
      <c r="AH2439">
        <v>15</v>
      </c>
      <c r="AI2439">
        <v>0</v>
      </c>
      <c r="AJ2439">
        <v>3</v>
      </c>
      <c r="AK2439">
        <v>6</v>
      </c>
      <c r="AL2439">
        <v>11</v>
      </c>
      <c r="AM2439">
        <v>12</v>
      </c>
      <c r="AN2439">
        <v>1</v>
      </c>
      <c r="AO2439">
        <v>33</v>
      </c>
      <c r="AP2439">
        <v>0</v>
      </c>
      <c r="AQ2439">
        <v>0</v>
      </c>
      <c r="AR2439">
        <v>1</v>
      </c>
      <c r="AS2439">
        <v>33</v>
      </c>
      <c r="AT2439">
        <v>1</v>
      </c>
    </row>
    <row r="2440" spans="1:46">
      <c r="A2440">
        <v>46641</v>
      </c>
      <c r="B2440" t="s">
        <v>14292</v>
      </c>
      <c r="D2440" t="s">
        <v>14293</v>
      </c>
      <c r="E2440" t="s">
        <v>14294</v>
      </c>
      <c r="G2440" t="s">
        <v>2941</v>
      </c>
      <c r="H2440" t="s">
        <v>4716</v>
      </c>
      <c r="J2440" t="s">
        <v>3962</v>
      </c>
      <c r="K2440" t="s">
        <v>519</v>
      </c>
      <c r="M2440" t="s">
        <v>2287</v>
      </c>
      <c r="N2440" t="s">
        <v>571</v>
      </c>
      <c r="O2440" t="s">
        <v>2942</v>
      </c>
      <c r="P2440" t="s">
        <v>540</v>
      </c>
      <c r="Q2440" t="s">
        <v>2943</v>
      </c>
      <c r="R2440" t="s">
        <v>2944</v>
      </c>
      <c r="S2440" t="s">
        <v>2973</v>
      </c>
      <c r="T2440" t="s">
        <v>2448</v>
      </c>
      <c r="U2440">
        <v>317201</v>
      </c>
      <c r="V2440" t="s">
        <v>14295</v>
      </c>
      <c r="W2440" t="s">
        <v>2974</v>
      </c>
      <c r="X2440" t="s">
        <v>14296</v>
      </c>
      <c r="Y2440" t="s">
        <v>14294</v>
      </c>
      <c r="Z2440" t="s">
        <v>2941</v>
      </c>
      <c r="AA2440" t="s">
        <v>14297</v>
      </c>
      <c r="AC2440">
        <v>99039</v>
      </c>
      <c r="AD2440" t="s">
        <v>2987</v>
      </c>
      <c r="AE2440">
        <v>-43.414428350000001</v>
      </c>
      <c r="AF2440">
        <v>172.65741095000001</v>
      </c>
      <c r="AG2440">
        <v>80</v>
      </c>
      <c r="AH2440">
        <v>80</v>
      </c>
      <c r="AI2440">
        <v>2</v>
      </c>
      <c r="AJ2440">
        <v>19</v>
      </c>
      <c r="AK2440">
        <v>23</v>
      </c>
      <c r="AL2440">
        <v>17</v>
      </c>
      <c r="AM2440">
        <v>23</v>
      </c>
      <c r="AN2440">
        <v>1</v>
      </c>
      <c r="AO2440">
        <v>85</v>
      </c>
      <c r="AP2440">
        <v>82</v>
      </c>
      <c r="AQ2440">
        <v>9</v>
      </c>
      <c r="AR2440">
        <v>2</v>
      </c>
      <c r="AS2440">
        <v>7</v>
      </c>
      <c r="AT2440">
        <v>0</v>
      </c>
    </row>
    <row r="2441" spans="1:46">
      <c r="A2441">
        <v>46644</v>
      </c>
      <c r="B2441" t="s">
        <v>14298</v>
      </c>
      <c r="C2441" t="s">
        <v>14299</v>
      </c>
      <c r="E2441" t="s">
        <v>14300</v>
      </c>
      <c r="F2441" t="s">
        <v>14301</v>
      </c>
      <c r="G2441" t="s">
        <v>3382</v>
      </c>
      <c r="H2441" t="s">
        <v>3942</v>
      </c>
      <c r="I2441" t="s">
        <v>4065</v>
      </c>
      <c r="J2441" t="s">
        <v>3962</v>
      </c>
      <c r="K2441" t="s">
        <v>519</v>
      </c>
      <c r="M2441" t="s">
        <v>2287</v>
      </c>
      <c r="N2441" t="s">
        <v>571</v>
      </c>
      <c r="O2441" t="s">
        <v>3383</v>
      </c>
      <c r="P2441" t="s">
        <v>654</v>
      </c>
      <c r="Q2441" t="s">
        <v>3337</v>
      </c>
      <c r="R2441" t="s">
        <v>3338</v>
      </c>
      <c r="S2441" t="s">
        <v>3382</v>
      </c>
      <c r="T2441" t="s">
        <v>2448</v>
      </c>
      <c r="U2441">
        <v>353300</v>
      </c>
      <c r="V2441" t="s">
        <v>14301</v>
      </c>
      <c r="W2441" t="s">
        <v>1652</v>
      </c>
      <c r="X2441" t="s">
        <v>14302</v>
      </c>
      <c r="Y2441" t="s">
        <v>14303</v>
      </c>
      <c r="Z2441" t="s">
        <v>14304</v>
      </c>
      <c r="AA2441" t="s">
        <v>14305</v>
      </c>
      <c r="AE2441">
        <v>-45.88649238</v>
      </c>
      <c r="AF2441">
        <v>170.47618797999999</v>
      </c>
      <c r="AG2441">
        <v>24</v>
      </c>
      <c r="AH2441">
        <v>0</v>
      </c>
      <c r="AI2441">
        <v>0</v>
      </c>
      <c r="AJ2441">
        <v>0</v>
      </c>
      <c r="AK2441">
        <v>5</v>
      </c>
      <c r="AL2441">
        <v>8</v>
      </c>
      <c r="AM2441">
        <v>10</v>
      </c>
      <c r="AN2441">
        <v>1</v>
      </c>
      <c r="AO2441">
        <v>24</v>
      </c>
      <c r="AP2441">
        <v>9</v>
      </c>
      <c r="AQ2441">
        <v>2</v>
      </c>
      <c r="AR2441">
        <v>1</v>
      </c>
      <c r="AS2441">
        <v>14</v>
      </c>
      <c r="AT2441">
        <v>0</v>
      </c>
    </row>
    <row r="2442" spans="1:46">
      <c r="A2442">
        <v>46649</v>
      </c>
      <c r="B2442" t="s">
        <v>14306</v>
      </c>
      <c r="C2442" t="s">
        <v>14307</v>
      </c>
      <c r="D2442" t="s">
        <v>14308</v>
      </c>
      <c r="E2442" t="s">
        <v>14309</v>
      </c>
      <c r="F2442" t="s">
        <v>581</v>
      </c>
      <c r="G2442" t="s">
        <v>582</v>
      </c>
      <c r="H2442" t="s">
        <v>4716</v>
      </c>
      <c r="J2442" t="s">
        <v>3962</v>
      </c>
      <c r="K2442" t="s">
        <v>519</v>
      </c>
      <c r="M2442" t="s">
        <v>520</v>
      </c>
      <c r="N2442" t="s">
        <v>571</v>
      </c>
      <c r="O2442" t="s">
        <v>583</v>
      </c>
      <c r="P2442" t="s">
        <v>584</v>
      </c>
      <c r="Q2442" t="s">
        <v>524</v>
      </c>
      <c r="R2442" t="s">
        <v>525</v>
      </c>
      <c r="S2442" t="s">
        <v>585</v>
      </c>
      <c r="T2442" t="s">
        <v>527</v>
      </c>
      <c r="U2442">
        <v>106201</v>
      </c>
      <c r="V2442" t="s">
        <v>586</v>
      </c>
      <c r="W2442" t="s">
        <v>587</v>
      </c>
      <c r="X2442" t="s">
        <v>14310</v>
      </c>
      <c r="Y2442" t="s">
        <v>14311</v>
      </c>
      <c r="AA2442" t="s">
        <v>4529</v>
      </c>
      <c r="AE2442">
        <v>-35.685092650000001</v>
      </c>
      <c r="AF2442">
        <v>174.32232662000001</v>
      </c>
      <c r="AG2442">
        <v>80</v>
      </c>
      <c r="AH2442">
        <v>80</v>
      </c>
      <c r="AI2442">
        <v>1</v>
      </c>
      <c r="AJ2442">
        <v>9</v>
      </c>
      <c r="AK2442">
        <v>14</v>
      </c>
      <c r="AL2442">
        <v>16</v>
      </c>
      <c r="AM2442">
        <v>12</v>
      </c>
      <c r="AN2442">
        <v>7</v>
      </c>
      <c r="AO2442">
        <v>59</v>
      </c>
      <c r="AP2442">
        <v>42</v>
      </c>
      <c r="AQ2442">
        <v>24</v>
      </c>
      <c r="AR2442">
        <v>6</v>
      </c>
      <c r="AS2442">
        <v>4</v>
      </c>
      <c r="AT2442">
        <v>3</v>
      </c>
    </row>
    <row r="2443" spans="1:46">
      <c r="A2443">
        <v>46650</v>
      </c>
      <c r="B2443" t="s">
        <v>14312</v>
      </c>
      <c r="C2443" t="s">
        <v>14313</v>
      </c>
      <c r="D2443" t="s">
        <v>14314</v>
      </c>
      <c r="E2443" t="s">
        <v>14315</v>
      </c>
      <c r="F2443" t="s">
        <v>847</v>
      </c>
      <c r="G2443" t="s">
        <v>652</v>
      </c>
      <c r="H2443" t="s">
        <v>3942</v>
      </c>
      <c r="I2443" t="s">
        <v>4951</v>
      </c>
      <c r="J2443" t="s">
        <v>3962</v>
      </c>
      <c r="K2443" t="s">
        <v>519</v>
      </c>
      <c r="M2443" t="s">
        <v>520</v>
      </c>
      <c r="N2443" t="s">
        <v>521</v>
      </c>
      <c r="O2443" t="s">
        <v>848</v>
      </c>
      <c r="P2443" t="s">
        <v>654</v>
      </c>
      <c r="Q2443" t="s">
        <v>638</v>
      </c>
      <c r="R2443" t="s">
        <v>729</v>
      </c>
      <c r="S2443" t="s">
        <v>849</v>
      </c>
      <c r="T2443" t="s">
        <v>709</v>
      </c>
      <c r="U2443">
        <v>148600</v>
      </c>
      <c r="V2443" t="s">
        <v>14316</v>
      </c>
      <c r="W2443" t="s">
        <v>732</v>
      </c>
      <c r="X2443" t="s">
        <v>14317</v>
      </c>
      <c r="Y2443" t="s">
        <v>14318</v>
      </c>
      <c r="AA2443" t="s">
        <v>12215</v>
      </c>
      <c r="AB2443" t="s">
        <v>14319</v>
      </c>
      <c r="AE2443">
        <v>-36.960610010000003</v>
      </c>
      <c r="AF2443">
        <v>174.80199157999999</v>
      </c>
      <c r="AG2443">
        <v>50</v>
      </c>
      <c r="AH2443">
        <v>0</v>
      </c>
      <c r="AI2443">
        <v>0</v>
      </c>
      <c r="AJ2443">
        <v>0</v>
      </c>
      <c r="AK2443">
        <v>11</v>
      </c>
      <c r="AL2443">
        <v>10</v>
      </c>
      <c r="AM2443">
        <v>15</v>
      </c>
      <c r="AN2443">
        <v>0</v>
      </c>
      <c r="AO2443">
        <v>36</v>
      </c>
      <c r="AP2443">
        <v>13</v>
      </c>
      <c r="AQ2443">
        <v>29</v>
      </c>
      <c r="AR2443">
        <v>23</v>
      </c>
      <c r="AS2443">
        <v>2</v>
      </c>
      <c r="AT2443">
        <v>0</v>
      </c>
    </row>
    <row r="2444" spans="1:46">
      <c r="A2444">
        <v>46654</v>
      </c>
      <c r="B2444" t="s">
        <v>14320</v>
      </c>
      <c r="C2444" t="s">
        <v>14321</v>
      </c>
      <c r="E2444" t="s">
        <v>14322</v>
      </c>
      <c r="F2444" t="s">
        <v>10377</v>
      </c>
      <c r="G2444" t="s">
        <v>1974</v>
      </c>
      <c r="H2444" t="s">
        <v>3942</v>
      </c>
      <c r="J2444" t="s">
        <v>3962</v>
      </c>
      <c r="K2444" t="s">
        <v>519</v>
      </c>
      <c r="M2444" t="s">
        <v>1297</v>
      </c>
      <c r="N2444" t="s">
        <v>571</v>
      </c>
      <c r="O2444" t="s">
        <v>1956</v>
      </c>
      <c r="P2444" t="s">
        <v>572</v>
      </c>
      <c r="Q2444" t="s">
        <v>1636</v>
      </c>
      <c r="R2444" t="s">
        <v>1760</v>
      </c>
      <c r="S2444" t="s">
        <v>1637</v>
      </c>
      <c r="T2444" t="s">
        <v>1485</v>
      </c>
      <c r="U2444">
        <v>229400</v>
      </c>
      <c r="V2444" t="s">
        <v>14323</v>
      </c>
      <c r="W2444" t="s">
        <v>1957</v>
      </c>
      <c r="X2444" t="s">
        <v>14324</v>
      </c>
      <c r="Y2444" t="s">
        <v>14325</v>
      </c>
      <c r="Z2444" t="s">
        <v>1975</v>
      </c>
      <c r="AA2444" t="s">
        <v>14326</v>
      </c>
      <c r="AB2444" t="s">
        <v>14327</v>
      </c>
      <c r="AC2444">
        <v>99052</v>
      </c>
      <c r="AD2444" t="s">
        <v>1962</v>
      </c>
      <c r="AE2444">
        <v>-40.313218800000001</v>
      </c>
      <c r="AF2444">
        <v>175.65316383000001</v>
      </c>
      <c r="AG2444">
        <v>72</v>
      </c>
      <c r="AH2444">
        <v>27</v>
      </c>
      <c r="AI2444">
        <v>3</v>
      </c>
      <c r="AJ2444">
        <v>11</v>
      </c>
      <c r="AK2444">
        <v>20</v>
      </c>
      <c r="AL2444">
        <v>21</v>
      </c>
      <c r="AM2444">
        <v>22</v>
      </c>
      <c r="AN2444">
        <v>0</v>
      </c>
      <c r="AO2444">
        <v>77</v>
      </c>
      <c r="AP2444">
        <v>70</v>
      </c>
      <c r="AQ2444">
        <v>16</v>
      </c>
      <c r="AR2444">
        <v>0</v>
      </c>
      <c r="AS2444">
        <v>1</v>
      </c>
      <c r="AT2444">
        <v>1</v>
      </c>
    </row>
    <row r="2445" spans="1:46">
      <c r="A2445">
        <v>46656</v>
      </c>
      <c r="B2445" t="s">
        <v>14328</v>
      </c>
      <c r="C2445" t="s">
        <v>14329</v>
      </c>
      <c r="E2445" t="s">
        <v>14330</v>
      </c>
      <c r="G2445" t="s">
        <v>8890</v>
      </c>
      <c r="H2445" t="s">
        <v>3942</v>
      </c>
      <c r="J2445" t="s">
        <v>3962</v>
      </c>
      <c r="K2445" t="s">
        <v>519</v>
      </c>
      <c r="M2445" t="s">
        <v>1297</v>
      </c>
      <c r="N2445" t="s">
        <v>571</v>
      </c>
      <c r="O2445" t="s">
        <v>1743</v>
      </c>
      <c r="P2445" t="s">
        <v>523</v>
      </c>
      <c r="Q2445" t="s">
        <v>1471</v>
      </c>
      <c r="R2445" t="s">
        <v>1472</v>
      </c>
      <c r="S2445" t="s">
        <v>1438</v>
      </c>
      <c r="T2445" t="s">
        <v>1474</v>
      </c>
      <c r="U2445">
        <v>191001</v>
      </c>
      <c r="V2445" t="s">
        <v>8891</v>
      </c>
      <c r="W2445" t="s">
        <v>8759</v>
      </c>
      <c r="X2445" t="s">
        <v>14331</v>
      </c>
      <c r="Y2445" t="s">
        <v>14330</v>
      </c>
      <c r="AA2445" t="s">
        <v>8486</v>
      </c>
      <c r="AE2445">
        <v>-37.646190109999999</v>
      </c>
      <c r="AF2445">
        <v>176.03440843999999</v>
      </c>
      <c r="AG2445">
        <v>75</v>
      </c>
      <c r="AH2445">
        <v>18</v>
      </c>
      <c r="AI2445">
        <v>0</v>
      </c>
      <c r="AJ2445">
        <v>5</v>
      </c>
      <c r="AK2445">
        <v>10</v>
      </c>
      <c r="AL2445">
        <v>15</v>
      </c>
      <c r="AM2445">
        <v>13</v>
      </c>
      <c r="AN2445">
        <v>0</v>
      </c>
      <c r="AO2445">
        <v>43</v>
      </c>
      <c r="AP2445">
        <v>38</v>
      </c>
      <c r="AQ2445">
        <v>10</v>
      </c>
      <c r="AR2445">
        <v>1</v>
      </c>
      <c r="AS2445">
        <v>0</v>
      </c>
      <c r="AT2445">
        <v>5</v>
      </c>
    </row>
    <row r="2446" spans="1:46">
      <c r="A2446">
        <v>46657</v>
      </c>
      <c r="B2446" t="s">
        <v>14332</v>
      </c>
      <c r="C2446" t="s">
        <v>14333</v>
      </c>
      <c r="E2446" t="s">
        <v>14334</v>
      </c>
      <c r="G2446" t="s">
        <v>1757</v>
      </c>
      <c r="H2446" t="s">
        <v>3942</v>
      </c>
      <c r="J2446" t="s">
        <v>3962</v>
      </c>
      <c r="K2446" t="s">
        <v>519</v>
      </c>
      <c r="M2446" t="s">
        <v>1297</v>
      </c>
      <c r="N2446" t="s">
        <v>571</v>
      </c>
      <c r="O2446" t="s">
        <v>1758</v>
      </c>
      <c r="P2446" t="s">
        <v>584</v>
      </c>
      <c r="Q2446" t="s">
        <v>1759</v>
      </c>
      <c r="R2446" t="s">
        <v>1760</v>
      </c>
      <c r="S2446" t="s">
        <v>1757</v>
      </c>
      <c r="T2446" t="s">
        <v>1485</v>
      </c>
      <c r="U2446">
        <v>218001</v>
      </c>
      <c r="V2446" t="s">
        <v>3635</v>
      </c>
      <c r="W2446" t="s">
        <v>1762</v>
      </c>
      <c r="X2446" t="s">
        <v>14335</v>
      </c>
      <c r="Y2446" t="s">
        <v>14334</v>
      </c>
      <c r="AA2446" t="s">
        <v>14336</v>
      </c>
      <c r="AE2446">
        <v>-39.098919180000003</v>
      </c>
      <c r="AF2446">
        <v>174.07918233999999</v>
      </c>
      <c r="AG2446">
        <v>20</v>
      </c>
      <c r="AH2446">
        <v>0</v>
      </c>
      <c r="AI2446">
        <v>0</v>
      </c>
      <c r="AJ2446">
        <v>0</v>
      </c>
      <c r="AK2446">
        <v>3</v>
      </c>
      <c r="AL2446">
        <v>13</v>
      </c>
      <c r="AM2446">
        <v>9</v>
      </c>
      <c r="AN2446">
        <v>5</v>
      </c>
      <c r="AO2446">
        <v>30</v>
      </c>
      <c r="AP2446">
        <v>26</v>
      </c>
      <c r="AQ2446">
        <v>6</v>
      </c>
      <c r="AR2446">
        <v>0</v>
      </c>
      <c r="AS2446">
        <v>1</v>
      </c>
      <c r="AT2446">
        <v>1</v>
      </c>
    </row>
    <row r="2447" spans="1:46">
      <c r="A2447">
        <v>46661</v>
      </c>
      <c r="B2447" t="s">
        <v>14337</v>
      </c>
      <c r="C2447" t="s">
        <v>13574</v>
      </c>
      <c r="D2447" t="s">
        <v>8035</v>
      </c>
      <c r="E2447" t="s">
        <v>14338</v>
      </c>
      <c r="F2447" t="s">
        <v>1217</v>
      </c>
      <c r="G2447" t="s">
        <v>652</v>
      </c>
      <c r="H2447" t="s">
        <v>3942</v>
      </c>
      <c r="J2447" t="s">
        <v>3962</v>
      </c>
      <c r="K2447" t="s">
        <v>519</v>
      </c>
      <c r="M2447" t="s">
        <v>520</v>
      </c>
      <c r="N2447" t="s">
        <v>539</v>
      </c>
      <c r="O2447" t="s">
        <v>1268</v>
      </c>
      <c r="P2447" t="s">
        <v>654</v>
      </c>
      <c r="Q2447" t="s">
        <v>638</v>
      </c>
      <c r="R2447" t="s">
        <v>729</v>
      </c>
      <c r="S2447" t="s">
        <v>1217</v>
      </c>
      <c r="T2447" t="s">
        <v>709</v>
      </c>
      <c r="U2447">
        <v>162102</v>
      </c>
      <c r="V2447" t="s">
        <v>14339</v>
      </c>
      <c r="W2447" t="s">
        <v>1219</v>
      </c>
      <c r="X2447" t="s">
        <v>8037</v>
      </c>
      <c r="Y2447" t="s">
        <v>8038</v>
      </c>
      <c r="AA2447" t="s">
        <v>8039</v>
      </c>
      <c r="AB2447" t="s">
        <v>8040</v>
      </c>
      <c r="AE2447">
        <v>-37.040194560000003</v>
      </c>
      <c r="AF2447">
        <v>174.93169478999999</v>
      </c>
      <c r="AG2447">
        <v>150</v>
      </c>
      <c r="AH2447">
        <v>20</v>
      </c>
      <c r="AI2447">
        <v>4</v>
      </c>
      <c r="AJ2447">
        <v>18</v>
      </c>
      <c r="AK2447">
        <v>33</v>
      </c>
      <c r="AL2447">
        <v>38</v>
      </c>
      <c r="AM2447">
        <v>46</v>
      </c>
      <c r="AN2447">
        <v>6</v>
      </c>
      <c r="AO2447">
        <v>145</v>
      </c>
      <c r="AP2447">
        <v>17</v>
      </c>
      <c r="AQ2447">
        <v>18</v>
      </c>
      <c r="AR2447">
        <v>22</v>
      </c>
      <c r="AS2447">
        <v>101</v>
      </c>
      <c r="AT2447">
        <v>7</v>
      </c>
    </row>
    <row r="2448" spans="1:46">
      <c r="A2448">
        <v>46662</v>
      </c>
      <c r="B2448" t="s">
        <v>14340</v>
      </c>
      <c r="C2448" t="s">
        <v>14341</v>
      </c>
      <c r="D2448" t="s">
        <v>14342</v>
      </c>
      <c r="E2448" t="s">
        <v>14343</v>
      </c>
      <c r="G2448" t="s">
        <v>1234</v>
      </c>
      <c r="H2448" t="s">
        <v>3942</v>
      </c>
      <c r="J2448" t="s">
        <v>518</v>
      </c>
      <c r="K2448" t="s">
        <v>519</v>
      </c>
      <c r="M2448" t="s">
        <v>520</v>
      </c>
      <c r="N2448" t="s">
        <v>557</v>
      </c>
      <c r="O2448" t="s">
        <v>1268</v>
      </c>
      <c r="P2448" t="s">
        <v>654</v>
      </c>
      <c r="Q2448" t="s">
        <v>638</v>
      </c>
      <c r="R2448" t="s">
        <v>729</v>
      </c>
      <c r="S2448" t="s">
        <v>1234</v>
      </c>
      <c r="T2448" t="s">
        <v>1235</v>
      </c>
      <c r="U2448">
        <v>163001</v>
      </c>
      <c r="V2448" t="s">
        <v>1277</v>
      </c>
      <c r="W2448" t="s">
        <v>1219</v>
      </c>
      <c r="X2448" t="s">
        <v>3943</v>
      </c>
      <c r="Y2448" t="s">
        <v>3944</v>
      </c>
      <c r="Z2448" t="s">
        <v>3945</v>
      </c>
      <c r="AA2448" t="s">
        <v>3946</v>
      </c>
      <c r="AB2448" t="s">
        <v>3947</v>
      </c>
      <c r="AE2448">
        <v>-37.058149069999999</v>
      </c>
      <c r="AF2448">
        <v>174.94411954</v>
      </c>
      <c r="AG2448">
        <v>80</v>
      </c>
      <c r="AH2448">
        <v>19</v>
      </c>
      <c r="AI2448">
        <v>3</v>
      </c>
      <c r="AJ2448">
        <v>15</v>
      </c>
      <c r="AK2448">
        <v>19</v>
      </c>
      <c r="AL2448">
        <v>19</v>
      </c>
      <c r="AM2448">
        <v>19</v>
      </c>
      <c r="AN2448">
        <v>0</v>
      </c>
      <c r="AO2448">
        <v>75</v>
      </c>
      <c r="AP2448">
        <v>42</v>
      </c>
      <c r="AQ2448">
        <v>14</v>
      </c>
      <c r="AR2448">
        <v>10</v>
      </c>
      <c r="AS2448">
        <v>25</v>
      </c>
      <c r="AT2448">
        <v>5</v>
      </c>
    </row>
    <row r="2449" spans="1:46">
      <c r="A2449">
        <v>46669</v>
      </c>
      <c r="B2449" t="s">
        <v>14344</v>
      </c>
      <c r="C2449" t="s">
        <v>14345</v>
      </c>
      <c r="E2449" t="s">
        <v>14346</v>
      </c>
      <c r="F2449" t="s">
        <v>1996</v>
      </c>
      <c r="G2449" t="s">
        <v>1974</v>
      </c>
      <c r="H2449" t="s">
        <v>343</v>
      </c>
      <c r="J2449" t="s">
        <v>518</v>
      </c>
      <c r="K2449" t="s">
        <v>519</v>
      </c>
      <c r="L2449" t="s">
        <v>4205</v>
      </c>
      <c r="M2449" t="s">
        <v>2287</v>
      </c>
      <c r="N2449" t="s">
        <v>521</v>
      </c>
      <c r="O2449" t="s">
        <v>1956</v>
      </c>
      <c r="P2449" t="s">
        <v>584</v>
      </c>
      <c r="Q2449" t="s">
        <v>1636</v>
      </c>
      <c r="R2449" t="s">
        <v>2289</v>
      </c>
      <c r="S2449" t="s">
        <v>1974</v>
      </c>
      <c r="T2449" t="s">
        <v>1485</v>
      </c>
      <c r="U2449">
        <v>229900</v>
      </c>
      <c r="V2449" t="s">
        <v>2054</v>
      </c>
      <c r="W2449" t="s">
        <v>1957</v>
      </c>
      <c r="X2449" t="s">
        <v>10329</v>
      </c>
      <c r="Y2449" t="s">
        <v>4208</v>
      </c>
      <c r="Z2449" t="s">
        <v>4209</v>
      </c>
      <c r="AA2449" t="s">
        <v>4210</v>
      </c>
      <c r="AB2449" t="s">
        <v>10330</v>
      </c>
      <c r="AE2449">
        <v>-40.360314090000003</v>
      </c>
      <c r="AF2449">
        <v>175.58684063999999</v>
      </c>
      <c r="AG2449">
        <v>18</v>
      </c>
      <c r="AH2449">
        <v>8</v>
      </c>
      <c r="AI2449">
        <v>1</v>
      </c>
      <c r="AJ2449">
        <v>1</v>
      </c>
      <c r="AK2449">
        <v>3</v>
      </c>
      <c r="AL2449">
        <v>7</v>
      </c>
      <c r="AM2449">
        <v>5</v>
      </c>
      <c r="AN2449">
        <v>0</v>
      </c>
      <c r="AO2449">
        <v>17</v>
      </c>
      <c r="AP2449">
        <v>0</v>
      </c>
      <c r="AQ2449">
        <v>16</v>
      </c>
      <c r="AR2449">
        <v>1</v>
      </c>
      <c r="AS2449">
        <v>0</v>
      </c>
      <c r="AT2449">
        <v>0</v>
      </c>
    </row>
    <row r="2450" spans="1:46">
      <c r="A2450">
        <v>46671</v>
      </c>
      <c r="B2450" t="s">
        <v>14347</v>
      </c>
      <c r="C2450" t="s">
        <v>14348</v>
      </c>
      <c r="E2450" t="s">
        <v>14349</v>
      </c>
      <c r="F2450" t="s">
        <v>8375</v>
      </c>
      <c r="G2450" t="s">
        <v>1598</v>
      </c>
      <c r="H2450" t="s">
        <v>3942</v>
      </c>
      <c r="I2450" t="s">
        <v>4065</v>
      </c>
      <c r="J2450" t="s">
        <v>3962</v>
      </c>
      <c r="K2450" t="s">
        <v>519</v>
      </c>
      <c r="M2450" t="s">
        <v>1297</v>
      </c>
      <c r="N2450" t="s">
        <v>571</v>
      </c>
      <c r="O2450" t="s">
        <v>1698</v>
      </c>
      <c r="P2450" t="s">
        <v>654</v>
      </c>
      <c r="Q2450" t="s">
        <v>1471</v>
      </c>
      <c r="R2450" t="s">
        <v>1472</v>
      </c>
      <c r="S2450" t="s">
        <v>1598</v>
      </c>
      <c r="T2450" t="s">
        <v>1474</v>
      </c>
      <c r="U2450">
        <v>193900</v>
      </c>
      <c r="V2450" t="s">
        <v>8376</v>
      </c>
      <c r="W2450" t="s">
        <v>1724</v>
      </c>
      <c r="X2450" t="s">
        <v>14350</v>
      </c>
      <c r="Y2450" t="s">
        <v>14349</v>
      </c>
      <c r="AA2450" t="s">
        <v>14351</v>
      </c>
      <c r="AB2450" t="s">
        <v>14352</v>
      </c>
      <c r="AC2450">
        <v>99064</v>
      </c>
      <c r="AD2450" t="s">
        <v>1702</v>
      </c>
      <c r="AE2450">
        <v>-37.665987219999998</v>
      </c>
      <c r="AF2450">
        <v>176.20765370000001</v>
      </c>
      <c r="AG2450">
        <v>75</v>
      </c>
      <c r="AH2450">
        <v>15</v>
      </c>
      <c r="AI2450">
        <v>1</v>
      </c>
      <c r="AJ2450">
        <v>7</v>
      </c>
      <c r="AK2450">
        <v>13</v>
      </c>
      <c r="AL2450">
        <v>14</v>
      </c>
      <c r="AM2450">
        <v>5</v>
      </c>
      <c r="AN2450">
        <v>3</v>
      </c>
      <c r="AO2450">
        <v>43</v>
      </c>
      <c r="AP2450">
        <v>37</v>
      </c>
      <c r="AQ2450">
        <v>4</v>
      </c>
      <c r="AR2450">
        <v>2</v>
      </c>
      <c r="AS2450">
        <v>0</v>
      </c>
      <c r="AT2450">
        <v>9</v>
      </c>
    </row>
    <row r="2451" spans="1:46">
      <c r="A2451">
        <v>46674</v>
      </c>
      <c r="B2451" t="s">
        <v>14353</v>
      </c>
      <c r="E2451" t="s">
        <v>8254</v>
      </c>
      <c r="F2451" t="s">
        <v>8255</v>
      </c>
      <c r="G2451" t="s">
        <v>652</v>
      </c>
      <c r="H2451" t="s">
        <v>4716</v>
      </c>
      <c r="J2451" t="s">
        <v>3962</v>
      </c>
      <c r="K2451" t="s">
        <v>519</v>
      </c>
      <c r="M2451" t="s">
        <v>520</v>
      </c>
      <c r="N2451" t="s">
        <v>571</v>
      </c>
      <c r="O2451" t="s">
        <v>1168</v>
      </c>
      <c r="P2451" t="s">
        <v>654</v>
      </c>
      <c r="Q2451" t="s">
        <v>638</v>
      </c>
      <c r="R2451" t="s">
        <v>639</v>
      </c>
      <c r="S2451" t="s">
        <v>655</v>
      </c>
      <c r="T2451" t="s">
        <v>527</v>
      </c>
      <c r="U2451">
        <v>118600</v>
      </c>
      <c r="V2451" t="s">
        <v>4012</v>
      </c>
      <c r="W2451" t="s">
        <v>657</v>
      </c>
      <c r="X2451" t="s">
        <v>6268</v>
      </c>
      <c r="Y2451" t="s">
        <v>6269</v>
      </c>
      <c r="Z2451" t="s">
        <v>3706</v>
      </c>
      <c r="AA2451" t="s">
        <v>6270</v>
      </c>
      <c r="AE2451">
        <v>-36.746005840000002</v>
      </c>
      <c r="AF2451">
        <v>174.70431893</v>
      </c>
      <c r="AG2451">
        <v>80</v>
      </c>
      <c r="AH2451">
        <v>80</v>
      </c>
      <c r="AI2451">
        <v>8</v>
      </c>
      <c r="AJ2451">
        <v>12</v>
      </c>
      <c r="AK2451">
        <v>5</v>
      </c>
      <c r="AL2451">
        <v>10</v>
      </c>
      <c r="AM2451">
        <v>15</v>
      </c>
      <c r="AN2451">
        <v>0</v>
      </c>
      <c r="AO2451">
        <v>50</v>
      </c>
      <c r="AP2451">
        <v>1</v>
      </c>
      <c r="AQ2451">
        <v>0</v>
      </c>
      <c r="AR2451">
        <v>0</v>
      </c>
      <c r="AS2451">
        <v>50</v>
      </c>
      <c r="AT2451">
        <v>0</v>
      </c>
    </row>
    <row r="2452" spans="1:46">
      <c r="A2452">
        <v>46676</v>
      </c>
      <c r="B2452" t="s">
        <v>14354</v>
      </c>
      <c r="C2452" t="s">
        <v>14355</v>
      </c>
      <c r="E2452" t="s">
        <v>14356</v>
      </c>
      <c r="F2452" t="s">
        <v>1035</v>
      </c>
      <c r="G2452" t="s">
        <v>652</v>
      </c>
      <c r="H2452" t="s">
        <v>3942</v>
      </c>
      <c r="I2452" t="s">
        <v>4253</v>
      </c>
      <c r="J2452" t="s">
        <v>3962</v>
      </c>
      <c r="K2452" t="s">
        <v>519</v>
      </c>
      <c r="M2452" t="s">
        <v>520</v>
      </c>
      <c r="N2452" t="s">
        <v>521</v>
      </c>
      <c r="O2452" t="s">
        <v>728</v>
      </c>
      <c r="P2452" t="s">
        <v>654</v>
      </c>
      <c r="Q2452" t="s">
        <v>638</v>
      </c>
      <c r="R2452" t="s">
        <v>729</v>
      </c>
      <c r="S2452" t="s">
        <v>849</v>
      </c>
      <c r="T2452" t="s">
        <v>709</v>
      </c>
      <c r="U2452">
        <v>154201</v>
      </c>
      <c r="V2452" t="s">
        <v>13760</v>
      </c>
      <c r="W2452" t="s">
        <v>732</v>
      </c>
      <c r="X2452" t="s">
        <v>14357</v>
      </c>
      <c r="Y2452" t="s">
        <v>14358</v>
      </c>
      <c r="Z2452" t="s">
        <v>1035</v>
      </c>
      <c r="AA2452" t="s">
        <v>7374</v>
      </c>
      <c r="AE2452">
        <v>-36.979245370000001</v>
      </c>
      <c r="AF2452">
        <v>174.83390320000001</v>
      </c>
      <c r="AG2452">
        <v>40</v>
      </c>
      <c r="AH2452">
        <v>10</v>
      </c>
      <c r="AI2452">
        <v>1</v>
      </c>
      <c r="AJ2452">
        <v>0</v>
      </c>
      <c r="AK2452">
        <v>4</v>
      </c>
      <c r="AL2452">
        <v>4</v>
      </c>
      <c r="AM2452">
        <v>3</v>
      </c>
      <c r="AN2452">
        <v>1</v>
      </c>
      <c r="AO2452">
        <v>13</v>
      </c>
      <c r="AP2452">
        <v>2</v>
      </c>
      <c r="AQ2452">
        <v>0</v>
      </c>
      <c r="AR2452">
        <v>13</v>
      </c>
      <c r="AS2452">
        <v>0</v>
      </c>
      <c r="AT2452">
        <v>0</v>
      </c>
    </row>
    <row r="2453" spans="1:46">
      <c r="A2453">
        <v>46683</v>
      </c>
      <c r="B2453" t="s">
        <v>14359</v>
      </c>
      <c r="C2453" t="s">
        <v>14360</v>
      </c>
      <c r="D2453" t="s">
        <v>14047</v>
      </c>
      <c r="E2453" t="s">
        <v>14050</v>
      </c>
      <c r="F2453" t="s">
        <v>1072</v>
      </c>
      <c r="G2453" t="s">
        <v>652</v>
      </c>
      <c r="H2453" t="s">
        <v>4716</v>
      </c>
      <c r="I2453" t="s">
        <v>4253</v>
      </c>
      <c r="J2453" t="s">
        <v>3962</v>
      </c>
      <c r="K2453" t="s">
        <v>519</v>
      </c>
      <c r="M2453" t="s">
        <v>520</v>
      </c>
      <c r="N2453" t="s">
        <v>727</v>
      </c>
      <c r="O2453" t="s">
        <v>848</v>
      </c>
      <c r="P2453" t="s">
        <v>654</v>
      </c>
      <c r="Q2453" t="s">
        <v>638</v>
      </c>
      <c r="R2453" t="s">
        <v>729</v>
      </c>
      <c r="S2453" t="s">
        <v>730</v>
      </c>
      <c r="T2453" t="s">
        <v>709</v>
      </c>
      <c r="U2453">
        <v>150101</v>
      </c>
      <c r="V2453" t="s">
        <v>4105</v>
      </c>
      <c r="W2453" t="s">
        <v>732</v>
      </c>
      <c r="X2453" t="s">
        <v>14049</v>
      </c>
      <c r="Y2453" t="s">
        <v>14050</v>
      </c>
      <c r="Z2453" t="s">
        <v>1072</v>
      </c>
      <c r="AA2453" t="s">
        <v>4886</v>
      </c>
      <c r="AB2453" t="s">
        <v>14051</v>
      </c>
      <c r="AE2453">
        <v>-36.941197600000002</v>
      </c>
      <c r="AF2453">
        <v>174.8416847</v>
      </c>
      <c r="AG2453">
        <v>40</v>
      </c>
      <c r="AH2453">
        <v>40</v>
      </c>
      <c r="AI2453">
        <v>2</v>
      </c>
      <c r="AJ2453">
        <v>9</v>
      </c>
      <c r="AK2453">
        <v>7</v>
      </c>
      <c r="AL2453">
        <v>6</v>
      </c>
      <c r="AM2453">
        <v>4</v>
      </c>
      <c r="AN2453">
        <v>2</v>
      </c>
      <c r="AO2453">
        <v>30</v>
      </c>
      <c r="AP2453">
        <v>1</v>
      </c>
      <c r="AQ2453">
        <v>3</v>
      </c>
      <c r="AR2453">
        <v>30</v>
      </c>
      <c r="AS2453">
        <v>0</v>
      </c>
      <c r="AT2453">
        <v>0</v>
      </c>
    </row>
    <row r="2454" spans="1:46">
      <c r="A2454">
        <v>46686</v>
      </c>
      <c r="B2454" t="s">
        <v>14361</v>
      </c>
      <c r="C2454" t="s">
        <v>14362</v>
      </c>
      <c r="D2454" t="s">
        <v>12685</v>
      </c>
      <c r="E2454" t="s">
        <v>14363</v>
      </c>
      <c r="G2454" t="s">
        <v>2674</v>
      </c>
      <c r="H2454" t="s">
        <v>3942</v>
      </c>
      <c r="J2454" t="s">
        <v>3962</v>
      </c>
      <c r="K2454" t="s">
        <v>519</v>
      </c>
      <c r="M2454" t="s">
        <v>2287</v>
      </c>
      <c r="N2454" t="s">
        <v>571</v>
      </c>
      <c r="O2454" t="s">
        <v>2675</v>
      </c>
      <c r="P2454" t="s">
        <v>1262</v>
      </c>
      <c r="Q2454" t="s">
        <v>2319</v>
      </c>
      <c r="R2454" t="s">
        <v>2289</v>
      </c>
      <c r="S2454" t="s">
        <v>2067</v>
      </c>
      <c r="T2454" t="s">
        <v>1485</v>
      </c>
      <c r="U2454">
        <v>237500</v>
      </c>
      <c r="V2454" t="s">
        <v>14364</v>
      </c>
      <c r="W2454" t="s">
        <v>2677</v>
      </c>
      <c r="X2454" t="s">
        <v>10292</v>
      </c>
      <c r="Y2454" t="s">
        <v>10293</v>
      </c>
      <c r="AA2454" t="s">
        <v>10294</v>
      </c>
      <c r="AB2454" t="s">
        <v>10295</v>
      </c>
      <c r="AE2454">
        <v>-40.890188620000004</v>
      </c>
      <c r="AF2454">
        <v>175.01271438000001</v>
      </c>
      <c r="AG2454">
        <v>100</v>
      </c>
      <c r="AH2454">
        <v>25</v>
      </c>
      <c r="AI2454">
        <v>1</v>
      </c>
      <c r="AJ2454">
        <v>18</v>
      </c>
      <c r="AK2454">
        <v>22</v>
      </c>
      <c r="AL2454">
        <v>30</v>
      </c>
      <c r="AM2454">
        <v>36</v>
      </c>
      <c r="AN2454">
        <v>1</v>
      </c>
      <c r="AO2454">
        <v>108</v>
      </c>
      <c r="AP2454">
        <v>92</v>
      </c>
      <c r="AQ2454">
        <v>29</v>
      </c>
      <c r="AR2454">
        <v>6</v>
      </c>
      <c r="AS2454">
        <v>8</v>
      </c>
      <c r="AT2454">
        <v>6</v>
      </c>
    </row>
    <row r="2455" spans="1:46">
      <c r="A2455">
        <v>46687</v>
      </c>
      <c r="B2455" t="s">
        <v>14365</v>
      </c>
      <c r="C2455" t="s">
        <v>13875</v>
      </c>
      <c r="D2455" t="s">
        <v>14366</v>
      </c>
      <c r="E2455" t="s">
        <v>13066</v>
      </c>
      <c r="F2455" t="s">
        <v>726</v>
      </c>
      <c r="G2455" t="s">
        <v>652</v>
      </c>
      <c r="H2455" t="s">
        <v>4716</v>
      </c>
      <c r="I2455" t="s">
        <v>4253</v>
      </c>
      <c r="J2455" t="s">
        <v>3962</v>
      </c>
      <c r="K2455" t="s">
        <v>519</v>
      </c>
      <c r="M2455" t="s">
        <v>520</v>
      </c>
      <c r="N2455" t="s">
        <v>521</v>
      </c>
      <c r="O2455" t="s">
        <v>728</v>
      </c>
      <c r="P2455" t="s">
        <v>654</v>
      </c>
      <c r="Q2455" t="s">
        <v>638</v>
      </c>
      <c r="R2455" t="s">
        <v>729</v>
      </c>
      <c r="S2455" t="s">
        <v>730</v>
      </c>
      <c r="T2455" t="s">
        <v>709</v>
      </c>
      <c r="U2455">
        <v>154400</v>
      </c>
      <c r="V2455" t="s">
        <v>7351</v>
      </c>
      <c r="W2455" t="s">
        <v>732</v>
      </c>
      <c r="X2455" t="s">
        <v>13067</v>
      </c>
      <c r="Y2455" t="s">
        <v>13068</v>
      </c>
      <c r="Z2455" t="s">
        <v>1072</v>
      </c>
      <c r="AA2455" t="s">
        <v>4886</v>
      </c>
      <c r="AB2455" t="s">
        <v>13069</v>
      </c>
      <c r="AE2455">
        <v>-36.960968780000002</v>
      </c>
      <c r="AF2455">
        <v>174.8756248</v>
      </c>
      <c r="AG2455">
        <v>60</v>
      </c>
      <c r="AH2455">
        <v>60</v>
      </c>
      <c r="AI2455">
        <v>5</v>
      </c>
      <c r="AJ2455">
        <v>11</v>
      </c>
      <c r="AK2455">
        <v>10</v>
      </c>
      <c r="AL2455">
        <v>9</v>
      </c>
      <c r="AM2455">
        <v>7</v>
      </c>
      <c r="AN2455">
        <v>0</v>
      </c>
      <c r="AO2455">
        <v>42</v>
      </c>
      <c r="AP2455">
        <v>0</v>
      </c>
      <c r="AQ2455">
        <v>0</v>
      </c>
      <c r="AR2455">
        <v>42</v>
      </c>
      <c r="AS2455">
        <v>0</v>
      </c>
      <c r="AT2455">
        <v>0</v>
      </c>
    </row>
    <row r="2456" spans="1:46">
      <c r="A2456">
        <v>46692</v>
      </c>
      <c r="B2456" t="s">
        <v>14367</v>
      </c>
      <c r="C2456" t="s">
        <v>5253</v>
      </c>
      <c r="D2456" t="s">
        <v>14368</v>
      </c>
      <c r="E2456" t="s">
        <v>14369</v>
      </c>
      <c r="F2456" t="s">
        <v>706</v>
      </c>
      <c r="G2456" t="s">
        <v>652</v>
      </c>
      <c r="H2456" t="s">
        <v>3942</v>
      </c>
      <c r="I2456" t="s">
        <v>4065</v>
      </c>
      <c r="J2456" t="s">
        <v>3962</v>
      </c>
      <c r="K2456" t="s">
        <v>519</v>
      </c>
      <c r="M2456" t="s">
        <v>520</v>
      </c>
      <c r="N2456" t="s">
        <v>571</v>
      </c>
      <c r="O2456" t="s">
        <v>707</v>
      </c>
      <c r="P2456" t="s">
        <v>654</v>
      </c>
      <c r="Q2456" t="s">
        <v>638</v>
      </c>
      <c r="R2456" t="s">
        <v>708</v>
      </c>
      <c r="S2456" t="s">
        <v>706</v>
      </c>
      <c r="T2456" t="s">
        <v>709</v>
      </c>
      <c r="U2456">
        <v>149800</v>
      </c>
      <c r="V2456" t="s">
        <v>5256</v>
      </c>
      <c r="W2456" t="s">
        <v>711</v>
      </c>
      <c r="X2456" t="s">
        <v>5257</v>
      </c>
      <c r="Y2456" t="s">
        <v>4107</v>
      </c>
      <c r="AA2456" t="s">
        <v>3982</v>
      </c>
      <c r="AB2456" t="s">
        <v>5253</v>
      </c>
      <c r="AC2456">
        <v>99149</v>
      </c>
      <c r="AD2456" t="s">
        <v>798</v>
      </c>
      <c r="AE2456">
        <v>-36.914293620000002</v>
      </c>
      <c r="AF2456">
        <v>174.87884883999999</v>
      </c>
      <c r="AG2456">
        <v>30</v>
      </c>
      <c r="AH2456">
        <v>0</v>
      </c>
      <c r="AI2456">
        <v>0</v>
      </c>
      <c r="AJ2456">
        <v>0</v>
      </c>
      <c r="AK2456">
        <v>0</v>
      </c>
      <c r="AL2456">
        <v>5</v>
      </c>
      <c r="AM2456">
        <v>21</v>
      </c>
      <c r="AN2456">
        <v>0</v>
      </c>
      <c r="AO2456">
        <v>26</v>
      </c>
      <c r="AP2456">
        <v>4</v>
      </c>
      <c r="AQ2456">
        <v>1</v>
      </c>
      <c r="AR2456">
        <v>1</v>
      </c>
      <c r="AS2456">
        <v>22</v>
      </c>
      <c r="AT2456">
        <v>2</v>
      </c>
    </row>
    <row r="2457" spans="1:46">
      <c r="A2457">
        <v>46694</v>
      </c>
      <c r="B2457" t="s">
        <v>14370</v>
      </c>
      <c r="C2457" t="s">
        <v>8761</v>
      </c>
      <c r="D2457" t="s">
        <v>10964</v>
      </c>
      <c r="E2457" t="s">
        <v>8763</v>
      </c>
      <c r="F2457" t="s">
        <v>1313</v>
      </c>
      <c r="G2457" t="s">
        <v>1296</v>
      </c>
      <c r="H2457" t="s">
        <v>4716</v>
      </c>
      <c r="J2457" t="s">
        <v>3962</v>
      </c>
      <c r="K2457" t="s">
        <v>519</v>
      </c>
      <c r="M2457" t="s">
        <v>2287</v>
      </c>
      <c r="N2457" t="s">
        <v>727</v>
      </c>
      <c r="O2457" t="s">
        <v>1298</v>
      </c>
      <c r="P2457" t="s">
        <v>654</v>
      </c>
      <c r="Q2457" t="s">
        <v>1299</v>
      </c>
      <c r="R2457" t="s">
        <v>2289</v>
      </c>
      <c r="S2457" t="s">
        <v>1312</v>
      </c>
      <c r="T2457" t="s">
        <v>1235</v>
      </c>
      <c r="U2457">
        <v>177300</v>
      </c>
      <c r="V2457" t="s">
        <v>1313</v>
      </c>
      <c r="W2457" t="s">
        <v>1314</v>
      </c>
      <c r="X2457" t="s">
        <v>10965</v>
      </c>
      <c r="Y2457" t="s">
        <v>8763</v>
      </c>
      <c r="Z2457" t="s">
        <v>1313</v>
      </c>
      <c r="AA2457" t="s">
        <v>8511</v>
      </c>
      <c r="AE2457">
        <v>-37.749390910000002</v>
      </c>
      <c r="AF2457">
        <v>175.27364802</v>
      </c>
      <c r="AG2457">
        <v>50</v>
      </c>
      <c r="AH2457">
        <v>50</v>
      </c>
      <c r="AI2457">
        <v>4</v>
      </c>
      <c r="AJ2457">
        <v>8</v>
      </c>
      <c r="AK2457">
        <v>13</v>
      </c>
      <c r="AL2457">
        <v>5</v>
      </c>
      <c r="AM2457">
        <v>4</v>
      </c>
      <c r="AN2457">
        <v>0</v>
      </c>
      <c r="AO2457">
        <v>34</v>
      </c>
      <c r="AP2457">
        <v>22</v>
      </c>
      <c r="AQ2457">
        <v>6</v>
      </c>
      <c r="AR2457">
        <v>3</v>
      </c>
      <c r="AS2457">
        <v>7</v>
      </c>
      <c r="AT2457">
        <v>6</v>
      </c>
    </row>
    <row r="2458" spans="1:46">
      <c r="A2458">
        <v>46696</v>
      </c>
      <c r="B2458" t="s">
        <v>14371</v>
      </c>
      <c r="C2458" t="s">
        <v>14372</v>
      </c>
      <c r="D2458" t="s">
        <v>14373</v>
      </c>
      <c r="E2458" t="s">
        <v>14374</v>
      </c>
      <c r="F2458" t="s">
        <v>879</v>
      </c>
      <c r="G2458" t="s">
        <v>652</v>
      </c>
      <c r="H2458" t="s">
        <v>3942</v>
      </c>
      <c r="J2458" t="s">
        <v>3962</v>
      </c>
      <c r="K2458" t="s">
        <v>519</v>
      </c>
      <c r="M2458" t="s">
        <v>520</v>
      </c>
      <c r="N2458" t="s">
        <v>727</v>
      </c>
      <c r="O2458" t="s">
        <v>829</v>
      </c>
      <c r="P2458" t="s">
        <v>654</v>
      </c>
      <c r="Q2458" t="s">
        <v>638</v>
      </c>
      <c r="R2458" t="s">
        <v>708</v>
      </c>
      <c r="S2458" t="s">
        <v>880</v>
      </c>
      <c r="T2458" t="s">
        <v>709</v>
      </c>
      <c r="U2458">
        <v>145800</v>
      </c>
      <c r="V2458" t="s">
        <v>881</v>
      </c>
      <c r="W2458" t="s">
        <v>807</v>
      </c>
      <c r="X2458" t="s">
        <v>4772</v>
      </c>
      <c r="Y2458" t="s">
        <v>4773</v>
      </c>
      <c r="Z2458" t="s">
        <v>879</v>
      </c>
      <c r="AA2458" t="s">
        <v>4774</v>
      </c>
      <c r="AB2458" t="s">
        <v>4775</v>
      </c>
      <c r="AE2458">
        <v>-36.873421020000002</v>
      </c>
      <c r="AF2458">
        <v>174.86996614</v>
      </c>
      <c r="AG2458">
        <v>60</v>
      </c>
      <c r="AH2458">
        <v>10</v>
      </c>
      <c r="AI2458">
        <v>2</v>
      </c>
      <c r="AJ2458">
        <v>7</v>
      </c>
      <c r="AK2458">
        <v>10</v>
      </c>
      <c r="AL2458">
        <v>17</v>
      </c>
      <c r="AM2458">
        <v>13</v>
      </c>
      <c r="AN2458">
        <v>3</v>
      </c>
      <c r="AO2458">
        <v>52</v>
      </c>
      <c r="AP2458">
        <v>14</v>
      </c>
      <c r="AQ2458">
        <v>11</v>
      </c>
      <c r="AR2458">
        <v>38</v>
      </c>
      <c r="AS2458">
        <v>5</v>
      </c>
      <c r="AT2458">
        <v>7</v>
      </c>
    </row>
    <row r="2459" spans="1:46">
      <c r="A2459">
        <v>46697</v>
      </c>
      <c r="B2459" t="s">
        <v>14375</v>
      </c>
      <c r="C2459" t="s">
        <v>14376</v>
      </c>
      <c r="D2459" t="s">
        <v>14377</v>
      </c>
      <c r="E2459" t="s">
        <v>8254</v>
      </c>
      <c r="F2459" t="s">
        <v>8255</v>
      </c>
      <c r="G2459" t="s">
        <v>652</v>
      </c>
      <c r="H2459" t="s">
        <v>4716</v>
      </c>
      <c r="J2459" t="s">
        <v>3962</v>
      </c>
      <c r="K2459" t="s">
        <v>519</v>
      </c>
      <c r="M2459" t="s">
        <v>520</v>
      </c>
      <c r="N2459" t="s">
        <v>571</v>
      </c>
      <c r="O2459" t="s">
        <v>1168</v>
      </c>
      <c r="P2459" t="s">
        <v>654</v>
      </c>
      <c r="Q2459" t="s">
        <v>638</v>
      </c>
      <c r="R2459" t="s">
        <v>639</v>
      </c>
      <c r="S2459" t="s">
        <v>655</v>
      </c>
      <c r="T2459" t="s">
        <v>527</v>
      </c>
      <c r="U2459">
        <v>118600</v>
      </c>
      <c r="V2459" t="s">
        <v>4012</v>
      </c>
      <c r="W2459" t="s">
        <v>657</v>
      </c>
      <c r="X2459" t="s">
        <v>6268</v>
      </c>
      <c r="Y2459" t="s">
        <v>6269</v>
      </c>
      <c r="Z2459" t="s">
        <v>3706</v>
      </c>
      <c r="AA2459" t="s">
        <v>6270</v>
      </c>
      <c r="AE2459">
        <v>-36.74597413</v>
      </c>
      <c r="AF2459">
        <v>174.70431814</v>
      </c>
      <c r="AG2459">
        <v>80</v>
      </c>
      <c r="AH2459">
        <v>80</v>
      </c>
      <c r="AI2459">
        <v>6</v>
      </c>
      <c r="AJ2459">
        <v>10</v>
      </c>
      <c r="AK2459">
        <v>13</v>
      </c>
      <c r="AL2459">
        <v>10</v>
      </c>
      <c r="AM2459">
        <v>12</v>
      </c>
      <c r="AN2459">
        <v>0</v>
      </c>
      <c r="AO2459">
        <v>51</v>
      </c>
      <c r="AP2459">
        <v>3</v>
      </c>
      <c r="AQ2459">
        <v>0</v>
      </c>
      <c r="AR2459">
        <v>0</v>
      </c>
      <c r="AS2459">
        <v>51</v>
      </c>
      <c r="AT2459">
        <v>0</v>
      </c>
    </row>
    <row r="2460" spans="1:46">
      <c r="A2460">
        <v>46698</v>
      </c>
      <c r="B2460" t="s">
        <v>14378</v>
      </c>
      <c r="C2460" t="s">
        <v>14379</v>
      </c>
      <c r="E2460" t="s">
        <v>14380</v>
      </c>
      <c r="F2460" t="s">
        <v>3770</v>
      </c>
      <c r="G2460" t="s">
        <v>1598</v>
      </c>
      <c r="H2460" t="s">
        <v>517</v>
      </c>
      <c r="J2460" t="s">
        <v>518</v>
      </c>
      <c r="K2460" t="s">
        <v>519</v>
      </c>
      <c r="M2460" t="s">
        <v>1297</v>
      </c>
      <c r="N2460" t="s">
        <v>571</v>
      </c>
      <c r="O2460" t="s">
        <v>1698</v>
      </c>
      <c r="P2460" t="s">
        <v>654</v>
      </c>
      <c r="Q2460" t="s">
        <v>1471</v>
      </c>
      <c r="R2460" t="s">
        <v>1472</v>
      </c>
      <c r="S2460" t="s">
        <v>1699</v>
      </c>
      <c r="T2460" t="s">
        <v>1474</v>
      </c>
      <c r="U2460">
        <v>197500</v>
      </c>
      <c r="V2460" t="s">
        <v>11848</v>
      </c>
      <c r="W2460" t="s">
        <v>3772</v>
      </c>
      <c r="X2460" t="s">
        <v>1596</v>
      </c>
      <c r="Y2460" t="s">
        <v>1597</v>
      </c>
      <c r="Z2460" t="s">
        <v>1598</v>
      </c>
      <c r="AA2460" t="s">
        <v>1599</v>
      </c>
      <c r="AB2460" t="s">
        <v>1600</v>
      </c>
      <c r="AC2460">
        <v>99073</v>
      </c>
      <c r="AD2460" t="s">
        <v>3773</v>
      </c>
      <c r="AE2460">
        <v>-37.718417289999998</v>
      </c>
      <c r="AF2460">
        <v>176.34166178000001</v>
      </c>
      <c r="AG2460">
        <v>45</v>
      </c>
      <c r="AH2460">
        <v>0</v>
      </c>
      <c r="AI2460">
        <v>0</v>
      </c>
      <c r="AJ2460">
        <v>0</v>
      </c>
      <c r="AK2460">
        <v>8</v>
      </c>
      <c r="AL2460">
        <v>14</v>
      </c>
      <c r="AM2460">
        <v>32</v>
      </c>
      <c r="AN2460">
        <v>1</v>
      </c>
      <c r="AO2460">
        <v>55</v>
      </c>
      <c r="AP2460">
        <v>52</v>
      </c>
      <c r="AQ2460">
        <v>7</v>
      </c>
      <c r="AR2460">
        <v>1</v>
      </c>
      <c r="AS2460">
        <v>1</v>
      </c>
      <c r="AT2460">
        <v>0</v>
      </c>
    </row>
    <row r="2461" spans="1:46">
      <c r="A2461">
        <v>46702</v>
      </c>
      <c r="B2461" t="s">
        <v>14381</v>
      </c>
      <c r="C2461" t="s">
        <v>14382</v>
      </c>
      <c r="D2461" t="s">
        <v>14383</v>
      </c>
      <c r="E2461" t="s">
        <v>14384</v>
      </c>
      <c r="F2461" t="s">
        <v>919</v>
      </c>
      <c r="G2461" t="s">
        <v>652</v>
      </c>
      <c r="H2461" t="s">
        <v>3942</v>
      </c>
      <c r="J2461" t="s">
        <v>3962</v>
      </c>
      <c r="K2461" t="s">
        <v>519</v>
      </c>
      <c r="M2461" t="s">
        <v>520</v>
      </c>
      <c r="N2461" t="s">
        <v>571</v>
      </c>
      <c r="O2461" t="s">
        <v>1168</v>
      </c>
      <c r="P2461" t="s">
        <v>654</v>
      </c>
      <c r="Q2461" t="s">
        <v>638</v>
      </c>
      <c r="R2461" t="s">
        <v>639</v>
      </c>
      <c r="S2461" t="s">
        <v>739</v>
      </c>
      <c r="T2461" t="s">
        <v>527</v>
      </c>
      <c r="U2461">
        <v>119201</v>
      </c>
      <c r="V2461" t="s">
        <v>919</v>
      </c>
      <c r="W2461" t="s">
        <v>657</v>
      </c>
      <c r="X2461" t="s">
        <v>14385</v>
      </c>
      <c r="Y2461" t="s">
        <v>14386</v>
      </c>
      <c r="Z2461" t="s">
        <v>3706</v>
      </c>
      <c r="AA2461" t="s">
        <v>13332</v>
      </c>
      <c r="AB2461" t="s">
        <v>14387</v>
      </c>
      <c r="AC2461">
        <v>99129</v>
      </c>
      <c r="AD2461" t="s">
        <v>921</v>
      </c>
      <c r="AE2461">
        <v>-36.801462999999998</v>
      </c>
      <c r="AF2461">
        <v>174.6413154</v>
      </c>
      <c r="AG2461">
        <v>130</v>
      </c>
      <c r="AH2461">
        <v>40</v>
      </c>
      <c r="AI2461">
        <v>2</v>
      </c>
      <c r="AJ2461">
        <v>21</v>
      </c>
      <c r="AK2461">
        <v>31</v>
      </c>
      <c r="AL2461">
        <v>32</v>
      </c>
      <c r="AM2461">
        <v>41</v>
      </c>
      <c r="AN2461">
        <v>0</v>
      </c>
      <c r="AO2461">
        <v>127</v>
      </c>
      <c r="AP2461">
        <v>64</v>
      </c>
      <c r="AQ2461">
        <v>5</v>
      </c>
      <c r="AR2461">
        <v>5</v>
      </c>
      <c r="AS2461">
        <v>64</v>
      </c>
      <c r="AT2461">
        <v>6</v>
      </c>
    </row>
    <row r="2462" spans="1:46">
      <c r="A2462">
        <v>46703</v>
      </c>
      <c r="B2462" t="s">
        <v>14388</v>
      </c>
      <c r="C2462" t="s">
        <v>14389</v>
      </c>
      <c r="D2462" t="s">
        <v>14390</v>
      </c>
      <c r="E2462" t="s">
        <v>14391</v>
      </c>
      <c r="F2462" t="s">
        <v>828</v>
      </c>
      <c r="G2462" t="s">
        <v>652</v>
      </c>
      <c r="H2462" t="s">
        <v>3942</v>
      </c>
      <c r="J2462" t="s">
        <v>3962</v>
      </c>
      <c r="K2462" t="s">
        <v>519</v>
      </c>
      <c r="M2462" t="s">
        <v>520</v>
      </c>
      <c r="N2462" t="s">
        <v>571</v>
      </c>
      <c r="O2462" t="s">
        <v>829</v>
      </c>
      <c r="P2462" t="s">
        <v>654</v>
      </c>
      <c r="Q2462" t="s">
        <v>638</v>
      </c>
      <c r="R2462" t="s">
        <v>708</v>
      </c>
      <c r="S2462" t="s">
        <v>805</v>
      </c>
      <c r="T2462" t="s">
        <v>709</v>
      </c>
      <c r="U2462">
        <v>145000</v>
      </c>
      <c r="V2462" t="s">
        <v>830</v>
      </c>
      <c r="W2462" t="s">
        <v>807</v>
      </c>
      <c r="X2462" t="s">
        <v>11722</v>
      </c>
      <c r="Y2462" t="s">
        <v>11723</v>
      </c>
      <c r="Z2462" t="s">
        <v>11724</v>
      </c>
      <c r="AA2462" t="s">
        <v>11725</v>
      </c>
      <c r="AE2462">
        <v>-36.91653075</v>
      </c>
      <c r="AF2462">
        <v>174.78425297000001</v>
      </c>
      <c r="AG2462">
        <v>75</v>
      </c>
      <c r="AH2462">
        <v>30</v>
      </c>
      <c r="AI2462">
        <v>4</v>
      </c>
      <c r="AJ2462">
        <v>19</v>
      </c>
      <c r="AK2462">
        <v>27</v>
      </c>
      <c r="AL2462">
        <v>22</v>
      </c>
      <c r="AM2462">
        <v>14</v>
      </c>
      <c r="AN2462">
        <v>1</v>
      </c>
      <c r="AO2462">
        <v>87</v>
      </c>
      <c r="AP2462">
        <v>61</v>
      </c>
      <c r="AQ2462">
        <v>10</v>
      </c>
      <c r="AR2462">
        <v>10</v>
      </c>
      <c r="AS2462">
        <v>22</v>
      </c>
      <c r="AT2462">
        <v>7</v>
      </c>
    </row>
    <row r="2463" spans="1:46">
      <c r="A2463">
        <v>46704</v>
      </c>
      <c r="B2463" t="s">
        <v>14392</v>
      </c>
      <c r="C2463" t="s">
        <v>14393</v>
      </c>
      <c r="E2463" t="s">
        <v>14394</v>
      </c>
      <c r="F2463" t="s">
        <v>8483</v>
      </c>
      <c r="G2463" t="s">
        <v>1598</v>
      </c>
      <c r="H2463" t="s">
        <v>3942</v>
      </c>
      <c r="I2463" t="s">
        <v>6218</v>
      </c>
      <c r="J2463" t="s">
        <v>518</v>
      </c>
      <c r="K2463" t="s">
        <v>519</v>
      </c>
      <c r="M2463" t="s">
        <v>1297</v>
      </c>
      <c r="N2463" t="s">
        <v>539</v>
      </c>
      <c r="O2463" t="s">
        <v>1698</v>
      </c>
      <c r="P2463" t="s">
        <v>654</v>
      </c>
      <c r="Q2463" t="s">
        <v>1471</v>
      </c>
      <c r="R2463" t="s">
        <v>1472</v>
      </c>
      <c r="S2463" t="s">
        <v>1598</v>
      </c>
      <c r="T2463" t="s">
        <v>1474</v>
      </c>
      <c r="U2463">
        <v>194802</v>
      </c>
      <c r="V2463" t="s">
        <v>3723</v>
      </c>
      <c r="W2463" t="s">
        <v>3724</v>
      </c>
      <c r="X2463" t="s">
        <v>14395</v>
      </c>
      <c r="Y2463" t="s">
        <v>14396</v>
      </c>
      <c r="AA2463" t="s">
        <v>8884</v>
      </c>
      <c r="AC2463">
        <v>99085</v>
      </c>
      <c r="AD2463" t="s">
        <v>1718</v>
      </c>
      <c r="AE2463">
        <v>-37.71103463</v>
      </c>
      <c r="AF2463">
        <v>176.1460816</v>
      </c>
      <c r="AG2463">
        <v>30</v>
      </c>
      <c r="AH2463">
        <v>7</v>
      </c>
      <c r="AI2463">
        <v>0</v>
      </c>
      <c r="AJ2463">
        <v>4</v>
      </c>
      <c r="AK2463">
        <v>6</v>
      </c>
      <c r="AL2463">
        <v>6</v>
      </c>
      <c r="AM2463">
        <v>11</v>
      </c>
      <c r="AN2463">
        <v>0</v>
      </c>
      <c r="AO2463">
        <v>27</v>
      </c>
      <c r="AP2463">
        <v>10</v>
      </c>
      <c r="AQ2463">
        <v>23</v>
      </c>
      <c r="AR2463">
        <v>4</v>
      </c>
      <c r="AS2463">
        <v>0</v>
      </c>
      <c r="AT2463">
        <v>5</v>
      </c>
    </row>
    <row r="2464" spans="1:46">
      <c r="A2464">
        <v>46705</v>
      </c>
      <c r="B2464" t="s">
        <v>14397</v>
      </c>
      <c r="C2464" t="s">
        <v>14398</v>
      </c>
      <c r="E2464" t="s">
        <v>14399</v>
      </c>
      <c r="F2464" t="s">
        <v>1628</v>
      </c>
      <c r="G2464" t="s">
        <v>1521</v>
      </c>
      <c r="H2464" t="s">
        <v>3942</v>
      </c>
      <c r="I2464" t="s">
        <v>6218</v>
      </c>
      <c r="J2464" t="s">
        <v>518</v>
      </c>
      <c r="K2464" t="s">
        <v>519</v>
      </c>
      <c r="M2464" t="s">
        <v>1297</v>
      </c>
      <c r="N2464" t="s">
        <v>727</v>
      </c>
      <c r="O2464" t="s">
        <v>1522</v>
      </c>
      <c r="P2464" t="s">
        <v>584</v>
      </c>
      <c r="Q2464" t="s">
        <v>1471</v>
      </c>
      <c r="R2464" t="s">
        <v>1472</v>
      </c>
      <c r="S2464" t="s">
        <v>1521</v>
      </c>
      <c r="T2464" t="s">
        <v>1474</v>
      </c>
      <c r="U2464">
        <v>200900</v>
      </c>
      <c r="V2464" t="s">
        <v>10028</v>
      </c>
      <c r="W2464" t="s">
        <v>1523</v>
      </c>
      <c r="X2464" t="s">
        <v>14400</v>
      </c>
      <c r="Y2464" t="s">
        <v>14401</v>
      </c>
      <c r="Z2464" t="s">
        <v>1665</v>
      </c>
      <c r="AA2464" t="s">
        <v>10031</v>
      </c>
      <c r="AB2464" t="s">
        <v>14398</v>
      </c>
      <c r="AE2464">
        <v>-38.122761599999997</v>
      </c>
      <c r="AF2464">
        <v>176.3016217</v>
      </c>
      <c r="AG2464">
        <v>40</v>
      </c>
      <c r="AH2464">
        <v>16</v>
      </c>
      <c r="AI2464">
        <v>4</v>
      </c>
      <c r="AJ2464">
        <v>6</v>
      </c>
      <c r="AK2464">
        <v>8</v>
      </c>
      <c r="AL2464">
        <v>10</v>
      </c>
      <c r="AM2464">
        <v>9</v>
      </c>
      <c r="AN2464">
        <v>0</v>
      </c>
      <c r="AO2464">
        <v>37</v>
      </c>
      <c r="AP2464">
        <v>3</v>
      </c>
      <c r="AQ2464">
        <v>36</v>
      </c>
      <c r="AR2464">
        <v>4</v>
      </c>
      <c r="AS2464">
        <v>1</v>
      </c>
      <c r="AT2464">
        <v>0</v>
      </c>
    </row>
    <row r="2465" spans="1:46">
      <c r="A2465">
        <v>46707</v>
      </c>
      <c r="B2465" t="s">
        <v>14402</v>
      </c>
      <c r="C2465" t="s">
        <v>14403</v>
      </c>
      <c r="D2465" t="s">
        <v>14404</v>
      </c>
      <c r="E2465" t="s">
        <v>14405</v>
      </c>
      <c r="G2465" t="s">
        <v>5603</v>
      </c>
      <c r="H2465" t="s">
        <v>3942</v>
      </c>
      <c r="J2465" t="s">
        <v>3962</v>
      </c>
      <c r="K2465" t="s">
        <v>519</v>
      </c>
      <c r="M2465" t="s">
        <v>520</v>
      </c>
      <c r="N2465" t="s">
        <v>571</v>
      </c>
      <c r="O2465" t="s">
        <v>564</v>
      </c>
      <c r="P2465" t="s">
        <v>540</v>
      </c>
      <c r="Q2465" t="s">
        <v>524</v>
      </c>
      <c r="R2465" t="s">
        <v>525</v>
      </c>
      <c r="S2465" t="s">
        <v>526</v>
      </c>
      <c r="T2465" t="s">
        <v>527</v>
      </c>
      <c r="U2465">
        <v>109600</v>
      </c>
      <c r="V2465" t="s">
        <v>5604</v>
      </c>
      <c r="W2465" t="s">
        <v>574</v>
      </c>
      <c r="X2465" t="s">
        <v>14406</v>
      </c>
      <c r="Y2465" t="s">
        <v>14407</v>
      </c>
      <c r="AA2465" t="s">
        <v>14408</v>
      </c>
      <c r="AB2465" t="s">
        <v>14403</v>
      </c>
      <c r="AC2465">
        <v>99118</v>
      </c>
      <c r="AD2465" t="s">
        <v>5315</v>
      </c>
      <c r="AE2465">
        <v>-36.111565079999998</v>
      </c>
      <c r="AF2465">
        <v>174.35275652000001</v>
      </c>
      <c r="AG2465">
        <v>50</v>
      </c>
      <c r="AH2465">
        <v>13</v>
      </c>
      <c r="AI2465">
        <v>3</v>
      </c>
      <c r="AJ2465">
        <v>4</v>
      </c>
      <c r="AK2465">
        <v>10</v>
      </c>
      <c r="AL2465">
        <v>15</v>
      </c>
      <c r="AM2465">
        <v>15</v>
      </c>
      <c r="AN2465">
        <v>0</v>
      </c>
      <c r="AO2465">
        <v>47</v>
      </c>
      <c r="AP2465">
        <v>41</v>
      </c>
      <c r="AQ2465">
        <v>12</v>
      </c>
      <c r="AR2465">
        <v>1</v>
      </c>
      <c r="AS2465">
        <v>7</v>
      </c>
      <c r="AT2465">
        <v>0</v>
      </c>
    </row>
    <row r="2466" spans="1:46">
      <c r="A2466">
        <v>46708</v>
      </c>
      <c r="B2466" t="s">
        <v>14409</v>
      </c>
      <c r="C2466" t="s">
        <v>14410</v>
      </c>
      <c r="D2466" t="s">
        <v>8762</v>
      </c>
      <c r="E2466" t="s">
        <v>14411</v>
      </c>
      <c r="F2466" t="s">
        <v>1313</v>
      </c>
      <c r="G2466" t="s">
        <v>1296</v>
      </c>
      <c r="H2466" t="s">
        <v>4716</v>
      </c>
      <c r="J2466" t="s">
        <v>3962</v>
      </c>
      <c r="K2466" t="s">
        <v>519</v>
      </c>
      <c r="M2466" t="s">
        <v>1297</v>
      </c>
      <c r="N2466" t="s">
        <v>521</v>
      </c>
      <c r="O2466" t="s">
        <v>1298</v>
      </c>
      <c r="P2466" t="s">
        <v>654</v>
      </c>
      <c r="Q2466" t="s">
        <v>1299</v>
      </c>
      <c r="R2466" t="s">
        <v>2084</v>
      </c>
      <c r="S2466" t="s">
        <v>1312</v>
      </c>
      <c r="T2466" t="s">
        <v>1235</v>
      </c>
      <c r="U2466">
        <v>177300</v>
      </c>
      <c r="V2466" t="s">
        <v>1313</v>
      </c>
      <c r="W2466" t="s">
        <v>1314</v>
      </c>
      <c r="X2466" t="s">
        <v>14412</v>
      </c>
      <c r="Y2466" t="s">
        <v>8763</v>
      </c>
      <c r="Z2466" t="s">
        <v>1313</v>
      </c>
      <c r="AA2466" t="s">
        <v>8511</v>
      </c>
      <c r="AB2466" t="s">
        <v>14413</v>
      </c>
      <c r="AC2466">
        <v>99081</v>
      </c>
      <c r="AD2466" t="s">
        <v>13006</v>
      </c>
      <c r="AE2466">
        <v>-37.74893668</v>
      </c>
      <c r="AF2466">
        <v>175.27291349999999</v>
      </c>
      <c r="AG2466">
        <v>50</v>
      </c>
      <c r="AH2466">
        <v>50</v>
      </c>
      <c r="AI2466">
        <v>2</v>
      </c>
      <c r="AJ2466">
        <v>10</v>
      </c>
      <c r="AK2466">
        <v>18</v>
      </c>
      <c r="AL2466">
        <v>10</v>
      </c>
      <c r="AM2466">
        <v>5</v>
      </c>
      <c r="AN2466">
        <v>0</v>
      </c>
      <c r="AO2466">
        <v>45</v>
      </c>
      <c r="AP2466">
        <v>34</v>
      </c>
      <c r="AQ2466">
        <v>21</v>
      </c>
      <c r="AR2466">
        <v>1</v>
      </c>
      <c r="AS2466">
        <v>1</v>
      </c>
      <c r="AT2466">
        <v>2</v>
      </c>
    </row>
    <row r="2467" spans="1:46">
      <c r="A2467">
        <v>46710</v>
      </c>
      <c r="B2467" t="s">
        <v>14414</v>
      </c>
      <c r="C2467" t="s">
        <v>14415</v>
      </c>
      <c r="E2467" t="s">
        <v>14416</v>
      </c>
      <c r="G2467" t="s">
        <v>2317</v>
      </c>
      <c r="H2467" t="s">
        <v>3942</v>
      </c>
      <c r="J2467" t="s">
        <v>3962</v>
      </c>
      <c r="K2467" t="s">
        <v>519</v>
      </c>
      <c r="M2467" t="s">
        <v>2287</v>
      </c>
      <c r="N2467" t="s">
        <v>571</v>
      </c>
      <c r="O2467" t="s">
        <v>2318</v>
      </c>
      <c r="P2467" t="s">
        <v>1262</v>
      </c>
      <c r="Q2467" t="s">
        <v>2319</v>
      </c>
      <c r="R2467" t="s">
        <v>2289</v>
      </c>
      <c r="S2467" t="s">
        <v>2269</v>
      </c>
      <c r="T2467" t="s">
        <v>2085</v>
      </c>
      <c r="U2467">
        <v>256100</v>
      </c>
      <c r="V2467" t="s">
        <v>2327</v>
      </c>
      <c r="W2467" t="s">
        <v>2321</v>
      </c>
      <c r="X2467" t="s">
        <v>14417</v>
      </c>
      <c r="Y2467" t="s">
        <v>14416</v>
      </c>
      <c r="AA2467" t="s">
        <v>11932</v>
      </c>
      <c r="AB2467" t="s">
        <v>14415</v>
      </c>
      <c r="AC2467">
        <v>99204</v>
      </c>
      <c r="AD2467" t="s">
        <v>2322</v>
      </c>
      <c r="AE2467">
        <v>-40.948695409999999</v>
      </c>
      <c r="AF2467">
        <v>175.65837181000001</v>
      </c>
      <c r="AG2467">
        <v>30</v>
      </c>
      <c r="AH2467">
        <v>12</v>
      </c>
      <c r="AI2467">
        <v>3</v>
      </c>
      <c r="AJ2467">
        <v>12</v>
      </c>
      <c r="AK2467">
        <v>5</v>
      </c>
      <c r="AL2467">
        <v>9</v>
      </c>
      <c r="AM2467">
        <v>7</v>
      </c>
      <c r="AN2467">
        <v>0</v>
      </c>
      <c r="AO2467">
        <v>36</v>
      </c>
      <c r="AP2467">
        <v>24</v>
      </c>
      <c r="AQ2467">
        <v>26</v>
      </c>
      <c r="AR2467">
        <v>3</v>
      </c>
      <c r="AS2467">
        <v>3</v>
      </c>
      <c r="AT2467">
        <v>0</v>
      </c>
    </row>
    <row r="2468" spans="1:46">
      <c r="A2468">
        <v>46715</v>
      </c>
      <c r="B2468" t="s">
        <v>14418</v>
      </c>
      <c r="C2468" t="s">
        <v>14419</v>
      </c>
      <c r="D2468" t="s">
        <v>14420</v>
      </c>
      <c r="E2468" t="s">
        <v>14421</v>
      </c>
      <c r="F2468" t="s">
        <v>2479</v>
      </c>
      <c r="G2468" t="s">
        <v>2427</v>
      </c>
      <c r="H2468" t="s">
        <v>3942</v>
      </c>
      <c r="J2468" t="s">
        <v>518</v>
      </c>
      <c r="K2468" t="s">
        <v>519</v>
      </c>
      <c r="M2468" t="s">
        <v>2287</v>
      </c>
      <c r="N2468" t="s">
        <v>539</v>
      </c>
      <c r="O2468" t="s">
        <v>2428</v>
      </c>
      <c r="P2468" t="s">
        <v>654</v>
      </c>
      <c r="Q2468" t="s">
        <v>2319</v>
      </c>
      <c r="R2468" t="s">
        <v>2289</v>
      </c>
      <c r="S2468" t="s">
        <v>2373</v>
      </c>
      <c r="T2468" t="s">
        <v>2085</v>
      </c>
      <c r="U2468">
        <v>246200</v>
      </c>
      <c r="V2468" t="s">
        <v>14422</v>
      </c>
      <c r="W2468" t="s">
        <v>2455</v>
      </c>
      <c r="X2468" t="s">
        <v>10434</v>
      </c>
      <c r="Y2468" t="s">
        <v>3944</v>
      </c>
      <c r="Z2468" t="s">
        <v>3945</v>
      </c>
      <c r="AA2468" t="s">
        <v>3946</v>
      </c>
      <c r="AE2468">
        <v>-41.19852015</v>
      </c>
      <c r="AF2468">
        <v>174.95541248000001</v>
      </c>
      <c r="AG2468">
        <v>80</v>
      </c>
      <c r="AH2468">
        <v>12</v>
      </c>
      <c r="AI2468">
        <v>1</v>
      </c>
      <c r="AJ2468">
        <v>11</v>
      </c>
      <c r="AK2468">
        <v>24</v>
      </c>
      <c r="AL2468">
        <v>27</v>
      </c>
      <c r="AM2468">
        <v>33</v>
      </c>
      <c r="AN2468">
        <v>1</v>
      </c>
      <c r="AO2468">
        <v>97</v>
      </c>
      <c r="AP2468">
        <v>44</v>
      </c>
      <c r="AQ2468">
        <v>40</v>
      </c>
      <c r="AR2468">
        <v>17</v>
      </c>
      <c r="AS2468">
        <v>29</v>
      </c>
      <c r="AT2468">
        <v>5</v>
      </c>
    </row>
    <row r="2469" spans="1:46">
      <c r="A2469">
        <v>46717</v>
      </c>
      <c r="B2469" t="s">
        <v>14423</v>
      </c>
      <c r="C2469" t="s">
        <v>14424</v>
      </c>
      <c r="E2469" t="s">
        <v>14425</v>
      </c>
      <c r="F2469" t="s">
        <v>1422</v>
      </c>
      <c r="G2469" t="s">
        <v>1296</v>
      </c>
      <c r="H2469" t="s">
        <v>3942</v>
      </c>
      <c r="J2469" t="s">
        <v>3962</v>
      </c>
      <c r="K2469" t="s">
        <v>519</v>
      </c>
      <c r="M2469" t="s">
        <v>1297</v>
      </c>
      <c r="N2469" t="s">
        <v>571</v>
      </c>
      <c r="O2469" t="s">
        <v>1298</v>
      </c>
      <c r="P2469" t="s">
        <v>654</v>
      </c>
      <c r="Q2469" t="s">
        <v>1299</v>
      </c>
      <c r="R2469" t="s">
        <v>1300</v>
      </c>
      <c r="S2469" t="s">
        <v>1301</v>
      </c>
      <c r="T2469" t="s">
        <v>1235</v>
      </c>
      <c r="U2469">
        <v>175201</v>
      </c>
      <c r="V2469" t="s">
        <v>9060</v>
      </c>
      <c r="W2469" t="s">
        <v>1303</v>
      </c>
      <c r="X2469" t="s">
        <v>14426</v>
      </c>
      <c r="Y2469" t="s">
        <v>14427</v>
      </c>
      <c r="AA2469" t="s">
        <v>9576</v>
      </c>
      <c r="AB2469" t="s">
        <v>14428</v>
      </c>
      <c r="AE2469">
        <v>-37.742294299999998</v>
      </c>
      <c r="AF2469">
        <v>175.22493940000001</v>
      </c>
      <c r="AG2469">
        <v>75</v>
      </c>
      <c r="AH2469">
        <v>25</v>
      </c>
      <c r="AI2469">
        <v>3</v>
      </c>
      <c r="AJ2469">
        <v>9</v>
      </c>
      <c r="AK2469">
        <v>15</v>
      </c>
      <c r="AL2469">
        <v>14</v>
      </c>
      <c r="AM2469">
        <v>16</v>
      </c>
      <c r="AN2469">
        <v>0</v>
      </c>
      <c r="AO2469">
        <v>57</v>
      </c>
      <c r="AP2469">
        <v>28</v>
      </c>
      <c r="AQ2469">
        <v>15</v>
      </c>
      <c r="AR2469">
        <v>2</v>
      </c>
      <c r="AS2469">
        <v>17</v>
      </c>
      <c r="AT2469">
        <v>10</v>
      </c>
    </row>
    <row r="2470" spans="1:46">
      <c r="A2470">
        <v>46729</v>
      </c>
      <c r="B2470" t="s">
        <v>14429</v>
      </c>
      <c r="C2470" t="s">
        <v>14430</v>
      </c>
      <c r="E2470" t="s">
        <v>14431</v>
      </c>
      <c r="F2470" t="s">
        <v>13807</v>
      </c>
      <c r="G2470" t="s">
        <v>652</v>
      </c>
      <c r="H2470" t="s">
        <v>3942</v>
      </c>
      <c r="J2470" t="s">
        <v>3962</v>
      </c>
      <c r="K2470" t="s">
        <v>519</v>
      </c>
      <c r="M2470" t="s">
        <v>520</v>
      </c>
      <c r="N2470" t="s">
        <v>571</v>
      </c>
      <c r="O2470" t="s">
        <v>829</v>
      </c>
      <c r="P2470" t="s">
        <v>654</v>
      </c>
      <c r="Q2470" t="s">
        <v>638</v>
      </c>
      <c r="R2470" t="s">
        <v>708</v>
      </c>
      <c r="S2470" t="s">
        <v>805</v>
      </c>
      <c r="T2470" t="s">
        <v>709</v>
      </c>
      <c r="U2470">
        <v>145900</v>
      </c>
      <c r="V2470" t="s">
        <v>13807</v>
      </c>
      <c r="W2470" t="s">
        <v>807</v>
      </c>
      <c r="X2470" t="s">
        <v>14432</v>
      </c>
      <c r="Y2470" t="s">
        <v>14433</v>
      </c>
      <c r="Z2470" t="s">
        <v>706</v>
      </c>
      <c r="AA2470" t="s">
        <v>4484</v>
      </c>
      <c r="AE2470">
        <v>-36.907585529999999</v>
      </c>
      <c r="AF2470">
        <v>174.81172122000001</v>
      </c>
      <c r="AG2470">
        <v>84</v>
      </c>
      <c r="AH2470">
        <v>20</v>
      </c>
      <c r="AI2470">
        <v>2</v>
      </c>
      <c r="AJ2470">
        <v>18</v>
      </c>
      <c r="AK2470">
        <v>10</v>
      </c>
      <c r="AL2470">
        <v>26</v>
      </c>
      <c r="AM2470">
        <v>14</v>
      </c>
      <c r="AN2470">
        <v>0</v>
      </c>
      <c r="AO2470">
        <v>70</v>
      </c>
      <c r="AP2470">
        <v>17</v>
      </c>
      <c r="AQ2470">
        <v>1</v>
      </c>
      <c r="AR2470">
        <v>7</v>
      </c>
      <c r="AS2470">
        <v>55</v>
      </c>
      <c r="AT2470">
        <v>1</v>
      </c>
    </row>
    <row r="2471" spans="1:46">
      <c r="A2471">
        <v>46730</v>
      </c>
      <c r="B2471" t="s">
        <v>14434</v>
      </c>
      <c r="C2471" t="s">
        <v>14435</v>
      </c>
      <c r="E2471" t="s">
        <v>14436</v>
      </c>
      <c r="F2471" t="s">
        <v>812</v>
      </c>
      <c r="G2471" t="s">
        <v>652</v>
      </c>
      <c r="H2471" t="s">
        <v>3942</v>
      </c>
      <c r="J2471" t="s">
        <v>518</v>
      </c>
      <c r="K2471" t="s">
        <v>519</v>
      </c>
      <c r="M2471" t="s">
        <v>520</v>
      </c>
      <c r="N2471" t="s">
        <v>557</v>
      </c>
      <c r="O2471" t="s">
        <v>813</v>
      </c>
      <c r="P2471" t="s">
        <v>654</v>
      </c>
      <c r="Q2471" t="s">
        <v>638</v>
      </c>
      <c r="R2471" t="s">
        <v>639</v>
      </c>
      <c r="S2471" t="s">
        <v>739</v>
      </c>
      <c r="T2471" t="s">
        <v>527</v>
      </c>
      <c r="U2471">
        <v>122901</v>
      </c>
      <c r="V2471" t="s">
        <v>14437</v>
      </c>
      <c r="W2471" t="s">
        <v>815</v>
      </c>
      <c r="X2471" t="s">
        <v>7715</v>
      </c>
      <c r="Y2471" t="s">
        <v>7716</v>
      </c>
      <c r="Z2471" t="s">
        <v>644</v>
      </c>
      <c r="AA2471" t="s">
        <v>645</v>
      </c>
      <c r="AB2471" t="s">
        <v>7717</v>
      </c>
      <c r="AE2471">
        <v>-36.846476580000001</v>
      </c>
      <c r="AF2471">
        <v>174.61566354000001</v>
      </c>
      <c r="AG2471">
        <v>75</v>
      </c>
      <c r="AH2471">
        <v>18</v>
      </c>
      <c r="AI2471">
        <v>2</v>
      </c>
      <c r="AJ2471">
        <v>9</v>
      </c>
      <c r="AK2471">
        <v>11</v>
      </c>
      <c r="AL2471">
        <v>22</v>
      </c>
      <c r="AM2471">
        <v>17</v>
      </c>
      <c r="AN2471">
        <v>2</v>
      </c>
      <c r="AO2471">
        <v>63</v>
      </c>
      <c r="AP2471">
        <v>19</v>
      </c>
      <c r="AQ2471">
        <v>34</v>
      </c>
      <c r="AR2471">
        <v>19</v>
      </c>
      <c r="AS2471">
        <v>12</v>
      </c>
      <c r="AT2471">
        <v>1</v>
      </c>
    </row>
    <row r="2472" spans="1:46">
      <c r="A2472">
        <v>46731</v>
      </c>
      <c r="B2472" t="s">
        <v>14438</v>
      </c>
      <c r="C2472" t="s">
        <v>10820</v>
      </c>
      <c r="D2472" t="s">
        <v>14439</v>
      </c>
      <c r="E2472" t="s">
        <v>14440</v>
      </c>
      <c r="G2472" t="s">
        <v>14441</v>
      </c>
      <c r="H2472" t="s">
        <v>3942</v>
      </c>
      <c r="J2472" t="s">
        <v>3962</v>
      </c>
      <c r="K2472" t="s">
        <v>519</v>
      </c>
      <c r="M2472" t="s">
        <v>2287</v>
      </c>
      <c r="N2472" t="s">
        <v>571</v>
      </c>
      <c r="O2472" t="s">
        <v>2333</v>
      </c>
      <c r="P2472" t="s">
        <v>523</v>
      </c>
      <c r="Q2472" t="s">
        <v>2319</v>
      </c>
      <c r="R2472" t="s">
        <v>2289</v>
      </c>
      <c r="S2472" t="s">
        <v>2269</v>
      </c>
      <c r="T2472" t="s">
        <v>2085</v>
      </c>
      <c r="U2472">
        <v>257901</v>
      </c>
      <c r="V2472" t="s">
        <v>14441</v>
      </c>
      <c r="W2472" t="s">
        <v>14442</v>
      </c>
      <c r="X2472" t="s">
        <v>10818</v>
      </c>
      <c r="Y2472" t="s">
        <v>10817</v>
      </c>
      <c r="AA2472" t="s">
        <v>10819</v>
      </c>
      <c r="AB2472" t="s">
        <v>10820</v>
      </c>
      <c r="AC2472">
        <v>99109</v>
      </c>
      <c r="AD2472" t="s">
        <v>2335</v>
      </c>
      <c r="AE2472">
        <v>-41.216891179999998</v>
      </c>
      <c r="AF2472">
        <v>175.45824359</v>
      </c>
      <c r="AG2472">
        <v>22</v>
      </c>
      <c r="AH2472">
        <v>10</v>
      </c>
      <c r="AI2472">
        <v>0</v>
      </c>
      <c r="AJ2472">
        <v>3</v>
      </c>
      <c r="AK2472">
        <v>8</v>
      </c>
      <c r="AL2472">
        <v>6</v>
      </c>
      <c r="AM2472">
        <v>7</v>
      </c>
      <c r="AN2472">
        <v>0</v>
      </c>
      <c r="AO2472">
        <v>24</v>
      </c>
      <c r="AP2472">
        <v>21</v>
      </c>
      <c r="AQ2472">
        <v>10</v>
      </c>
      <c r="AR2472">
        <v>0</v>
      </c>
      <c r="AS2472">
        <v>0</v>
      </c>
      <c r="AT2472">
        <v>0</v>
      </c>
    </row>
    <row r="2473" spans="1:46">
      <c r="A2473">
        <v>46732</v>
      </c>
      <c r="B2473" t="s">
        <v>13556</v>
      </c>
      <c r="C2473" t="s">
        <v>14443</v>
      </c>
      <c r="D2473" t="s">
        <v>14444</v>
      </c>
      <c r="E2473" t="s">
        <v>14445</v>
      </c>
      <c r="F2473" t="s">
        <v>14446</v>
      </c>
      <c r="G2473" t="s">
        <v>652</v>
      </c>
      <c r="H2473" t="s">
        <v>3942</v>
      </c>
      <c r="J2473" t="s">
        <v>3962</v>
      </c>
      <c r="K2473" t="s">
        <v>519</v>
      </c>
      <c r="M2473" t="s">
        <v>520</v>
      </c>
      <c r="N2473" t="s">
        <v>571</v>
      </c>
      <c r="O2473" t="s">
        <v>707</v>
      </c>
      <c r="P2473" t="s">
        <v>654</v>
      </c>
      <c r="Q2473" t="s">
        <v>638</v>
      </c>
      <c r="R2473" t="s">
        <v>708</v>
      </c>
      <c r="S2473" t="s">
        <v>778</v>
      </c>
      <c r="T2473" t="s">
        <v>709</v>
      </c>
      <c r="U2473">
        <v>154500</v>
      </c>
      <c r="V2473" t="s">
        <v>14446</v>
      </c>
      <c r="W2473" t="s">
        <v>711</v>
      </c>
      <c r="X2473" t="s">
        <v>13560</v>
      </c>
      <c r="Y2473" t="s">
        <v>13561</v>
      </c>
      <c r="AA2473" t="s">
        <v>13562</v>
      </c>
      <c r="AB2473" t="s">
        <v>14443</v>
      </c>
      <c r="AE2473">
        <v>-36.929541520000001</v>
      </c>
      <c r="AF2473">
        <v>174.90587267999999</v>
      </c>
      <c r="AG2473">
        <v>120</v>
      </c>
      <c r="AH2473">
        <v>20</v>
      </c>
      <c r="AI2473">
        <v>4</v>
      </c>
      <c r="AJ2473">
        <v>13</v>
      </c>
      <c r="AK2473">
        <v>22</v>
      </c>
      <c r="AL2473">
        <v>25</v>
      </c>
      <c r="AM2473">
        <v>23</v>
      </c>
      <c r="AN2473">
        <v>1</v>
      </c>
      <c r="AO2473">
        <v>88</v>
      </c>
      <c r="AP2473">
        <v>45</v>
      </c>
      <c r="AQ2473">
        <v>9</v>
      </c>
      <c r="AR2473">
        <v>4</v>
      </c>
      <c r="AS2473">
        <v>43</v>
      </c>
      <c r="AT2473">
        <v>6</v>
      </c>
    </row>
    <row r="2474" spans="1:46">
      <c r="A2474">
        <v>46733</v>
      </c>
      <c r="B2474" t="s">
        <v>14447</v>
      </c>
      <c r="C2474" t="s">
        <v>14448</v>
      </c>
      <c r="D2474" t="s">
        <v>14449</v>
      </c>
      <c r="E2474" t="s">
        <v>14450</v>
      </c>
      <c r="G2474" t="s">
        <v>3763</v>
      </c>
      <c r="H2474" t="s">
        <v>3942</v>
      </c>
      <c r="J2474" t="s">
        <v>3962</v>
      </c>
      <c r="K2474" t="s">
        <v>519</v>
      </c>
      <c r="M2474" t="s">
        <v>520</v>
      </c>
      <c r="N2474" t="s">
        <v>571</v>
      </c>
      <c r="O2474" t="s">
        <v>3764</v>
      </c>
      <c r="P2474" t="s">
        <v>523</v>
      </c>
      <c r="Q2474" t="s">
        <v>638</v>
      </c>
      <c r="R2474" t="s">
        <v>708</v>
      </c>
      <c r="S2474" t="s">
        <v>958</v>
      </c>
      <c r="T2474" t="s">
        <v>709</v>
      </c>
      <c r="U2474">
        <v>144600</v>
      </c>
      <c r="V2474" t="s">
        <v>6904</v>
      </c>
      <c r="W2474" t="s">
        <v>959</v>
      </c>
      <c r="X2474" t="s">
        <v>14451</v>
      </c>
      <c r="Y2474" t="s">
        <v>14452</v>
      </c>
      <c r="AA2474" t="s">
        <v>14453</v>
      </c>
      <c r="AB2474" t="s">
        <v>14448</v>
      </c>
      <c r="AE2474">
        <v>-36.790086479999999</v>
      </c>
      <c r="AF2474">
        <v>175.00802236999999</v>
      </c>
      <c r="AG2474">
        <v>27</v>
      </c>
      <c r="AH2474">
        <v>0</v>
      </c>
      <c r="AI2474">
        <v>0</v>
      </c>
      <c r="AJ2474">
        <v>0</v>
      </c>
      <c r="AK2474">
        <v>8</v>
      </c>
      <c r="AL2474">
        <v>13</v>
      </c>
      <c r="AM2474">
        <v>13</v>
      </c>
      <c r="AN2474">
        <v>1</v>
      </c>
      <c r="AO2474">
        <v>35</v>
      </c>
      <c r="AP2474">
        <v>29</v>
      </c>
      <c r="AQ2474">
        <v>21</v>
      </c>
      <c r="AR2474">
        <v>4</v>
      </c>
      <c r="AS2474">
        <v>3</v>
      </c>
      <c r="AT2474">
        <v>0</v>
      </c>
    </row>
    <row r="2475" spans="1:46">
      <c r="A2475">
        <v>46735</v>
      </c>
      <c r="B2475" t="s">
        <v>14454</v>
      </c>
      <c r="C2475" t="s">
        <v>14455</v>
      </c>
      <c r="E2475" t="s">
        <v>14456</v>
      </c>
      <c r="F2475" t="s">
        <v>14457</v>
      </c>
      <c r="G2475" t="s">
        <v>1521</v>
      </c>
      <c r="H2475" t="s">
        <v>3942</v>
      </c>
      <c r="J2475" t="s">
        <v>3962</v>
      </c>
      <c r="K2475" t="s">
        <v>519</v>
      </c>
      <c r="M2475" t="s">
        <v>1297</v>
      </c>
      <c r="N2475" t="s">
        <v>521</v>
      </c>
      <c r="O2475" t="s">
        <v>1522</v>
      </c>
      <c r="P2475" t="s">
        <v>584</v>
      </c>
      <c r="Q2475" t="s">
        <v>1471</v>
      </c>
      <c r="R2475" t="s">
        <v>1472</v>
      </c>
      <c r="S2475" t="s">
        <v>1521</v>
      </c>
      <c r="T2475" t="s">
        <v>1474</v>
      </c>
      <c r="U2475">
        <v>201100</v>
      </c>
      <c r="V2475" t="s">
        <v>14457</v>
      </c>
      <c r="W2475" t="s">
        <v>1523</v>
      </c>
      <c r="X2475" t="s">
        <v>14458</v>
      </c>
      <c r="Y2475" t="s">
        <v>14459</v>
      </c>
      <c r="Z2475" t="s">
        <v>6203</v>
      </c>
      <c r="AA2475" t="s">
        <v>4356</v>
      </c>
      <c r="AE2475">
        <v>-38.146044930000002</v>
      </c>
      <c r="AF2475">
        <v>176.27104327999999</v>
      </c>
      <c r="AG2475">
        <v>30</v>
      </c>
      <c r="AH2475">
        <v>12</v>
      </c>
      <c r="AI2475">
        <v>1</v>
      </c>
      <c r="AJ2475">
        <v>2</v>
      </c>
      <c r="AK2475">
        <v>5</v>
      </c>
      <c r="AL2475">
        <v>4</v>
      </c>
      <c r="AM2475">
        <v>4</v>
      </c>
      <c r="AN2475">
        <v>2</v>
      </c>
      <c r="AO2475">
        <v>18</v>
      </c>
      <c r="AP2475">
        <v>7</v>
      </c>
      <c r="AQ2475">
        <v>18</v>
      </c>
      <c r="AR2475">
        <v>3</v>
      </c>
      <c r="AS2475">
        <v>0</v>
      </c>
      <c r="AT2475">
        <v>0</v>
      </c>
    </row>
    <row r="2476" spans="1:46">
      <c r="A2476">
        <v>46737</v>
      </c>
      <c r="B2476" t="s">
        <v>14460</v>
      </c>
      <c r="C2476" t="s">
        <v>14461</v>
      </c>
      <c r="D2476" t="s">
        <v>14462</v>
      </c>
      <c r="E2476" t="s">
        <v>14463</v>
      </c>
      <c r="F2476" t="s">
        <v>13107</v>
      </c>
      <c r="G2476" t="s">
        <v>652</v>
      </c>
      <c r="H2476" t="s">
        <v>3942</v>
      </c>
      <c r="J2476" t="s">
        <v>518</v>
      </c>
      <c r="K2476" t="s">
        <v>519</v>
      </c>
      <c r="M2476" t="s">
        <v>520</v>
      </c>
      <c r="N2476" t="s">
        <v>521</v>
      </c>
      <c r="O2476" t="s">
        <v>829</v>
      </c>
      <c r="P2476" t="s">
        <v>654</v>
      </c>
      <c r="Q2476" t="s">
        <v>638</v>
      </c>
      <c r="R2476" t="s">
        <v>708</v>
      </c>
      <c r="S2476" t="s">
        <v>730</v>
      </c>
      <c r="T2476" t="s">
        <v>709</v>
      </c>
      <c r="U2476">
        <v>147700</v>
      </c>
      <c r="V2476" t="s">
        <v>14464</v>
      </c>
      <c r="W2476" t="s">
        <v>807</v>
      </c>
      <c r="X2476" t="s">
        <v>14465</v>
      </c>
      <c r="Y2476" t="s">
        <v>4554</v>
      </c>
      <c r="Z2476" t="s">
        <v>4555</v>
      </c>
      <c r="AA2476" t="s">
        <v>4556</v>
      </c>
      <c r="AE2476">
        <v>-36.911363850000001</v>
      </c>
      <c r="AF2476">
        <v>174.84840109000001</v>
      </c>
      <c r="AG2476">
        <v>45</v>
      </c>
      <c r="AH2476">
        <v>15</v>
      </c>
      <c r="AI2476">
        <v>1</v>
      </c>
      <c r="AJ2476">
        <v>6</v>
      </c>
      <c r="AK2476">
        <v>6</v>
      </c>
      <c r="AL2476">
        <v>9</v>
      </c>
      <c r="AM2476">
        <v>4</v>
      </c>
      <c r="AN2476">
        <v>1</v>
      </c>
      <c r="AO2476">
        <v>27</v>
      </c>
      <c r="AP2476">
        <v>8</v>
      </c>
      <c r="AQ2476">
        <v>8</v>
      </c>
      <c r="AR2476">
        <v>11</v>
      </c>
      <c r="AS2476">
        <v>12</v>
      </c>
      <c r="AT2476">
        <v>2</v>
      </c>
    </row>
    <row r="2477" spans="1:46">
      <c r="A2477">
        <v>46738</v>
      </c>
      <c r="B2477" t="s">
        <v>14466</v>
      </c>
      <c r="E2477" t="s">
        <v>8254</v>
      </c>
      <c r="F2477" t="s">
        <v>8255</v>
      </c>
      <c r="G2477" t="s">
        <v>652</v>
      </c>
      <c r="H2477" t="s">
        <v>4716</v>
      </c>
      <c r="J2477" t="s">
        <v>3962</v>
      </c>
      <c r="K2477" t="s">
        <v>519</v>
      </c>
      <c r="M2477" t="s">
        <v>520</v>
      </c>
      <c r="N2477" t="s">
        <v>571</v>
      </c>
      <c r="O2477" t="s">
        <v>1168</v>
      </c>
      <c r="P2477" t="s">
        <v>654</v>
      </c>
      <c r="Q2477" t="s">
        <v>638</v>
      </c>
      <c r="R2477" t="s">
        <v>639</v>
      </c>
      <c r="S2477" t="s">
        <v>655</v>
      </c>
      <c r="T2477" t="s">
        <v>527</v>
      </c>
      <c r="U2477">
        <v>118600</v>
      </c>
      <c r="V2477" t="s">
        <v>4012</v>
      </c>
      <c r="W2477" t="s">
        <v>657</v>
      </c>
      <c r="X2477" t="s">
        <v>6268</v>
      </c>
      <c r="Y2477" t="s">
        <v>6269</v>
      </c>
      <c r="Z2477" t="s">
        <v>3706</v>
      </c>
      <c r="AA2477" t="s">
        <v>6270</v>
      </c>
      <c r="AB2477" t="s">
        <v>6271</v>
      </c>
      <c r="AE2477">
        <v>-36.745939630000002</v>
      </c>
      <c r="AF2477">
        <v>174.70431730000001</v>
      </c>
      <c r="AG2477">
        <v>80</v>
      </c>
      <c r="AH2477">
        <v>80</v>
      </c>
      <c r="AI2477">
        <v>10</v>
      </c>
      <c r="AJ2477">
        <v>5</v>
      </c>
      <c r="AK2477">
        <v>14</v>
      </c>
      <c r="AL2477">
        <v>10</v>
      </c>
      <c r="AM2477">
        <v>8</v>
      </c>
      <c r="AN2477">
        <v>1</v>
      </c>
      <c r="AO2477">
        <v>48</v>
      </c>
      <c r="AP2477">
        <v>4</v>
      </c>
      <c r="AQ2477">
        <v>0</v>
      </c>
      <c r="AR2477">
        <v>0</v>
      </c>
      <c r="AS2477">
        <v>48</v>
      </c>
      <c r="AT2477">
        <v>0</v>
      </c>
    </row>
    <row r="2478" spans="1:46">
      <c r="A2478">
        <v>46739</v>
      </c>
      <c r="B2478" t="s">
        <v>14467</v>
      </c>
      <c r="C2478" t="s">
        <v>14468</v>
      </c>
      <c r="D2478" t="s">
        <v>14469</v>
      </c>
      <c r="E2478" t="s">
        <v>14470</v>
      </c>
      <c r="F2478" t="s">
        <v>1036</v>
      </c>
      <c r="G2478" t="s">
        <v>652</v>
      </c>
      <c r="H2478" t="s">
        <v>3942</v>
      </c>
      <c r="J2478" t="s">
        <v>3962</v>
      </c>
      <c r="K2478" t="s">
        <v>519</v>
      </c>
      <c r="M2478" t="s">
        <v>520</v>
      </c>
      <c r="N2478" t="s">
        <v>521</v>
      </c>
      <c r="O2478" t="s">
        <v>1216</v>
      </c>
      <c r="P2478" t="s">
        <v>654</v>
      </c>
      <c r="Q2478" t="s">
        <v>638</v>
      </c>
      <c r="R2478" t="s">
        <v>729</v>
      </c>
      <c r="S2478" t="s">
        <v>1036</v>
      </c>
      <c r="T2478" t="s">
        <v>709</v>
      </c>
      <c r="U2478">
        <v>159101</v>
      </c>
      <c r="V2478" t="s">
        <v>11994</v>
      </c>
      <c r="W2478" t="s">
        <v>1219</v>
      </c>
      <c r="X2478" t="s">
        <v>14471</v>
      </c>
      <c r="Y2478" t="s">
        <v>14472</v>
      </c>
      <c r="Z2478" t="s">
        <v>777</v>
      </c>
      <c r="AA2478" t="s">
        <v>4537</v>
      </c>
      <c r="AB2478" t="s">
        <v>14473</v>
      </c>
      <c r="AE2478">
        <v>-37.009791800000002</v>
      </c>
      <c r="AF2478">
        <v>174.8895526</v>
      </c>
      <c r="AG2478">
        <v>50</v>
      </c>
      <c r="AH2478">
        <v>20</v>
      </c>
      <c r="AI2478">
        <v>1</v>
      </c>
      <c r="AJ2478">
        <v>9</v>
      </c>
      <c r="AK2478">
        <v>9</v>
      </c>
      <c r="AL2478">
        <v>16</v>
      </c>
      <c r="AM2478">
        <v>6</v>
      </c>
      <c r="AN2478">
        <v>1</v>
      </c>
      <c r="AO2478">
        <v>42</v>
      </c>
      <c r="AP2478">
        <v>5</v>
      </c>
      <c r="AQ2478">
        <v>8</v>
      </c>
      <c r="AR2478">
        <v>12</v>
      </c>
      <c r="AS2478">
        <v>23</v>
      </c>
      <c r="AT2478">
        <v>0</v>
      </c>
    </row>
    <row r="2479" spans="1:46">
      <c r="A2479">
        <v>46740</v>
      </c>
      <c r="B2479" t="s">
        <v>14474</v>
      </c>
      <c r="C2479" t="s">
        <v>13875</v>
      </c>
      <c r="D2479" t="s">
        <v>14366</v>
      </c>
      <c r="E2479" t="s">
        <v>13066</v>
      </c>
      <c r="F2479" t="s">
        <v>726</v>
      </c>
      <c r="G2479" t="s">
        <v>652</v>
      </c>
      <c r="H2479" t="s">
        <v>4716</v>
      </c>
      <c r="I2479" t="s">
        <v>4253</v>
      </c>
      <c r="J2479" t="s">
        <v>3962</v>
      </c>
      <c r="K2479" t="s">
        <v>519</v>
      </c>
      <c r="M2479" t="s">
        <v>520</v>
      </c>
      <c r="N2479" t="s">
        <v>727</v>
      </c>
      <c r="O2479" t="s">
        <v>728</v>
      </c>
      <c r="P2479" t="s">
        <v>654</v>
      </c>
      <c r="Q2479" t="s">
        <v>638</v>
      </c>
      <c r="R2479" t="s">
        <v>729</v>
      </c>
      <c r="S2479" t="s">
        <v>730</v>
      </c>
      <c r="T2479" t="s">
        <v>709</v>
      </c>
      <c r="U2479">
        <v>154400</v>
      </c>
      <c r="V2479" t="s">
        <v>7351</v>
      </c>
      <c r="W2479" t="s">
        <v>732</v>
      </c>
      <c r="X2479" t="s">
        <v>13067</v>
      </c>
      <c r="Y2479" t="s">
        <v>13068</v>
      </c>
      <c r="Z2479" t="s">
        <v>1072</v>
      </c>
      <c r="AA2479" t="s">
        <v>4886</v>
      </c>
      <c r="AB2479" t="s">
        <v>13069</v>
      </c>
      <c r="AE2479">
        <v>-36.96099014</v>
      </c>
      <c r="AF2479">
        <v>174.87559669999999</v>
      </c>
      <c r="AG2479">
        <v>60</v>
      </c>
      <c r="AH2479">
        <v>60</v>
      </c>
      <c r="AI2479">
        <v>8</v>
      </c>
      <c r="AJ2479">
        <v>9</v>
      </c>
      <c r="AK2479">
        <v>8</v>
      </c>
      <c r="AL2479">
        <v>8</v>
      </c>
      <c r="AM2479">
        <v>7</v>
      </c>
      <c r="AN2479">
        <v>2</v>
      </c>
      <c r="AO2479">
        <v>42</v>
      </c>
      <c r="AP2479">
        <v>0</v>
      </c>
      <c r="AQ2479">
        <v>0</v>
      </c>
      <c r="AR2479">
        <v>39</v>
      </c>
      <c r="AS2479">
        <v>1</v>
      </c>
      <c r="AT2479">
        <v>2</v>
      </c>
    </row>
    <row r="2480" spans="1:46">
      <c r="A2480">
        <v>46742</v>
      </c>
      <c r="B2480" t="s">
        <v>14475</v>
      </c>
      <c r="C2480" t="s">
        <v>14476</v>
      </c>
      <c r="D2480" t="s">
        <v>14477</v>
      </c>
      <c r="E2480" t="s">
        <v>14478</v>
      </c>
      <c r="F2480" t="s">
        <v>5104</v>
      </c>
      <c r="G2480" t="s">
        <v>652</v>
      </c>
      <c r="H2480" t="s">
        <v>3942</v>
      </c>
      <c r="J2480" t="s">
        <v>3962</v>
      </c>
      <c r="K2480" t="s">
        <v>519</v>
      </c>
      <c r="M2480" t="s">
        <v>520</v>
      </c>
      <c r="N2480" t="s">
        <v>571</v>
      </c>
      <c r="O2480" t="s">
        <v>707</v>
      </c>
      <c r="P2480" t="s">
        <v>654</v>
      </c>
      <c r="Q2480" t="s">
        <v>638</v>
      </c>
      <c r="R2480" t="s">
        <v>729</v>
      </c>
      <c r="S2480" t="s">
        <v>1217</v>
      </c>
      <c r="T2480" t="s">
        <v>709</v>
      </c>
      <c r="U2480">
        <v>158200</v>
      </c>
      <c r="V2480" t="s">
        <v>11548</v>
      </c>
      <c r="W2480" t="s">
        <v>711</v>
      </c>
      <c r="X2480" t="s">
        <v>14479</v>
      </c>
      <c r="Y2480" t="s">
        <v>14480</v>
      </c>
      <c r="Z2480" t="s">
        <v>803</v>
      </c>
      <c r="AA2480" t="s">
        <v>4768</v>
      </c>
      <c r="AB2480" t="s">
        <v>14481</v>
      </c>
      <c r="AE2480">
        <v>-36.963761239999997</v>
      </c>
      <c r="AF2480">
        <v>174.92680236000001</v>
      </c>
      <c r="AG2480">
        <v>59</v>
      </c>
      <c r="AH2480">
        <v>10</v>
      </c>
      <c r="AI2480">
        <v>0</v>
      </c>
      <c r="AJ2480">
        <v>10</v>
      </c>
      <c r="AK2480">
        <v>15</v>
      </c>
      <c r="AL2480">
        <v>22</v>
      </c>
      <c r="AM2480">
        <v>24</v>
      </c>
      <c r="AN2480">
        <v>1</v>
      </c>
      <c r="AO2480">
        <v>72</v>
      </c>
      <c r="AP2480">
        <v>12</v>
      </c>
      <c r="AQ2480">
        <v>4</v>
      </c>
      <c r="AR2480">
        <v>8</v>
      </c>
      <c r="AS2480">
        <v>57</v>
      </c>
      <c r="AT2480">
        <v>2</v>
      </c>
    </row>
    <row r="2481" spans="1:46">
      <c r="A2481">
        <v>46744</v>
      </c>
      <c r="B2481" t="s">
        <v>14482</v>
      </c>
      <c r="C2481" t="s">
        <v>14483</v>
      </c>
      <c r="E2481" t="s">
        <v>14484</v>
      </c>
      <c r="G2481" t="s">
        <v>3470</v>
      </c>
      <c r="H2481" t="s">
        <v>3942</v>
      </c>
      <c r="J2481" t="s">
        <v>3962</v>
      </c>
      <c r="K2481" t="s">
        <v>519</v>
      </c>
      <c r="M2481" t="s">
        <v>2287</v>
      </c>
      <c r="N2481" t="s">
        <v>571</v>
      </c>
      <c r="O2481" t="s">
        <v>3383</v>
      </c>
      <c r="P2481" t="s">
        <v>1262</v>
      </c>
      <c r="Q2481" t="s">
        <v>3337</v>
      </c>
      <c r="R2481" t="s">
        <v>3338</v>
      </c>
      <c r="S2481" t="s">
        <v>3384</v>
      </c>
      <c r="T2481" t="s">
        <v>2448</v>
      </c>
      <c r="U2481">
        <v>349801</v>
      </c>
      <c r="V2481" t="s">
        <v>14485</v>
      </c>
      <c r="W2481" t="s">
        <v>1652</v>
      </c>
      <c r="X2481" t="s">
        <v>14486</v>
      </c>
      <c r="Y2481" t="s">
        <v>12962</v>
      </c>
      <c r="AA2481" t="s">
        <v>12963</v>
      </c>
      <c r="AB2481" t="s">
        <v>14487</v>
      </c>
      <c r="AE2481">
        <v>-45.868745050000001</v>
      </c>
      <c r="AF2481">
        <v>170.36657450000001</v>
      </c>
      <c r="AG2481">
        <v>90</v>
      </c>
      <c r="AH2481">
        <v>40</v>
      </c>
      <c r="AI2481">
        <v>4</v>
      </c>
      <c r="AJ2481">
        <v>8</v>
      </c>
      <c r="AK2481">
        <v>18</v>
      </c>
      <c r="AL2481">
        <v>28</v>
      </c>
      <c r="AM2481">
        <v>24</v>
      </c>
      <c r="AN2481">
        <v>0</v>
      </c>
      <c r="AO2481">
        <v>82</v>
      </c>
      <c r="AP2481">
        <v>77</v>
      </c>
      <c r="AQ2481">
        <v>8</v>
      </c>
      <c r="AR2481">
        <v>4</v>
      </c>
      <c r="AS2481">
        <v>3</v>
      </c>
      <c r="AT2481">
        <v>0</v>
      </c>
    </row>
    <row r="2482" spans="1:46">
      <c r="A2482">
        <v>46745</v>
      </c>
      <c r="B2482" t="s">
        <v>14488</v>
      </c>
      <c r="C2482" t="s">
        <v>14489</v>
      </c>
      <c r="D2482" t="s">
        <v>14490</v>
      </c>
      <c r="E2482" t="s">
        <v>14491</v>
      </c>
      <c r="G2482" t="s">
        <v>14492</v>
      </c>
      <c r="H2482" t="s">
        <v>3942</v>
      </c>
      <c r="J2482" t="s">
        <v>3962</v>
      </c>
      <c r="K2482" t="s">
        <v>519</v>
      </c>
      <c r="M2482" t="s">
        <v>2287</v>
      </c>
      <c r="N2482" t="s">
        <v>571</v>
      </c>
      <c r="O2482" t="s">
        <v>2964</v>
      </c>
      <c r="P2482" t="s">
        <v>540</v>
      </c>
      <c r="Q2482" t="s">
        <v>2943</v>
      </c>
      <c r="R2482" t="s">
        <v>2944</v>
      </c>
      <c r="S2482" t="s">
        <v>2965</v>
      </c>
      <c r="T2482" t="s">
        <v>2448</v>
      </c>
      <c r="U2482">
        <v>313300</v>
      </c>
      <c r="V2482" t="s">
        <v>14493</v>
      </c>
      <c r="W2482" t="s">
        <v>2967</v>
      </c>
      <c r="X2482" t="s">
        <v>14494</v>
      </c>
      <c r="Y2482" t="s">
        <v>14495</v>
      </c>
      <c r="AA2482" t="s">
        <v>14496</v>
      </c>
      <c r="AB2482" t="s">
        <v>14497</v>
      </c>
      <c r="AC2482">
        <v>99077</v>
      </c>
      <c r="AD2482" t="s">
        <v>2968</v>
      </c>
      <c r="AE2482">
        <v>-43.313582740000001</v>
      </c>
      <c r="AF2482">
        <v>172.38208291999999</v>
      </c>
      <c r="AG2482">
        <v>40</v>
      </c>
      <c r="AH2482">
        <v>12</v>
      </c>
      <c r="AI2482">
        <v>1</v>
      </c>
      <c r="AJ2482">
        <v>6</v>
      </c>
      <c r="AK2482">
        <v>15</v>
      </c>
      <c r="AL2482">
        <v>11</v>
      </c>
      <c r="AM2482">
        <v>11</v>
      </c>
      <c r="AN2482">
        <v>4</v>
      </c>
      <c r="AO2482">
        <v>48</v>
      </c>
      <c r="AP2482">
        <v>47</v>
      </c>
      <c r="AQ2482">
        <v>3</v>
      </c>
      <c r="AR2482">
        <v>0</v>
      </c>
      <c r="AS2482">
        <v>1</v>
      </c>
      <c r="AT2482">
        <v>2</v>
      </c>
    </row>
    <row r="2483" spans="1:46">
      <c r="A2483">
        <v>46752</v>
      </c>
      <c r="B2483" t="s">
        <v>14498</v>
      </c>
      <c r="C2483" t="s">
        <v>14499</v>
      </c>
      <c r="E2483" t="s">
        <v>14500</v>
      </c>
      <c r="F2483" t="s">
        <v>2053</v>
      </c>
      <c r="G2483" t="s">
        <v>1974</v>
      </c>
      <c r="H2483" t="s">
        <v>3942</v>
      </c>
      <c r="I2483" t="s">
        <v>4065</v>
      </c>
      <c r="J2483" t="s">
        <v>3962</v>
      </c>
      <c r="K2483" t="s">
        <v>519</v>
      </c>
      <c r="M2483" t="s">
        <v>1297</v>
      </c>
      <c r="N2483" t="s">
        <v>571</v>
      </c>
      <c r="O2483" t="s">
        <v>1956</v>
      </c>
      <c r="P2483" t="s">
        <v>584</v>
      </c>
      <c r="Q2483" t="s">
        <v>1636</v>
      </c>
      <c r="R2483" t="s">
        <v>1760</v>
      </c>
      <c r="S2483" t="s">
        <v>1974</v>
      </c>
      <c r="T2483" t="s">
        <v>1485</v>
      </c>
      <c r="U2483">
        <v>229600</v>
      </c>
      <c r="V2483" t="s">
        <v>14501</v>
      </c>
      <c r="W2483" t="s">
        <v>1957</v>
      </c>
      <c r="X2483" t="s">
        <v>14502</v>
      </c>
      <c r="Y2483" t="s">
        <v>14503</v>
      </c>
      <c r="Z2483" t="s">
        <v>2003</v>
      </c>
      <c r="AA2483" t="s">
        <v>1960</v>
      </c>
      <c r="AB2483" t="s">
        <v>14499</v>
      </c>
      <c r="AE2483">
        <v>-40.344770830000002</v>
      </c>
      <c r="AF2483">
        <v>175.60140064999999</v>
      </c>
      <c r="AG2483">
        <v>28</v>
      </c>
      <c r="AH2483">
        <v>0</v>
      </c>
      <c r="AI2483">
        <v>0</v>
      </c>
      <c r="AJ2483">
        <v>0</v>
      </c>
      <c r="AK2483">
        <v>3</v>
      </c>
      <c r="AL2483">
        <v>12</v>
      </c>
      <c r="AM2483">
        <v>20</v>
      </c>
      <c r="AN2483">
        <v>0</v>
      </c>
      <c r="AO2483">
        <v>35</v>
      </c>
      <c r="AP2483">
        <v>15</v>
      </c>
      <c r="AQ2483">
        <v>3</v>
      </c>
      <c r="AR2483">
        <v>6</v>
      </c>
      <c r="AS2483">
        <v>20</v>
      </c>
      <c r="AT2483">
        <v>5</v>
      </c>
    </row>
    <row r="2484" spans="1:46">
      <c r="A2484">
        <v>46755</v>
      </c>
      <c r="B2484" t="s">
        <v>14504</v>
      </c>
      <c r="C2484" t="s">
        <v>14505</v>
      </c>
      <c r="E2484" t="s">
        <v>14506</v>
      </c>
      <c r="F2484" t="s">
        <v>14507</v>
      </c>
      <c r="G2484" t="s">
        <v>1842</v>
      </c>
      <c r="H2484" t="s">
        <v>3942</v>
      </c>
      <c r="J2484" t="s">
        <v>3962</v>
      </c>
      <c r="K2484" t="s">
        <v>519</v>
      </c>
      <c r="M2484" t="s">
        <v>1297</v>
      </c>
      <c r="N2484" t="s">
        <v>557</v>
      </c>
      <c r="O2484" t="s">
        <v>1887</v>
      </c>
      <c r="P2484" t="s">
        <v>584</v>
      </c>
      <c r="Q2484" t="s">
        <v>1636</v>
      </c>
      <c r="R2484" t="s">
        <v>1760</v>
      </c>
      <c r="S2484" t="s">
        <v>1842</v>
      </c>
      <c r="T2484" t="s">
        <v>1485</v>
      </c>
      <c r="U2484">
        <v>225300</v>
      </c>
      <c r="V2484" t="s">
        <v>1912</v>
      </c>
      <c r="W2484" t="s">
        <v>1652</v>
      </c>
      <c r="X2484" t="s">
        <v>14508</v>
      </c>
      <c r="Y2484" t="s">
        <v>14506</v>
      </c>
      <c r="Z2484" t="s">
        <v>14507</v>
      </c>
      <c r="AA2484" t="s">
        <v>14509</v>
      </c>
      <c r="AB2484" t="s">
        <v>14510</v>
      </c>
      <c r="AC2484">
        <v>99219</v>
      </c>
      <c r="AD2484" t="s">
        <v>1900</v>
      </c>
      <c r="AE2484">
        <v>-39.936864100000001</v>
      </c>
      <c r="AF2484">
        <v>175.03065910999999</v>
      </c>
      <c r="AG2484">
        <v>30</v>
      </c>
      <c r="AH2484">
        <v>0</v>
      </c>
      <c r="AI2484">
        <v>0</v>
      </c>
      <c r="AJ2484">
        <v>0</v>
      </c>
      <c r="AK2484">
        <v>10</v>
      </c>
      <c r="AL2484">
        <v>11</v>
      </c>
      <c r="AM2484">
        <v>15</v>
      </c>
      <c r="AN2484">
        <v>0</v>
      </c>
      <c r="AO2484">
        <v>36</v>
      </c>
      <c r="AP2484">
        <v>31</v>
      </c>
      <c r="AQ2484">
        <v>6</v>
      </c>
      <c r="AR2484">
        <v>5</v>
      </c>
      <c r="AS2484">
        <v>0</v>
      </c>
      <c r="AT2484">
        <v>3</v>
      </c>
    </row>
    <row r="2485" spans="1:46">
      <c r="A2485">
        <v>46757</v>
      </c>
      <c r="B2485" t="s">
        <v>14511</v>
      </c>
      <c r="C2485" t="s">
        <v>14512</v>
      </c>
      <c r="D2485" t="s">
        <v>14513</v>
      </c>
      <c r="E2485" t="s">
        <v>14514</v>
      </c>
      <c r="F2485" t="s">
        <v>3019</v>
      </c>
      <c r="G2485" t="s">
        <v>2941</v>
      </c>
      <c r="H2485" t="s">
        <v>3942</v>
      </c>
      <c r="J2485" t="s">
        <v>3962</v>
      </c>
      <c r="K2485" t="s">
        <v>519</v>
      </c>
      <c r="M2485" t="s">
        <v>2287</v>
      </c>
      <c r="N2485" t="s">
        <v>571</v>
      </c>
      <c r="O2485" t="s">
        <v>2942</v>
      </c>
      <c r="P2485" t="s">
        <v>654</v>
      </c>
      <c r="Q2485" t="s">
        <v>2943</v>
      </c>
      <c r="R2485" t="s">
        <v>2944</v>
      </c>
      <c r="S2485" t="s">
        <v>3019</v>
      </c>
      <c r="T2485" t="s">
        <v>2448</v>
      </c>
      <c r="U2485">
        <v>322500</v>
      </c>
      <c r="V2485" t="s">
        <v>14515</v>
      </c>
      <c r="W2485" t="s">
        <v>3196</v>
      </c>
      <c r="X2485" t="s">
        <v>10806</v>
      </c>
      <c r="Y2485" t="s">
        <v>4097</v>
      </c>
      <c r="Z2485" t="s">
        <v>4098</v>
      </c>
      <c r="AA2485" t="s">
        <v>4099</v>
      </c>
      <c r="AB2485" t="s">
        <v>10807</v>
      </c>
      <c r="AC2485">
        <v>99045</v>
      </c>
      <c r="AD2485" t="s">
        <v>3021</v>
      </c>
      <c r="AE2485">
        <v>-43.553684160000003</v>
      </c>
      <c r="AF2485">
        <v>172.55743580000001</v>
      </c>
      <c r="AG2485">
        <v>80</v>
      </c>
      <c r="AH2485">
        <v>20</v>
      </c>
      <c r="AI2485">
        <v>5</v>
      </c>
      <c r="AJ2485">
        <v>13</v>
      </c>
      <c r="AK2485">
        <v>20</v>
      </c>
      <c r="AL2485">
        <v>25</v>
      </c>
      <c r="AM2485">
        <v>21</v>
      </c>
      <c r="AN2485">
        <v>0</v>
      </c>
      <c r="AO2485">
        <v>84</v>
      </c>
      <c r="AP2485">
        <v>48</v>
      </c>
      <c r="AQ2485">
        <v>12</v>
      </c>
      <c r="AR2485">
        <v>0</v>
      </c>
      <c r="AS2485">
        <v>44</v>
      </c>
      <c r="AT2485">
        <v>5</v>
      </c>
    </row>
    <row r="2486" spans="1:46">
      <c r="A2486">
        <v>46758</v>
      </c>
      <c r="B2486" t="s">
        <v>14516</v>
      </c>
      <c r="C2486" t="s">
        <v>14517</v>
      </c>
      <c r="D2486" t="s">
        <v>14518</v>
      </c>
      <c r="E2486" t="s">
        <v>14519</v>
      </c>
      <c r="F2486" t="s">
        <v>1340</v>
      </c>
      <c r="G2486" t="s">
        <v>1296</v>
      </c>
      <c r="H2486" t="s">
        <v>3942</v>
      </c>
      <c r="J2486" t="s">
        <v>3962</v>
      </c>
      <c r="K2486" t="s">
        <v>519</v>
      </c>
      <c r="M2486" t="s">
        <v>1297</v>
      </c>
      <c r="N2486" t="s">
        <v>571</v>
      </c>
      <c r="O2486" t="s">
        <v>1298</v>
      </c>
      <c r="P2486" t="s">
        <v>654</v>
      </c>
      <c r="Q2486" t="s">
        <v>1299</v>
      </c>
      <c r="R2486" t="s">
        <v>1300</v>
      </c>
      <c r="S2486" t="s">
        <v>1312</v>
      </c>
      <c r="T2486" t="s">
        <v>1235</v>
      </c>
      <c r="U2486">
        <v>178202</v>
      </c>
      <c r="V2486" t="s">
        <v>8552</v>
      </c>
      <c r="W2486" t="s">
        <v>1314</v>
      </c>
      <c r="X2486" t="s">
        <v>10837</v>
      </c>
      <c r="Y2486" t="s">
        <v>4097</v>
      </c>
      <c r="Z2486" t="s">
        <v>4098</v>
      </c>
      <c r="AA2486" t="s">
        <v>4099</v>
      </c>
      <c r="AE2486">
        <v>-37.766901570000002</v>
      </c>
      <c r="AF2486">
        <v>175.28991386000001</v>
      </c>
      <c r="AG2486">
        <v>82</v>
      </c>
      <c r="AH2486">
        <v>28</v>
      </c>
      <c r="AI2486">
        <v>5</v>
      </c>
      <c r="AJ2486">
        <v>16</v>
      </c>
      <c r="AK2486">
        <v>19</v>
      </c>
      <c r="AL2486">
        <v>23</v>
      </c>
      <c r="AM2486">
        <v>20</v>
      </c>
      <c r="AN2486">
        <v>1</v>
      </c>
      <c r="AO2486">
        <v>84</v>
      </c>
      <c r="AP2486">
        <v>27</v>
      </c>
      <c r="AQ2486">
        <v>32</v>
      </c>
      <c r="AR2486">
        <v>12</v>
      </c>
      <c r="AS2486">
        <v>27</v>
      </c>
      <c r="AT2486">
        <v>5</v>
      </c>
    </row>
    <row r="2487" spans="1:46">
      <c r="A2487">
        <v>46759</v>
      </c>
      <c r="B2487" t="s">
        <v>14520</v>
      </c>
      <c r="C2487" t="s">
        <v>14521</v>
      </c>
      <c r="E2487" t="s">
        <v>14522</v>
      </c>
      <c r="F2487" t="s">
        <v>1949</v>
      </c>
      <c r="G2487" t="s">
        <v>1842</v>
      </c>
      <c r="H2487" t="s">
        <v>3942</v>
      </c>
      <c r="J2487" t="s">
        <v>3962</v>
      </c>
      <c r="K2487" t="s">
        <v>519</v>
      </c>
      <c r="M2487" t="s">
        <v>1297</v>
      </c>
      <c r="N2487" t="s">
        <v>557</v>
      </c>
      <c r="O2487" t="s">
        <v>1887</v>
      </c>
      <c r="P2487" t="s">
        <v>584</v>
      </c>
      <c r="Q2487" t="s">
        <v>1636</v>
      </c>
      <c r="R2487" t="s">
        <v>1760</v>
      </c>
      <c r="S2487" t="s">
        <v>1842</v>
      </c>
      <c r="T2487" t="s">
        <v>1485</v>
      </c>
      <c r="U2487">
        <v>225100</v>
      </c>
      <c r="V2487" t="s">
        <v>14523</v>
      </c>
      <c r="W2487" t="s">
        <v>1652</v>
      </c>
      <c r="X2487" t="s">
        <v>14524</v>
      </c>
      <c r="Y2487" t="s">
        <v>14525</v>
      </c>
      <c r="AA2487" t="s">
        <v>14326</v>
      </c>
      <c r="AB2487" t="s">
        <v>14521</v>
      </c>
      <c r="AC2487">
        <v>99220</v>
      </c>
      <c r="AD2487" t="s">
        <v>1906</v>
      </c>
      <c r="AE2487">
        <v>-39.912344740000002</v>
      </c>
      <c r="AF2487">
        <v>175.06327275000001</v>
      </c>
      <c r="AG2487">
        <v>90</v>
      </c>
      <c r="AH2487">
        <v>20</v>
      </c>
      <c r="AI2487">
        <v>1</v>
      </c>
      <c r="AJ2487">
        <v>7</v>
      </c>
      <c r="AK2487">
        <v>11</v>
      </c>
      <c r="AL2487">
        <v>19</v>
      </c>
      <c r="AM2487">
        <v>16</v>
      </c>
      <c r="AN2487">
        <v>4</v>
      </c>
      <c r="AO2487">
        <v>58</v>
      </c>
      <c r="AP2487">
        <v>18</v>
      </c>
      <c r="AQ2487">
        <v>51</v>
      </c>
      <c r="AR2487">
        <v>2</v>
      </c>
      <c r="AS2487">
        <v>0</v>
      </c>
      <c r="AT2487">
        <v>0</v>
      </c>
    </row>
    <row r="2488" spans="1:46">
      <c r="A2488">
        <v>46761</v>
      </c>
      <c r="B2488" t="s">
        <v>14526</v>
      </c>
      <c r="C2488" t="s">
        <v>14527</v>
      </c>
      <c r="D2488" t="s">
        <v>14528</v>
      </c>
      <c r="E2488" t="s">
        <v>14529</v>
      </c>
      <c r="F2488" t="s">
        <v>12994</v>
      </c>
      <c r="G2488" t="s">
        <v>2941</v>
      </c>
      <c r="H2488" t="s">
        <v>3942</v>
      </c>
      <c r="J2488" t="s">
        <v>518</v>
      </c>
      <c r="K2488" t="s">
        <v>519</v>
      </c>
      <c r="M2488" t="s">
        <v>2287</v>
      </c>
      <c r="N2488" t="s">
        <v>571</v>
      </c>
      <c r="O2488" t="s">
        <v>2942</v>
      </c>
      <c r="P2488" t="s">
        <v>654</v>
      </c>
      <c r="Q2488" t="s">
        <v>2943</v>
      </c>
      <c r="R2488" t="s">
        <v>2944</v>
      </c>
      <c r="S2488" t="s">
        <v>2945</v>
      </c>
      <c r="T2488" t="s">
        <v>2448</v>
      </c>
      <c r="U2488">
        <v>323000</v>
      </c>
      <c r="V2488" t="s">
        <v>12994</v>
      </c>
      <c r="W2488" t="s">
        <v>2999</v>
      </c>
      <c r="X2488" t="s">
        <v>14530</v>
      </c>
      <c r="Y2488" t="s">
        <v>14531</v>
      </c>
      <c r="Z2488" t="s">
        <v>12994</v>
      </c>
      <c r="AA2488" t="s">
        <v>14532</v>
      </c>
      <c r="AE2488">
        <v>-43.519203300000001</v>
      </c>
      <c r="AF2488">
        <v>172.62191497000001</v>
      </c>
      <c r="AG2488">
        <v>50</v>
      </c>
      <c r="AH2488">
        <v>0</v>
      </c>
      <c r="AI2488">
        <v>0</v>
      </c>
      <c r="AJ2488">
        <v>0</v>
      </c>
      <c r="AK2488">
        <v>10</v>
      </c>
      <c r="AL2488">
        <v>14</v>
      </c>
      <c r="AM2488">
        <v>15</v>
      </c>
      <c r="AN2488">
        <v>1</v>
      </c>
      <c r="AO2488">
        <v>40</v>
      </c>
      <c r="AP2488">
        <v>23</v>
      </c>
      <c r="AQ2488">
        <v>1</v>
      </c>
      <c r="AR2488">
        <v>1</v>
      </c>
      <c r="AS2488">
        <v>18</v>
      </c>
      <c r="AT2488">
        <v>1</v>
      </c>
    </row>
    <row r="2489" spans="1:46">
      <c r="A2489">
        <v>46762</v>
      </c>
      <c r="B2489" t="s">
        <v>14533</v>
      </c>
      <c r="C2489" t="s">
        <v>14534</v>
      </c>
      <c r="E2489" t="s">
        <v>14535</v>
      </c>
      <c r="G2489" t="s">
        <v>1974</v>
      </c>
      <c r="H2489" t="s">
        <v>3942</v>
      </c>
      <c r="J2489" t="s">
        <v>518</v>
      </c>
      <c r="K2489" t="s">
        <v>519</v>
      </c>
      <c r="M2489" t="s">
        <v>1297</v>
      </c>
      <c r="N2489" t="s">
        <v>571</v>
      </c>
      <c r="O2489" t="s">
        <v>1956</v>
      </c>
      <c r="P2489" t="s">
        <v>584</v>
      </c>
      <c r="Q2489" t="s">
        <v>1636</v>
      </c>
      <c r="R2489" t="s">
        <v>1760</v>
      </c>
      <c r="S2489" t="s">
        <v>1974</v>
      </c>
      <c r="T2489" t="s">
        <v>1485</v>
      </c>
      <c r="U2489">
        <v>231400</v>
      </c>
      <c r="V2489" t="s">
        <v>3604</v>
      </c>
      <c r="W2489" t="s">
        <v>1957</v>
      </c>
      <c r="X2489" t="s">
        <v>10400</v>
      </c>
      <c r="Y2489" t="s">
        <v>3944</v>
      </c>
      <c r="Z2489" t="s">
        <v>3945</v>
      </c>
      <c r="AA2489" t="s">
        <v>3946</v>
      </c>
      <c r="AB2489" t="s">
        <v>10401</v>
      </c>
      <c r="AE2489">
        <v>-40.361974080000003</v>
      </c>
      <c r="AF2489">
        <v>175.61970571000001</v>
      </c>
      <c r="AG2489">
        <v>60</v>
      </c>
      <c r="AH2489">
        <v>17</v>
      </c>
      <c r="AI2489">
        <v>4</v>
      </c>
      <c r="AJ2489">
        <v>18</v>
      </c>
      <c r="AK2489">
        <v>17</v>
      </c>
      <c r="AL2489">
        <v>19</v>
      </c>
      <c r="AM2489">
        <v>14</v>
      </c>
      <c r="AN2489">
        <v>1</v>
      </c>
      <c r="AO2489">
        <v>73</v>
      </c>
      <c r="AP2489">
        <v>58</v>
      </c>
      <c r="AQ2489">
        <v>13</v>
      </c>
      <c r="AR2489">
        <v>6</v>
      </c>
      <c r="AS2489">
        <v>16</v>
      </c>
      <c r="AT2489">
        <v>4</v>
      </c>
    </row>
    <row r="2490" spans="1:46">
      <c r="A2490">
        <v>46763</v>
      </c>
      <c r="B2490" t="s">
        <v>14536</v>
      </c>
      <c r="C2490" t="s">
        <v>14537</v>
      </c>
      <c r="E2490" t="s">
        <v>14538</v>
      </c>
      <c r="G2490" t="s">
        <v>636</v>
      </c>
      <c r="H2490" t="s">
        <v>3942</v>
      </c>
      <c r="J2490" t="s">
        <v>3962</v>
      </c>
      <c r="K2490" t="s">
        <v>519</v>
      </c>
      <c r="M2490" t="s">
        <v>520</v>
      </c>
      <c r="N2490" t="s">
        <v>557</v>
      </c>
      <c r="O2490" t="s">
        <v>637</v>
      </c>
      <c r="P2490" t="s">
        <v>523</v>
      </c>
      <c r="Q2490" t="s">
        <v>638</v>
      </c>
      <c r="R2490" t="s">
        <v>639</v>
      </c>
      <c r="S2490" t="s">
        <v>640</v>
      </c>
      <c r="T2490" t="s">
        <v>527</v>
      </c>
      <c r="U2490">
        <v>110501</v>
      </c>
      <c r="V2490" t="s">
        <v>636</v>
      </c>
      <c r="W2490" t="s">
        <v>641</v>
      </c>
      <c r="X2490" t="s">
        <v>14539</v>
      </c>
      <c r="Y2490" t="s">
        <v>14538</v>
      </c>
      <c r="AA2490" t="s">
        <v>14540</v>
      </c>
      <c r="AE2490">
        <v>-36.302210940000002</v>
      </c>
      <c r="AF2490">
        <v>174.52467390000001</v>
      </c>
      <c r="AG2490">
        <v>30</v>
      </c>
      <c r="AH2490">
        <v>12</v>
      </c>
      <c r="AI2490">
        <v>3</v>
      </c>
      <c r="AJ2490">
        <v>6</v>
      </c>
      <c r="AK2490">
        <v>8</v>
      </c>
      <c r="AL2490">
        <v>8</v>
      </c>
      <c r="AM2490">
        <v>13</v>
      </c>
      <c r="AN2490">
        <v>0</v>
      </c>
      <c r="AO2490">
        <v>38</v>
      </c>
      <c r="AP2490">
        <v>30</v>
      </c>
      <c r="AQ2490">
        <v>10</v>
      </c>
      <c r="AR2490">
        <v>3</v>
      </c>
      <c r="AS2490">
        <v>0</v>
      </c>
      <c r="AT2490">
        <v>2</v>
      </c>
    </row>
    <row r="2491" spans="1:46">
      <c r="A2491">
        <v>46764</v>
      </c>
      <c r="B2491" t="s">
        <v>14541</v>
      </c>
      <c r="C2491" t="s">
        <v>14542</v>
      </c>
      <c r="D2491" t="s">
        <v>14543</v>
      </c>
      <c r="E2491" t="s">
        <v>14544</v>
      </c>
      <c r="F2491" t="s">
        <v>581</v>
      </c>
      <c r="G2491" t="s">
        <v>582</v>
      </c>
      <c r="H2491" t="s">
        <v>3942</v>
      </c>
      <c r="J2491" t="s">
        <v>3962</v>
      </c>
      <c r="K2491" t="s">
        <v>519</v>
      </c>
      <c r="M2491" t="s">
        <v>520</v>
      </c>
      <c r="N2491" t="s">
        <v>571</v>
      </c>
      <c r="O2491" t="s">
        <v>583</v>
      </c>
      <c r="P2491" t="s">
        <v>584</v>
      </c>
      <c r="Q2491" t="s">
        <v>524</v>
      </c>
      <c r="R2491" t="s">
        <v>525</v>
      </c>
      <c r="S2491" t="s">
        <v>585</v>
      </c>
      <c r="T2491" t="s">
        <v>527</v>
      </c>
      <c r="U2491">
        <v>106501</v>
      </c>
      <c r="V2491" t="s">
        <v>4569</v>
      </c>
      <c r="W2491" t="s">
        <v>587</v>
      </c>
      <c r="X2491" t="s">
        <v>14545</v>
      </c>
      <c r="Y2491" t="s">
        <v>14546</v>
      </c>
      <c r="Z2491" t="s">
        <v>581</v>
      </c>
      <c r="AA2491" t="s">
        <v>4529</v>
      </c>
      <c r="AB2491" t="s">
        <v>14547</v>
      </c>
      <c r="AE2491">
        <v>-35.699063700000004</v>
      </c>
      <c r="AF2491">
        <v>174.32764750999999</v>
      </c>
      <c r="AG2491">
        <v>38</v>
      </c>
      <c r="AH2491">
        <v>18</v>
      </c>
      <c r="AI2491">
        <v>1</v>
      </c>
      <c r="AJ2491">
        <v>8</v>
      </c>
      <c r="AK2491">
        <v>8</v>
      </c>
      <c r="AL2491">
        <v>9</v>
      </c>
      <c r="AM2491">
        <v>7</v>
      </c>
      <c r="AN2491">
        <v>1</v>
      </c>
      <c r="AO2491">
        <v>34</v>
      </c>
      <c r="AP2491">
        <v>32</v>
      </c>
      <c r="AQ2491">
        <v>17</v>
      </c>
      <c r="AR2491">
        <v>3</v>
      </c>
      <c r="AS2491">
        <v>1</v>
      </c>
      <c r="AT2491">
        <v>0</v>
      </c>
    </row>
    <row r="2492" spans="1:46">
      <c r="A2492">
        <v>46765</v>
      </c>
      <c r="B2492" t="s">
        <v>14548</v>
      </c>
      <c r="C2492" t="s">
        <v>14549</v>
      </c>
      <c r="D2492" t="s">
        <v>14550</v>
      </c>
      <c r="E2492" t="s">
        <v>14551</v>
      </c>
      <c r="G2492" t="s">
        <v>9172</v>
      </c>
      <c r="H2492" t="s">
        <v>3942</v>
      </c>
      <c r="J2492" t="s">
        <v>3962</v>
      </c>
      <c r="K2492" t="s">
        <v>519</v>
      </c>
      <c r="M2492" t="s">
        <v>520</v>
      </c>
      <c r="N2492" t="s">
        <v>557</v>
      </c>
      <c r="O2492" t="s">
        <v>1351</v>
      </c>
      <c r="P2492" t="s">
        <v>523</v>
      </c>
      <c r="Q2492" t="s">
        <v>1299</v>
      </c>
      <c r="R2492" t="s">
        <v>729</v>
      </c>
      <c r="S2492" t="s">
        <v>1246</v>
      </c>
      <c r="T2492" t="s">
        <v>1235</v>
      </c>
      <c r="U2492">
        <v>170501</v>
      </c>
      <c r="V2492" t="s">
        <v>14552</v>
      </c>
      <c r="W2492" t="s">
        <v>3813</v>
      </c>
      <c r="X2492" t="s">
        <v>14553</v>
      </c>
      <c r="Y2492" t="s">
        <v>14554</v>
      </c>
      <c r="Z2492" t="s">
        <v>1146</v>
      </c>
      <c r="AA2492" t="s">
        <v>4431</v>
      </c>
      <c r="AB2492" t="s">
        <v>14555</v>
      </c>
      <c r="AE2492">
        <v>-37.242523319999997</v>
      </c>
      <c r="AF2492">
        <v>175.01581374</v>
      </c>
      <c r="AG2492">
        <v>78</v>
      </c>
      <c r="AH2492">
        <v>15</v>
      </c>
      <c r="AI2492">
        <v>3</v>
      </c>
      <c r="AJ2492">
        <v>14</v>
      </c>
      <c r="AK2492">
        <v>21</v>
      </c>
      <c r="AL2492">
        <v>23</v>
      </c>
      <c r="AM2492">
        <v>27</v>
      </c>
      <c r="AN2492">
        <v>0</v>
      </c>
      <c r="AO2492">
        <v>88</v>
      </c>
      <c r="AP2492">
        <v>71</v>
      </c>
      <c r="AQ2492">
        <v>7</v>
      </c>
      <c r="AR2492">
        <v>6</v>
      </c>
      <c r="AS2492">
        <v>16</v>
      </c>
      <c r="AT2492">
        <v>4</v>
      </c>
    </row>
    <row r="2493" spans="1:46">
      <c r="A2493">
        <v>46766</v>
      </c>
      <c r="B2493" t="s">
        <v>14556</v>
      </c>
      <c r="C2493" t="s">
        <v>11499</v>
      </c>
      <c r="E2493" t="s">
        <v>14557</v>
      </c>
      <c r="G2493" t="s">
        <v>2267</v>
      </c>
      <c r="H2493" t="s">
        <v>3942</v>
      </c>
      <c r="J2493" t="s">
        <v>3962</v>
      </c>
      <c r="K2493" t="s">
        <v>519</v>
      </c>
      <c r="M2493" t="s">
        <v>1297</v>
      </c>
      <c r="N2493" t="s">
        <v>539</v>
      </c>
      <c r="O2493" t="s">
        <v>2268</v>
      </c>
      <c r="P2493" t="s">
        <v>523</v>
      </c>
      <c r="Q2493" t="s">
        <v>2118</v>
      </c>
      <c r="R2493" t="s">
        <v>2084</v>
      </c>
      <c r="S2493" t="s">
        <v>2269</v>
      </c>
      <c r="T2493" t="s">
        <v>2085</v>
      </c>
      <c r="U2493">
        <v>215801</v>
      </c>
      <c r="V2493" t="s">
        <v>2270</v>
      </c>
      <c r="W2493" t="s">
        <v>2271</v>
      </c>
      <c r="X2493" t="s">
        <v>8934</v>
      </c>
      <c r="Y2493" t="s">
        <v>8935</v>
      </c>
      <c r="Z2493" t="s">
        <v>2267</v>
      </c>
      <c r="AA2493" t="s">
        <v>8936</v>
      </c>
      <c r="AB2493" t="s">
        <v>8937</v>
      </c>
      <c r="AC2493">
        <v>99160</v>
      </c>
      <c r="AD2493" t="s">
        <v>2272</v>
      </c>
      <c r="AE2493">
        <v>-39.995122010000003</v>
      </c>
      <c r="AF2493">
        <v>176.55903857000001</v>
      </c>
      <c r="AG2493">
        <v>17</v>
      </c>
      <c r="AH2493">
        <v>17</v>
      </c>
      <c r="AI2493">
        <v>2</v>
      </c>
      <c r="AJ2493">
        <v>9</v>
      </c>
      <c r="AK2493">
        <v>8</v>
      </c>
      <c r="AL2493">
        <v>0</v>
      </c>
      <c r="AM2493">
        <v>0</v>
      </c>
      <c r="AN2493">
        <v>0</v>
      </c>
      <c r="AO2493">
        <v>19</v>
      </c>
      <c r="AP2493">
        <v>16</v>
      </c>
      <c r="AQ2493">
        <v>3</v>
      </c>
      <c r="AR2493">
        <v>1</v>
      </c>
      <c r="AS2493">
        <v>0</v>
      </c>
      <c r="AT2493">
        <v>1</v>
      </c>
    </row>
    <row r="2494" spans="1:46">
      <c r="A2494">
        <v>46767</v>
      </c>
      <c r="B2494" t="s">
        <v>14558</v>
      </c>
      <c r="C2494" t="s">
        <v>14559</v>
      </c>
      <c r="D2494" t="s">
        <v>12951</v>
      </c>
      <c r="E2494" t="s">
        <v>13896</v>
      </c>
      <c r="F2494" t="s">
        <v>3194</v>
      </c>
      <c r="G2494" t="s">
        <v>2941</v>
      </c>
      <c r="H2494" t="s">
        <v>3942</v>
      </c>
      <c r="J2494" t="s">
        <v>3962</v>
      </c>
      <c r="K2494" t="s">
        <v>519</v>
      </c>
      <c r="M2494" t="s">
        <v>2287</v>
      </c>
      <c r="N2494" t="s">
        <v>571</v>
      </c>
      <c r="O2494" t="s">
        <v>2942</v>
      </c>
      <c r="P2494" t="s">
        <v>654</v>
      </c>
      <c r="Q2494" t="s">
        <v>2943</v>
      </c>
      <c r="R2494" t="s">
        <v>2944</v>
      </c>
      <c r="S2494" t="s">
        <v>2979</v>
      </c>
      <c r="T2494" t="s">
        <v>2448</v>
      </c>
      <c r="U2494">
        <v>328001</v>
      </c>
      <c r="V2494" t="s">
        <v>14560</v>
      </c>
      <c r="W2494" t="s">
        <v>3196</v>
      </c>
      <c r="X2494" t="s">
        <v>12953</v>
      </c>
      <c r="Y2494" t="s">
        <v>13896</v>
      </c>
      <c r="Z2494" t="s">
        <v>3194</v>
      </c>
      <c r="AA2494" t="s">
        <v>12954</v>
      </c>
      <c r="AB2494" t="s">
        <v>12955</v>
      </c>
      <c r="AE2494">
        <v>-43.588515690000001</v>
      </c>
      <c r="AF2494">
        <v>172.56958847000001</v>
      </c>
      <c r="AG2494">
        <v>30</v>
      </c>
      <c r="AH2494">
        <v>10</v>
      </c>
      <c r="AI2494">
        <v>3</v>
      </c>
      <c r="AJ2494">
        <v>10</v>
      </c>
      <c r="AK2494">
        <v>11</v>
      </c>
      <c r="AL2494">
        <v>9</v>
      </c>
      <c r="AM2494">
        <v>11</v>
      </c>
      <c r="AN2494">
        <v>0</v>
      </c>
      <c r="AO2494">
        <v>44</v>
      </c>
      <c r="AP2494">
        <v>44</v>
      </c>
      <c r="AQ2494">
        <v>5</v>
      </c>
      <c r="AR2494">
        <v>0</v>
      </c>
      <c r="AS2494">
        <v>0</v>
      </c>
      <c r="AT2494">
        <v>0</v>
      </c>
    </row>
    <row r="2495" spans="1:46">
      <c r="A2495">
        <v>46769</v>
      </c>
      <c r="B2495" t="s">
        <v>14561</v>
      </c>
      <c r="C2495" t="s">
        <v>14562</v>
      </c>
      <c r="D2495" t="s">
        <v>14563</v>
      </c>
      <c r="E2495" t="s">
        <v>14564</v>
      </c>
      <c r="F2495" t="s">
        <v>3662</v>
      </c>
      <c r="G2495" t="s">
        <v>2941</v>
      </c>
      <c r="H2495" t="s">
        <v>3942</v>
      </c>
      <c r="J2495" t="s">
        <v>3962</v>
      </c>
      <c r="K2495" t="s">
        <v>519</v>
      </c>
      <c r="M2495" t="s">
        <v>2287</v>
      </c>
      <c r="N2495" t="s">
        <v>571</v>
      </c>
      <c r="O2495" t="s">
        <v>3208</v>
      </c>
      <c r="P2495" t="s">
        <v>523</v>
      </c>
      <c r="Q2495" t="s">
        <v>2943</v>
      </c>
      <c r="R2495" t="s">
        <v>2944</v>
      </c>
      <c r="S2495" t="s">
        <v>3179</v>
      </c>
      <c r="T2495" t="s">
        <v>2448</v>
      </c>
      <c r="U2495">
        <v>336101</v>
      </c>
      <c r="V2495" t="s">
        <v>4476</v>
      </c>
      <c r="W2495" t="s">
        <v>3664</v>
      </c>
      <c r="X2495" t="s">
        <v>12484</v>
      </c>
      <c r="Y2495" t="s">
        <v>14565</v>
      </c>
      <c r="Z2495" t="s">
        <v>3662</v>
      </c>
      <c r="AA2495" t="s">
        <v>14566</v>
      </c>
      <c r="AB2495" t="s">
        <v>12487</v>
      </c>
      <c r="AC2495">
        <v>99113</v>
      </c>
      <c r="AD2495" t="s">
        <v>3665</v>
      </c>
      <c r="AE2495">
        <v>-43.631881659999998</v>
      </c>
      <c r="AF2495">
        <v>172.49199078999999</v>
      </c>
      <c r="AG2495">
        <v>75</v>
      </c>
      <c r="AH2495">
        <v>20</v>
      </c>
      <c r="AI2495">
        <v>4</v>
      </c>
      <c r="AJ2495">
        <v>15</v>
      </c>
      <c r="AK2495">
        <v>14</v>
      </c>
      <c r="AL2495">
        <v>24</v>
      </c>
      <c r="AM2495">
        <v>27</v>
      </c>
      <c r="AN2495">
        <v>2</v>
      </c>
      <c r="AO2495">
        <v>86</v>
      </c>
      <c r="AP2495">
        <v>74</v>
      </c>
      <c r="AQ2495">
        <v>11</v>
      </c>
      <c r="AR2495">
        <v>4</v>
      </c>
      <c r="AS2495">
        <v>7</v>
      </c>
      <c r="AT2495">
        <v>7</v>
      </c>
    </row>
    <row r="2496" spans="1:46">
      <c r="A2496">
        <v>46770</v>
      </c>
      <c r="B2496" t="s">
        <v>14567</v>
      </c>
      <c r="C2496" t="s">
        <v>8761</v>
      </c>
      <c r="D2496" t="s">
        <v>13805</v>
      </c>
      <c r="E2496" t="s">
        <v>13806</v>
      </c>
      <c r="F2496" t="s">
        <v>13807</v>
      </c>
      <c r="G2496" t="s">
        <v>652</v>
      </c>
      <c r="H2496" t="s">
        <v>4716</v>
      </c>
      <c r="J2496" t="s">
        <v>3962</v>
      </c>
      <c r="K2496" t="s">
        <v>519</v>
      </c>
      <c r="M2496" t="s">
        <v>520</v>
      </c>
      <c r="N2496" t="s">
        <v>727</v>
      </c>
      <c r="O2496" t="s">
        <v>829</v>
      </c>
      <c r="P2496" t="s">
        <v>654</v>
      </c>
      <c r="Q2496" t="s">
        <v>638</v>
      </c>
      <c r="R2496" t="s">
        <v>708</v>
      </c>
      <c r="S2496" t="s">
        <v>805</v>
      </c>
      <c r="T2496" t="s">
        <v>709</v>
      </c>
      <c r="U2496">
        <v>145900</v>
      </c>
      <c r="V2496" t="s">
        <v>13807</v>
      </c>
      <c r="W2496" t="s">
        <v>807</v>
      </c>
      <c r="X2496" t="s">
        <v>13808</v>
      </c>
      <c r="Y2496" t="s">
        <v>8763</v>
      </c>
      <c r="Z2496" t="s">
        <v>1313</v>
      </c>
      <c r="AA2496" t="s">
        <v>8511</v>
      </c>
      <c r="AE2496">
        <v>-36.907416240000003</v>
      </c>
      <c r="AF2496">
        <v>174.81478240000001</v>
      </c>
      <c r="AG2496">
        <v>50</v>
      </c>
      <c r="AH2496">
        <v>50</v>
      </c>
      <c r="AI2496">
        <v>4</v>
      </c>
      <c r="AJ2496">
        <v>4</v>
      </c>
      <c r="AK2496">
        <v>6</v>
      </c>
      <c r="AL2496">
        <v>6</v>
      </c>
      <c r="AM2496">
        <v>1</v>
      </c>
      <c r="AN2496">
        <v>0</v>
      </c>
      <c r="AO2496">
        <v>21</v>
      </c>
      <c r="AP2496">
        <v>1</v>
      </c>
      <c r="AQ2496">
        <v>0</v>
      </c>
      <c r="AR2496">
        <v>9</v>
      </c>
      <c r="AS2496">
        <v>8</v>
      </c>
      <c r="AT2496">
        <v>3</v>
      </c>
    </row>
    <row r="2497" spans="1:46">
      <c r="A2497">
        <v>46776</v>
      </c>
      <c r="B2497" t="s">
        <v>14568</v>
      </c>
      <c r="C2497" t="s">
        <v>14569</v>
      </c>
      <c r="D2497" t="s">
        <v>14570</v>
      </c>
      <c r="E2497" t="s">
        <v>14571</v>
      </c>
      <c r="F2497" t="s">
        <v>2676</v>
      </c>
      <c r="G2497" t="s">
        <v>2674</v>
      </c>
      <c r="H2497" t="s">
        <v>3942</v>
      </c>
      <c r="J2497" t="s">
        <v>3962</v>
      </c>
      <c r="K2497" t="s">
        <v>519</v>
      </c>
      <c r="M2497" t="s">
        <v>2287</v>
      </c>
      <c r="N2497" t="s">
        <v>571</v>
      </c>
      <c r="O2497" t="s">
        <v>2675</v>
      </c>
      <c r="P2497" t="s">
        <v>1262</v>
      </c>
      <c r="Q2497" t="s">
        <v>2319</v>
      </c>
      <c r="R2497" t="s">
        <v>2289</v>
      </c>
      <c r="S2497" t="s">
        <v>2528</v>
      </c>
      <c r="T2497" t="s">
        <v>1485</v>
      </c>
      <c r="U2497">
        <v>238400</v>
      </c>
      <c r="V2497" t="s">
        <v>10899</v>
      </c>
      <c r="W2497" t="s">
        <v>2677</v>
      </c>
      <c r="X2497" t="s">
        <v>14572</v>
      </c>
      <c r="Y2497" t="s">
        <v>14573</v>
      </c>
      <c r="Z2497" t="s">
        <v>581</v>
      </c>
      <c r="AA2497" t="s">
        <v>4529</v>
      </c>
      <c r="AB2497" t="s">
        <v>14569</v>
      </c>
      <c r="AE2497">
        <v>-40.91426637</v>
      </c>
      <c r="AF2497">
        <v>175.01143746</v>
      </c>
      <c r="AG2497">
        <v>70</v>
      </c>
      <c r="AH2497">
        <v>20</v>
      </c>
      <c r="AI2497">
        <v>7</v>
      </c>
      <c r="AJ2497">
        <v>14</v>
      </c>
      <c r="AK2497">
        <v>16</v>
      </c>
      <c r="AL2497">
        <v>15</v>
      </c>
      <c r="AM2497">
        <v>13</v>
      </c>
      <c r="AN2497">
        <v>1</v>
      </c>
      <c r="AO2497">
        <v>66</v>
      </c>
      <c r="AP2497">
        <v>60</v>
      </c>
      <c r="AQ2497">
        <v>16</v>
      </c>
      <c r="AR2497">
        <v>4</v>
      </c>
      <c r="AS2497">
        <v>4</v>
      </c>
      <c r="AT2497">
        <v>1</v>
      </c>
    </row>
    <row r="2498" spans="1:46">
      <c r="A2498">
        <v>46778</v>
      </c>
      <c r="B2498" t="s">
        <v>14574</v>
      </c>
      <c r="C2498" t="s">
        <v>14575</v>
      </c>
      <c r="E2498" t="s">
        <v>14576</v>
      </c>
      <c r="G2498" t="s">
        <v>652</v>
      </c>
      <c r="H2498" t="s">
        <v>3942</v>
      </c>
      <c r="J2498" t="s">
        <v>3962</v>
      </c>
      <c r="K2498" t="s">
        <v>519</v>
      </c>
      <c r="M2498" t="s">
        <v>520</v>
      </c>
      <c r="N2498" t="s">
        <v>571</v>
      </c>
      <c r="O2498" t="s">
        <v>1168</v>
      </c>
      <c r="P2498" t="s">
        <v>654</v>
      </c>
      <c r="Q2498" t="s">
        <v>638</v>
      </c>
      <c r="R2498" t="s">
        <v>639</v>
      </c>
      <c r="S2498" t="s">
        <v>655</v>
      </c>
      <c r="T2498" t="s">
        <v>527</v>
      </c>
      <c r="U2498">
        <v>117300</v>
      </c>
      <c r="V2498" t="s">
        <v>5703</v>
      </c>
      <c r="W2498" t="s">
        <v>657</v>
      </c>
      <c r="X2498" t="s">
        <v>12691</v>
      </c>
      <c r="Y2498" t="s">
        <v>12692</v>
      </c>
      <c r="Z2498" t="s">
        <v>6161</v>
      </c>
      <c r="AA2498" t="s">
        <v>4431</v>
      </c>
      <c r="AB2498" t="s">
        <v>12693</v>
      </c>
      <c r="AE2498">
        <v>-36.732876930000003</v>
      </c>
      <c r="AF2498">
        <v>174.71086260000001</v>
      </c>
      <c r="AG2498">
        <v>125</v>
      </c>
      <c r="AH2498">
        <v>25</v>
      </c>
      <c r="AI2498">
        <v>0</v>
      </c>
      <c r="AJ2498">
        <v>0</v>
      </c>
      <c r="AK2498">
        <v>2</v>
      </c>
      <c r="AL2498">
        <v>30</v>
      </c>
      <c r="AM2498">
        <v>44</v>
      </c>
      <c r="AN2498">
        <v>0</v>
      </c>
      <c r="AO2498">
        <v>76</v>
      </c>
      <c r="AP2498">
        <v>39</v>
      </c>
      <c r="AQ2498">
        <v>6</v>
      </c>
      <c r="AR2498">
        <v>1</v>
      </c>
      <c r="AS2498">
        <v>35</v>
      </c>
      <c r="AT2498">
        <v>5</v>
      </c>
    </row>
    <row r="2499" spans="1:46">
      <c r="A2499">
        <v>46782</v>
      </c>
      <c r="B2499" t="s">
        <v>14577</v>
      </c>
      <c r="C2499" t="s">
        <v>14578</v>
      </c>
      <c r="E2499" t="s">
        <v>14579</v>
      </c>
      <c r="F2499" t="s">
        <v>3057</v>
      </c>
      <c r="G2499" t="s">
        <v>2941</v>
      </c>
      <c r="H2499" t="s">
        <v>8824</v>
      </c>
      <c r="I2499" t="s">
        <v>4951</v>
      </c>
      <c r="J2499" t="s">
        <v>518</v>
      </c>
      <c r="K2499" t="s">
        <v>519</v>
      </c>
      <c r="M2499" t="s">
        <v>2287</v>
      </c>
      <c r="N2499" t="s">
        <v>571</v>
      </c>
      <c r="O2499" t="s">
        <v>2942</v>
      </c>
      <c r="P2499" t="s">
        <v>654</v>
      </c>
      <c r="Q2499" t="s">
        <v>2943</v>
      </c>
      <c r="R2499" t="s">
        <v>2944</v>
      </c>
      <c r="S2499" t="s">
        <v>2973</v>
      </c>
      <c r="T2499" t="s">
        <v>2448</v>
      </c>
      <c r="U2499">
        <v>328500</v>
      </c>
      <c r="V2499" t="s">
        <v>3058</v>
      </c>
      <c r="W2499" t="s">
        <v>2993</v>
      </c>
      <c r="X2499" t="s">
        <v>14580</v>
      </c>
      <c r="Y2499" t="s">
        <v>14581</v>
      </c>
      <c r="Z2499" t="s">
        <v>3081</v>
      </c>
      <c r="AA2499" t="s">
        <v>11701</v>
      </c>
      <c r="AB2499" t="s">
        <v>14582</v>
      </c>
      <c r="AC2499">
        <v>99215</v>
      </c>
      <c r="AD2499" t="s">
        <v>10972</v>
      </c>
      <c r="AE2499">
        <v>-43.52962496</v>
      </c>
      <c r="AF2499">
        <v>172.67275907999999</v>
      </c>
      <c r="AG2499">
        <v>25</v>
      </c>
      <c r="AH2499">
        <v>0</v>
      </c>
      <c r="AI2499">
        <v>0</v>
      </c>
      <c r="AJ2499">
        <v>0</v>
      </c>
      <c r="AK2499">
        <v>2</v>
      </c>
      <c r="AL2499">
        <v>8</v>
      </c>
      <c r="AM2499">
        <v>11</v>
      </c>
      <c r="AN2499">
        <v>2</v>
      </c>
      <c r="AO2499">
        <v>23</v>
      </c>
      <c r="AP2499">
        <v>8</v>
      </c>
      <c r="AQ2499">
        <v>18</v>
      </c>
      <c r="AR2499">
        <v>10</v>
      </c>
      <c r="AS2499">
        <v>0</v>
      </c>
      <c r="AT2499">
        <v>1</v>
      </c>
    </row>
    <row r="2500" spans="1:46">
      <c r="A2500">
        <v>46784</v>
      </c>
      <c r="B2500" t="s">
        <v>14583</v>
      </c>
      <c r="C2500" t="s">
        <v>14584</v>
      </c>
      <c r="E2500" t="s">
        <v>14585</v>
      </c>
      <c r="F2500" t="s">
        <v>945</v>
      </c>
      <c r="G2500" t="s">
        <v>652</v>
      </c>
      <c r="H2500" t="s">
        <v>3942</v>
      </c>
      <c r="J2500" t="s">
        <v>3962</v>
      </c>
      <c r="K2500" t="s">
        <v>519</v>
      </c>
      <c r="M2500" t="s">
        <v>520</v>
      </c>
      <c r="N2500" t="s">
        <v>521</v>
      </c>
      <c r="O2500" t="s">
        <v>848</v>
      </c>
      <c r="P2500" t="s">
        <v>654</v>
      </c>
      <c r="Q2500" t="s">
        <v>638</v>
      </c>
      <c r="R2500" t="s">
        <v>729</v>
      </c>
      <c r="S2500" t="s">
        <v>849</v>
      </c>
      <c r="T2500" t="s">
        <v>709</v>
      </c>
      <c r="U2500">
        <v>152600</v>
      </c>
      <c r="V2500" t="s">
        <v>14586</v>
      </c>
      <c r="W2500" t="s">
        <v>732</v>
      </c>
      <c r="X2500" t="s">
        <v>14587</v>
      </c>
      <c r="Y2500" t="s">
        <v>14588</v>
      </c>
      <c r="Z2500" t="s">
        <v>5104</v>
      </c>
      <c r="AA2500" t="s">
        <v>3991</v>
      </c>
      <c r="AE2500">
        <v>-36.969329129999998</v>
      </c>
      <c r="AF2500">
        <v>174.82440495</v>
      </c>
      <c r="AG2500">
        <v>48</v>
      </c>
      <c r="AH2500">
        <v>15</v>
      </c>
    </row>
    <row r="2501" spans="1:46">
      <c r="A2501">
        <v>46788</v>
      </c>
      <c r="B2501" t="s">
        <v>14589</v>
      </c>
      <c r="D2501" t="s">
        <v>14590</v>
      </c>
      <c r="E2501" t="s">
        <v>14591</v>
      </c>
      <c r="G2501" t="s">
        <v>14592</v>
      </c>
      <c r="H2501" t="s">
        <v>3942</v>
      </c>
      <c r="J2501" t="s">
        <v>3962</v>
      </c>
      <c r="K2501" t="s">
        <v>519</v>
      </c>
      <c r="M2501" t="s">
        <v>2287</v>
      </c>
      <c r="N2501" t="s">
        <v>571</v>
      </c>
      <c r="O2501" t="s">
        <v>3383</v>
      </c>
      <c r="P2501" t="s">
        <v>523</v>
      </c>
      <c r="Q2501" t="s">
        <v>3337</v>
      </c>
      <c r="R2501" t="s">
        <v>3338</v>
      </c>
      <c r="S2501" t="s">
        <v>3384</v>
      </c>
      <c r="T2501" t="s">
        <v>2448</v>
      </c>
      <c r="U2501">
        <v>351200</v>
      </c>
      <c r="V2501" t="s">
        <v>14592</v>
      </c>
      <c r="W2501" t="s">
        <v>1652</v>
      </c>
      <c r="X2501" t="s">
        <v>14593</v>
      </c>
      <c r="Y2501" t="s">
        <v>14594</v>
      </c>
      <c r="Z2501" t="s">
        <v>14595</v>
      </c>
      <c r="AA2501" t="s">
        <v>14596</v>
      </c>
      <c r="AE2501">
        <v>-45.94949012</v>
      </c>
      <c r="AF2501">
        <v>170.33059929999999</v>
      </c>
      <c r="AG2501">
        <v>30</v>
      </c>
      <c r="AH2501">
        <v>10</v>
      </c>
      <c r="AI2501">
        <v>1</v>
      </c>
      <c r="AJ2501">
        <v>4</v>
      </c>
      <c r="AK2501">
        <v>9</v>
      </c>
      <c r="AL2501">
        <v>11</v>
      </c>
      <c r="AM2501">
        <v>6</v>
      </c>
      <c r="AN2501">
        <v>0</v>
      </c>
      <c r="AO2501">
        <v>31</v>
      </c>
      <c r="AP2501">
        <v>29</v>
      </c>
      <c r="AQ2501">
        <v>8</v>
      </c>
      <c r="AR2501">
        <v>2</v>
      </c>
      <c r="AS2501">
        <v>1</v>
      </c>
      <c r="AT2501">
        <v>2</v>
      </c>
    </row>
    <row r="2502" spans="1:46">
      <c r="A2502">
        <v>46789</v>
      </c>
      <c r="B2502" t="s">
        <v>14597</v>
      </c>
      <c r="C2502" t="s">
        <v>14598</v>
      </c>
      <c r="D2502" t="s">
        <v>14599</v>
      </c>
      <c r="E2502" t="s">
        <v>14600</v>
      </c>
      <c r="G2502" t="s">
        <v>8224</v>
      </c>
      <c r="H2502" t="s">
        <v>3942</v>
      </c>
      <c r="J2502" t="s">
        <v>3962</v>
      </c>
      <c r="K2502" t="s">
        <v>519</v>
      </c>
      <c r="M2502" t="s">
        <v>520</v>
      </c>
      <c r="N2502" t="s">
        <v>571</v>
      </c>
      <c r="O2502" t="s">
        <v>1233</v>
      </c>
      <c r="P2502" t="s">
        <v>572</v>
      </c>
      <c r="Q2502" t="s">
        <v>638</v>
      </c>
      <c r="R2502" t="s">
        <v>729</v>
      </c>
      <c r="S2502" t="s">
        <v>1234</v>
      </c>
      <c r="T2502" t="s">
        <v>1235</v>
      </c>
      <c r="U2502">
        <v>162300</v>
      </c>
      <c r="V2502" t="s">
        <v>14601</v>
      </c>
      <c r="W2502" t="s">
        <v>1237</v>
      </c>
      <c r="X2502" t="s">
        <v>5142</v>
      </c>
      <c r="Y2502" t="s">
        <v>14600</v>
      </c>
      <c r="Z2502" t="s">
        <v>1217</v>
      </c>
      <c r="AA2502" t="s">
        <v>14602</v>
      </c>
      <c r="AB2502" t="s">
        <v>5145</v>
      </c>
      <c r="AC2502">
        <v>99186</v>
      </c>
      <c r="AD2502" t="s">
        <v>1224</v>
      </c>
      <c r="AE2502">
        <v>-37.0180249</v>
      </c>
      <c r="AF2502">
        <v>174.94042590999999</v>
      </c>
      <c r="AG2502">
        <v>100</v>
      </c>
      <c r="AH2502">
        <v>35</v>
      </c>
      <c r="AI2502">
        <v>2</v>
      </c>
      <c r="AJ2502">
        <v>10</v>
      </c>
      <c r="AK2502">
        <v>18</v>
      </c>
      <c r="AL2502">
        <v>19</v>
      </c>
      <c r="AM2502">
        <v>17</v>
      </c>
      <c r="AN2502">
        <v>1</v>
      </c>
      <c r="AO2502">
        <v>67</v>
      </c>
      <c r="AP2502">
        <v>27</v>
      </c>
      <c r="AQ2502">
        <v>6</v>
      </c>
      <c r="AR2502">
        <v>4</v>
      </c>
      <c r="AS2502">
        <v>36</v>
      </c>
      <c r="AT2502">
        <v>3</v>
      </c>
    </row>
    <row r="2503" spans="1:46">
      <c r="A2503">
        <v>46791</v>
      </c>
      <c r="B2503" t="s">
        <v>14603</v>
      </c>
      <c r="C2503" t="s">
        <v>14604</v>
      </c>
      <c r="D2503" t="s">
        <v>14605</v>
      </c>
      <c r="E2503" t="s">
        <v>6267</v>
      </c>
      <c r="F2503" t="s">
        <v>3706</v>
      </c>
      <c r="G2503" t="s">
        <v>652</v>
      </c>
      <c r="H2503" t="s">
        <v>4716</v>
      </c>
      <c r="J2503" t="s">
        <v>3962</v>
      </c>
      <c r="K2503" t="s">
        <v>519</v>
      </c>
      <c r="M2503" t="s">
        <v>520</v>
      </c>
      <c r="N2503" t="s">
        <v>571</v>
      </c>
      <c r="O2503" t="s">
        <v>1168</v>
      </c>
      <c r="P2503" t="s">
        <v>654</v>
      </c>
      <c r="Q2503" t="s">
        <v>638</v>
      </c>
      <c r="R2503" t="s">
        <v>639</v>
      </c>
      <c r="S2503" t="s">
        <v>655</v>
      </c>
      <c r="T2503" t="s">
        <v>527</v>
      </c>
      <c r="U2503">
        <v>117300</v>
      </c>
      <c r="V2503" t="s">
        <v>5703</v>
      </c>
      <c r="W2503" t="s">
        <v>657</v>
      </c>
      <c r="X2503" t="s">
        <v>6268</v>
      </c>
      <c r="Y2503" t="s">
        <v>6269</v>
      </c>
      <c r="Z2503" t="s">
        <v>3706</v>
      </c>
      <c r="AA2503" t="s">
        <v>6270</v>
      </c>
      <c r="AE2503">
        <v>-36.733572909999999</v>
      </c>
      <c r="AF2503">
        <v>174.71022909999999</v>
      </c>
      <c r="AG2503">
        <v>80</v>
      </c>
      <c r="AH2503">
        <v>80</v>
      </c>
      <c r="AI2503">
        <v>0</v>
      </c>
      <c r="AJ2503">
        <v>12</v>
      </c>
      <c r="AK2503">
        <v>7</v>
      </c>
      <c r="AL2503">
        <v>9</v>
      </c>
      <c r="AM2503">
        <v>2</v>
      </c>
      <c r="AN2503">
        <v>0</v>
      </c>
      <c r="AO2503">
        <v>30</v>
      </c>
      <c r="AP2503">
        <v>23</v>
      </c>
      <c r="AQ2503">
        <v>5</v>
      </c>
      <c r="AR2503">
        <v>0</v>
      </c>
      <c r="AS2503">
        <v>5</v>
      </c>
      <c r="AT2503">
        <v>1</v>
      </c>
    </row>
    <row r="2504" spans="1:46">
      <c r="A2504">
        <v>46797</v>
      </c>
      <c r="B2504" t="s">
        <v>14606</v>
      </c>
      <c r="C2504" t="s">
        <v>14607</v>
      </c>
      <c r="D2504" t="s">
        <v>14608</v>
      </c>
      <c r="E2504" t="s">
        <v>14609</v>
      </c>
      <c r="F2504" t="s">
        <v>975</v>
      </c>
      <c r="G2504" t="s">
        <v>652</v>
      </c>
      <c r="H2504" t="s">
        <v>3942</v>
      </c>
      <c r="J2504" t="s">
        <v>3962</v>
      </c>
      <c r="K2504" t="s">
        <v>519</v>
      </c>
      <c r="M2504" t="s">
        <v>520</v>
      </c>
      <c r="N2504" t="s">
        <v>571</v>
      </c>
      <c r="O2504" t="s">
        <v>848</v>
      </c>
      <c r="P2504" t="s">
        <v>654</v>
      </c>
      <c r="Q2504" t="s">
        <v>638</v>
      </c>
      <c r="R2504" t="s">
        <v>708</v>
      </c>
      <c r="S2504" t="s">
        <v>849</v>
      </c>
      <c r="T2504" t="s">
        <v>709</v>
      </c>
      <c r="U2504">
        <v>146800</v>
      </c>
      <c r="V2504" t="s">
        <v>4943</v>
      </c>
      <c r="W2504" t="s">
        <v>732</v>
      </c>
      <c r="X2504" t="s">
        <v>14610</v>
      </c>
      <c r="Y2504" t="s">
        <v>14611</v>
      </c>
      <c r="Z2504" t="s">
        <v>975</v>
      </c>
      <c r="AA2504" t="s">
        <v>13641</v>
      </c>
      <c r="AB2504" t="s">
        <v>14612</v>
      </c>
      <c r="AC2504">
        <v>99190</v>
      </c>
      <c r="AD2504" t="s">
        <v>831</v>
      </c>
      <c r="AE2504">
        <v>-36.944163959999997</v>
      </c>
      <c r="AF2504">
        <v>174.78170431000001</v>
      </c>
      <c r="AG2504">
        <v>50</v>
      </c>
      <c r="AH2504">
        <v>0</v>
      </c>
      <c r="AI2504">
        <v>0</v>
      </c>
      <c r="AJ2504">
        <v>0</v>
      </c>
      <c r="AK2504">
        <v>17</v>
      </c>
      <c r="AL2504">
        <v>20</v>
      </c>
      <c r="AM2504">
        <v>31</v>
      </c>
      <c r="AN2504">
        <v>4</v>
      </c>
      <c r="AO2504">
        <v>72</v>
      </c>
      <c r="AP2504">
        <v>52</v>
      </c>
      <c r="AQ2504">
        <v>3</v>
      </c>
      <c r="AR2504">
        <v>7</v>
      </c>
      <c r="AS2504">
        <v>14</v>
      </c>
      <c r="AT2504">
        <v>11</v>
      </c>
    </row>
    <row r="2505" spans="1:46">
      <c r="A2505">
        <v>46798</v>
      </c>
      <c r="B2505" t="s">
        <v>14613</v>
      </c>
      <c r="C2505" t="s">
        <v>14614</v>
      </c>
      <c r="D2505" t="s">
        <v>14615</v>
      </c>
      <c r="E2505" t="s">
        <v>14616</v>
      </c>
      <c r="G2505" t="s">
        <v>8261</v>
      </c>
      <c r="H2505" t="s">
        <v>3942</v>
      </c>
      <c r="J2505" t="s">
        <v>3962</v>
      </c>
      <c r="K2505" t="s">
        <v>519</v>
      </c>
      <c r="M2505" t="s">
        <v>520</v>
      </c>
      <c r="N2505" t="s">
        <v>571</v>
      </c>
      <c r="O2505" t="s">
        <v>637</v>
      </c>
      <c r="P2505" t="s">
        <v>523</v>
      </c>
      <c r="Q2505" t="s">
        <v>638</v>
      </c>
      <c r="R2505" t="s">
        <v>639</v>
      </c>
      <c r="S2505" t="s">
        <v>640</v>
      </c>
      <c r="T2505" t="s">
        <v>527</v>
      </c>
      <c r="U2505">
        <v>115002</v>
      </c>
      <c r="V2505" t="s">
        <v>6986</v>
      </c>
      <c r="W2505" t="s">
        <v>641</v>
      </c>
      <c r="X2505" t="s">
        <v>14617</v>
      </c>
      <c r="Y2505" t="s">
        <v>14618</v>
      </c>
      <c r="Z2505" t="s">
        <v>4316</v>
      </c>
      <c r="AA2505" t="s">
        <v>14619</v>
      </c>
      <c r="AB2505" t="s">
        <v>14614</v>
      </c>
      <c r="AC2505">
        <v>99129</v>
      </c>
      <c r="AD2505" t="s">
        <v>921</v>
      </c>
      <c r="AE2505">
        <v>-36.771485749999997</v>
      </c>
      <c r="AF2505">
        <v>174.53590155000001</v>
      </c>
      <c r="AG2505">
        <v>30</v>
      </c>
      <c r="AH2505">
        <v>0</v>
      </c>
      <c r="AI2505">
        <v>0</v>
      </c>
      <c r="AJ2505">
        <v>0</v>
      </c>
      <c r="AK2505">
        <v>7</v>
      </c>
      <c r="AL2505">
        <v>20</v>
      </c>
      <c r="AM2505">
        <v>11</v>
      </c>
      <c r="AN2505">
        <v>3</v>
      </c>
      <c r="AO2505">
        <v>41</v>
      </c>
      <c r="AP2505">
        <v>39</v>
      </c>
      <c r="AQ2505">
        <v>0</v>
      </c>
      <c r="AR2505">
        <v>1</v>
      </c>
      <c r="AS2505">
        <v>4</v>
      </c>
      <c r="AT2505">
        <v>1</v>
      </c>
    </row>
    <row r="2506" spans="1:46">
      <c r="A2506">
        <v>46804</v>
      </c>
      <c r="B2506" t="s">
        <v>14620</v>
      </c>
      <c r="D2506" t="s">
        <v>8762</v>
      </c>
      <c r="E2506" t="s">
        <v>8763</v>
      </c>
      <c r="F2506" t="s">
        <v>1313</v>
      </c>
      <c r="G2506" t="s">
        <v>1296</v>
      </c>
      <c r="H2506" t="s">
        <v>4716</v>
      </c>
      <c r="J2506" t="s">
        <v>3962</v>
      </c>
      <c r="K2506" t="s">
        <v>519</v>
      </c>
      <c r="M2506" t="s">
        <v>1297</v>
      </c>
      <c r="N2506" t="s">
        <v>557</v>
      </c>
      <c r="O2506" t="s">
        <v>1298</v>
      </c>
      <c r="P2506" t="s">
        <v>654</v>
      </c>
      <c r="Q2506" t="s">
        <v>1299</v>
      </c>
      <c r="R2506" t="s">
        <v>1300</v>
      </c>
      <c r="S2506" t="s">
        <v>1312</v>
      </c>
      <c r="T2506" t="s">
        <v>1235</v>
      </c>
      <c r="U2506">
        <v>177300</v>
      </c>
      <c r="V2506" t="s">
        <v>1313</v>
      </c>
      <c r="W2506" t="s">
        <v>1314</v>
      </c>
      <c r="X2506" t="s">
        <v>13699</v>
      </c>
      <c r="Y2506" t="s">
        <v>8763</v>
      </c>
      <c r="Z2506" t="s">
        <v>1313</v>
      </c>
      <c r="AA2506" t="s">
        <v>8511</v>
      </c>
      <c r="AE2506">
        <v>-37.749585760000002</v>
      </c>
      <c r="AF2506">
        <v>175.27365915999999</v>
      </c>
      <c r="AG2506">
        <v>80</v>
      </c>
      <c r="AH2506">
        <v>80</v>
      </c>
      <c r="AI2506">
        <v>5</v>
      </c>
      <c r="AJ2506">
        <v>14</v>
      </c>
      <c r="AK2506">
        <v>13</v>
      </c>
      <c r="AL2506">
        <v>16</v>
      </c>
      <c r="AM2506">
        <v>6</v>
      </c>
      <c r="AN2506">
        <v>2</v>
      </c>
      <c r="AO2506">
        <v>56</v>
      </c>
      <c r="AP2506">
        <v>40</v>
      </c>
      <c r="AQ2506">
        <v>14</v>
      </c>
      <c r="AR2506">
        <v>4</v>
      </c>
      <c r="AS2506">
        <v>5</v>
      </c>
      <c r="AT2506">
        <v>8</v>
      </c>
    </row>
    <row r="2507" spans="1:46">
      <c r="A2507">
        <v>46806</v>
      </c>
      <c r="B2507" t="s">
        <v>14621</v>
      </c>
      <c r="C2507" t="s">
        <v>14622</v>
      </c>
      <c r="E2507" t="s">
        <v>14623</v>
      </c>
      <c r="F2507" t="s">
        <v>3019</v>
      </c>
      <c r="G2507" t="s">
        <v>2941</v>
      </c>
      <c r="H2507" t="s">
        <v>4716</v>
      </c>
      <c r="J2507" t="s">
        <v>3962</v>
      </c>
      <c r="K2507" t="s">
        <v>519</v>
      </c>
      <c r="M2507" t="s">
        <v>2287</v>
      </c>
      <c r="N2507" t="s">
        <v>571</v>
      </c>
      <c r="O2507" t="s">
        <v>2942</v>
      </c>
      <c r="P2507" t="s">
        <v>654</v>
      </c>
      <c r="Q2507" t="s">
        <v>2943</v>
      </c>
      <c r="R2507" t="s">
        <v>2944</v>
      </c>
      <c r="S2507" t="s">
        <v>3019</v>
      </c>
      <c r="T2507" t="s">
        <v>2448</v>
      </c>
      <c r="U2507">
        <v>321901</v>
      </c>
      <c r="V2507" t="s">
        <v>14624</v>
      </c>
      <c r="W2507" t="s">
        <v>3020</v>
      </c>
      <c r="X2507" t="s">
        <v>14625</v>
      </c>
      <c r="Y2507" t="s">
        <v>14623</v>
      </c>
      <c r="Z2507" t="s">
        <v>3019</v>
      </c>
      <c r="AA2507" t="s">
        <v>11419</v>
      </c>
      <c r="AB2507" t="s">
        <v>14622</v>
      </c>
      <c r="AE2507">
        <v>-43.551869050000001</v>
      </c>
      <c r="AF2507">
        <v>172.54136674</v>
      </c>
      <c r="AG2507">
        <v>80</v>
      </c>
      <c r="AH2507">
        <v>80</v>
      </c>
      <c r="AI2507">
        <v>7</v>
      </c>
      <c r="AJ2507">
        <v>12</v>
      </c>
      <c r="AK2507">
        <v>15</v>
      </c>
      <c r="AL2507">
        <v>11</v>
      </c>
      <c r="AM2507">
        <v>11</v>
      </c>
      <c r="AN2507">
        <v>0</v>
      </c>
      <c r="AO2507">
        <v>56</v>
      </c>
      <c r="AP2507">
        <v>11</v>
      </c>
      <c r="AQ2507">
        <v>6</v>
      </c>
      <c r="AR2507">
        <v>3</v>
      </c>
      <c r="AS2507">
        <v>45</v>
      </c>
      <c r="AT2507">
        <v>1</v>
      </c>
    </row>
    <row r="2508" spans="1:46">
      <c r="A2508">
        <v>46812</v>
      </c>
      <c r="B2508" t="s">
        <v>14626</v>
      </c>
      <c r="C2508" t="s">
        <v>14627</v>
      </c>
      <c r="E2508" t="s">
        <v>14628</v>
      </c>
      <c r="F2508" t="s">
        <v>756</v>
      </c>
      <c r="G2508" t="s">
        <v>652</v>
      </c>
      <c r="H2508" t="s">
        <v>3942</v>
      </c>
      <c r="J2508" t="s">
        <v>3962</v>
      </c>
      <c r="K2508" t="s">
        <v>519</v>
      </c>
      <c r="M2508" t="s">
        <v>520</v>
      </c>
      <c r="N2508" t="s">
        <v>571</v>
      </c>
      <c r="O2508" t="s">
        <v>738</v>
      </c>
      <c r="P2508" t="s">
        <v>654</v>
      </c>
      <c r="Q2508" t="s">
        <v>638</v>
      </c>
      <c r="R2508" t="s">
        <v>639</v>
      </c>
      <c r="S2508" t="s">
        <v>756</v>
      </c>
      <c r="T2508" t="s">
        <v>527</v>
      </c>
      <c r="U2508">
        <v>127100</v>
      </c>
      <c r="V2508" t="s">
        <v>1044</v>
      </c>
      <c r="W2508" t="s">
        <v>741</v>
      </c>
      <c r="X2508" t="s">
        <v>14629</v>
      </c>
      <c r="Y2508" t="s">
        <v>14630</v>
      </c>
      <c r="Z2508" t="s">
        <v>763</v>
      </c>
      <c r="AA2508" t="s">
        <v>4365</v>
      </c>
      <c r="AB2508" t="s">
        <v>14631</v>
      </c>
      <c r="AE2508">
        <v>-36.796128840000002</v>
      </c>
      <c r="AF2508">
        <v>174.74477046999999</v>
      </c>
      <c r="AG2508">
        <v>35</v>
      </c>
      <c r="AH2508">
        <v>10</v>
      </c>
      <c r="AI2508">
        <v>1</v>
      </c>
      <c r="AJ2508">
        <v>10</v>
      </c>
      <c r="AK2508">
        <v>7</v>
      </c>
      <c r="AL2508">
        <v>7</v>
      </c>
      <c r="AM2508">
        <v>10</v>
      </c>
      <c r="AN2508">
        <v>1</v>
      </c>
      <c r="AO2508">
        <v>36</v>
      </c>
      <c r="AP2508">
        <v>36</v>
      </c>
      <c r="AQ2508">
        <v>6</v>
      </c>
      <c r="AR2508">
        <v>0</v>
      </c>
      <c r="AS2508">
        <v>0</v>
      </c>
      <c r="AT2508">
        <v>0</v>
      </c>
    </row>
    <row r="2509" spans="1:46">
      <c r="A2509">
        <v>46813</v>
      </c>
      <c r="B2509" t="s">
        <v>9966</v>
      </c>
      <c r="C2509" t="s">
        <v>14632</v>
      </c>
      <c r="D2509" t="s">
        <v>9968</v>
      </c>
      <c r="E2509" t="s">
        <v>14633</v>
      </c>
      <c r="F2509" t="s">
        <v>3873</v>
      </c>
      <c r="G2509" t="s">
        <v>1598</v>
      </c>
      <c r="H2509" t="s">
        <v>3942</v>
      </c>
      <c r="J2509" t="s">
        <v>3962</v>
      </c>
      <c r="K2509" t="s">
        <v>519</v>
      </c>
      <c r="M2509" t="s">
        <v>1297</v>
      </c>
      <c r="N2509" t="s">
        <v>571</v>
      </c>
      <c r="O2509" t="s">
        <v>1698</v>
      </c>
      <c r="P2509" t="s">
        <v>654</v>
      </c>
      <c r="Q2509" t="s">
        <v>1471</v>
      </c>
      <c r="R2509" t="s">
        <v>1472</v>
      </c>
      <c r="S2509" t="s">
        <v>1699</v>
      </c>
      <c r="T2509" t="s">
        <v>1474</v>
      </c>
      <c r="U2509">
        <v>196301</v>
      </c>
      <c r="V2509" t="s">
        <v>10797</v>
      </c>
      <c r="W2509" t="s">
        <v>1731</v>
      </c>
      <c r="X2509" t="s">
        <v>9970</v>
      </c>
      <c r="Y2509" t="s">
        <v>14634</v>
      </c>
      <c r="Z2509" t="s">
        <v>3873</v>
      </c>
      <c r="AA2509" t="s">
        <v>8884</v>
      </c>
      <c r="AE2509">
        <v>-37.7423815</v>
      </c>
      <c r="AF2509">
        <v>176.17393860000001</v>
      </c>
      <c r="AG2509">
        <v>35</v>
      </c>
      <c r="AH2509">
        <v>6</v>
      </c>
      <c r="AI2509">
        <v>0</v>
      </c>
      <c r="AJ2509">
        <v>5</v>
      </c>
      <c r="AK2509">
        <v>5</v>
      </c>
      <c r="AL2509">
        <v>6</v>
      </c>
      <c r="AM2509">
        <v>4</v>
      </c>
      <c r="AN2509">
        <v>0</v>
      </c>
      <c r="AO2509">
        <v>20</v>
      </c>
      <c r="AP2509">
        <v>19</v>
      </c>
      <c r="AQ2509">
        <v>4</v>
      </c>
      <c r="AR2509">
        <v>1</v>
      </c>
      <c r="AS2509">
        <v>3</v>
      </c>
      <c r="AT2509">
        <v>0</v>
      </c>
    </row>
    <row r="2510" spans="1:46">
      <c r="A2510">
        <v>46814</v>
      </c>
      <c r="B2510" t="s">
        <v>14635</v>
      </c>
      <c r="C2510" t="s">
        <v>14636</v>
      </c>
      <c r="E2510" t="s">
        <v>14637</v>
      </c>
      <c r="F2510" t="s">
        <v>14638</v>
      </c>
      <c r="G2510" t="s">
        <v>1469</v>
      </c>
      <c r="H2510" t="s">
        <v>3942</v>
      </c>
      <c r="J2510" t="s">
        <v>3962</v>
      </c>
      <c r="K2510" t="s">
        <v>519</v>
      </c>
      <c r="M2510" t="s">
        <v>1297</v>
      </c>
      <c r="N2510" t="s">
        <v>557</v>
      </c>
      <c r="O2510" t="s">
        <v>1470</v>
      </c>
      <c r="P2510" t="s">
        <v>1262</v>
      </c>
      <c r="Q2510" t="s">
        <v>1471</v>
      </c>
      <c r="R2510" t="s">
        <v>1472</v>
      </c>
      <c r="S2510" t="s">
        <v>1473</v>
      </c>
      <c r="T2510" t="s">
        <v>1474</v>
      </c>
      <c r="U2510">
        <v>202800</v>
      </c>
      <c r="V2510" t="s">
        <v>1531</v>
      </c>
      <c r="W2510" t="s">
        <v>1476</v>
      </c>
      <c r="X2510" t="s">
        <v>14639</v>
      </c>
      <c r="Y2510" t="s">
        <v>14640</v>
      </c>
      <c r="AA2510" t="s">
        <v>11667</v>
      </c>
      <c r="AC2510">
        <v>99016</v>
      </c>
      <c r="AD2510" t="s">
        <v>1479</v>
      </c>
      <c r="AE2510">
        <v>-37.961467749999997</v>
      </c>
      <c r="AF2510">
        <v>176.97591603000001</v>
      </c>
      <c r="AG2510">
        <v>75</v>
      </c>
      <c r="AH2510">
        <v>20</v>
      </c>
      <c r="AI2510">
        <v>2</v>
      </c>
      <c r="AJ2510">
        <v>15</v>
      </c>
      <c r="AK2510">
        <v>23</v>
      </c>
      <c r="AL2510">
        <v>22</v>
      </c>
      <c r="AM2510">
        <v>19</v>
      </c>
      <c r="AN2510">
        <v>0</v>
      </c>
      <c r="AO2510">
        <v>81</v>
      </c>
      <c r="AP2510">
        <v>48</v>
      </c>
      <c r="AQ2510">
        <v>44</v>
      </c>
      <c r="AR2510">
        <v>3</v>
      </c>
      <c r="AS2510">
        <v>12</v>
      </c>
      <c r="AT2510">
        <v>2</v>
      </c>
    </row>
    <row r="2511" spans="1:46">
      <c r="A2511">
        <v>46817</v>
      </c>
      <c r="B2511" t="s">
        <v>14641</v>
      </c>
      <c r="C2511" t="s">
        <v>14642</v>
      </c>
      <c r="D2511" t="s">
        <v>14643</v>
      </c>
      <c r="E2511" t="s">
        <v>14644</v>
      </c>
      <c r="F2511" t="s">
        <v>2466</v>
      </c>
      <c r="G2511" t="s">
        <v>2427</v>
      </c>
      <c r="H2511" t="s">
        <v>3942</v>
      </c>
      <c r="J2511" t="s">
        <v>518</v>
      </c>
      <c r="K2511" t="s">
        <v>519</v>
      </c>
      <c r="M2511" t="s">
        <v>2287</v>
      </c>
      <c r="N2511" t="s">
        <v>557</v>
      </c>
      <c r="O2511" t="s">
        <v>2428</v>
      </c>
      <c r="P2511" t="s">
        <v>654</v>
      </c>
      <c r="Q2511" t="s">
        <v>2319</v>
      </c>
      <c r="R2511" t="s">
        <v>2289</v>
      </c>
      <c r="S2511" t="s">
        <v>2373</v>
      </c>
      <c r="T2511" t="s">
        <v>2085</v>
      </c>
      <c r="U2511">
        <v>244500</v>
      </c>
      <c r="V2511" t="s">
        <v>2496</v>
      </c>
      <c r="W2511" t="s">
        <v>2468</v>
      </c>
      <c r="X2511" t="s">
        <v>14645</v>
      </c>
      <c r="Y2511" t="s">
        <v>14646</v>
      </c>
      <c r="Z2511" t="s">
        <v>2466</v>
      </c>
      <c r="AA2511" t="s">
        <v>14647</v>
      </c>
      <c r="AB2511" t="s">
        <v>14648</v>
      </c>
      <c r="AC2511">
        <v>99111</v>
      </c>
      <c r="AD2511" t="s">
        <v>2469</v>
      </c>
      <c r="AE2511">
        <v>-41.169430380000001</v>
      </c>
      <c r="AF2511">
        <v>174.98313659999999</v>
      </c>
      <c r="AG2511">
        <v>32</v>
      </c>
      <c r="AH2511">
        <v>9</v>
      </c>
      <c r="AI2511">
        <v>1</v>
      </c>
      <c r="AJ2511">
        <v>4</v>
      </c>
      <c r="AK2511">
        <v>9</v>
      </c>
      <c r="AL2511">
        <v>6</v>
      </c>
      <c r="AM2511">
        <v>8</v>
      </c>
      <c r="AN2511">
        <v>0</v>
      </c>
      <c r="AO2511">
        <v>28</v>
      </c>
      <c r="AP2511">
        <v>13</v>
      </c>
      <c r="AQ2511">
        <v>13</v>
      </c>
      <c r="AR2511">
        <v>10</v>
      </c>
      <c r="AS2511">
        <v>6</v>
      </c>
      <c r="AT2511">
        <v>1</v>
      </c>
    </row>
    <row r="2512" spans="1:46">
      <c r="A2512">
        <v>46819</v>
      </c>
      <c r="B2512" t="s">
        <v>14649</v>
      </c>
      <c r="C2512" t="s">
        <v>14650</v>
      </c>
      <c r="D2512" t="s">
        <v>14651</v>
      </c>
      <c r="E2512" t="s">
        <v>14652</v>
      </c>
      <c r="G2512" t="s">
        <v>6385</v>
      </c>
      <c r="H2512" t="s">
        <v>3942</v>
      </c>
      <c r="J2512" t="s">
        <v>3962</v>
      </c>
      <c r="K2512" t="s">
        <v>519</v>
      </c>
      <c r="M2512" t="s">
        <v>520</v>
      </c>
      <c r="N2512" t="s">
        <v>571</v>
      </c>
      <c r="O2512" t="s">
        <v>637</v>
      </c>
      <c r="P2512" t="s">
        <v>523</v>
      </c>
      <c r="Q2512" t="s">
        <v>638</v>
      </c>
      <c r="R2512" t="s">
        <v>639</v>
      </c>
      <c r="S2512" t="s">
        <v>640</v>
      </c>
      <c r="T2512" t="s">
        <v>527</v>
      </c>
      <c r="U2512">
        <v>115901</v>
      </c>
      <c r="V2512" t="s">
        <v>6385</v>
      </c>
      <c r="W2512" t="s">
        <v>641</v>
      </c>
      <c r="X2512" t="s">
        <v>14653</v>
      </c>
      <c r="Y2512" t="s">
        <v>14652</v>
      </c>
      <c r="AA2512" t="s">
        <v>14654</v>
      </c>
      <c r="AE2512">
        <v>-36.757386519999997</v>
      </c>
      <c r="AF2512">
        <v>174.59224476</v>
      </c>
      <c r="AG2512">
        <v>82</v>
      </c>
      <c r="AH2512">
        <v>18</v>
      </c>
      <c r="AI2512">
        <v>5</v>
      </c>
      <c r="AJ2512">
        <v>17</v>
      </c>
      <c r="AK2512">
        <v>15</v>
      </c>
      <c r="AL2512">
        <v>26</v>
      </c>
      <c r="AM2512">
        <v>23</v>
      </c>
      <c r="AN2512">
        <v>1</v>
      </c>
      <c r="AO2512">
        <v>87</v>
      </c>
      <c r="AP2512">
        <v>80</v>
      </c>
      <c r="AQ2512">
        <v>12</v>
      </c>
      <c r="AR2512">
        <v>6</v>
      </c>
      <c r="AS2512">
        <v>11</v>
      </c>
      <c r="AT2512">
        <v>0</v>
      </c>
    </row>
    <row r="2513" spans="1:46">
      <c r="A2513">
        <v>46822</v>
      </c>
      <c r="B2513" t="s">
        <v>14655</v>
      </c>
      <c r="C2513" t="s">
        <v>14656</v>
      </c>
      <c r="D2513" t="s">
        <v>14657</v>
      </c>
      <c r="E2513" t="s">
        <v>14658</v>
      </c>
      <c r="F2513" t="s">
        <v>14659</v>
      </c>
      <c r="G2513" t="s">
        <v>2941</v>
      </c>
      <c r="H2513" t="s">
        <v>3942</v>
      </c>
      <c r="J2513" t="s">
        <v>3962</v>
      </c>
      <c r="K2513" t="s">
        <v>519</v>
      </c>
      <c r="M2513" t="s">
        <v>2287</v>
      </c>
      <c r="N2513" t="s">
        <v>571</v>
      </c>
      <c r="O2513" t="s">
        <v>2942</v>
      </c>
      <c r="P2513" t="s">
        <v>654</v>
      </c>
      <c r="Q2513" t="s">
        <v>2943</v>
      </c>
      <c r="R2513" t="s">
        <v>2944</v>
      </c>
      <c r="S2513" t="s">
        <v>2979</v>
      </c>
      <c r="T2513" t="s">
        <v>2448</v>
      </c>
      <c r="U2513">
        <v>331801</v>
      </c>
      <c r="V2513" t="s">
        <v>14660</v>
      </c>
      <c r="W2513" t="s">
        <v>3014</v>
      </c>
      <c r="X2513" t="s">
        <v>14661</v>
      </c>
      <c r="Y2513" t="s">
        <v>14658</v>
      </c>
      <c r="Z2513" t="s">
        <v>14659</v>
      </c>
      <c r="AA2513" t="s">
        <v>14662</v>
      </c>
      <c r="AB2513" t="s">
        <v>14663</v>
      </c>
      <c r="AC2513">
        <v>99196</v>
      </c>
      <c r="AD2513" t="s">
        <v>3064</v>
      </c>
      <c r="AE2513">
        <v>-43.559191400000003</v>
      </c>
      <c r="AF2513">
        <v>172.7041012</v>
      </c>
      <c r="AG2513">
        <v>50</v>
      </c>
      <c r="AH2513">
        <v>15</v>
      </c>
      <c r="AI2513">
        <v>4</v>
      </c>
      <c r="AJ2513">
        <v>13</v>
      </c>
      <c r="AK2513">
        <v>16</v>
      </c>
      <c r="AL2513">
        <v>16</v>
      </c>
      <c r="AM2513">
        <v>15</v>
      </c>
      <c r="AN2513">
        <v>1</v>
      </c>
      <c r="AO2513">
        <v>65</v>
      </c>
      <c r="AP2513">
        <v>61</v>
      </c>
      <c r="AQ2513">
        <v>9</v>
      </c>
      <c r="AR2513">
        <v>2</v>
      </c>
      <c r="AS2513">
        <v>2</v>
      </c>
      <c r="AT2513">
        <v>1</v>
      </c>
    </row>
    <row r="2514" spans="1:46">
      <c r="A2514">
        <v>46823</v>
      </c>
      <c r="B2514" t="s">
        <v>14664</v>
      </c>
      <c r="C2514" t="s">
        <v>14665</v>
      </c>
      <c r="E2514" t="s">
        <v>14666</v>
      </c>
      <c r="F2514" t="s">
        <v>4044</v>
      </c>
      <c r="G2514" t="s">
        <v>652</v>
      </c>
      <c r="H2514" t="s">
        <v>3942</v>
      </c>
      <c r="J2514" t="s">
        <v>3962</v>
      </c>
      <c r="K2514" t="s">
        <v>519</v>
      </c>
      <c r="M2514" t="s">
        <v>520</v>
      </c>
      <c r="N2514" t="s">
        <v>557</v>
      </c>
      <c r="O2514" t="s">
        <v>1268</v>
      </c>
      <c r="P2514" t="s">
        <v>654</v>
      </c>
      <c r="Q2514" t="s">
        <v>638</v>
      </c>
      <c r="R2514" t="s">
        <v>729</v>
      </c>
      <c r="S2514" t="s">
        <v>1234</v>
      </c>
      <c r="T2514" t="s">
        <v>1235</v>
      </c>
      <c r="U2514">
        <v>163001</v>
      </c>
      <c r="V2514" t="s">
        <v>1277</v>
      </c>
      <c r="W2514" t="s">
        <v>1219</v>
      </c>
      <c r="X2514" t="s">
        <v>4583</v>
      </c>
      <c r="Y2514" t="s">
        <v>14667</v>
      </c>
      <c r="Z2514" t="s">
        <v>3945</v>
      </c>
      <c r="AA2514" t="s">
        <v>4585</v>
      </c>
      <c r="AE2514">
        <v>-37.061664389999997</v>
      </c>
      <c r="AF2514">
        <v>174.94733156999999</v>
      </c>
      <c r="AG2514">
        <v>100</v>
      </c>
      <c r="AH2514">
        <v>25</v>
      </c>
      <c r="AI2514">
        <v>0</v>
      </c>
      <c r="AJ2514">
        <v>3</v>
      </c>
      <c r="AK2514">
        <v>12</v>
      </c>
      <c r="AL2514">
        <v>19</v>
      </c>
      <c r="AM2514">
        <v>23</v>
      </c>
      <c r="AN2514">
        <v>1</v>
      </c>
      <c r="AO2514">
        <v>58</v>
      </c>
      <c r="AP2514">
        <v>8</v>
      </c>
      <c r="AQ2514">
        <v>16</v>
      </c>
      <c r="AR2514">
        <v>18</v>
      </c>
      <c r="AS2514">
        <v>23</v>
      </c>
      <c r="AT2514">
        <v>1</v>
      </c>
    </row>
    <row r="2515" spans="1:46">
      <c r="A2515">
        <v>46825</v>
      </c>
      <c r="B2515" t="s">
        <v>14668</v>
      </c>
      <c r="C2515" t="s">
        <v>14669</v>
      </c>
      <c r="D2515" t="s">
        <v>14670</v>
      </c>
      <c r="E2515" t="s">
        <v>14671</v>
      </c>
      <c r="F2515" t="s">
        <v>1072</v>
      </c>
      <c r="G2515" t="s">
        <v>652</v>
      </c>
      <c r="H2515" t="s">
        <v>3942</v>
      </c>
      <c r="J2515" t="s">
        <v>3962</v>
      </c>
      <c r="K2515" t="s">
        <v>519</v>
      </c>
      <c r="M2515" t="s">
        <v>520</v>
      </c>
      <c r="N2515" t="s">
        <v>539</v>
      </c>
      <c r="O2515" t="s">
        <v>848</v>
      </c>
      <c r="P2515" t="s">
        <v>654</v>
      </c>
      <c r="Q2515" t="s">
        <v>638</v>
      </c>
      <c r="R2515" t="s">
        <v>729</v>
      </c>
      <c r="S2515" t="s">
        <v>730</v>
      </c>
      <c r="T2515" t="s">
        <v>709</v>
      </c>
      <c r="U2515">
        <v>150101</v>
      </c>
      <c r="V2515" t="s">
        <v>4105</v>
      </c>
      <c r="W2515" t="s">
        <v>732</v>
      </c>
      <c r="X2515" t="s">
        <v>14672</v>
      </c>
      <c r="Y2515" t="s">
        <v>14673</v>
      </c>
      <c r="Z2515" t="s">
        <v>778</v>
      </c>
      <c r="AA2515" t="s">
        <v>4273</v>
      </c>
      <c r="AE2515">
        <v>-36.9410819</v>
      </c>
      <c r="AF2515">
        <v>174.8402553</v>
      </c>
      <c r="AG2515">
        <v>88</v>
      </c>
      <c r="AH2515">
        <v>24</v>
      </c>
      <c r="AI2515">
        <v>3</v>
      </c>
      <c r="AJ2515">
        <v>9</v>
      </c>
      <c r="AK2515">
        <v>16</v>
      </c>
      <c r="AL2515">
        <v>20</v>
      </c>
      <c r="AM2515">
        <v>15</v>
      </c>
      <c r="AN2515">
        <v>1</v>
      </c>
      <c r="AO2515">
        <v>64</v>
      </c>
      <c r="AP2515">
        <v>13</v>
      </c>
      <c r="AQ2515">
        <v>16</v>
      </c>
      <c r="AR2515">
        <v>39</v>
      </c>
      <c r="AS2515">
        <v>18</v>
      </c>
      <c r="AT2515">
        <v>1</v>
      </c>
    </row>
    <row r="2516" spans="1:46">
      <c r="A2516">
        <v>46833</v>
      </c>
      <c r="B2516" t="s">
        <v>14674</v>
      </c>
      <c r="C2516" t="s">
        <v>14675</v>
      </c>
      <c r="D2516" t="s">
        <v>14676</v>
      </c>
      <c r="E2516" t="s">
        <v>14677</v>
      </c>
      <c r="F2516" t="s">
        <v>2978</v>
      </c>
      <c r="G2516" t="s">
        <v>2941</v>
      </c>
      <c r="H2516" t="s">
        <v>3942</v>
      </c>
      <c r="I2516" t="s">
        <v>4065</v>
      </c>
      <c r="J2516" t="s">
        <v>3962</v>
      </c>
      <c r="K2516" t="s">
        <v>519</v>
      </c>
      <c r="M2516" t="s">
        <v>2287</v>
      </c>
      <c r="N2516" t="s">
        <v>571</v>
      </c>
      <c r="O2516" t="s">
        <v>2942</v>
      </c>
      <c r="P2516" t="s">
        <v>654</v>
      </c>
      <c r="Q2516" t="s">
        <v>2943</v>
      </c>
      <c r="R2516" t="s">
        <v>2944</v>
      </c>
      <c r="S2516" t="s">
        <v>2979</v>
      </c>
      <c r="T2516" t="s">
        <v>2448</v>
      </c>
      <c r="U2516">
        <v>330300</v>
      </c>
      <c r="V2516" t="s">
        <v>2980</v>
      </c>
      <c r="W2516" t="s">
        <v>2958</v>
      </c>
      <c r="X2516" t="s">
        <v>14678</v>
      </c>
      <c r="Y2516" t="s">
        <v>11409</v>
      </c>
      <c r="Z2516" t="s">
        <v>2956</v>
      </c>
      <c r="AA2516" t="s">
        <v>11410</v>
      </c>
      <c r="AB2516" t="s">
        <v>14679</v>
      </c>
      <c r="AC2516">
        <v>99177</v>
      </c>
      <c r="AD2516" t="s">
        <v>2959</v>
      </c>
      <c r="AE2516">
        <v>-43.56561705</v>
      </c>
      <c r="AF2516">
        <v>172.63723462999999</v>
      </c>
      <c r="AG2516">
        <v>37</v>
      </c>
      <c r="AH2516">
        <v>15</v>
      </c>
      <c r="AI2516">
        <v>0</v>
      </c>
      <c r="AJ2516">
        <v>15</v>
      </c>
      <c r="AK2516">
        <v>14</v>
      </c>
      <c r="AL2516">
        <v>9</v>
      </c>
      <c r="AM2516">
        <v>12</v>
      </c>
      <c r="AN2516">
        <v>0</v>
      </c>
      <c r="AO2516">
        <v>50</v>
      </c>
      <c r="AP2516">
        <v>46</v>
      </c>
      <c r="AQ2516">
        <v>5</v>
      </c>
      <c r="AR2516">
        <v>0</v>
      </c>
      <c r="AS2516">
        <v>7</v>
      </c>
      <c r="AT2516">
        <v>1</v>
      </c>
    </row>
    <row r="2517" spans="1:46">
      <c r="A2517">
        <v>46836</v>
      </c>
      <c r="B2517" t="s">
        <v>14680</v>
      </c>
      <c r="C2517" t="s">
        <v>14681</v>
      </c>
      <c r="D2517" t="s">
        <v>14682</v>
      </c>
      <c r="E2517" t="s">
        <v>14683</v>
      </c>
      <c r="F2517" t="s">
        <v>4929</v>
      </c>
      <c r="G2517" t="s">
        <v>652</v>
      </c>
      <c r="H2517" t="s">
        <v>3942</v>
      </c>
      <c r="J2517" t="s">
        <v>3962</v>
      </c>
      <c r="K2517" t="s">
        <v>519</v>
      </c>
      <c r="M2517" t="s">
        <v>520</v>
      </c>
      <c r="N2517" t="s">
        <v>571</v>
      </c>
      <c r="O2517" t="s">
        <v>813</v>
      </c>
      <c r="P2517" t="s">
        <v>654</v>
      </c>
      <c r="Q2517" t="s">
        <v>638</v>
      </c>
      <c r="R2517" t="s">
        <v>639</v>
      </c>
      <c r="S2517" t="s">
        <v>640</v>
      </c>
      <c r="T2517" t="s">
        <v>527</v>
      </c>
      <c r="U2517">
        <v>118800</v>
      </c>
      <c r="V2517" t="s">
        <v>14684</v>
      </c>
      <c r="W2517" t="s">
        <v>815</v>
      </c>
      <c r="X2517" t="s">
        <v>14685</v>
      </c>
      <c r="Y2517" t="s">
        <v>14686</v>
      </c>
      <c r="Z2517" t="s">
        <v>3706</v>
      </c>
      <c r="AA2517" t="s">
        <v>6270</v>
      </c>
      <c r="AE2517">
        <v>-36.822307479999999</v>
      </c>
      <c r="AF2517">
        <v>174.6104967</v>
      </c>
      <c r="AG2517">
        <v>100</v>
      </c>
      <c r="AH2517">
        <v>25</v>
      </c>
      <c r="AI2517">
        <v>3</v>
      </c>
      <c r="AJ2517">
        <v>18</v>
      </c>
      <c r="AK2517">
        <v>20</v>
      </c>
      <c r="AL2517">
        <v>30</v>
      </c>
      <c r="AM2517">
        <v>27</v>
      </c>
      <c r="AN2517">
        <v>0</v>
      </c>
      <c r="AO2517">
        <v>98</v>
      </c>
      <c r="AP2517">
        <v>27</v>
      </c>
      <c r="AQ2517">
        <v>6</v>
      </c>
      <c r="AR2517">
        <v>5</v>
      </c>
      <c r="AS2517">
        <v>71</v>
      </c>
      <c r="AT2517">
        <v>4</v>
      </c>
    </row>
    <row r="2518" spans="1:46">
      <c r="A2518">
        <v>46843</v>
      </c>
      <c r="B2518" t="s">
        <v>14687</v>
      </c>
      <c r="C2518" t="s">
        <v>14688</v>
      </c>
      <c r="D2518" t="s">
        <v>14689</v>
      </c>
      <c r="E2518" t="s">
        <v>14690</v>
      </c>
      <c r="F2518" t="s">
        <v>1358</v>
      </c>
      <c r="G2518" t="s">
        <v>1296</v>
      </c>
      <c r="H2518" t="s">
        <v>3942</v>
      </c>
      <c r="J2518" t="s">
        <v>3962</v>
      </c>
      <c r="K2518" t="s">
        <v>519</v>
      </c>
      <c r="M2518" t="s">
        <v>1297</v>
      </c>
      <c r="N2518" t="s">
        <v>571</v>
      </c>
      <c r="O2518" t="s">
        <v>1298</v>
      </c>
      <c r="P2518" t="s">
        <v>654</v>
      </c>
      <c r="Q2518" t="s">
        <v>1299</v>
      </c>
      <c r="R2518" t="s">
        <v>1300</v>
      </c>
      <c r="S2518" t="s">
        <v>1301</v>
      </c>
      <c r="T2518" t="s">
        <v>1235</v>
      </c>
      <c r="U2518">
        <v>177200</v>
      </c>
      <c r="V2518" t="s">
        <v>1359</v>
      </c>
      <c r="W2518" t="s">
        <v>1303</v>
      </c>
      <c r="X2518" t="s">
        <v>14691</v>
      </c>
      <c r="Y2518" t="s">
        <v>4107</v>
      </c>
      <c r="AA2518" t="s">
        <v>3982</v>
      </c>
      <c r="AB2518" t="s">
        <v>14692</v>
      </c>
      <c r="AE2518">
        <v>-37.782477700000001</v>
      </c>
      <c r="AF2518">
        <v>175.23321605000001</v>
      </c>
      <c r="AG2518">
        <v>60</v>
      </c>
      <c r="AH2518">
        <v>15</v>
      </c>
      <c r="AI2518">
        <v>5</v>
      </c>
      <c r="AJ2518">
        <v>6</v>
      </c>
      <c r="AK2518">
        <v>9</v>
      </c>
      <c r="AL2518">
        <v>10</v>
      </c>
      <c r="AM2518">
        <v>10</v>
      </c>
      <c r="AN2518">
        <v>4</v>
      </c>
      <c r="AO2518">
        <v>44</v>
      </c>
      <c r="AP2518">
        <v>23</v>
      </c>
      <c r="AQ2518">
        <v>21</v>
      </c>
      <c r="AR2518">
        <v>11</v>
      </c>
      <c r="AS2518">
        <v>8</v>
      </c>
      <c r="AT2518">
        <v>4</v>
      </c>
    </row>
    <row r="2519" spans="1:46">
      <c r="A2519">
        <v>46844</v>
      </c>
      <c r="B2519" t="s">
        <v>14693</v>
      </c>
      <c r="C2519" t="s">
        <v>14694</v>
      </c>
      <c r="D2519" t="s">
        <v>14695</v>
      </c>
      <c r="E2519" t="s">
        <v>14696</v>
      </c>
      <c r="G2519" t="s">
        <v>10911</v>
      </c>
      <c r="H2519" t="s">
        <v>3942</v>
      </c>
      <c r="J2519" t="s">
        <v>518</v>
      </c>
      <c r="K2519" t="s">
        <v>519</v>
      </c>
      <c r="M2519" t="s">
        <v>2287</v>
      </c>
      <c r="N2519" t="s">
        <v>571</v>
      </c>
      <c r="O2519" t="s">
        <v>3208</v>
      </c>
      <c r="P2519" t="s">
        <v>1262</v>
      </c>
      <c r="Q2519" t="s">
        <v>2943</v>
      </c>
      <c r="R2519" t="s">
        <v>2944</v>
      </c>
      <c r="S2519" t="s">
        <v>3179</v>
      </c>
      <c r="T2519" t="s">
        <v>2448</v>
      </c>
      <c r="U2519">
        <v>335501</v>
      </c>
      <c r="V2519" t="s">
        <v>14697</v>
      </c>
      <c r="W2519" t="s">
        <v>10914</v>
      </c>
      <c r="X2519" t="s">
        <v>10801</v>
      </c>
      <c r="Y2519" t="s">
        <v>3944</v>
      </c>
      <c r="Z2519" t="s">
        <v>3945</v>
      </c>
      <c r="AA2519" t="s">
        <v>3946</v>
      </c>
      <c r="AC2519">
        <v>99206</v>
      </c>
      <c r="AD2519" t="s">
        <v>3211</v>
      </c>
      <c r="AE2519">
        <v>-43.616431200000001</v>
      </c>
      <c r="AF2519">
        <v>172.39238649999999</v>
      </c>
      <c r="AG2519">
        <v>110</v>
      </c>
      <c r="AH2519">
        <v>25</v>
      </c>
      <c r="AI2519">
        <v>2</v>
      </c>
      <c r="AJ2519">
        <v>18</v>
      </c>
      <c r="AK2519">
        <v>23</v>
      </c>
      <c r="AL2519">
        <v>40</v>
      </c>
      <c r="AM2519">
        <v>28</v>
      </c>
      <c r="AN2519">
        <v>1</v>
      </c>
      <c r="AO2519">
        <v>112</v>
      </c>
      <c r="AP2519">
        <v>42</v>
      </c>
      <c r="AQ2519">
        <v>12</v>
      </c>
      <c r="AR2519">
        <v>2</v>
      </c>
      <c r="AS2519">
        <v>67</v>
      </c>
      <c r="AT2519">
        <v>9</v>
      </c>
    </row>
    <row r="2520" spans="1:46">
      <c r="A2520">
        <v>46847</v>
      </c>
      <c r="B2520" t="s">
        <v>14698</v>
      </c>
      <c r="C2520" t="s">
        <v>14699</v>
      </c>
      <c r="D2520" t="s">
        <v>14700</v>
      </c>
      <c r="E2520" t="s">
        <v>14701</v>
      </c>
      <c r="F2520" t="s">
        <v>1036</v>
      </c>
      <c r="G2520" t="s">
        <v>652</v>
      </c>
      <c r="H2520" t="s">
        <v>4716</v>
      </c>
      <c r="J2520" t="s">
        <v>3962</v>
      </c>
      <c r="K2520" t="s">
        <v>519</v>
      </c>
      <c r="M2520" t="s">
        <v>520</v>
      </c>
      <c r="N2520" t="s">
        <v>727</v>
      </c>
      <c r="O2520" t="s">
        <v>1216</v>
      </c>
      <c r="P2520" t="s">
        <v>654</v>
      </c>
      <c r="Q2520" t="s">
        <v>638</v>
      </c>
      <c r="R2520" t="s">
        <v>729</v>
      </c>
      <c r="S2520" t="s">
        <v>1036</v>
      </c>
      <c r="T2520" t="s">
        <v>709</v>
      </c>
      <c r="U2520">
        <v>159201</v>
      </c>
      <c r="V2520" t="s">
        <v>12492</v>
      </c>
      <c r="W2520" t="s">
        <v>1219</v>
      </c>
      <c r="X2520" t="s">
        <v>14702</v>
      </c>
      <c r="Y2520" t="s">
        <v>14703</v>
      </c>
      <c r="Z2520" t="s">
        <v>4204</v>
      </c>
      <c r="AA2520" t="s">
        <v>4585</v>
      </c>
      <c r="AE2520">
        <v>-37.018962809999998</v>
      </c>
      <c r="AF2520">
        <v>174.8741282</v>
      </c>
      <c r="AG2520">
        <v>80</v>
      </c>
      <c r="AH2520">
        <v>80</v>
      </c>
      <c r="AI2520">
        <v>8</v>
      </c>
      <c r="AJ2520">
        <v>11</v>
      </c>
      <c r="AK2520">
        <v>11</v>
      </c>
      <c r="AL2520">
        <v>10</v>
      </c>
      <c r="AM2520">
        <v>6</v>
      </c>
      <c r="AN2520">
        <v>0</v>
      </c>
      <c r="AO2520">
        <v>46</v>
      </c>
      <c r="AP2520">
        <v>0</v>
      </c>
      <c r="AQ2520">
        <v>0</v>
      </c>
      <c r="AR2520">
        <v>24</v>
      </c>
      <c r="AS2520">
        <v>22</v>
      </c>
      <c r="AT2520">
        <v>0</v>
      </c>
    </row>
    <row r="2521" spans="1:46">
      <c r="A2521">
        <v>46848</v>
      </c>
      <c r="B2521" t="s">
        <v>14704</v>
      </c>
      <c r="C2521" t="s">
        <v>14705</v>
      </c>
      <c r="D2521" t="s">
        <v>14706</v>
      </c>
      <c r="E2521" t="s">
        <v>14707</v>
      </c>
      <c r="F2521" t="s">
        <v>11947</v>
      </c>
      <c r="G2521" t="s">
        <v>2941</v>
      </c>
      <c r="H2521" t="s">
        <v>3942</v>
      </c>
      <c r="J2521" t="s">
        <v>518</v>
      </c>
      <c r="K2521" t="s">
        <v>519</v>
      </c>
      <c r="M2521" t="s">
        <v>2287</v>
      </c>
      <c r="N2521" t="s">
        <v>571</v>
      </c>
      <c r="O2521" t="s">
        <v>2942</v>
      </c>
      <c r="P2521" t="s">
        <v>654</v>
      </c>
      <c r="Q2521" t="s">
        <v>2943</v>
      </c>
      <c r="R2521" t="s">
        <v>2944</v>
      </c>
      <c r="S2521" t="s">
        <v>2973</v>
      </c>
      <c r="T2521" t="s">
        <v>2448</v>
      </c>
      <c r="U2521">
        <v>321301</v>
      </c>
      <c r="V2521" t="s">
        <v>14708</v>
      </c>
      <c r="W2521" t="s">
        <v>3126</v>
      </c>
      <c r="X2521" t="s">
        <v>10801</v>
      </c>
      <c r="Y2521" t="s">
        <v>3944</v>
      </c>
      <c r="Z2521" t="s">
        <v>3945</v>
      </c>
      <c r="AA2521" t="s">
        <v>3946</v>
      </c>
      <c r="AE2521">
        <v>-43.467773540000003</v>
      </c>
      <c r="AF2521">
        <v>172.66557133000001</v>
      </c>
      <c r="AG2521">
        <v>115</v>
      </c>
      <c r="AH2521">
        <v>25</v>
      </c>
      <c r="AI2521">
        <v>3</v>
      </c>
      <c r="AJ2521">
        <v>21</v>
      </c>
      <c r="AK2521">
        <v>33</v>
      </c>
      <c r="AL2521">
        <v>30</v>
      </c>
      <c r="AM2521">
        <v>30</v>
      </c>
      <c r="AN2521">
        <v>3</v>
      </c>
      <c r="AO2521">
        <v>120</v>
      </c>
      <c r="AP2521">
        <v>105</v>
      </c>
      <c r="AQ2521">
        <v>13</v>
      </c>
      <c r="AR2521">
        <v>0</v>
      </c>
      <c r="AS2521">
        <v>16</v>
      </c>
      <c r="AT2521">
        <v>7</v>
      </c>
    </row>
    <row r="2522" spans="1:46">
      <c r="A2522">
        <v>46849</v>
      </c>
      <c r="B2522" t="s">
        <v>14709</v>
      </c>
      <c r="C2522" t="s">
        <v>14710</v>
      </c>
      <c r="E2522" t="s">
        <v>14711</v>
      </c>
      <c r="G2522" t="s">
        <v>1742</v>
      </c>
      <c r="H2522" t="s">
        <v>3942</v>
      </c>
      <c r="J2522" t="s">
        <v>3962</v>
      </c>
      <c r="K2522" t="s">
        <v>519</v>
      </c>
      <c r="M2522" t="s">
        <v>1297</v>
      </c>
      <c r="N2522" t="s">
        <v>557</v>
      </c>
      <c r="O2522" t="s">
        <v>1743</v>
      </c>
      <c r="P2522" t="s">
        <v>523</v>
      </c>
      <c r="Q2522" t="s">
        <v>1471</v>
      </c>
      <c r="R2522" t="s">
        <v>1472</v>
      </c>
      <c r="S2522" t="s">
        <v>1521</v>
      </c>
      <c r="T2522" t="s">
        <v>1474</v>
      </c>
      <c r="U2522">
        <v>191901</v>
      </c>
      <c r="V2522" t="s">
        <v>10199</v>
      </c>
      <c r="W2522" t="s">
        <v>1745</v>
      </c>
      <c r="X2522" t="s">
        <v>11170</v>
      </c>
      <c r="Y2522" t="s">
        <v>14712</v>
      </c>
      <c r="AA2522" t="s">
        <v>11171</v>
      </c>
      <c r="AE2522">
        <v>-37.792827729999999</v>
      </c>
      <c r="AF2522">
        <v>176.31673895</v>
      </c>
      <c r="AG2522">
        <v>46</v>
      </c>
      <c r="AH2522">
        <v>15</v>
      </c>
      <c r="AI2522">
        <v>2</v>
      </c>
      <c r="AJ2522">
        <v>16</v>
      </c>
      <c r="AK2522">
        <v>10</v>
      </c>
      <c r="AL2522">
        <v>19</v>
      </c>
      <c r="AM2522">
        <v>17</v>
      </c>
      <c r="AN2522">
        <v>0</v>
      </c>
      <c r="AO2522">
        <v>64</v>
      </c>
      <c r="AP2522">
        <v>47</v>
      </c>
      <c r="AQ2522">
        <v>15</v>
      </c>
      <c r="AR2522">
        <v>0</v>
      </c>
      <c r="AS2522">
        <v>14</v>
      </c>
      <c r="AT2522">
        <v>2</v>
      </c>
    </row>
    <row r="2523" spans="1:46">
      <c r="A2523">
        <v>46850</v>
      </c>
      <c r="B2523" t="s">
        <v>14713</v>
      </c>
      <c r="C2523" t="s">
        <v>14714</v>
      </c>
      <c r="E2523" t="s">
        <v>14715</v>
      </c>
      <c r="F2523" t="s">
        <v>1886</v>
      </c>
      <c r="G2523" t="s">
        <v>1842</v>
      </c>
      <c r="H2523" t="s">
        <v>343</v>
      </c>
      <c r="J2523" t="s">
        <v>518</v>
      </c>
      <c r="K2523" t="s">
        <v>519</v>
      </c>
      <c r="L2523" t="s">
        <v>4205</v>
      </c>
      <c r="M2523" t="s">
        <v>1297</v>
      </c>
      <c r="N2523" t="s">
        <v>521</v>
      </c>
      <c r="O2523" t="s">
        <v>1887</v>
      </c>
      <c r="P2523" t="s">
        <v>584</v>
      </c>
      <c r="Q2523" t="s">
        <v>1636</v>
      </c>
      <c r="R2523" t="s">
        <v>1760</v>
      </c>
      <c r="S2523" t="s">
        <v>1842</v>
      </c>
      <c r="T2523" t="s">
        <v>1485</v>
      </c>
      <c r="U2523">
        <v>224000</v>
      </c>
      <c r="V2523" t="s">
        <v>1888</v>
      </c>
      <c r="W2523" t="s">
        <v>1652</v>
      </c>
      <c r="X2523" t="s">
        <v>9070</v>
      </c>
      <c r="Y2523" t="s">
        <v>4208</v>
      </c>
      <c r="Z2523" t="s">
        <v>4209</v>
      </c>
      <c r="AA2523" t="s">
        <v>4210</v>
      </c>
      <c r="AB2523" t="s">
        <v>9071</v>
      </c>
      <c r="AE2523">
        <v>-39.901579949999999</v>
      </c>
      <c r="AF2523">
        <v>175.05768277999999</v>
      </c>
      <c r="AG2523">
        <v>35</v>
      </c>
      <c r="AH2523">
        <v>10</v>
      </c>
      <c r="AI2523">
        <v>1</v>
      </c>
      <c r="AJ2523">
        <v>1</v>
      </c>
      <c r="AK2523">
        <v>4</v>
      </c>
      <c r="AL2523">
        <v>2</v>
      </c>
      <c r="AM2523">
        <v>5</v>
      </c>
      <c r="AN2523">
        <v>0</v>
      </c>
      <c r="AO2523">
        <v>13</v>
      </c>
      <c r="AP2523">
        <v>0</v>
      </c>
      <c r="AQ2523">
        <v>13</v>
      </c>
      <c r="AR2523">
        <v>0</v>
      </c>
      <c r="AS2523">
        <v>0</v>
      </c>
      <c r="AT2523">
        <v>0</v>
      </c>
    </row>
    <row r="2524" spans="1:46">
      <c r="A2524">
        <v>46853</v>
      </c>
      <c r="B2524" t="s">
        <v>14716</v>
      </c>
      <c r="C2524" t="s">
        <v>14717</v>
      </c>
      <c r="E2524" t="s">
        <v>14718</v>
      </c>
      <c r="G2524" t="s">
        <v>1842</v>
      </c>
      <c r="H2524" t="s">
        <v>3942</v>
      </c>
      <c r="J2524" t="s">
        <v>518</v>
      </c>
      <c r="K2524" t="s">
        <v>519</v>
      </c>
      <c r="M2524" t="s">
        <v>1297</v>
      </c>
      <c r="N2524" t="s">
        <v>557</v>
      </c>
      <c r="O2524" t="s">
        <v>1887</v>
      </c>
      <c r="P2524" t="s">
        <v>584</v>
      </c>
      <c r="Q2524" t="s">
        <v>1636</v>
      </c>
      <c r="R2524" t="s">
        <v>1760</v>
      </c>
      <c r="S2524" t="s">
        <v>1842</v>
      </c>
      <c r="T2524" t="s">
        <v>1485</v>
      </c>
      <c r="U2524">
        <v>225000</v>
      </c>
      <c r="V2524" t="s">
        <v>1944</v>
      </c>
      <c r="W2524" t="s">
        <v>1652</v>
      </c>
      <c r="X2524" t="s">
        <v>14719</v>
      </c>
      <c r="Y2524" t="s">
        <v>14720</v>
      </c>
      <c r="AA2524" t="s">
        <v>14509</v>
      </c>
      <c r="AB2524" t="s">
        <v>14721</v>
      </c>
      <c r="AC2524">
        <v>99219</v>
      </c>
      <c r="AD2524" t="s">
        <v>1900</v>
      </c>
      <c r="AE2524">
        <v>-39.928235649999998</v>
      </c>
      <c r="AF2524">
        <v>175.03192056</v>
      </c>
      <c r="AG2524">
        <v>59</v>
      </c>
      <c r="AH2524">
        <v>30</v>
      </c>
      <c r="AI2524">
        <v>1</v>
      </c>
      <c r="AJ2524">
        <v>9</v>
      </c>
      <c r="AK2524">
        <v>14</v>
      </c>
      <c r="AL2524">
        <v>11</v>
      </c>
      <c r="AM2524">
        <v>17</v>
      </c>
      <c r="AN2524">
        <v>0</v>
      </c>
      <c r="AO2524">
        <v>52</v>
      </c>
      <c r="AP2524">
        <v>36</v>
      </c>
      <c r="AQ2524">
        <v>17</v>
      </c>
      <c r="AR2524">
        <v>2</v>
      </c>
      <c r="AS2524">
        <v>7</v>
      </c>
      <c r="AT2524">
        <v>2</v>
      </c>
    </row>
    <row r="2525" spans="1:46">
      <c r="A2525">
        <v>46855</v>
      </c>
      <c r="B2525" t="s">
        <v>14722</v>
      </c>
      <c r="C2525" t="s">
        <v>13020</v>
      </c>
      <c r="E2525" t="s">
        <v>14723</v>
      </c>
      <c r="G2525" t="s">
        <v>14724</v>
      </c>
      <c r="H2525" t="s">
        <v>6218</v>
      </c>
      <c r="I2525" t="s">
        <v>4951</v>
      </c>
      <c r="J2525" t="s">
        <v>3962</v>
      </c>
      <c r="K2525" t="s">
        <v>519</v>
      </c>
      <c r="M2525" t="s">
        <v>520</v>
      </c>
      <c r="N2525" t="s">
        <v>557</v>
      </c>
      <c r="O2525" t="s">
        <v>522</v>
      </c>
      <c r="P2525" t="s">
        <v>540</v>
      </c>
      <c r="Q2525" t="s">
        <v>524</v>
      </c>
      <c r="R2525" t="s">
        <v>525</v>
      </c>
      <c r="S2525" t="s">
        <v>526</v>
      </c>
      <c r="T2525" t="s">
        <v>527</v>
      </c>
      <c r="U2525">
        <v>101101</v>
      </c>
      <c r="V2525" t="s">
        <v>541</v>
      </c>
      <c r="W2525" t="s">
        <v>529</v>
      </c>
      <c r="X2525" t="s">
        <v>13017</v>
      </c>
      <c r="Y2525" t="s">
        <v>13018</v>
      </c>
      <c r="AA2525" t="s">
        <v>13019</v>
      </c>
      <c r="AB2525" t="s">
        <v>13020</v>
      </c>
      <c r="AC2525">
        <v>99051</v>
      </c>
      <c r="AD2525" t="s">
        <v>542</v>
      </c>
      <c r="AE2525">
        <v>-34.991444379999997</v>
      </c>
      <c r="AF2525">
        <v>173.50254709000001</v>
      </c>
      <c r="AG2525">
        <v>30</v>
      </c>
      <c r="AH2525">
        <v>10</v>
      </c>
      <c r="AI2525">
        <v>0</v>
      </c>
      <c r="AJ2525">
        <v>3</v>
      </c>
      <c r="AK2525">
        <v>6</v>
      </c>
      <c r="AL2525">
        <v>7</v>
      </c>
      <c r="AM2525">
        <v>8</v>
      </c>
      <c r="AN2525">
        <v>4</v>
      </c>
      <c r="AO2525">
        <v>28</v>
      </c>
      <c r="AP2525">
        <v>8</v>
      </c>
      <c r="AQ2525">
        <v>27</v>
      </c>
      <c r="AR2525">
        <v>5</v>
      </c>
      <c r="AS2525">
        <v>0</v>
      </c>
      <c r="AT2525">
        <v>0</v>
      </c>
    </row>
    <row r="2526" spans="1:46">
      <c r="A2526">
        <v>46856</v>
      </c>
      <c r="B2526" t="s">
        <v>14725</v>
      </c>
      <c r="C2526" t="s">
        <v>14726</v>
      </c>
      <c r="D2526" t="s">
        <v>14727</v>
      </c>
      <c r="E2526" t="s">
        <v>14728</v>
      </c>
      <c r="G2526" t="s">
        <v>4387</v>
      </c>
      <c r="H2526" t="s">
        <v>3942</v>
      </c>
      <c r="I2526" t="s">
        <v>4065</v>
      </c>
      <c r="J2526" t="s">
        <v>3962</v>
      </c>
      <c r="K2526" t="s">
        <v>519</v>
      </c>
      <c r="M2526" t="s">
        <v>520</v>
      </c>
      <c r="N2526" t="s">
        <v>571</v>
      </c>
      <c r="O2526" t="s">
        <v>637</v>
      </c>
      <c r="P2526" t="s">
        <v>523</v>
      </c>
      <c r="Q2526" t="s">
        <v>638</v>
      </c>
      <c r="R2526" t="s">
        <v>639</v>
      </c>
      <c r="S2526" t="s">
        <v>640</v>
      </c>
      <c r="T2526" t="s">
        <v>527</v>
      </c>
      <c r="U2526">
        <v>115002</v>
      </c>
      <c r="V2526" t="s">
        <v>6986</v>
      </c>
      <c r="W2526" t="s">
        <v>641</v>
      </c>
      <c r="X2526" t="s">
        <v>14729</v>
      </c>
      <c r="Y2526" t="s">
        <v>14730</v>
      </c>
      <c r="Z2526" t="s">
        <v>4509</v>
      </c>
      <c r="AA2526" t="s">
        <v>14731</v>
      </c>
      <c r="AB2526" t="s">
        <v>14732</v>
      </c>
      <c r="AE2526">
        <v>-36.777765459999998</v>
      </c>
      <c r="AF2526">
        <v>174.5555425</v>
      </c>
      <c r="AG2526">
        <v>60</v>
      </c>
      <c r="AH2526">
        <v>8</v>
      </c>
      <c r="AI2526">
        <v>0</v>
      </c>
      <c r="AJ2526">
        <v>9</v>
      </c>
      <c r="AK2526">
        <v>21</v>
      </c>
      <c r="AL2526">
        <v>9</v>
      </c>
      <c r="AM2526">
        <v>16</v>
      </c>
      <c r="AN2526">
        <v>5</v>
      </c>
      <c r="AO2526">
        <v>60</v>
      </c>
      <c r="AP2526">
        <v>47</v>
      </c>
      <c r="AQ2526">
        <v>15</v>
      </c>
      <c r="AR2526">
        <v>3</v>
      </c>
      <c r="AS2526">
        <v>18</v>
      </c>
      <c r="AT2526">
        <v>5</v>
      </c>
    </row>
    <row r="2527" spans="1:46">
      <c r="A2527">
        <v>46861</v>
      </c>
      <c r="B2527" t="s">
        <v>14733</v>
      </c>
      <c r="C2527" t="s">
        <v>14734</v>
      </c>
      <c r="E2527" t="s">
        <v>14735</v>
      </c>
      <c r="F2527" t="s">
        <v>4860</v>
      </c>
      <c r="G2527" t="s">
        <v>652</v>
      </c>
      <c r="H2527" t="s">
        <v>4716</v>
      </c>
      <c r="J2527" t="s">
        <v>3962</v>
      </c>
      <c r="K2527" t="s">
        <v>519</v>
      </c>
      <c r="M2527" t="s">
        <v>520</v>
      </c>
      <c r="N2527" t="s">
        <v>571</v>
      </c>
      <c r="O2527" t="s">
        <v>748</v>
      </c>
      <c r="P2527" t="s">
        <v>654</v>
      </c>
      <c r="Q2527" t="s">
        <v>638</v>
      </c>
      <c r="R2527" t="s">
        <v>639</v>
      </c>
      <c r="S2527" t="s">
        <v>682</v>
      </c>
      <c r="T2527" t="s">
        <v>527</v>
      </c>
      <c r="U2527">
        <v>121300</v>
      </c>
      <c r="V2527" t="s">
        <v>785</v>
      </c>
      <c r="W2527" t="s">
        <v>741</v>
      </c>
      <c r="X2527" t="s">
        <v>14736</v>
      </c>
      <c r="Y2527" t="s">
        <v>14735</v>
      </c>
      <c r="AA2527" t="s">
        <v>4099</v>
      </c>
      <c r="AE2527">
        <v>-36.74741023</v>
      </c>
      <c r="AF2527">
        <v>174.73811092</v>
      </c>
      <c r="AG2527">
        <v>80</v>
      </c>
      <c r="AH2527">
        <v>80</v>
      </c>
      <c r="AI2527">
        <v>0</v>
      </c>
      <c r="AJ2527">
        <v>9</v>
      </c>
      <c r="AK2527">
        <v>16</v>
      </c>
      <c r="AL2527">
        <v>20</v>
      </c>
      <c r="AM2527">
        <v>5</v>
      </c>
      <c r="AN2527">
        <v>1</v>
      </c>
      <c r="AO2527">
        <v>51</v>
      </c>
      <c r="AP2527">
        <v>49</v>
      </c>
      <c r="AQ2527">
        <v>1</v>
      </c>
      <c r="AR2527">
        <v>0</v>
      </c>
      <c r="AS2527">
        <v>5</v>
      </c>
      <c r="AT2527">
        <v>3</v>
      </c>
    </row>
    <row r="2528" spans="1:46">
      <c r="A2528">
        <v>46862</v>
      </c>
      <c r="B2528" t="s">
        <v>14737</v>
      </c>
      <c r="C2528" t="s">
        <v>3947</v>
      </c>
      <c r="D2528" t="s">
        <v>14738</v>
      </c>
      <c r="E2528" t="s">
        <v>14739</v>
      </c>
      <c r="F2528" t="s">
        <v>1072</v>
      </c>
      <c r="G2528" t="s">
        <v>652</v>
      </c>
      <c r="H2528" t="s">
        <v>3942</v>
      </c>
      <c r="J2528" t="s">
        <v>518</v>
      </c>
      <c r="K2528" t="s">
        <v>519</v>
      </c>
      <c r="M2528" t="s">
        <v>520</v>
      </c>
      <c r="N2528" t="s">
        <v>521</v>
      </c>
      <c r="O2528" t="s">
        <v>829</v>
      </c>
      <c r="P2528" t="s">
        <v>654</v>
      </c>
      <c r="Q2528" t="s">
        <v>638</v>
      </c>
      <c r="R2528" t="s">
        <v>729</v>
      </c>
      <c r="S2528" t="s">
        <v>730</v>
      </c>
      <c r="T2528" t="s">
        <v>709</v>
      </c>
      <c r="U2528">
        <v>149100</v>
      </c>
      <c r="V2528" t="s">
        <v>14740</v>
      </c>
      <c r="W2528" t="s">
        <v>807</v>
      </c>
      <c r="X2528" t="s">
        <v>3943</v>
      </c>
      <c r="Y2528" t="s">
        <v>3944</v>
      </c>
      <c r="Z2528" t="s">
        <v>3945</v>
      </c>
      <c r="AA2528" t="s">
        <v>3946</v>
      </c>
      <c r="AB2528" t="s">
        <v>3947</v>
      </c>
      <c r="AC2528">
        <v>99151</v>
      </c>
      <c r="AD2528" t="s">
        <v>1074</v>
      </c>
      <c r="AE2528">
        <v>-36.93527959</v>
      </c>
      <c r="AF2528">
        <v>174.84095644999999</v>
      </c>
      <c r="AG2528">
        <v>80</v>
      </c>
      <c r="AH2528">
        <v>0</v>
      </c>
      <c r="AI2528">
        <v>0</v>
      </c>
      <c r="AJ2528">
        <v>0</v>
      </c>
      <c r="AK2528">
        <v>11</v>
      </c>
      <c r="AL2528">
        <v>30</v>
      </c>
      <c r="AM2528">
        <v>33</v>
      </c>
      <c r="AN2528">
        <v>1</v>
      </c>
      <c r="AO2528">
        <v>75</v>
      </c>
      <c r="AP2528">
        <v>13</v>
      </c>
      <c r="AQ2528">
        <v>13</v>
      </c>
      <c r="AR2528">
        <v>44</v>
      </c>
      <c r="AS2528">
        <v>26</v>
      </c>
      <c r="AT2528">
        <v>5</v>
      </c>
    </row>
    <row r="2529" spans="1:46">
      <c r="A2529">
        <v>46865</v>
      </c>
      <c r="B2529" t="s">
        <v>14741</v>
      </c>
      <c r="C2529" t="s">
        <v>14742</v>
      </c>
      <c r="D2529" t="s">
        <v>14743</v>
      </c>
      <c r="E2529" t="s">
        <v>14744</v>
      </c>
      <c r="G2529" t="s">
        <v>2216</v>
      </c>
      <c r="H2529" t="s">
        <v>3942</v>
      </c>
      <c r="J2529" t="s">
        <v>3962</v>
      </c>
      <c r="K2529" t="s">
        <v>519</v>
      </c>
      <c r="M2529" t="s">
        <v>1297</v>
      </c>
      <c r="N2529" t="s">
        <v>571</v>
      </c>
      <c r="O2529" t="s">
        <v>2198</v>
      </c>
      <c r="P2529" t="s">
        <v>1262</v>
      </c>
      <c r="Q2529" t="s">
        <v>2118</v>
      </c>
      <c r="R2529" t="s">
        <v>2084</v>
      </c>
      <c r="S2529" t="s">
        <v>2199</v>
      </c>
      <c r="T2529" t="s">
        <v>2085</v>
      </c>
      <c r="U2529">
        <v>211500</v>
      </c>
      <c r="V2529" t="s">
        <v>2217</v>
      </c>
      <c r="W2529" t="s">
        <v>2200</v>
      </c>
      <c r="X2529" t="s">
        <v>14745</v>
      </c>
      <c r="Y2529" t="s">
        <v>14746</v>
      </c>
      <c r="AA2529" t="s">
        <v>14747</v>
      </c>
      <c r="AB2529" t="s">
        <v>14748</v>
      </c>
      <c r="AC2529">
        <v>99022</v>
      </c>
      <c r="AD2529" t="s">
        <v>2218</v>
      </c>
      <c r="AE2529">
        <v>-39.663546689999997</v>
      </c>
      <c r="AF2529">
        <v>176.88300340999999</v>
      </c>
      <c r="AG2529">
        <v>110</v>
      </c>
      <c r="AH2529">
        <v>50</v>
      </c>
      <c r="AI2529">
        <v>3</v>
      </c>
      <c r="AJ2529">
        <v>12</v>
      </c>
      <c r="AK2529">
        <v>25</v>
      </c>
      <c r="AL2529">
        <v>26</v>
      </c>
      <c r="AM2529">
        <v>20</v>
      </c>
      <c r="AN2529">
        <v>0</v>
      </c>
      <c r="AO2529">
        <v>86</v>
      </c>
      <c r="AP2529">
        <v>73</v>
      </c>
      <c r="AQ2529">
        <v>16</v>
      </c>
      <c r="AR2529">
        <v>1</v>
      </c>
      <c r="AS2529">
        <v>9</v>
      </c>
      <c r="AT2529">
        <v>4</v>
      </c>
    </row>
    <row r="2530" spans="1:46">
      <c r="A2530">
        <v>46869</v>
      </c>
      <c r="B2530" t="s">
        <v>14749</v>
      </c>
      <c r="C2530" t="s">
        <v>14750</v>
      </c>
      <c r="D2530" t="s">
        <v>14751</v>
      </c>
      <c r="E2530" t="s">
        <v>14752</v>
      </c>
      <c r="G2530" t="s">
        <v>652</v>
      </c>
      <c r="H2530" t="s">
        <v>3942</v>
      </c>
      <c r="J2530" t="s">
        <v>3962</v>
      </c>
      <c r="K2530" t="s">
        <v>519</v>
      </c>
      <c r="M2530" t="s">
        <v>520</v>
      </c>
      <c r="N2530" t="s">
        <v>571</v>
      </c>
      <c r="O2530" t="s">
        <v>707</v>
      </c>
      <c r="P2530" t="s">
        <v>654</v>
      </c>
      <c r="Q2530" t="s">
        <v>638</v>
      </c>
      <c r="R2530" t="s">
        <v>708</v>
      </c>
      <c r="S2530" t="s">
        <v>1217</v>
      </c>
      <c r="T2530" t="s">
        <v>709</v>
      </c>
      <c r="U2530">
        <v>158900</v>
      </c>
      <c r="V2530" t="s">
        <v>14753</v>
      </c>
      <c r="W2530" t="s">
        <v>711</v>
      </c>
      <c r="X2530" t="s">
        <v>14754</v>
      </c>
      <c r="Y2530" t="s">
        <v>14755</v>
      </c>
      <c r="Z2530" t="s">
        <v>5104</v>
      </c>
      <c r="AA2530" t="s">
        <v>5000</v>
      </c>
      <c r="AB2530" t="s">
        <v>13810</v>
      </c>
      <c r="AE2530">
        <v>-36.969275500000002</v>
      </c>
      <c r="AF2530">
        <v>174.93745709999999</v>
      </c>
      <c r="AG2530">
        <v>55</v>
      </c>
      <c r="AH2530">
        <v>5</v>
      </c>
      <c r="AI2530">
        <v>0</v>
      </c>
      <c r="AJ2530">
        <v>4</v>
      </c>
      <c r="AK2530">
        <v>11</v>
      </c>
      <c r="AL2530">
        <v>20</v>
      </c>
      <c r="AM2530">
        <v>22</v>
      </c>
      <c r="AN2530">
        <v>0</v>
      </c>
      <c r="AO2530">
        <v>57</v>
      </c>
      <c r="AP2530">
        <v>7</v>
      </c>
      <c r="AQ2530">
        <v>5</v>
      </c>
      <c r="AR2530">
        <v>4</v>
      </c>
      <c r="AS2530">
        <v>52</v>
      </c>
      <c r="AT2530">
        <v>5</v>
      </c>
    </row>
    <row r="2531" spans="1:46">
      <c r="A2531">
        <v>46875</v>
      </c>
      <c r="B2531" t="s">
        <v>14756</v>
      </c>
      <c r="D2531" t="s">
        <v>14757</v>
      </c>
      <c r="E2531" t="s">
        <v>14758</v>
      </c>
      <c r="G2531" t="s">
        <v>516</v>
      </c>
      <c r="H2531" t="s">
        <v>4716</v>
      </c>
      <c r="I2531" t="s">
        <v>4951</v>
      </c>
      <c r="J2531" t="s">
        <v>3962</v>
      </c>
      <c r="K2531" t="s">
        <v>519</v>
      </c>
      <c r="M2531" t="s">
        <v>520</v>
      </c>
      <c r="N2531" t="s">
        <v>521</v>
      </c>
      <c r="O2531" t="s">
        <v>522</v>
      </c>
      <c r="P2531" t="s">
        <v>523</v>
      </c>
      <c r="Q2531" t="s">
        <v>524</v>
      </c>
      <c r="R2531" t="s">
        <v>525</v>
      </c>
      <c r="S2531" t="s">
        <v>526</v>
      </c>
      <c r="T2531" t="s">
        <v>527</v>
      </c>
      <c r="U2531">
        <v>100700</v>
      </c>
      <c r="V2531" t="s">
        <v>546</v>
      </c>
      <c r="W2531" t="s">
        <v>529</v>
      </c>
      <c r="X2531" t="s">
        <v>14759</v>
      </c>
      <c r="Y2531" t="s">
        <v>14758</v>
      </c>
      <c r="AA2531" t="s">
        <v>5383</v>
      </c>
      <c r="AE2531">
        <v>-35.112080689999999</v>
      </c>
      <c r="AF2531">
        <v>173.26144149999999</v>
      </c>
      <c r="AG2531">
        <v>80</v>
      </c>
      <c r="AH2531">
        <v>60</v>
      </c>
      <c r="AI2531">
        <v>1</v>
      </c>
      <c r="AJ2531">
        <v>7</v>
      </c>
      <c r="AK2531">
        <v>4</v>
      </c>
      <c r="AL2531">
        <v>9</v>
      </c>
      <c r="AM2531">
        <v>5</v>
      </c>
      <c r="AN2531">
        <v>1</v>
      </c>
      <c r="AO2531">
        <v>27</v>
      </c>
      <c r="AP2531">
        <v>3</v>
      </c>
      <c r="AQ2531">
        <v>26</v>
      </c>
      <c r="AR2531">
        <v>9</v>
      </c>
      <c r="AS2531">
        <v>0</v>
      </c>
      <c r="AT2531">
        <v>0</v>
      </c>
    </row>
    <row r="2532" spans="1:46">
      <c r="A2532">
        <v>46877</v>
      </c>
      <c r="B2532" t="s">
        <v>14760</v>
      </c>
      <c r="C2532" t="s">
        <v>14761</v>
      </c>
      <c r="E2532" t="s">
        <v>14762</v>
      </c>
      <c r="G2532" t="s">
        <v>516</v>
      </c>
      <c r="H2532" t="s">
        <v>4716</v>
      </c>
      <c r="J2532" t="s">
        <v>518</v>
      </c>
      <c r="K2532" t="s">
        <v>519</v>
      </c>
      <c r="M2532" t="s">
        <v>520</v>
      </c>
      <c r="N2532" t="s">
        <v>521</v>
      </c>
      <c r="O2532" t="s">
        <v>522</v>
      </c>
      <c r="P2532" t="s">
        <v>572</v>
      </c>
      <c r="Q2532" t="s">
        <v>524</v>
      </c>
      <c r="R2532" t="s">
        <v>525</v>
      </c>
      <c r="S2532" t="s">
        <v>526</v>
      </c>
      <c r="T2532" t="s">
        <v>527</v>
      </c>
      <c r="U2532">
        <v>100200</v>
      </c>
      <c r="V2532" t="s">
        <v>4141</v>
      </c>
      <c r="W2532" t="s">
        <v>529</v>
      </c>
      <c r="X2532" t="s">
        <v>14763</v>
      </c>
      <c r="Y2532" t="s">
        <v>14764</v>
      </c>
      <c r="AA2532" t="s">
        <v>13019</v>
      </c>
      <c r="AB2532" t="s">
        <v>14761</v>
      </c>
      <c r="AE2532">
        <v>-35.014352539999997</v>
      </c>
      <c r="AF2532">
        <v>173.27264299000001</v>
      </c>
      <c r="AG2532">
        <v>80</v>
      </c>
      <c r="AH2532">
        <v>35</v>
      </c>
      <c r="AI2532">
        <v>0</v>
      </c>
      <c r="AJ2532">
        <v>9</v>
      </c>
      <c r="AK2532">
        <v>5</v>
      </c>
      <c r="AL2532">
        <v>13</v>
      </c>
      <c r="AM2532">
        <v>6</v>
      </c>
      <c r="AN2532">
        <v>0</v>
      </c>
      <c r="AO2532">
        <v>33</v>
      </c>
      <c r="AP2532">
        <v>25</v>
      </c>
      <c r="AQ2532">
        <v>15</v>
      </c>
      <c r="AR2532">
        <v>1</v>
      </c>
      <c r="AS2532">
        <v>2</v>
      </c>
      <c r="AT2532">
        <v>0</v>
      </c>
    </row>
    <row r="2533" spans="1:46">
      <c r="A2533">
        <v>46878</v>
      </c>
      <c r="B2533" t="s">
        <v>14765</v>
      </c>
      <c r="C2533" t="s">
        <v>14766</v>
      </c>
      <c r="D2533" t="s">
        <v>14767</v>
      </c>
      <c r="E2533" t="s">
        <v>14768</v>
      </c>
      <c r="F2533" t="s">
        <v>945</v>
      </c>
      <c r="G2533" t="s">
        <v>652</v>
      </c>
      <c r="H2533" t="s">
        <v>4716</v>
      </c>
      <c r="J2533" t="s">
        <v>3962</v>
      </c>
      <c r="K2533" t="s">
        <v>519</v>
      </c>
      <c r="M2533" t="s">
        <v>520</v>
      </c>
      <c r="N2533" t="s">
        <v>521</v>
      </c>
      <c r="O2533" t="s">
        <v>848</v>
      </c>
      <c r="P2533" t="s">
        <v>654</v>
      </c>
      <c r="Q2533" t="s">
        <v>638</v>
      </c>
      <c r="R2533" t="s">
        <v>708</v>
      </c>
      <c r="S2533" t="s">
        <v>849</v>
      </c>
      <c r="T2533" t="s">
        <v>709</v>
      </c>
      <c r="U2533">
        <v>152101</v>
      </c>
      <c r="V2533" t="s">
        <v>7308</v>
      </c>
      <c r="W2533" t="s">
        <v>732</v>
      </c>
      <c r="X2533" t="s">
        <v>14769</v>
      </c>
      <c r="Y2533" t="s">
        <v>14770</v>
      </c>
      <c r="Z2533" t="s">
        <v>945</v>
      </c>
      <c r="AA2533" t="s">
        <v>4612</v>
      </c>
      <c r="AB2533" t="s">
        <v>14771</v>
      </c>
      <c r="AE2533">
        <v>-36.957927640000001</v>
      </c>
      <c r="AF2533">
        <v>174.83554599000001</v>
      </c>
      <c r="AG2533">
        <v>60</v>
      </c>
      <c r="AH2533">
        <v>60</v>
      </c>
      <c r="AI2533">
        <v>4</v>
      </c>
      <c r="AJ2533">
        <v>12</v>
      </c>
      <c r="AK2533">
        <v>13</v>
      </c>
      <c r="AL2533">
        <v>12</v>
      </c>
      <c r="AM2533">
        <v>11</v>
      </c>
      <c r="AN2533">
        <v>1</v>
      </c>
      <c r="AO2533">
        <v>53</v>
      </c>
      <c r="AP2533">
        <v>4</v>
      </c>
      <c r="AQ2533">
        <v>17</v>
      </c>
      <c r="AR2533">
        <v>46</v>
      </c>
      <c r="AS2533">
        <v>3</v>
      </c>
      <c r="AT2533">
        <v>1</v>
      </c>
    </row>
    <row r="2534" spans="1:46">
      <c r="A2534">
        <v>46879</v>
      </c>
      <c r="B2534" t="s">
        <v>14772</v>
      </c>
      <c r="C2534" t="s">
        <v>14773</v>
      </c>
      <c r="E2534" t="s">
        <v>14774</v>
      </c>
      <c r="F2534" t="s">
        <v>4441</v>
      </c>
      <c r="G2534" t="s">
        <v>652</v>
      </c>
      <c r="H2534" t="s">
        <v>3942</v>
      </c>
      <c r="J2534" t="s">
        <v>3962</v>
      </c>
      <c r="K2534" t="s">
        <v>519</v>
      </c>
      <c r="M2534" t="s">
        <v>520</v>
      </c>
      <c r="N2534" t="s">
        <v>557</v>
      </c>
      <c r="O2534" t="s">
        <v>829</v>
      </c>
      <c r="P2534" t="s">
        <v>654</v>
      </c>
      <c r="Q2534" t="s">
        <v>638</v>
      </c>
      <c r="R2534" t="s">
        <v>708</v>
      </c>
      <c r="S2534" t="s">
        <v>730</v>
      </c>
      <c r="T2534" t="s">
        <v>709</v>
      </c>
      <c r="U2534">
        <v>147100</v>
      </c>
      <c r="V2534" t="s">
        <v>4442</v>
      </c>
      <c r="W2534" t="s">
        <v>807</v>
      </c>
      <c r="X2534" t="s">
        <v>14775</v>
      </c>
      <c r="Y2534" t="s">
        <v>14774</v>
      </c>
      <c r="Z2534" t="s">
        <v>4441</v>
      </c>
      <c r="AA2534" t="s">
        <v>4537</v>
      </c>
      <c r="AB2534" t="s">
        <v>14776</v>
      </c>
      <c r="AE2534">
        <v>-36.901182679999998</v>
      </c>
      <c r="AF2534">
        <v>174.85846529</v>
      </c>
      <c r="AG2534">
        <v>70</v>
      </c>
      <c r="AH2534">
        <v>15</v>
      </c>
      <c r="AI2534">
        <v>3</v>
      </c>
      <c r="AJ2534">
        <v>11</v>
      </c>
      <c r="AK2534">
        <v>15</v>
      </c>
      <c r="AL2534">
        <v>16</v>
      </c>
      <c r="AM2534">
        <v>16</v>
      </c>
      <c r="AN2534">
        <v>0</v>
      </c>
      <c r="AO2534">
        <v>61</v>
      </c>
      <c r="AP2534">
        <v>27</v>
      </c>
      <c r="AQ2534">
        <v>19</v>
      </c>
      <c r="AR2534">
        <v>16</v>
      </c>
      <c r="AS2534">
        <v>27</v>
      </c>
      <c r="AT2534">
        <v>5</v>
      </c>
    </row>
    <row r="2535" spans="1:46">
      <c r="A2535">
        <v>46882</v>
      </c>
      <c r="B2535" t="s">
        <v>14777</v>
      </c>
      <c r="C2535" t="s">
        <v>14778</v>
      </c>
      <c r="D2535" t="s">
        <v>14779</v>
      </c>
      <c r="E2535" t="s">
        <v>14780</v>
      </c>
      <c r="F2535" t="s">
        <v>8787</v>
      </c>
      <c r="G2535" t="s">
        <v>2197</v>
      </c>
      <c r="H2535" t="s">
        <v>3942</v>
      </c>
      <c r="J2535" t="s">
        <v>3962</v>
      </c>
      <c r="K2535" t="s">
        <v>519</v>
      </c>
      <c r="M2535" t="s">
        <v>1297</v>
      </c>
      <c r="N2535" t="s">
        <v>571</v>
      </c>
      <c r="O2535" t="s">
        <v>2198</v>
      </c>
      <c r="P2535" t="s">
        <v>584</v>
      </c>
      <c r="Q2535" t="s">
        <v>2118</v>
      </c>
      <c r="R2535" t="s">
        <v>2084</v>
      </c>
      <c r="S2535" t="s">
        <v>2199</v>
      </c>
      <c r="T2535" t="s">
        <v>2085</v>
      </c>
      <c r="U2535">
        <v>209700</v>
      </c>
      <c r="V2535" t="s">
        <v>8788</v>
      </c>
      <c r="W2535" t="s">
        <v>2200</v>
      </c>
      <c r="X2535" t="s">
        <v>14781</v>
      </c>
      <c r="Y2535" t="s">
        <v>4107</v>
      </c>
      <c r="AA2535" t="s">
        <v>3982</v>
      </c>
      <c r="AB2535" t="s">
        <v>14778</v>
      </c>
      <c r="AE2535">
        <v>-39.6335871</v>
      </c>
      <c r="AF2535">
        <v>176.82953950000001</v>
      </c>
      <c r="AG2535">
        <v>108</v>
      </c>
      <c r="AH2535">
        <v>40</v>
      </c>
      <c r="AI2535">
        <v>4</v>
      </c>
      <c r="AJ2535">
        <v>16</v>
      </c>
      <c r="AK2535">
        <v>16</v>
      </c>
      <c r="AL2535">
        <v>24</v>
      </c>
      <c r="AM2535">
        <v>32</v>
      </c>
      <c r="AN2535">
        <v>1</v>
      </c>
      <c r="AO2535">
        <v>93</v>
      </c>
      <c r="AP2535">
        <v>50</v>
      </c>
      <c r="AQ2535">
        <v>16</v>
      </c>
      <c r="AR2535">
        <v>7</v>
      </c>
      <c r="AS2535">
        <v>44</v>
      </c>
      <c r="AT2535">
        <v>2</v>
      </c>
    </row>
    <row r="2536" spans="1:46">
      <c r="A2536">
        <v>46883</v>
      </c>
      <c r="B2536" t="s">
        <v>14782</v>
      </c>
      <c r="D2536" t="s">
        <v>14783</v>
      </c>
      <c r="E2536" t="s">
        <v>14784</v>
      </c>
      <c r="F2536" t="s">
        <v>847</v>
      </c>
      <c r="G2536" t="s">
        <v>652</v>
      </c>
      <c r="H2536" t="s">
        <v>4716</v>
      </c>
      <c r="J2536" t="s">
        <v>3962</v>
      </c>
      <c r="K2536" t="s">
        <v>519</v>
      </c>
      <c r="M2536" t="s">
        <v>520</v>
      </c>
      <c r="N2536" t="s">
        <v>521</v>
      </c>
      <c r="O2536" t="s">
        <v>848</v>
      </c>
      <c r="P2536" t="s">
        <v>654</v>
      </c>
      <c r="Q2536" t="s">
        <v>638</v>
      </c>
      <c r="R2536" t="s">
        <v>729</v>
      </c>
      <c r="S2536" t="s">
        <v>849</v>
      </c>
      <c r="T2536" t="s">
        <v>709</v>
      </c>
      <c r="U2536">
        <v>148901</v>
      </c>
      <c r="V2536" t="s">
        <v>930</v>
      </c>
      <c r="W2536" t="s">
        <v>732</v>
      </c>
      <c r="X2536" t="s">
        <v>14785</v>
      </c>
      <c r="Y2536" t="s">
        <v>14048</v>
      </c>
      <c r="Z2536" t="s">
        <v>1072</v>
      </c>
      <c r="AA2536" t="s">
        <v>4886</v>
      </c>
      <c r="AE2536">
        <v>-36.964774200000001</v>
      </c>
      <c r="AF2536">
        <v>174.79081170000001</v>
      </c>
      <c r="AG2536">
        <v>35</v>
      </c>
      <c r="AH2536">
        <v>35</v>
      </c>
      <c r="AI2536">
        <v>4</v>
      </c>
      <c r="AJ2536">
        <v>5</v>
      </c>
      <c r="AK2536">
        <v>7</v>
      </c>
      <c r="AL2536">
        <v>2</v>
      </c>
      <c r="AM2536">
        <v>8</v>
      </c>
      <c r="AN2536">
        <v>1</v>
      </c>
      <c r="AO2536">
        <v>27</v>
      </c>
      <c r="AP2536">
        <v>0</v>
      </c>
      <c r="AQ2536">
        <v>2</v>
      </c>
      <c r="AR2536">
        <v>27</v>
      </c>
      <c r="AS2536">
        <v>0</v>
      </c>
      <c r="AT2536">
        <v>0</v>
      </c>
    </row>
    <row r="2537" spans="1:46">
      <c r="A2537">
        <v>46886</v>
      </c>
      <c r="B2537" t="s">
        <v>10367</v>
      </c>
      <c r="D2537" t="s">
        <v>14786</v>
      </c>
      <c r="E2537" t="s">
        <v>14787</v>
      </c>
      <c r="G2537" t="s">
        <v>516</v>
      </c>
      <c r="H2537" t="s">
        <v>4716</v>
      </c>
      <c r="J2537" t="s">
        <v>3962</v>
      </c>
      <c r="K2537" t="s">
        <v>519</v>
      </c>
      <c r="M2537" t="s">
        <v>520</v>
      </c>
      <c r="N2537" t="s">
        <v>521</v>
      </c>
      <c r="O2537" t="s">
        <v>522</v>
      </c>
      <c r="P2537" t="s">
        <v>572</v>
      </c>
      <c r="Q2537" t="s">
        <v>524</v>
      </c>
      <c r="R2537" t="s">
        <v>525</v>
      </c>
      <c r="S2537" t="s">
        <v>526</v>
      </c>
      <c r="T2537" t="s">
        <v>527</v>
      </c>
      <c r="U2537">
        <v>100500</v>
      </c>
      <c r="V2537" t="s">
        <v>5446</v>
      </c>
      <c r="W2537" t="s">
        <v>529</v>
      </c>
      <c r="X2537" t="s">
        <v>14788</v>
      </c>
      <c r="Y2537" t="s">
        <v>14789</v>
      </c>
      <c r="Z2537" t="s">
        <v>975</v>
      </c>
      <c r="AA2537" t="s">
        <v>13641</v>
      </c>
      <c r="AE2537">
        <v>-35.084757170000003</v>
      </c>
      <c r="AF2537">
        <v>173.24325586</v>
      </c>
      <c r="AG2537">
        <v>50</v>
      </c>
      <c r="AH2537">
        <v>50</v>
      </c>
      <c r="AI2537">
        <v>2</v>
      </c>
      <c r="AJ2537">
        <v>6</v>
      </c>
      <c r="AK2537">
        <v>6</v>
      </c>
      <c r="AL2537">
        <v>6</v>
      </c>
      <c r="AM2537">
        <v>3</v>
      </c>
      <c r="AN2537">
        <v>1</v>
      </c>
      <c r="AO2537">
        <v>24</v>
      </c>
      <c r="AP2537">
        <v>12</v>
      </c>
      <c r="AQ2537">
        <v>22</v>
      </c>
      <c r="AR2537">
        <v>4</v>
      </c>
      <c r="AS2537">
        <v>1</v>
      </c>
      <c r="AT2537">
        <v>2</v>
      </c>
    </row>
    <row r="2538" spans="1:46">
      <c r="A2538">
        <v>46887</v>
      </c>
      <c r="B2538" t="s">
        <v>14790</v>
      </c>
      <c r="C2538" t="s">
        <v>14791</v>
      </c>
      <c r="D2538" t="s">
        <v>14792</v>
      </c>
      <c r="E2538" t="s">
        <v>14793</v>
      </c>
      <c r="F2538" t="s">
        <v>5018</v>
      </c>
      <c r="G2538" t="s">
        <v>652</v>
      </c>
      <c r="H2538" t="s">
        <v>3942</v>
      </c>
      <c r="J2538" t="s">
        <v>518</v>
      </c>
      <c r="K2538" t="s">
        <v>519</v>
      </c>
      <c r="M2538" t="s">
        <v>520</v>
      </c>
      <c r="N2538" t="s">
        <v>571</v>
      </c>
      <c r="O2538" t="s">
        <v>1268</v>
      </c>
      <c r="P2538" t="s">
        <v>654</v>
      </c>
      <c r="Q2538" t="s">
        <v>638</v>
      </c>
      <c r="R2538" t="s">
        <v>729</v>
      </c>
      <c r="S2538" t="s">
        <v>1234</v>
      </c>
      <c r="T2538" t="s">
        <v>1235</v>
      </c>
      <c r="U2538">
        <v>162500</v>
      </c>
      <c r="V2538" t="s">
        <v>5019</v>
      </c>
      <c r="W2538" t="s">
        <v>1219</v>
      </c>
      <c r="X2538" t="s">
        <v>3943</v>
      </c>
      <c r="Y2538" t="s">
        <v>3944</v>
      </c>
      <c r="Z2538" t="s">
        <v>3945</v>
      </c>
      <c r="AA2538" t="s">
        <v>3946</v>
      </c>
      <c r="AB2538" t="s">
        <v>3947</v>
      </c>
      <c r="AE2538">
        <v>-37.074325119999997</v>
      </c>
      <c r="AF2538">
        <v>174.92317130000001</v>
      </c>
      <c r="AG2538">
        <v>110</v>
      </c>
      <c r="AH2538">
        <v>25</v>
      </c>
      <c r="AI2538">
        <v>0</v>
      </c>
      <c r="AJ2538">
        <v>28</v>
      </c>
      <c r="AK2538">
        <v>22</v>
      </c>
      <c r="AL2538">
        <v>35</v>
      </c>
      <c r="AM2538">
        <v>27</v>
      </c>
      <c r="AN2538">
        <v>1</v>
      </c>
      <c r="AO2538">
        <v>113</v>
      </c>
      <c r="AP2538">
        <v>48</v>
      </c>
      <c r="AQ2538">
        <v>8</v>
      </c>
      <c r="AR2538">
        <v>10</v>
      </c>
      <c r="AS2538">
        <v>57</v>
      </c>
      <c r="AT2538">
        <v>5</v>
      </c>
    </row>
    <row r="2539" spans="1:46">
      <c r="A2539">
        <v>46889</v>
      </c>
      <c r="B2539" t="s">
        <v>14794</v>
      </c>
      <c r="C2539" t="s">
        <v>14795</v>
      </c>
      <c r="D2539" t="s">
        <v>14796</v>
      </c>
      <c r="E2539" t="s">
        <v>14797</v>
      </c>
      <c r="F2539" t="s">
        <v>8510</v>
      </c>
      <c r="G2539" t="s">
        <v>1296</v>
      </c>
      <c r="H2539" t="s">
        <v>3942</v>
      </c>
      <c r="J2539" t="s">
        <v>3962</v>
      </c>
      <c r="K2539" t="s">
        <v>519</v>
      </c>
      <c r="M2539" t="s">
        <v>1297</v>
      </c>
      <c r="N2539" t="s">
        <v>571</v>
      </c>
      <c r="O2539" t="s">
        <v>1298</v>
      </c>
      <c r="P2539" t="s">
        <v>654</v>
      </c>
      <c r="Q2539" t="s">
        <v>1299</v>
      </c>
      <c r="R2539" t="s">
        <v>1300</v>
      </c>
      <c r="S2539" t="s">
        <v>1312</v>
      </c>
      <c r="T2539" t="s">
        <v>1235</v>
      </c>
      <c r="U2539">
        <v>176700</v>
      </c>
      <c r="V2539" t="s">
        <v>10836</v>
      </c>
      <c r="W2539" t="s">
        <v>1314</v>
      </c>
      <c r="X2539" t="s">
        <v>14798</v>
      </c>
      <c r="Y2539" t="s">
        <v>14797</v>
      </c>
      <c r="Z2539" t="s">
        <v>11164</v>
      </c>
      <c r="AA2539" t="s">
        <v>8511</v>
      </c>
      <c r="AB2539" t="s">
        <v>14795</v>
      </c>
      <c r="AE2539">
        <v>-37.731068890000003</v>
      </c>
      <c r="AF2539">
        <v>175.2781378</v>
      </c>
      <c r="AG2539">
        <v>30</v>
      </c>
      <c r="AH2539">
        <v>0</v>
      </c>
      <c r="AI2539">
        <v>0</v>
      </c>
      <c r="AJ2539">
        <v>0</v>
      </c>
      <c r="AK2539">
        <v>8</v>
      </c>
      <c r="AL2539">
        <v>8</v>
      </c>
      <c r="AM2539">
        <v>6</v>
      </c>
      <c r="AN2539">
        <v>3</v>
      </c>
      <c r="AO2539">
        <v>25</v>
      </c>
      <c r="AP2539">
        <v>2</v>
      </c>
      <c r="AQ2539">
        <v>3</v>
      </c>
      <c r="AR2539">
        <v>0</v>
      </c>
      <c r="AS2539">
        <v>20</v>
      </c>
      <c r="AT2539">
        <v>1</v>
      </c>
    </row>
    <row r="2540" spans="1:46">
      <c r="A2540">
        <v>46891</v>
      </c>
      <c r="B2540" t="s">
        <v>14799</v>
      </c>
      <c r="C2540" t="s">
        <v>14800</v>
      </c>
      <c r="E2540" t="s">
        <v>14801</v>
      </c>
      <c r="G2540" t="s">
        <v>1974</v>
      </c>
      <c r="H2540" t="s">
        <v>3942</v>
      </c>
      <c r="J2540" t="s">
        <v>3962</v>
      </c>
      <c r="K2540" t="s">
        <v>519</v>
      </c>
      <c r="M2540" t="s">
        <v>1297</v>
      </c>
      <c r="N2540" t="s">
        <v>571</v>
      </c>
      <c r="O2540" t="s">
        <v>1956</v>
      </c>
      <c r="P2540" t="s">
        <v>584</v>
      </c>
      <c r="Q2540" t="s">
        <v>1636</v>
      </c>
      <c r="R2540" t="s">
        <v>1760</v>
      </c>
      <c r="S2540" t="s">
        <v>1974</v>
      </c>
      <c r="T2540" t="s">
        <v>1485</v>
      </c>
      <c r="U2540">
        <v>230100</v>
      </c>
      <c r="V2540" t="s">
        <v>11763</v>
      </c>
      <c r="W2540" t="s">
        <v>1957</v>
      </c>
      <c r="X2540" t="s">
        <v>14802</v>
      </c>
      <c r="Y2540" t="s">
        <v>14803</v>
      </c>
      <c r="AA2540" t="s">
        <v>14804</v>
      </c>
      <c r="AB2540" t="s">
        <v>14805</v>
      </c>
      <c r="AE2540">
        <v>-40.357499429999997</v>
      </c>
      <c r="AF2540">
        <v>175.59304754999999</v>
      </c>
      <c r="AG2540">
        <v>30</v>
      </c>
      <c r="AH2540">
        <v>10</v>
      </c>
      <c r="AI2540">
        <v>1</v>
      </c>
      <c r="AJ2540">
        <v>5</v>
      </c>
      <c r="AK2540">
        <v>8</v>
      </c>
      <c r="AL2540">
        <v>11</v>
      </c>
      <c r="AM2540">
        <v>11</v>
      </c>
      <c r="AN2540">
        <v>0</v>
      </c>
      <c r="AO2540">
        <v>36</v>
      </c>
      <c r="AP2540">
        <v>16</v>
      </c>
      <c r="AQ2540">
        <v>15</v>
      </c>
      <c r="AR2540">
        <v>2</v>
      </c>
      <c r="AS2540">
        <v>9</v>
      </c>
      <c r="AT2540">
        <v>4</v>
      </c>
    </row>
    <row r="2541" spans="1:46">
      <c r="A2541">
        <v>46892</v>
      </c>
      <c r="B2541" t="s">
        <v>14806</v>
      </c>
      <c r="C2541" t="s">
        <v>14807</v>
      </c>
      <c r="E2541" t="s">
        <v>14808</v>
      </c>
      <c r="G2541" t="s">
        <v>14809</v>
      </c>
      <c r="H2541" t="s">
        <v>3942</v>
      </c>
      <c r="J2541" t="s">
        <v>3962</v>
      </c>
      <c r="K2541" t="s">
        <v>519</v>
      </c>
      <c r="M2541" t="s">
        <v>1297</v>
      </c>
      <c r="N2541" t="s">
        <v>571</v>
      </c>
      <c r="O2541" t="s">
        <v>1351</v>
      </c>
      <c r="P2541" t="s">
        <v>572</v>
      </c>
      <c r="Q2541" t="s">
        <v>1299</v>
      </c>
      <c r="R2541" t="s">
        <v>1300</v>
      </c>
      <c r="S2541" t="s">
        <v>1300</v>
      </c>
      <c r="T2541" t="s">
        <v>1235</v>
      </c>
      <c r="U2541">
        <v>173000</v>
      </c>
      <c r="V2541" t="s">
        <v>8357</v>
      </c>
      <c r="W2541" t="s">
        <v>8358</v>
      </c>
      <c r="X2541" t="s">
        <v>14810</v>
      </c>
      <c r="Y2541" t="s">
        <v>14808</v>
      </c>
      <c r="AA2541" t="s">
        <v>14811</v>
      </c>
      <c r="AB2541" t="s">
        <v>14807</v>
      </c>
      <c r="AC2541">
        <v>99057</v>
      </c>
      <c r="AD2541" t="s">
        <v>9504</v>
      </c>
      <c r="AE2541">
        <v>-37.782368380000001</v>
      </c>
      <c r="AF2541">
        <v>175.34610294999999</v>
      </c>
      <c r="AG2541">
        <v>74</v>
      </c>
      <c r="AH2541">
        <v>20</v>
      </c>
      <c r="AI2541">
        <v>3</v>
      </c>
      <c r="AJ2541">
        <v>18</v>
      </c>
      <c r="AK2541">
        <v>27</v>
      </c>
      <c r="AL2541">
        <v>26</v>
      </c>
      <c r="AM2541">
        <v>24</v>
      </c>
      <c r="AN2541">
        <v>1</v>
      </c>
      <c r="AO2541">
        <v>99</v>
      </c>
      <c r="AP2541">
        <v>94</v>
      </c>
      <c r="AQ2541">
        <v>22</v>
      </c>
      <c r="AR2541">
        <v>4</v>
      </c>
      <c r="AS2541">
        <v>0</v>
      </c>
      <c r="AT2541">
        <v>5</v>
      </c>
    </row>
    <row r="2542" spans="1:46">
      <c r="A2542">
        <v>46894</v>
      </c>
      <c r="B2542" t="s">
        <v>14812</v>
      </c>
      <c r="C2542" t="s">
        <v>14813</v>
      </c>
      <c r="D2542" t="s">
        <v>14814</v>
      </c>
      <c r="E2542" t="s">
        <v>14815</v>
      </c>
      <c r="F2542" t="s">
        <v>2620</v>
      </c>
      <c r="G2542" t="s">
        <v>2289</v>
      </c>
      <c r="H2542" t="s">
        <v>3942</v>
      </c>
      <c r="J2542" t="s">
        <v>3962</v>
      </c>
      <c r="K2542" t="s">
        <v>519</v>
      </c>
      <c r="M2542" t="s">
        <v>2287</v>
      </c>
      <c r="N2542" t="s">
        <v>571</v>
      </c>
      <c r="O2542" t="s">
        <v>2536</v>
      </c>
      <c r="P2542" t="s">
        <v>654</v>
      </c>
      <c r="Q2542" t="s">
        <v>2319</v>
      </c>
      <c r="R2542" t="s">
        <v>2289</v>
      </c>
      <c r="S2542" t="s">
        <v>2545</v>
      </c>
      <c r="T2542" t="s">
        <v>2448</v>
      </c>
      <c r="U2542">
        <v>250000</v>
      </c>
      <c r="V2542" t="s">
        <v>2621</v>
      </c>
      <c r="W2542" t="s">
        <v>2561</v>
      </c>
      <c r="X2542" t="s">
        <v>14816</v>
      </c>
      <c r="Y2542" t="s">
        <v>12432</v>
      </c>
      <c r="Z2542" t="s">
        <v>14817</v>
      </c>
      <c r="AA2542" t="s">
        <v>12433</v>
      </c>
      <c r="AB2542" t="s">
        <v>14818</v>
      </c>
      <c r="AE2542">
        <v>-41.241993069999999</v>
      </c>
      <c r="AF2542">
        <v>174.79302272000001</v>
      </c>
      <c r="AG2542">
        <v>30</v>
      </c>
      <c r="AH2542">
        <v>24</v>
      </c>
      <c r="AI2542">
        <v>7</v>
      </c>
      <c r="AJ2542">
        <v>25</v>
      </c>
      <c r="AK2542">
        <v>1</v>
      </c>
      <c r="AL2542">
        <v>0</v>
      </c>
      <c r="AM2542">
        <v>0</v>
      </c>
      <c r="AN2542">
        <v>0</v>
      </c>
      <c r="AO2542">
        <v>33</v>
      </c>
      <c r="AP2542">
        <v>28</v>
      </c>
      <c r="AQ2542">
        <v>1</v>
      </c>
      <c r="AR2542">
        <v>1</v>
      </c>
      <c r="AS2542">
        <v>3</v>
      </c>
      <c r="AT2542">
        <v>4</v>
      </c>
    </row>
    <row r="2543" spans="1:46">
      <c r="A2543">
        <v>46895</v>
      </c>
      <c r="B2543" t="s">
        <v>14819</v>
      </c>
      <c r="C2543" t="s">
        <v>14158</v>
      </c>
      <c r="D2543" t="s">
        <v>14820</v>
      </c>
      <c r="E2543" t="s">
        <v>14156</v>
      </c>
      <c r="G2543" t="s">
        <v>2216</v>
      </c>
      <c r="H2543" t="s">
        <v>4716</v>
      </c>
      <c r="J2543" t="s">
        <v>3962</v>
      </c>
      <c r="K2543" t="s">
        <v>519</v>
      </c>
      <c r="M2543" t="s">
        <v>1297</v>
      </c>
      <c r="N2543" t="s">
        <v>571</v>
      </c>
      <c r="O2543" t="s">
        <v>2198</v>
      </c>
      <c r="P2543" t="s">
        <v>1262</v>
      </c>
      <c r="Q2543" t="s">
        <v>2118</v>
      </c>
      <c r="R2543" t="s">
        <v>2084</v>
      </c>
      <c r="S2543" t="s">
        <v>2199</v>
      </c>
      <c r="T2543" t="s">
        <v>2085</v>
      </c>
      <c r="U2543">
        <v>211600</v>
      </c>
      <c r="V2543" t="s">
        <v>8721</v>
      </c>
      <c r="W2543" t="s">
        <v>2200</v>
      </c>
      <c r="X2543" t="s">
        <v>14157</v>
      </c>
      <c r="Y2543" t="s">
        <v>8723</v>
      </c>
      <c r="Z2543" t="s">
        <v>2216</v>
      </c>
      <c r="AA2543" t="s">
        <v>8724</v>
      </c>
      <c r="AB2543" t="s">
        <v>14158</v>
      </c>
      <c r="AC2543">
        <v>99022</v>
      </c>
      <c r="AD2543" t="s">
        <v>2218</v>
      </c>
      <c r="AE2543">
        <v>-39.668046930000003</v>
      </c>
      <c r="AF2543">
        <v>176.8778748</v>
      </c>
      <c r="AG2543">
        <v>80</v>
      </c>
      <c r="AH2543">
        <v>80</v>
      </c>
      <c r="AI2543">
        <v>3</v>
      </c>
      <c r="AJ2543">
        <v>12</v>
      </c>
      <c r="AK2543">
        <v>13</v>
      </c>
      <c r="AL2543">
        <v>6</v>
      </c>
      <c r="AM2543">
        <v>7</v>
      </c>
      <c r="AN2543">
        <v>0</v>
      </c>
      <c r="AO2543">
        <v>41</v>
      </c>
      <c r="AP2543">
        <v>40</v>
      </c>
      <c r="AQ2543">
        <v>11</v>
      </c>
      <c r="AR2543">
        <v>0</v>
      </c>
      <c r="AS2543">
        <v>1</v>
      </c>
      <c r="AT2543">
        <v>2</v>
      </c>
    </row>
    <row r="2544" spans="1:46">
      <c r="A2544">
        <v>46896</v>
      </c>
      <c r="B2544" t="s">
        <v>14821</v>
      </c>
      <c r="C2544" t="s">
        <v>14822</v>
      </c>
      <c r="E2544" t="s">
        <v>14823</v>
      </c>
      <c r="F2544" t="s">
        <v>13150</v>
      </c>
      <c r="G2544" t="s">
        <v>1598</v>
      </c>
      <c r="H2544" t="s">
        <v>3942</v>
      </c>
      <c r="J2544" t="s">
        <v>518</v>
      </c>
      <c r="K2544" t="s">
        <v>519</v>
      </c>
      <c r="M2544" t="s">
        <v>1297</v>
      </c>
      <c r="N2544" t="s">
        <v>571</v>
      </c>
      <c r="O2544" t="s">
        <v>1698</v>
      </c>
      <c r="P2544" t="s">
        <v>654</v>
      </c>
      <c r="Q2544" t="s">
        <v>1471</v>
      </c>
      <c r="R2544" t="s">
        <v>1472</v>
      </c>
      <c r="S2544" t="s">
        <v>1598</v>
      </c>
      <c r="T2544" t="s">
        <v>1474</v>
      </c>
      <c r="U2544">
        <v>195401</v>
      </c>
      <c r="V2544" t="s">
        <v>14824</v>
      </c>
      <c r="W2544" t="s">
        <v>1717</v>
      </c>
      <c r="X2544" t="s">
        <v>8377</v>
      </c>
      <c r="Y2544" t="s">
        <v>3944</v>
      </c>
      <c r="Z2544" t="s">
        <v>3945</v>
      </c>
      <c r="AA2544" t="s">
        <v>3946</v>
      </c>
      <c r="AB2544" t="s">
        <v>8378</v>
      </c>
      <c r="AC2544">
        <v>99085</v>
      </c>
      <c r="AD2544" t="s">
        <v>1718</v>
      </c>
      <c r="AE2544">
        <v>-37.74248403</v>
      </c>
      <c r="AF2544">
        <v>176.12289505000001</v>
      </c>
      <c r="AG2544">
        <v>60</v>
      </c>
      <c r="AH2544">
        <v>20</v>
      </c>
      <c r="AI2544">
        <v>2</v>
      </c>
      <c r="AJ2544">
        <v>15</v>
      </c>
      <c r="AK2544">
        <v>18</v>
      </c>
      <c r="AL2544">
        <v>15</v>
      </c>
      <c r="AM2544">
        <v>18</v>
      </c>
      <c r="AN2544">
        <v>0</v>
      </c>
      <c r="AO2544">
        <v>68</v>
      </c>
      <c r="AP2544">
        <v>24</v>
      </c>
      <c r="AQ2544">
        <v>16</v>
      </c>
      <c r="AR2544">
        <v>0</v>
      </c>
      <c r="AS2544">
        <v>25</v>
      </c>
      <c r="AT2544">
        <v>16</v>
      </c>
    </row>
    <row r="2545" spans="1:46">
      <c r="A2545">
        <v>46903</v>
      </c>
      <c r="B2545" t="s">
        <v>14825</v>
      </c>
      <c r="C2545" t="s">
        <v>14826</v>
      </c>
      <c r="D2545" t="s">
        <v>14827</v>
      </c>
      <c r="E2545" t="s">
        <v>14828</v>
      </c>
      <c r="G2545" t="s">
        <v>3826</v>
      </c>
      <c r="H2545" t="s">
        <v>3942</v>
      </c>
      <c r="J2545" t="s">
        <v>3962</v>
      </c>
      <c r="K2545" t="s">
        <v>519</v>
      </c>
      <c r="M2545" t="s">
        <v>1297</v>
      </c>
      <c r="N2545" t="s">
        <v>571</v>
      </c>
      <c r="O2545" t="s">
        <v>1461</v>
      </c>
      <c r="P2545" t="s">
        <v>523</v>
      </c>
      <c r="Q2545" t="s">
        <v>1299</v>
      </c>
      <c r="R2545" t="s">
        <v>1300</v>
      </c>
      <c r="S2545" t="s">
        <v>1438</v>
      </c>
      <c r="T2545" t="s">
        <v>1235</v>
      </c>
      <c r="U2545">
        <v>167101</v>
      </c>
      <c r="V2545" t="s">
        <v>3827</v>
      </c>
      <c r="W2545" t="s">
        <v>3828</v>
      </c>
      <c r="X2545" t="s">
        <v>14829</v>
      </c>
      <c r="Y2545" t="s">
        <v>14830</v>
      </c>
      <c r="AA2545" t="s">
        <v>9022</v>
      </c>
      <c r="AB2545" t="s">
        <v>14831</v>
      </c>
      <c r="AC2545">
        <v>99155</v>
      </c>
      <c r="AD2545" t="s">
        <v>3829</v>
      </c>
      <c r="AE2545">
        <v>-36.841462370000002</v>
      </c>
      <c r="AF2545">
        <v>175.69903153999999</v>
      </c>
      <c r="AG2545">
        <v>59</v>
      </c>
      <c r="AH2545">
        <v>12</v>
      </c>
      <c r="AI2545">
        <v>0</v>
      </c>
      <c r="AJ2545">
        <v>6</v>
      </c>
      <c r="AK2545">
        <v>23</v>
      </c>
      <c r="AL2545">
        <v>17</v>
      </c>
      <c r="AM2545">
        <v>16</v>
      </c>
      <c r="AN2545">
        <v>0</v>
      </c>
      <c r="AO2545">
        <v>62</v>
      </c>
      <c r="AP2545">
        <v>51</v>
      </c>
      <c r="AQ2545">
        <v>20</v>
      </c>
      <c r="AR2545">
        <v>4</v>
      </c>
      <c r="AS2545">
        <v>1</v>
      </c>
      <c r="AT2545">
        <v>1</v>
      </c>
    </row>
    <row r="2546" spans="1:46">
      <c r="A2546">
        <v>46906</v>
      </c>
      <c r="B2546" t="s">
        <v>14832</v>
      </c>
      <c r="C2546" t="s">
        <v>14833</v>
      </c>
      <c r="E2546" t="s">
        <v>14834</v>
      </c>
      <c r="F2546" t="s">
        <v>1312</v>
      </c>
      <c r="G2546" t="s">
        <v>1296</v>
      </c>
      <c r="H2546" t="s">
        <v>3942</v>
      </c>
      <c r="J2546" t="s">
        <v>3962</v>
      </c>
      <c r="K2546" t="s">
        <v>519</v>
      </c>
      <c r="M2546" t="s">
        <v>1297</v>
      </c>
      <c r="N2546" t="s">
        <v>571</v>
      </c>
      <c r="O2546" t="s">
        <v>1298</v>
      </c>
      <c r="P2546" t="s">
        <v>654</v>
      </c>
      <c r="Q2546" t="s">
        <v>1299</v>
      </c>
      <c r="R2546" t="s">
        <v>1300</v>
      </c>
      <c r="S2546" t="s">
        <v>1312</v>
      </c>
      <c r="T2546" t="s">
        <v>1235</v>
      </c>
      <c r="U2546">
        <v>179300</v>
      </c>
      <c r="V2546" t="s">
        <v>1398</v>
      </c>
      <c r="W2546" t="s">
        <v>1314</v>
      </c>
      <c r="X2546" t="s">
        <v>14835</v>
      </c>
      <c r="Y2546" t="s">
        <v>4404</v>
      </c>
      <c r="Z2546" t="s">
        <v>4405</v>
      </c>
      <c r="AA2546" t="s">
        <v>4529</v>
      </c>
      <c r="AB2546" t="s">
        <v>14836</v>
      </c>
      <c r="AE2546">
        <v>-37.782901989999999</v>
      </c>
      <c r="AF2546">
        <v>175.29784196</v>
      </c>
      <c r="AG2546">
        <v>95</v>
      </c>
      <c r="AH2546">
        <v>18</v>
      </c>
      <c r="AI2546">
        <v>0</v>
      </c>
      <c r="AJ2546">
        <v>3</v>
      </c>
      <c r="AK2546">
        <v>11</v>
      </c>
      <c r="AL2546">
        <v>21</v>
      </c>
      <c r="AM2546">
        <v>20</v>
      </c>
      <c r="AN2546">
        <v>0</v>
      </c>
      <c r="AO2546">
        <v>55</v>
      </c>
      <c r="AP2546">
        <v>13</v>
      </c>
      <c r="AQ2546">
        <v>20</v>
      </c>
      <c r="AR2546">
        <v>10</v>
      </c>
      <c r="AS2546">
        <v>14</v>
      </c>
      <c r="AT2546">
        <v>10</v>
      </c>
    </row>
    <row r="2547" spans="1:46">
      <c r="A2547">
        <v>46910</v>
      </c>
      <c r="B2547" t="s">
        <v>14837</v>
      </c>
      <c r="C2547" t="s">
        <v>14838</v>
      </c>
      <c r="D2547" t="s">
        <v>14839</v>
      </c>
      <c r="E2547" t="s">
        <v>14840</v>
      </c>
      <c r="F2547" t="s">
        <v>726</v>
      </c>
      <c r="G2547" t="s">
        <v>652</v>
      </c>
      <c r="H2547" t="s">
        <v>3942</v>
      </c>
      <c r="I2547" t="s">
        <v>4222</v>
      </c>
      <c r="J2547" t="s">
        <v>518</v>
      </c>
      <c r="K2547" t="s">
        <v>519</v>
      </c>
      <c r="M2547" t="s">
        <v>520</v>
      </c>
      <c r="N2547" t="s">
        <v>521</v>
      </c>
      <c r="O2547" t="s">
        <v>728</v>
      </c>
      <c r="P2547" t="s">
        <v>654</v>
      </c>
      <c r="Q2547" t="s">
        <v>638</v>
      </c>
      <c r="R2547" t="s">
        <v>729</v>
      </c>
      <c r="S2547" t="s">
        <v>730</v>
      </c>
      <c r="T2547" t="s">
        <v>709</v>
      </c>
      <c r="U2547">
        <v>153500</v>
      </c>
      <c r="V2547" t="s">
        <v>731</v>
      </c>
      <c r="W2547" t="s">
        <v>732</v>
      </c>
      <c r="X2547" t="s">
        <v>14841</v>
      </c>
      <c r="Y2547" t="s">
        <v>14842</v>
      </c>
      <c r="Z2547" t="s">
        <v>726</v>
      </c>
      <c r="AA2547" t="s">
        <v>4620</v>
      </c>
      <c r="AB2547" t="s">
        <v>14843</v>
      </c>
      <c r="AE2547">
        <v>-36.955723679999998</v>
      </c>
      <c r="AF2547">
        <v>174.8711582</v>
      </c>
      <c r="AG2547">
        <v>50</v>
      </c>
      <c r="AH2547">
        <v>10</v>
      </c>
      <c r="AI2547">
        <v>0</v>
      </c>
      <c r="AJ2547">
        <v>7</v>
      </c>
      <c r="AK2547">
        <v>9</v>
      </c>
      <c r="AL2547">
        <v>6</v>
      </c>
      <c r="AM2547">
        <v>12</v>
      </c>
      <c r="AN2547">
        <v>1</v>
      </c>
      <c r="AO2547">
        <v>35</v>
      </c>
      <c r="AP2547">
        <v>3</v>
      </c>
      <c r="AQ2547">
        <v>14</v>
      </c>
      <c r="AR2547">
        <v>34</v>
      </c>
      <c r="AS2547">
        <v>2</v>
      </c>
      <c r="AT2547">
        <v>0</v>
      </c>
    </row>
    <row r="2548" spans="1:46">
      <c r="A2548">
        <v>46911</v>
      </c>
      <c r="B2548" t="s">
        <v>14844</v>
      </c>
      <c r="C2548" t="s">
        <v>14845</v>
      </c>
      <c r="D2548" t="s">
        <v>14846</v>
      </c>
      <c r="E2548" t="s">
        <v>14847</v>
      </c>
      <c r="G2548" t="s">
        <v>1261</v>
      </c>
      <c r="H2548" t="s">
        <v>3942</v>
      </c>
      <c r="J2548" t="s">
        <v>3962</v>
      </c>
      <c r="K2548" t="s">
        <v>519</v>
      </c>
      <c r="M2548" t="s">
        <v>520</v>
      </c>
      <c r="N2548" t="s">
        <v>557</v>
      </c>
      <c r="O2548" t="s">
        <v>1233</v>
      </c>
      <c r="P2548" t="s">
        <v>1262</v>
      </c>
      <c r="Q2548" t="s">
        <v>638</v>
      </c>
      <c r="R2548" t="s">
        <v>729</v>
      </c>
      <c r="S2548" t="s">
        <v>1246</v>
      </c>
      <c r="T2548" t="s">
        <v>1235</v>
      </c>
      <c r="U2548">
        <v>166000</v>
      </c>
      <c r="V2548" t="s">
        <v>1280</v>
      </c>
      <c r="W2548" t="s">
        <v>1237</v>
      </c>
      <c r="X2548" t="s">
        <v>14848</v>
      </c>
      <c r="Y2548" t="s">
        <v>14849</v>
      </c>
      <c r="Z2548" t="s">
        <v>803</v>
      </c>
      <c r="AA2548" t="s">
        <v>4768</v>
      </c>
      <c r="AE2548">
        <v>-37.200043829999998</v>
      </c>
      <c r="AF2548">
        <v>174.90032094</v>
      </c>
      <c r="AG2548">
        <v>97</v>
      </c>
      <c r="AH2548">
        <v>38</v>
      </c>
      <c r="AI2548">
        <v>1</v>
      </c>
      <c r="AJ2548">
        <v>20</v>
      </c>
      <c r="AK2548">
        <v>23</v>
      </c>
      <c r="AL2548">
        <v>22</v>
      </c>
      <c r="AM2548">
        <v>13</v>
      </c>
      <c r="AN2548">
        <v>0</v>
      </c>
      <c r="AO2548">
        <v>79</v>
      </c>
      <c r="AP2548">
        <v>59</v>
      </c>
      <c r="AQ2548">
        <v>8</v>
      </c>
      <c r="AR2548">
        <v>9</v>
      </c>
      <c r="AS2548">
        <v>12</v>
      </c>
      <c r="AT2548">
        <v>6</v>
      </c>
    </row>
    <row r="2549" spans="1:46">
      <c r="A2549">
        <v>46912</v>
      </c>
      <c r="B2549" t="s">
        <v>14850</v>
      </c>
      <c r="C2549" t="s">
        <v>14851</v>
      </c>
      <c r="E2549" t="s">
        <v>14852</v>
      </c>
      <c r="F2549" t="s">
        <v>1029</v>
      </c>
      <c r="G2549" t="s">
        <v>652</v>
      </c>
      <c r="H2549" t="s">
        <v>3942</v>
      </c>
      <c r="J2549" t="s">
        <v>518</v>
      </c>
      <c r="K2549" t="s">
        <v>519</v>
      </c>
      <c r="M2549" t="s">
        <v>520</v>
      </c>
      <c r="N2549" t="s">
        <v>521</v>
      </c>
      <c r="O2549" t="s">
        <v>829</v>
      </c>
      <c r="P2549" t="s">
        <v>654</v>
      </c>
      <c r="Q2549" t="s">
        <v>638</v>
      </c>
      <c r="R2549" t="s">
        <v>729</v>
      </c>
      <c r="S2549" t="s">
        <v>730</v>
      </c>
      <c r="T2549" t="s">
        <v>709</v>
      </c>
      <c r="U2549">
        <v>149500</v>
      </c>
      <c r="V2549" t="s">
        <v>14853</v>
      </c>
      <c r="W2549" t="s">
        <v>807</v>
      </c>
      <c r="X2549" t="s">
        <v>7421</v>
      </c>
      <c r="Y2549" t="s">
        <v>7422</v>
      </c>
      <c r="Z2549" t="s">
        <v>945</v>
      </c>
      <c r="AA2549" t="s">
        <v>4612</v>
      </c>
      <c r="AB2549" t="s">
        <v>7417</v>
      </c>
      <c r="AC2549">
        <v>99151</v>
      </c>
      <c r="AD2549" t="s">
        <v>1074</v>
      </c>
      <c r="AE2549">
        <v>-36.926488759999998</v>
      </c>
      <c r="AF2549">
        <v>174.85508110999999</v>
      </c>
      <c r="AG2549">
        <v>32</v>
      </c>
      <c r="AH2549">
        <v>0</v>
      </c>
      <c r="AI2549">
        <v>0</v>
      </c>
      <c r="AJ2549">
        <v>0</v>
      </c>
      <c r="AK2549">
        <v>9</v>
      </c>
      <c r="AL2549">
        <v>9</v>
      </c>
      <c r="AM2549">
        <v>19</v>
      </c>
      <c r="AN2549">
        <v>2</v>
      </c>
      <c r="AO2549">
        <v>39</v>
      </c>
      <c r="AP2549">
        <v>5</v>
      </c>
      <c r="AQ2549">
        <v>11</v>
      </c>
      <c r="AR2549">
        <v>25</v>
      </c>
      <c r="AS2549">
        <v>2</v>
      </c>
      <c r="AT2549">
        <v>3</v>
      </c>
    </row>
    <row r="2550" spans="1:46">
      <c r="A2550">
        <v>46913</v>
      </c>
      <c r="B2550" t="s">
        <v>14854</v>
      </c>
      <c r="C2550" t="s">
        <v>14855</v>
      </c>
      <c r="E2550" t="s">
        <v>14856</v>
      </c>
      <c r="F2550" t="s">
        <v>581</v>
      </c>
      <c r="G2550" t="s">
        <v>582</v>
      </c>
      <c r="H2550" t="s">
        <v>3942</v>
      </c>
      <c r="J2550" t="s">
        <v>3962</v>
      </c>
      <c r="K2550" t="s">
        <v>519</v>
      </c>
      <c r="M2550" t="s">
        <v>520</v>
      </c>
      <c r="N2550" t="s">
        <v>557</v>
      </c>
      <c r="O2550" t="s">
        <v>583</v>
      </c>
      <c r="P2550" t="s">
        <v>584</v>
      </c>
      <c r="Q2550" t="s">
        <v>524</v>
      </c>
      <c r="R2550" t="s">
        <v>525</v>
      </c>
      <c r="S2550" t="s">
        <v>585</v>
      </c>
      <c r="T2550" t="s">
        <v>527</v>
      </c>
      <c r="U2550">
        <v>106201</v>
      </c>
      <c r="V2550" t="s">
        <v>586</v>
      </c>
      <c r="W2550" t="s">
        <v>587</v>
      </c>
      <c r="X2550" t="s">
        <v>4403</v>
      </c>
      <c r="Y2550" t="s">
        <v>4404</v>
      </c>
      <c r="Z2550" t="s">
        <v>4405</v>
      </c>
      <c r="AA2550" t="s">
        <v>4529</v>
      </c>
      <c r="AB2550" t="s">
        <v>4407</v>
      </c>
      <c r="AC2550">
        <v>99182</v>
      </c>
      <c r="AD2550" t="s">
        <v>588</v>
      </c>
      <c r="AE2550">
        <v>-35.678735269999997</v>
      </c>
      <c r="AF2550">
        <v>174.31677103999999</v>
      </c>
      <c r="AG2550">
        <v>84</v>
      </c>
      <c r="AH2550">
        <v>28</v>
      </c>
      <c r="AI2550">
        <v>3</v>
      </c>
      <c r="AJ2550">
        <v>15</v>
      </c>
      <c r="AK2550">
        <v>13</v>
      </c>
      <c r="AL2550">
        <v>27</v>
      </c>
      <c r="AM2550">
        <v>23</v>
      </c>
      <c r="AN2550">
        <v>1</v>
      </c>
      <c r="AO2550">
        <v>82</v>
      </c>
      <c r="AP2550">
        <v>32</v>
      </c>
      <c r="AQ2550">
        <v>46</v>
      </c>
      <c r="AR2550">
        <v>10</v>
      </c>
      <c r="AS2550">
        <v>14</v>
      </c>
      <c r="AT2550">
        <v>5</v>
      </c>
    </row>
    <row r="2551" spans="1:46">
      <c r="A2551">
        <v>46914</v>
      </c>
      <c r="B2551" t="s">
        <v>14857</v>
      </c>
      <c r="C2551" t="s">
        <v>14858</v>
      </c>
      <c r="D2551" t="s">
        <v>14859</v>
      </c>
      <c r="E2551" t="s">
        <v>14860</v>
      </c>
      <c r="F2551" t="s">
        <v>3239</v>
      </c>
      <c r="G2551" t="s">
        <v>3217</v>
      </c>
      <c r="H2551" t="s">
        <v>3942</v>
      </c>
      <c r="J2551" t="s">
        <v>3962</v>
      </c>
      <c r="K2551" t="s">
        <v>519</v>
      </c>
      <c r="M2551" t="s">
        <v>2287</v>
      </c>
      <c r="N2551" t="s">
        <v>571</v>
      </c>
      <c r="O2551" t="s">
        <v>3218</v>
      </c>
      <c r="P2551" t="s">
        <v>1262</v>
      </c>
      <c r="Q2551" t="s">
        <v>2943</v>
      </c>
      <c r="R2551" t="s">
        <v>2944</v>
      </c>
      <c r="S2551" t="s">
        <v>3219</v>
      </c>
      <c r="T2551" t="s">
        <v>2448</v>
      </c>
      <c r="U2551">
        <v>338401</v>
      </c>
      <c r="V2551" t="s">
        <v>3239</v>
      </c>
      <c r="W2551" t="s">
        <v>3221</v>
      </c>
      <c r="X2551" t="s">
        <v>14861</v>
      </c>
      <c r="Y2551" t="s">
        <v>14862</v>
      </c>
      <c r="Z2551" t="s">
        <v>3239</v>
      </c>
      <c r="AA2551" t="s">
        <v>3224</v>
      </c>
      <c r="AB2551" t="s">
        <v>14863</v>
      </c>
      <c r="AC2551">
        <v>99043</v>
      </c>
      <c r="AD2551" t="s">
        <v>3226</v>
      </c>
      <c r="AE2551">
        <v>-43.901459099999997</v>
      </c>
      <c r="AF2551">
        <v>171.77149199999999</v>
      </c>
      <c r="AG2551">
        <v>70</v>
      </c>
      <c r="AH2551">
        <v>19</v>
      </c>
      <c r="AI2551">
        <v>5</v>
      </c>
      <c r="AJ2551">
        <v>17</v>
      </c>
      <c r="AK2551">
        <v>23</v>
      </c>
      <c r="AL2551">
        <v>27</v>
      </c>
      <c r="AM2551">
        <v>23</v>
      </c>
      <c r="AN2551">
        <v>1</v>
      </c>
      <c r="AO2551">
        <v>96</v>
      </c>
      <c r="AP2551">
        <v>84</v>
      </c>
      <c r="AQ2551">
        <v>6</v>
      </c>
      <c r="AR2551">
        <v>6</v>
      </c>
      <c r="AS2551">
        <v>10</v>
      </c>
      <c r="AT2551">
        <v>2</v>
      </c>
    </row>
    <row r="2552" spans="1:46">
      <c r="A2552">
        <v>46915</v>
      </c>
      <c r="B2552" t="s">
        <v>14864</v>
      </c>
      <c r="C2552" t="s">
        <v>14865</v>
      </c>
      <c r="D2552" t="s">
        <v>14866</v>
      </c>
      <c r="E2552" t="s">
        <v>14867</v>
      </c>
      <c r="F2552" t="s">
        <v>945</v>
      </c>
      <c r="G2552" t="s">
        <v>652</v>
      </c>
      <c r="H2552" t="s">
        <v>4716</v>
      </c>
      <c r="I2552" t="s">
        <v>3644</v>
      </c>
      <c r="J2552" t="s">
        <v>3962</v>
      </c>
      <c r="K2552" t="s">
        <v>519</v>
      </c>
      <c r="M2552" t="s">
        <v>520</v>
      </c>
      <c r="N2552" t="s">
        <v>521</v>
      </c>
      <c r="O2552" t="s">
        <v>848</v>
      </c>
      <c r="P2552" t="s">
        <v>654</v>
      </c>
      <c r="Q2552" t="s">
        <v>638</v>
      </c>
      <c r="R2552" t="s">
        <v>729</v>
      </c>
      <c r="S2552" t="s">
        <v>849</v>
      </c>
      <c r="T2552" t="s">
        <v>709</v>
      </c>
      <c r="U2552">
        <v>150000</v>
      </c>
      <c r="V2552" t="s">
        <v>970</v>
      </c>
      <c r="W2552" t="s">
        <v>732</v>
      </c>
      <c r="X2552" t="s">
        <v>14868</v>
      </c>
      <c r="Y2552" t="s">
        <v>14869</v>
      </c>
      <c r="Z2552" t="s">
        <v>945</v>
      </c>
      <c r="AA2552" t="s">
        <v>4612</v>
      </c>
      <c r="AB2552" t="s">
        <v>14870</v>
      </c>
      <c r="AE2552">
        <v>-36.959664760000003</v>
      </c>
      <c r="AF2552">
        <v>174.81601481000001</v>
      </c>
      <c r="AG2552">
        <v>50</v>
      </c>
      <c r="AH2552">
        <v>50</v>
      </c>
      <c r="AI2552">
        <v>8</v>
      </c>
      <c r="AJ2552">
        <v>9</v>
      </c>
      <c r="AK2552">
        <v>14</v>
      </c>
      <c r="AL2552">
        <v>8</v>
      </c>
      <c r="AM2552">
        <v>10</v>
      </c>
      <c r="AN2552">
        <v>0</v>
      </c>
      <c r="AO2552">
        <v>49</v>
      </c>
      <c r="AP2552">
        <v>0</v>
      </c>
      <c r="AQ2552">
        <v>0</v>
      </c>
      <c r="AR2552">
        <v>49</v>
      </c>
      <c r="AS2552">
        <v>0</v>
      </c>
      <c r="AT2552">
        <v>0</v>
      </c>
    </row>
    <row r="2553" spans="1:46">
      <c r="A2553">
        <v>46916</v>
      </c>
      <c r="B2553" t="s">
        <v>14871</v>
      </c>
      <c r="C2553" t="s">
        <v>14872</v>
      </c>
      <c r="D2553" t="s">
        <v>14873</v>
      </c>
      <c r="E2553" t="s">
        <v>14874</v>
      </c>
      <c r="G2553" t="s">
        <v>7752</v>
      </c>
      <c r="H2553" t="s">
        <v>3942</v>
      </c>
      <c r="J2553" t="s">
        <v>3962</v>
      </c>
      <c r="K2553" t="s">
        <v>519</v>
      </c>
      <c r="M2553" t="s">
        <v>520</v>
      </c>
      <c r="N2553" t="s">
        <v>571</v>
      </c>
      <c r="O2553" t="s">
        <v>1233</v>
      </c>
      <c r="P2553" t="s">
        <v>540</v>
      </c>
      <c r="Q2553" t="s">
        <v>638</v>
      </c>
      <c r="R2553" t="s">
        <v>729</v>
      </c>
      <c r="S2553" t="s">
        <v>1234</v>
      </c>
      <c r="T2553" t="s">
        <v>1235</v>
      </c>
      <c r="U2553">
        <v>166301</v>
      </c>
      <c r="V2553" t="s">
        <v>7753</v>
      </c>
      <c r="W2553" t="s">
        <v>1237</v>
      </c>
      <c r="X2553" t="s">
        <v>13625</v>
      </c>
      <c r="Y2553" t="s">
        <v>13626</v>
      </c>
      <c r="Z2553" t="s">
        <v>7752</v>
      </c>
      <c r="AA2553" t="s">
        <v>13627</v>
      </c>
      <c r="AB2553" t="s">
        <v>13628</v>
      </c>
      <c r="AE2553">
        <v>-37.185123169999997</v>
      </c>
      <c r="AF2553">
        <v>174.98981533</v>
      </c>
      <c r="AG2553">
        <v>60</v>
      </c>
      <c r="AH2553">
        <v>25</v>
      </c>
      <c r="AI2553">
        <v>6</v>
      </c>
      <c r="AJ2553">
        <v>17</v>
      </c>
      <c r="AK2553">
        <v>28</v>
      </c>
      <c r="AL2553">
        <v>22</v>
      </c>
      <c r="AM2553">
        <v>0</v>
      </c>
      <c r="AN2553">
        <v>0</v>
      </c>
      <c r="AO2553">
        <v>73</v>
      </c>
      <c r="AP2553">
        <v>70</v>
      </c>
      <c r="AQ2553">
        <v>10</v>
      </c>
      <c r="AR2553">
        <v>2</v>
      </c>
      <c r="AS2553">
        <v>3</v>
      </c>
      <c r="AT2553">
        <v>1</v>
      </c>
    </row>
    <row r="2554" spans="1:46">
      <c r="A2554">
        <v>46918</v>
      </c>
      <c r="B2554" t="s">
        <v>14875</v>
      </c>
      <c r="C2554" t="s">
        <v>14876</v>
      </c>
      <c r="D2554" t="s">
        <v>14877</v>
      </c>
      <c r="E2554" t="s">
        <v>14878</v>
      </c>
      <c r="F2554" t="s">
        <v>14879</v>
      </c>
      <c r="G2554" t="s">
        <v>3261</v>
      </c>
      <c r="H2554" t="s">
        <v>3942</v>
      </c>
      <c r="J2554" t="s">
        <v>3962</v>
      </c>
      <c r="K2554" t="s">
        <v>519</v>
      </c>
      <c r="M2554" t="s">
        <v>2287</v>
      </c>
      <c r="N2554" t="s">
        <v>571</v>
      </c>
      <c r="O2554" t="s">
        <v>3249</v>
      </c>
      <c r="P2554" t="s">
        <v>1262</v>
      </c>
      <c r="Q2554" t="s">
        <v>2943</v>
      </c>
      <c r="R2554" t="s">
        <v>2944</v>
      </c>
      <c r="S2554" t="s">
        <v>3219</v>
      </c>
      <c r="T2554" t="s">
        <v>2448</v>
      </c>
      <c r="U2554">
        <v>340300</v>
      </c>
      <c r="V2554" t="s">
        <v>3291</v>
      </c>
      <c r="W2554" t="s">
        <v>3263</v>
      </c>
      <c r="X2554" t="s">
        <v>14880</v>
      </c>
      <c r="Y2554" t="s">
        <v>14881</v>
      </c>
      <c r="AA2554" t="s">
        <v>14882</v>
      </c>
      <c r="AB2554" t="s">
        <v>14883</v>
      </c>
      <c r="AC2554">
        <v>99174</v>
      </c>
      <c r="AD2554" t="s">
        <v>3268</v>
      </c>
      <c r="AE2554">
        <v>-44.379861630000001</v>
      </c>
      <c r="AF2554">
        <v>171.23104099</v>
      </c>
      <c r="AG2554">
        <v>35</v>
      </c>
      <c r="AH2554">
        <v>5</v>
      </c>
      <c r="AI2554">
        <v>0</v>
      </c>
      <c r="AJ2554">
        <v>3</v>
      </c>
      <c r="AK2554">
        <v>5</v>
      </c>
      <c r="AL2554">
        <v>10</v>
      </c>
      <c r="AM2554">
        <v>8</v>
      </c>
      <c r="AN2554">
        <v>0</v>
      </c>
      <c r="AO2554">
        <v>26</v>
      </c>
      <c r="AP2554">
        <v>13</v>
      </c>
      <c r="AQ2554">
        <v>5</v>
      </c>
      <c r="AR2554">
        <v>3</v>
      </c>
      <c r="AS2554">
        <v>5</v>
      </c>
      <c r="AT2554">
        <v>6</v>
      </c>
    </row>
    <row r="2555" spans="1:46">
      <c r="A2555">
        <v>46921</v>
      </c>
      <c r="B2555" t="s">
        <v>14884</v>
      </c>
      <c r="C2555" t="s">
        <v>14870</v>
      </c>
      <c r="D2555" t="s">
        <v>14866</v>
      </c>
      <c r="E2555" t="s">
        <v>14885</v>
      </c>
      <c r="F2555" t="s">
        <v>945</v>
      </c>
      <c r="G2555" t="s">
        <v>652</v>
      </c>
      <c r="H2555" t="s">
        <v>4716</v>
      </c>
      <c r="I2555" t="s">
        <v>3644</v>
      </c>
      <c r="J2555" t="s">
        <v>3962</v>
      </c>
      <c r="K2555" t="s">
        <v>519</v>
      </c>
      <c r="M2555" t="s">
        <v>520</v>
      </c>
      <c r="N2555" t="s">
        <v>521</v>
      </c>
      <c r="O2555" t="s">
        <v>848</v>
      </c>
      <c r="P2555" t="s">
        <v>654</v>
      </c>
      <c r="Q2555" t="s">
        <v>638</v>
      </c>
      <c r="R2555" t="s">
        <v>729</v>
      </c>
      <c r="S2555" t="s">
        <v>849</v>
      </c>
      <c r="T2555" t="s">
        <v>709</v>
      </c>
      <c r="U2555">
        <v>150000</v>
      </c>
      <c r="V2555" t="s">
        <v>970</v>
      </c>
      <c r="W2555" t="s">
        <v>732</v>
      </c>
      <c r="X2555" t="s">
        <v>14868</v>
      </c>
      <c r="Y2555" t="s">
        <v>14869</v>
      </c>
      <c r="Z2555" t="s">
        <v>945</v>
      </c>
      <c r="AA2555" t="s">
        <v>4612</v>
      </c>
      <c r="AB2555" t="s">
        <v>14870</v>
      </c>
      <c r="AE2555">
        <v>-36.959685090000001</v>
      </c>
      <c r="AF2555">
        <v>174.81602298000001</v>
      </c>
      <c r="AG2555">
        <v>50</v>
      </c>
      <c r="AH2555">
        <v>50</v>
      </c>
      <c r="AI2555">
        <v>9</v>
      </c>
      <c r="AJ2555">
        <v>8</v>
      </c>
      <c r="AK2555">
        <v>11</v>
      </c>
      <c r="AL2555">
        <v>11</v>
      </c>
      <c r="AM2555">
        <v>11</v>
      </c>
      <c r="AN2555">
        <v>0</v>
      </c>
      <c r="AO2555">
        <v>50</v>
      </c>
      <c r="AP2555">
        <v>0</v>
      </c>
      <c r="AQ2555">
        <v>0</v>
      </c>
      <c r="AR2555">
        <v>48</v>
      </c>
      <c r="AS2555">
        <v>0</v>
      </c>
      <c r="AT2555">
        <v>2</v>
      </c>
    </row>
    <row r="2556" spans="1:46">
      <c r="A2556">
        <v>46922</v>
      </c>
      <c r="B2556" t="s">
        <v>14886</v>
      </c>
      <c r="C2556" t="s">
        <v>14887</v>
      </c>
      <c r="D2556" t="s">
        <v>14888</v>
      </c>
      <c r="E2556" t="s">
        <v>14889</v>
      </c>
      <c r="F2556" t="s">
        <v>879</v>
      </c>
      <c r="G2556" t="s">
        <v>652</v>
      </c>
      <c r="H2556" t="s">
        <v>3942</v>
      </c>
      <c r="J2556" t="s">
        <v>3962</v>
      </c>
      <c r="K2556" t="s">
        <v>519</v>
      </c>
      <c r="M2556" t="s">
        <v>520</v>
      </c>
      <c r="N2556" t="s">
        <v>571</v>
      </c>
      <c r="O2556" t="s">
        <v>829</v>
      </c>
      <c r="P2556" t="s">
        <v>654</v>
      </c>
      <c r="Q2556" t="s">
        <v>638</v>
      </c>
      <c r="R2556" t="s">
        <v>708</v>
      </c>
      <c r="S2556" t="s">
        <v>880</v>
      </c>
      <c r="T2556" t="s">
        <v>709</v>
      </c>
      <c r="U2556">
        <v>145800</v>
      </c>
      <c r="V2556" t="s">
        <v>881</v>
      </c>
      <c r="W2556" t="s">
        <v>807</v>
      </c>
      <c r="X2556" t="s">
        <v>14890</v>
      </c>
      <c r="Y2556" t="s">
        <v>14891</v>
      </c>
      <c r="Z2556" t="s">
        <v>706</v>
      </c>
      <c r="AA2556" t="s">
        <v>4484</v>
      </c>
      <c r="AB2556" t="s">
        <v>14892</v>
      </c>
      <c r="AE2556">
        <v>-36.869916519999997</v>
      </c>
      <c r="AF2556">
        <v>174.87466386</v>
      </c>
      <c r="AG2556">
        <v>70</v>
      </c>
      <c r="AH2556">
        <v>19</v>
      </c>
      <c r="AI2556">
        <v>2</v>
      </c>
      <c r="AJ2556">
        <v>15</v>
      </c>
      <c r="AK2556">
        <v>18</v>
      </c>
      <c r="AL2556">
        <v>22</v>
      </c>
      <c r="AM2556">
        <v>14</v>
      </c>
      <c r="AN2556">
        <v>0</v>
      </c>
      <c r="AO2556">
        <v>71</v>
      </c>
      <c r="AP2556">
        <v>55</v>
      </c>
      <c r="AQ2556">
        <v>5</v>
      </c>
      <c r="AR2556">
        <v>2</v>
      </c>
      <c r="AS2556">
        <v>11</v>
      </c>
      <c r="AT2556">
        <v>11</v>
      </c>
    </row>
    <row r="2557" spans="1:46">
      <c r="A2557">
        <v>46924</v>
      </c>
      <c r="B2557" t="s">
        <v>14893</v>
      </c>
      <c r="C2557" t="s">
        <v>14894</v>
      </c>
      <c r="D2557" t="s">
        <v>14895</v>
      </c>
      <c r="E2557" t="s">
        <v>14896</v>
      </c>
      <c r="F2557" t="s">
        <v>1157</v>
      </c>
      <c r="G2557" t="s">
        <v>652</v>
      </c>
      <c r="H2557" t="s">
        <v>3942</v>
      </c>
      <c r="J2557" t="s">
        <v>3962</v>
      </c>
      <c r="K2557" t="s">
        <v>519</v>
      </c>
      <c r="M2557" t="s">
        <v>520</v>
      </c>
      <c r="N2557" t="s">
        <v>571</v>
      </c>
      <c r="O2557" t="s">
        <v>857</v>
      </c>
      <c r="P2557" t="s">
        <v>654</v>
      </c>
      <c r="Q2557" t="s">
        <v>638</v>
      </c>
      <c r="R2557" t="s">
        <v>708</v>
      </c>
      <c r="S2557" t="s">
        <v>858</v>
      </c>
      <c r="T2557" t="s">
        <v>709</v>
      </c>
      <c r="U2557">
        <v>135800</v>
      </c>
      <c r="V2557" t="s">
        <v>8056</v>
      </c>
      <c r="W2557" t="s">
        <v>860</v>
      </c>
      <c r="X2557" t="s">
        <v>14897</v>
      </c>
      <c r="Y2557" t="s">
        <v>14896</v>
      </c>
      <c r="Z2557" t="s">
        <v>1157</v>
      </c>
      <c r="AA2557" t="s">
        <v>4876</v>
      </c>
      <c r="AE2557">
        <v>-36.884233729999998</v>
      </c>
      <c r="AF2557">
        <v>174.73255226000001</v>
      </c>
      <c r="AG2557">
        <v>40</v>
      </c>
      <c r="AH2557">
        <v>0</v>
      </c>
      <c r="AI2557">
        <v>0</v>
      </c>
      <c r="AJ2557">
        <v>0</v>
      </c>
      <c r="AK2557">
        <v>13</v>
      </c>
      <c r="AL2557">
        <v>10</v>
      </c>
      <c r="AM2557">
        <v>18</v>
      </c>
      <c r="AN2557">
        <v>0</v>
      </c>
      <c r="AO2557">
        <v>41</v>
      </c>
      <c r="AP2557">
        <v>4</v>
      </c>
      <c r="AQ2557">
        <v>1</v>
      </c>
      <c r="AR2557">
        <v>5</v>
      </c>
      <c r="AS2557">
        <v>35</v>
      </c>
      <c r="AT2557">
        <v>0</v>
      </c>
    </row>
    <row r="2558" spans="1:46">
      <c r="A2558">
        <v>46925</v>
      </c>
      <c r="B2558" t="s">
        <v>14898</v>
      </c>
      <c r="C2558" t="s">
        <v>14899</v>
      </c>
      <c r="D2558" t="s">
        <v>14900</v>
      </c>
      <c r="E2558" t="s">
        <v>14901</v>
      </c>
      <c r="F2558" t="s">
        <v>2416</v>
      </c>
      <c r="G2558" t="s">
        <v>2371</v>
      </c>
      <c r="H2558" t="s">
        <v>3942</v>
      </c>
      <c r="J2558" t="s">
        <v>3962</v>
      </c>
      <c r="K2558" t="s">
        <v>519</v>
      </c>
      <c r="M2558" t="s">
        <v>2287</v>
      </c>
      <c r="N2558" t="s">
        <v>571</v>
      </c>
      <c r="O2558" t="s">
        <v>2372</v>
      </c>
      <c r="P2558" t="s">
        <v>584</v>
      </c>
      <c r="Q2558" t="s">
        <v>2319</v>
      </c>
      <c r="R2558" t="s">
        <v>2289</v>
      </c>
      <c r="S2558" t="s">
        <v>2373</v>
      </c>
      <c r="T2558" t="s">
        <v>2085</v>
      </c>
      <c r="U2558">
        <v>242200</v>
      </c>
      <c r="V2558" t="s">
        <v>14902</v>
      </c>
      <c r="W2558" t="s">
        <v>1652</v>
      </c>
      <c r="X2558" t="s">
        <v>10292</v>
      </c>
      <c r="Y2558" t="s">
        <v>10293</v>
      </c>
      <c r="AA2558" t="s">
        <v>10294</v>
      </c>
      <c r="AB2558" t="s">
        <v>10295</v>
      </c>
      <c r="AE2558">
        <v>-41.141831860000003</v>
      </c>
      <c r="AF2558">
        <v>175.03286990000001</v>
      </c>
      <c r="AG2558">
        <v>77</v>
      </c>
      <c r="AH2558">
        <v>16</v>
      </c>
      <c r="AI2558">
        <v>2</v>
      </c>
      <c r="AJ2558">
        <v>14</v>
      </c>
      <c r="AK2558">
        <v>30</v>
      </c>
      <c r="AL2558">
        <v>21</v>
      </c>
      <c r="AM2558">
        <v>25</v>
      </c>
      <c r="AN2558">
        <v>0</v>
      </c>
      <c r="AO2558">
        <v>92</v>
      </c>
      <c r="AP2558">
        <v>74</v>
      </c>
      <c r="AQ2558">
        <v>17</v>
      </c>
      <c r="AR2558">
        <v>8</v>
      </c>
      <c r="AS2558">
        <v>11</v>
      </c>
      <c r="AT2558">
        <v>3</v>
      </c>
    </row>
    <row r="2559" spans="1:46">
      <c r="A2559">
        <v>46926</v>
      </c>
      <c r="B2559" t="s">
        <v>14903</v>
      </c>
      <c r="D2559" t="s">
        <v>14904</v>
      </c>
      <c r="E2559" t="s">
        <v>14905</v>
      </c>
      <c r="G2559" t="s">
        <v>11192</v>
      </c>
      <c r="H2559" t="s">
        <v>3942</v>
      </c>
      <c r="J2559" t="s">
        <v>3962</v>
      </c>
      <c r="K2559" t="s">
        <v>519</v>
      </c>
      <c r="M2559" t="s">
        <v>2287</v>
      </c>
      <c r="N2559" t="s">
        <v>571</v>
      </c>
      <c r="O2559" t="s">
        <v>3835</v>
      </c>
      <c r="P2559" t="s">
        <v>1262</v>
      </c>
      <c r="Q2559" t="s">
        <v>3337</v>
      </c>
      <c r="R2559" t="s">
        <v>3338</v>
      </c>
      <c r="S2559" t="s">
        <v>3250</v>
      </c>
      <c r="T2559" t="s">
        <v>2448</v>
      </c>
      <c r="U2559">
        <v>346901</v>
      </c>
      <c r="V2559" t="s">
        <v>11193</v>
      </c>
      <c r="W2559" t="s">
        <v>11194</v>
      </c>
      <c r="X2559" t="s">
        <v>14906</v>
      </c>
      <c r="Y2559" t="s">
        <v>14905</v>
      </c>
      <c r="AA2559" t="s">
        <v>11196</v>
      </c>
      <c r="AE2559">
        <v>-44.687527869999997</v>
      </c>
      <c r="AF2559">
        <v>169.17602915000001</v>
      </c>
      <c r="AG2559">
        <v>57</v>
      </c>
      <c r="AH2559">
        <v>17</v>
      </c>
      <c r="AI2559">
        <v>3</v>
      </c>
      <c r="AJ2559">
        <v>10</v>
      </c>
      <c r="AK2559">
        <v>12</v>
      </c>
      <c r="AL2559">
        <v>16</v>
      </c>
      <c r="AM2559">
        <v>20</v>
      </c>
      <c r="AN2559">
        <v>1</v>
      </c>
      <c r="AO2559">
        <v>62</v>
      </c>
      <c r="AP2559">
        <v>61</v>
      </c>
      <c r="AQ2559">
        <v>7</v>
      </c>
      <c r="AR2559">
        <v>2</v>
      </c>
      <c r="AS2559">
        <v>0</v>
      </c>
      <c r="AT2559">
        <v>1</v>
      </c>
    </row>
    <row r="2560" spans="1:46">
      <c r="A2560">
        <v>46927</v>
      </c>
      <c r="B2560" t="s">
        <v>14907</v>
      </c>
      <c r="C2560" t="s">
        <v>14908</v>
      </c>
      <c r="E2560" t="s">
        <v>14909</v>
      </c>
      <c r="G2560" t="s">
        <v>1350</v>
      </c>
      <c r="H2560" t="s">
        <v>3942</v>
      </c>
      <c r="J2560" t="s">
        <v>3962</v>
      </c>
      <c r="K2560" t="s">
        <v>519</v>
      </c>
      <c r="M2560" t="s">
        <v>1297</v>
      </c>
      <c r="N2560" t="s">
        <v>521</v>
      </c>
      <c r="O2560" t="s">
        <v>1351</v>
      </c>
      <c r="P2560" t="s">
        <v>523</v>
      </c>
      <c r="Q2560" t="s">
        <v>1299</v>
      </c>
      <c r="R2560" t="s">
        <v>1300</v>
      </c>
      <c r="S2560" t="s">
        <v>1300</v>
      </c>
      <c r="T2560" t="s">
        <v>1235</v>
      </c>
      <c r="U2560">
        <v>172001</v>
      </c>
      <c r="V2560" t="s">
        <v>1402</v>
      </c>
      <c r="W2560" t="s">
        <v>1353</v>
      </c>
      <c r="X2560" t="s">
        <v>14910</v>
      </c>
      <c r="Y2560" t="s">
        <v>14911</v>
      </c>
      <c r="AA2560" t="s">
        <v>14912</v>
      </c>
      <c r="AE2560">
        <v>-37.660407280000001</v>
      </c>
      <c r="AF2560">
        <v>175.15693873999999</v>
      </c>
      <c r="AG2560">
        <v>34</v>
      </c>
      <c r="AH2560">
        <v>9</v>
      </c>
      <c r="AI2560">
        <v>1</v>
      </c>
      <c r="AJ2560">
        <v>5</v>
      </c>
      <c r="AK2560">
        <v>9</v>
      </c>
      <c r="AL2560">
        <v>10</v>
      </c>
      <c r="AM2560">
        <v>10</v>
      </c>
      <c r="AN2560">
        <v>0</v>
      </c>
      <c r="AO2560">
        <v>35</v>
      </c>
      <c r="AP2560">
        <v>10</v>
      </c>
      <c r="AQ2560">
        <v>31</v>
      </c>
      <c r="AR2560">
        <v>1</v>
      </c>
      <c r="AS2560">
        <v>1</v>
      </c>
      <c r="AT2560">
        <v>0</v>
      </c>
    </row>
    <row r="2561" spans="1:46">
      <c r="A2561">
        <v>46928</v>
      </c>
      <c r="B2561" t="s">
        <v>14913</v>
      </c>
      <c r="C2561" t="s">
        <v>14914</v>
      </c>
      <c r="D2561" t="s">
        <v>14915</v>
      </c>
      <c r="E2561" t="s">
        <v>14916</v>
      </c>
      <c r="F2561" t="s">
        <v>1035</v>
      </c>
      <c r="G2561" t="s">
        <v>652</v>
      </c>
      <c r="H2561" t="s">
        <v>3942</v>
      </c>
      <c r="J2561" t="s">
        <v>3962</v>
      </c>
      <c r="K2561" t="s">
        <v>519</v>
      </c>
      <c r="M2561" t="s">
        <v>520</v>
      </c>
      <c r="N2561" t="s">
        <v>539</v>
      </c>
      <c r="O2561" t="s">
        <v>728</v>
      </c>
      <c r="P2561" t="s">
        <v>654</v>
      </c>
      <c r="Q2561" t="s">
        <v>638</v>
      </c>
      <c r="R2561" t="s">
        <v>729</v>
      </c>
      <c r="S2561" t="s">
        <v>730</v>
      </c>
      <c r="T2561" t="s">
        <v>709</v>
      </c>
      <c r="U2561">
        <v>154001</v>
      </c>
      <c r="V2561" t="s">
        <v>1054</v>
      </c>
      <c r="W2561" t="s">
        <v>732</v>
      </c>
      <c r="X2561" t="s">
        <v>14917</v>
      </c>
      <c r="Y2561" t="s">
        <v>14918</v>
      </c>
      <c r="Z2561" t="s">
        <v>1035</v>
      </c>
      <c r="AA2561" t="s">
        <v>7374</v>
      </c>
      <c r="AB2561" t="s">
        <v>14919</v>
      </c>
      <c r="AC2561">
        <v>99102</v>
      </c>
      <c r="AD2561" t="s">
        <v>1038</v>
      </c>
      <c r="AE2561">
        <v>-36.971488919999999</v>
      </c>
      <c r="AF2561">
        <v>174.84769265</v>
      </c>
      <c r="AG2561">
        <v>47</v>
      </c>
      <c r="AH2561">
        <v>10</v>
      </c>
      <c r="AI2561">
        <v>5</v>
      </c>
      <c r="AJ2561">
        <v>5</v>
      </c>
      <c r="AK2561">
        <v>7</v>
      </c>
      <c r="AL2561">
        <v>19</v>
      </c>
      <c r="AM2561">
        <v>17</v>
      </c>
      <c r="AN2561">
        <v>0</v>
      </c>
      <c r="AO2561">
        <v>53</v>
      </c>
      <c r="AP2561">
        <v>2</v>
      </c>
      <c r="AQ2561">
        <v>1</v>
      </c>
      <c r="AR2561">
        <v>26</v>
      </c>
      <c r="AS2561">
        <v>28</v>
      </c>
      <c r="AT2561">
        <v>0</v>
      </c>
    </row>
    <row r="2562" spans="1:46">
      <c r="A2562">
        <v>46929</v>
      </c>
      <c r="B2562" t="s">
        <v>14920</v>
      </c>
      <c r="C2562" t="s">
        <v>14921</v>
      </c>
      <c r="D2562" t="s">
        <v>14922</v>
      </c>
      <c r="E2562" t="s">
        <v>14923</v>
      </c>
      <c r="F2562" t="s">
        <v>847</v>
      </c>
      <c r="G2562" t="s">
        <v>652</v>
      </c>
      <c r="H2562" t="s">
        <v>4716</v>
      </c>
      <c r="J2562" t="s">
        <v>3962</v>
      </c>
      <c r="K2562" t="s">
        <v>519</v>
      </c>
      <c r="M2562" t="s">
        <v>520</v>
      </c>
      <c r="N2562" t="s">
        <v>571</v>
      </c>
      <c r="O2562" t="s">
        <v>848</v>
      </c>
      <c r="P2562" t="s">
        <v>654</v>
      </c>
      <c r="Q2562" t="s">
        <v>638</v>
      </c>
      <c r="R2562" t="s">
        <v>729</v>
      </c>
      <c r="S2562" t="s">
        <v>849</v>
      </c>
      <c r="T2562" t="s">
        <v>709</v>
      </c>
      <c r="U2562">
        <v>147900</v>
      </c>
      <c r="V2562" t="s">
        <v>4739</v>
      </c>
      <c r="W2562" t="s">
        <v>732</v>
      </c>
      <c r="X2562" t="s">
        <v>14924</v>
      </c>
      <c r="Y2562" t="s">
        <v>14925</v>
      </c>
      <c r="Z2562" t="s">
        <v>847</v>
      </c>
      <c r="AA2562" t="s">
        <v>14926</v>
      </c>
      <c r="AB2562" t="s">
        <v>14927</v>
      </c>
      <c r="AE2562">
        <v>-36.999679139999998</v>
      </c>
      <c r="AF2562">
        <v>174.78943038</v>
      </c>
      <c r="AG2562">
        <v>100</v>
      </c>
      <c r="AH2562">
        <v>100</v>
      </c>
      <c r="AI2562">
        <v>16</v>
      </c>
      <c r="AJ2562">
        <v>17</v>
      </c>
      <c r="AK2562">
        <v>24</v>
      </c>
      <c r="AL2562">
        <v>21</v>
      </c>
      <c r="AM2562">
        <v>15</v>
      </c>
      <c r="AN2562">
        <v>2</v>
      </c>
      <c r="AO2562">
        <v>95</v>
      </c>
      <c r="AP2562">
        <v>1</v>
      </c>
      <c r="AQ2562">
        <v>1</v>
      </c>
      <c r="AR2562">
        <v>92</v>
      </c>
      <c r="AS2562">
        <v>2</v>
      </c>
      <c r="AT2562">
        <v>0</v>
      </c>
    </row>
    <row r="2563" spans="1:46">
      <c r="A2563">
        <v>46930</v>
      </c>
      <c r="B2563" t="s">
        <v>14928</v>
      </c>
      <c r="C2563" t="s">
        <v>14929</v>
      </c>
      <c r="D2563" t="s">
        <v>12360</v>
      </c>
      <c r="E2563" t="s">
        <v>14930</v>
      </c>
      <c r="F2563" t="s">
        <v>822</v>
      </c>
      <c r="G2563" t="s">
        <v>652</v>
      </c>
      <c r="H2563" t="s">
        <v>3942</v>
      </c>
      <c r="J2563" t="s">
        <v>3962</v>
      </c>
      <c r="K2563" t="s">
        <v>519</v>
      </c>
      <c r="M2563" t="s">
        <v>520</v>
      </c>
      <c r="N2563" t="s">
        <v>571</v>
      </c>
      <c r="O2563" t="s">
        <v>857</v>
      </c>
      <c r="P2563" t="s">
        <v>654</v>
      </c>
      <c r="Q2563" t="s">
        <v>638</v>
      </c>
      <c r="R2563" t="s">
        <v>708</v>
      </c>
      <c r="S2563" t="s">
        <v>822</v>
      </c>
      <c r="T2563" t="s">
        <v>709</v>
      </c>
      <c r="U2563">
        <v>138700</v>
      </c>
      <c r="V2563" t="s">
        <v>6515</v>
      </c>
      <c r="W2563" t="s">
        <v>860</v>
      </c>
      <c r="X2563" t="s">
        <v>12362</v>
      </c>
      <c r="Y2563" t="s">
        <v>12363</v>
      </c>
      <c r="Z2563" t="s">
        <v>822</v>
      </c>
      <c r="AA2563" t="s">
        <v>4069</v>
      </c>
      <c r="AB2563" t="s">
        <v>12364</v>
      </c>
      <c r="AE2563">
        <v>-36.882514370000003</v>
      </c>
      <c r="AF2563">
        <v>174.77557150000001</v>
      </c>
      <c r="AG2563">
        <v>60</v>
      </c>
      <c r="AH2563">
        <v>15</v>
      </c>
      <c r="AI2563">
        <v>1</v>
      </c>
      <c r="AJ2563">
        <v>4</v>
      </c>
      <c r="AK2563">
        <v>8</v>
      </c>
      <c r="AL2563">
        <v>6</v>
      </c>
      <c r="AM2563">
        <v>4</v>
      </c>
      <c r="AN2563">
        <v>0</v>
      </c>
      <c r="AO2563">
        <v>23</v>
      </c>
      <c r="AP2563">
        <v>9</v>
      </c>
      <c r="AQ2563">
        <v>2</v>
      </c>
      <c r="AR2563">
        <v>1</v>
      </c>
      <c r="AS2563">
        <v>14</v>
      </c>
      <c r="AT2563">
        <v>3</v>
      </c>
    </row>
    <row r="2564" spans="1:46">
      <c r="A2564">
        <v>46932</v>
      </c>
      <c r="B2564" t="s">
        <v>14931</v>
      </c>
      <c r="C2564" t="s">
        <v>14932</v>
      </c>
      <c r="E2564" t="s">
        <v>14933</v>
      </c>
      <c r="G2564" t="s">
        <v>516</v>
      </c>
      <c r="H2564" t="s">
        <v>3942</v>
      </c>
      <c r="J2564" t="s">
        <v>3962</v>
      </c>
      <c r="K2564" t="s">
        <v>519</v>
      </c>
      <c r="M2564" t="s">
        <v>520</v>
      </c>
      <c r="N2564" t="s">
        <v>539</v>
      </c>
      <c r="O2564" t="s">
        <v>522</v>
      </c>
      <c r="P2564" t="s">
        <v>523</v>
      </c>
      <c r="Q2564" t="s">
        <v>524</v>
      </c>
      <c r="R2564" t="s">
        <v>525</v>
      </c>
      <c r="S2564" t="s">
        <v>526</v>
      </c>
      <c r="T2564" t="s">
        <v>527</v>
      </c>
      <c r="U2564">
        <v>100700</v>
      </c>
      <c r="V2564" t="s">
        <v>546</v>
      </c>
      <c r="W2564" t="s">
        <v>529</v>
      </c>
      <c r="X2564" t="s">
        <v>12311</v>
      </c>
      <c r="Y2564" t="s">
        <v>12309</v>
      </c>
      <c r="AA2564" t="s">
        <v>12312</v>
      </c>
      <c r="AB2564" t="s">
        <v>12313</v>
      </c>
      <c r="AE2564">
        <v>-35.112547900000003</v>
      </c>
      <c r="AF2564">
        <v>173.26660666000001</v>
      </c>
      <c r="AG2564">
        <v>50</v>
      </c>
      <c r="AH2564">
        <v>10</v>
      </c>
      <c r="AI2564">
        <v>0</v>
      </c>
      <c r="AJ2564">
        <v>8</v>
      </c>
      <c r="AK2564">
        <v>6</v>
      </c>
      <c r="AL2564">
        <v>17</v>
      </c>
      <c r="AM2564">
        <v>7</v>
      </c>
      <c r="AN2564">
        <v>0</v>
      </c>
      <c r="AO2564">
        <v>38</v>
      </c>
      <c r="AP2564">
        <v>34</v>
      </c>
      <c r="AQ2564">
        <v>25</v>
      </c>
      <c r="AR2564">
        <v>7</v>
      </c>
      <c r="AS2564">
        <v>1</v>
      </c>
      <c r="AT2564">
        <v>0</v>
      </c>
    </row>
    <row r="2565" spans="1:46">
      <c r="A2565">
        <v>46935</v>
      </c>
      <c r="B2565" t="s">
        <v>14934</v>
      </c>
      <c r="C2565" t="s">
        <v>12494</v>
      </c>
      <c r="E2565" t="s">
        <v>14935</v>
      </c>
      <c r="F2565" t="s">
        <v>14170</v>
      </c>
      <c r="G2565" t="s">
        <v>652</v>
      </c>
      <c r="H2565" t="s">
        <v>3942</v>
      </c>
      <c r="I2565" t="s">
        <v>4951</v>
      </c>
      <c r="J2565" t="s">
        <v>518</v>
      </c>
      <c r="K2565" t="s">
        <v>519</v>
      </c>
      <c r="M2565" t="s">
        <v>520</v>
      </c>
      <c r="N2565" t="s">
        <v>727</v>
      </c>
      <c r="O2565" t="s">
        <v>1216</v>
      </c>
      <c r="P2565" t="s">
        <v>654</v>
      </c>
      <c r="Q2565" t="s">
        <v>638</v>
      </c>
      <c r="R2565" t="s">
        <v>729</v>
      </c>
      <c r="S2565" t="s">
        <v>1036</v>
      </c>
      <c r="T2565" t="s">
        <v>709</v>
      </c>
      <c r="U2565">
        <v>158700</v>
      </c>
      <c r="V2565" t="s">
        <v>1287</v>
      </c>
      <c r="W2565" t="s">
        <v>1219</v>
      </c>
      <c r="X2565" t="s">
        <v>12493</v>
      </c>
      <c r="Y2565" t="s">
        <v>4954</v>
      </c>
      <c r="Z2565" t="s">
        <v>4955</v>
      </c>
      <c r="AA2565" t="s">
        <v>4956</v>
      </c>
      <c r="AB2565" t="s">
        <v>12494</v>
      </c>
      <c r="AC2565">
        <v>99211</v>
      </c>
      <c r="AD2565" t="s">
        <v>7277</v>
      </c>
      <c r="AE2565">
        <v>-37.02744843</v>
      </c>
      <c r="AF2565">
        <v>174.86121489999999</v>
      </c>
      <c r="AG2565">
        <v>50</v>
      </c>
      <c r="AH2565">
        <v>0</v>
      </c>
      <c r="AI2565">
        <v>0</v>
      </c>
      <c r="AJ2565">
        <v>0</v>
      </c>
      <c r="AK2565">
        <v>10</v>
      </c>
      <c r="AL2565">
        <v>16</v>
      </c>
      <c r="AM2565">
        <v>13</v>
      </c>
      <c r="AN2565">
        <v>2</v>
      </c>
      <c r="AO2565">
        <v>41</v>
      </c>
      <c r="AP2565">
        <v>6</v>
      </c>
      <c r="AQ2565">
        <v>32</v>
      </c>
      <c r="AR2565">
        <v>26</v>
      </c>
      <c r="AS2565">
        <v>1</v>
      </c>
      <c r="AT2565">
        <v>0</v>
      </c>
    </row>
    <row r="2566" spans="1:46">
      <c r="A2566">
        <v>46937</v>
      </c>
      <c r="B2566" t="s">
        <v>14936</v>
      </c>
      <c r="C2566" t="s">
        <v>14937</v>
      </c>
      <c r="E2566" t="s">
        <v>14938</v>
      </c>
      <c r="G2566" t="s">
        <v>9107</v>
      </c>
      <c r="H2566" t="s">
        <v>3942</v>
      </c>
      <c r="J2566" t="s">
        <v>3962</v>
      </c>
      <c r="K2566" t="s">
        <v>519</v>
      </c>
      <c r="M2566" t="s">
        <v>1297</v>
      </c>
      <c r="N2566" t="s">
        <v>571</v>
      </c>
      <c r="O2566" t="s">
        <v>1437</v>
      </c>
      <c r="P2566" t="s">
        <v>540</v>
      </c>
      <c r="Q2566" t="s">
        <v>1299</v>
      </c>
      <c r="R2566" t="s">
        <v>1300</v>
      </c>
      <c r="S2566" t="s">
        <v>1438</v>
      </c>
      <c r="T2566" t="s">
        <v>1235</v>
      </c>
      <c r="U2566">
        <v>168800</v>
      </c>
      <c r="V2566" t="s">
        <v>9108</v>
      </c>
      <c r="W2566" t="s">
        <v>3856</v>
      </c>
      <c r="X2566" t="s">
        <v>11692</v>
      </c>
      <c r="Y2566" t="s">
        <v>11691</v>
      </c>
      <c r="AA2566" t="s">
        <v>11693</v>
      </c>
      <c r="AB2566" t="s">
        <v>11694</v>
      </c>
      <c r="AC2566">
        <v>99015</v>
      </c>
      <c r="AD2566" t="s">
        <v>3857</v>
      </c>
      <c r="AE2566">
        <v>-37.235196070000001</v>
      </c>
      <c r="AF2566">
        <v>175.56538775999999</v>
      </c>
      <c r="AG2566">
        <v>28</v>
      </c>
      <c r="AH2566">
        <v>0</v>
      </c>
      <c r="AI2566">
        <v>0</v>
      </c>
      <c r="AJ2566">
        <v>0</v>
      </c>
      <c r="AK2566">
        <v>2</v>
      </c>
      <c r="AL2566">
        <v>9</v>
      </c>
      <c r="AM2566">
        <v>9</v>
      </c>
      <c r="AN2566">
        <v>2</v>
      </c>
      <c r="AO2566">
        <v>22</v>
      </c>
      <c r="AP2566">
        <v>20</v>
      </c>
      <c r="AQ2566">
        <v>4</v>
      </c>
      <c r="AR2566">
        <v>0</v>
      </c>
      <c r="AS2566">
        <v>2</v>
      </c>
      <c r="AT2566">
        <v>1</v>
      </c>
    </row>
    <row r="2567" spans="1:46">
      <c r="A2567">
        <v>46941</v>
      </c>
      <c r="B2567" t="s">
        <v>14939</v>
      </c>
      <c r="C2567" t="s">
        <v>10643</v>
      </c>
      <c r="E2567" t="s">
        <v>14940</v>
      </c>
      <c r="F2567" t="s">
        <v>9750</v>
      </c>
      <c r="G2567" t="s">
        <v>1598</v>
      </c>
      <c r="H2567" t="s">
        <v>3942</v>
      </c>
      <c r="J2567" t="s">
        <v>3962</v>
      </c>
      <c r="K2567" t="s">
        <v>519</v>
      </c>
      <c r="M2567" t="s">
        <v>1297</v>
      </c>
      <c r="N2567" t="s">
        <v>571</v>
      </c>
      <c r="O2567" t="s">
        <v>1698</v>
      </c>
      <c r="P2567" t="s">
        <v>654</v>
      </c>
      <c r="Q2567" t="s">
        <v>1471</v>
      </c>
      <c r="R2567" t="s">
        <v>1472</v>
      </c>
      <c r="S2567" t="s">
        <v>1699</v>
      </c>
      <c r="T2567" t="s">
        <v>1474</v>
      </c>
      <c r="U2567">
        <v>195102</v>
      </c>
      <c r="V2567" t="s">
        <v>14941</v>
      </c>
      <c r="W2567" t="s">
        <v>1717</v>
      </c>
      <c r="X2567" t="s">
        <v>14942</v>
      </c>
      <c r="Y2567" t="s">
        <v>10647</v>
      </c>
      <c r="Z2567" t="s">
        <v>1715</v>
      </c>
      <c r="AA2567" t="s">
        <v>8884</v>
      </c>
      <c r="AB2567" t="s">
        <v>10643</v>
      </c>
      <c r="AC2567">
        <v>99085</v>
      </c>
      <c r="AD2567" t="s">
        <v>1718</v>
      </c>
      <c r="AE2567">
        <v>-37.756364470000001</v>
      </c>
      <c r="AF2567">
        <v>176.10346939999999</v>
      </c>
      <c r="AG2567">
        <v>87</v>
      </c>
      <c r="AH2567">
        <v>27</v>
      </c>
      <c r="AI2567">
        <v>4</v>
      </c>
      <c r="AJ2567">
        <v>16</v>
      </c>
      <c r="AK2567">
        <v>21</v>
      </c>
      <c r="AL2567">
        <v>21</v>
      </c>
      <c r="AM2567">
        <v>31</v>
      </c>
      <c r="AN2567">
        <v>0</v>
      </c>
      <c r="AO2567">
        <v>93</v>
      </c>
      <c r="AP2567">
        <v>73</v>
      </c>
      <c r="AQ2567">
        <v>18</v>
      </c>
      <c r="AR2567">
        <v>7</v>
      </c>
      <c r="AS2567">
        <v>14</v>
      </c>
      <c r="AT2567">
        <v>1</v>
      </c>
    </row>
    <row r="2568" spans="1:46">
      <c r="A2568">
        <v>46943</v>
      </c>
      <c r="B2568" t="s">
        <v>14943</v>
      </c>
      <c r="C2568" t="s">
        <v>14944</v>
      </c>
      <c r="E2568" t="s">
        <v>14945</v>
      </c>
      <c r="F2568" t="s">
        <v>1036</v>
      </c>
      <c r="G2568" t="s">
        <v>652</v>
      </c>
      <c r="H2568" t="s">
        <v>3942</v>
      </c>
      <c r="J2568" t="s">
        <v>3962</v>
      </c>
      <c r="K2568" t="s">
        <v>519</v>
      </c>
      <c r="M2568" t="s">
        <v>520</v>
      </c>
      <c r="N2568" t="s">
        <v>521</v>
      </c>
      <c r="O2568" t="s">
        <v>1216</v>
      </c>
      <c r="P2568" t="s">
        <v>654</v>
      </c>
      <c r="Q2568" t="s">
        <v>638</v>
      </c>
      <c r="R2568" t="s">
        <v>729</v>
      </c>
      <c r="S2568" t="s">
        <v>1036</v>
      </c>
      <c r="T2568" t="s">
        <v>709</v>
      </c>
      <c r="U2568">
        <v>160100</v>
      </c>
      <c r="V2568" t="s">
        <v>6877</v>
      </c>
      <c r="W2568" t="s">
        <v>1219</v>
      </c>
      <c r="X2568" t="s">
        <v>14946</v>
      </c>
      <c r="Y2568" t="s">
        <v>14947</v>
      </c>
      <c r="Z2568" t="s">
        <v>6601</v>
      </c>
      <c r="AA2568" t="s">
        <v>4391</v>
      </c>
      <c r="AE2568">
        <v>-37.024282450000001</v>
      </c>
      <c r="AF2568">
        <v>174.89116551000001</v>
      </c>
      <c r="AG2568">
        <v>72</v>
      </c>
      <c r="AH2568">
        <v>16</v>
      </c>
      <c r="AI2568">
        <v>1</v>
      </c>
      <c r="AJ2568">
        <v>10</v>
      </c>
      <c r="AK2568">
        <v>13</v>
      </c>
      <c r="AL2568">
        <v>20</v>
      </c>
      <c r="AM2568">
        <v>23</v>
      </c>
      <c r="AN2568">
        <v>0</v>
      </c>
      <c r="AO2568">
        <v>67</v>
      </c>
      <c r="AP2568">
        <v>17</v>
      </c>
      <c r="AQ2568">
        <v>28</v>
      </c>
      <c r="AR2568">
        <v>33</v>
      </c>
      <c r="AS2568">
        <v>12</v>
      </c>
      <c r="AT2568">
        <v>3</v>
      </c>
    </row>
    <row r="2569" spans="1:46">
      <c r="A2569">
        <v>46956</v>
      </c>
      <c r="B2569" t="s">
        <v>14948</v>
      </c>
      <c r="C2569" t="s">
        <v>14949</v>
      </c>
      <c r="E2569" t="s">
        <v>14950</v>
      </c>
      <c r="F2569" t="s">
        <v>726</v>
      </c>
      <c r="G2569" t="s">
        <v>652</v>
      </c>
      <c r="H2569" t="s">
        <v>3942</v>
      </c>
      <c r="J2569" t="s">
        <v>3962</v>
      </c>
      <c r="K2569" t="s">
        <v>519</v>
      </c>
      <c r="M2569" t="s">
        <v>520</v>
      </c>
      <c r="N2569" t="s">
        <v>727</v>
      </c>
      <c r="O2569" t="s">
        <v>728</v>
      </c>
      <c r="P2569" t="s">
        <v>654</v>
      </c>
      <c r="Q2569" t="s">
        <v>638</v>
      </c>
      <c r="R2569" t="s">
        <v>729</v>
      </c>
      <c r="S2569" t="s">
        <v>730</v>
      </c>
      <c r="T2569" t="s">
        <v>709</v>
      </c>
      <c r="U2569">
        <v>154400</v>
      </c>
      <c r="V2569" t="s">
        <v>7351</v>
      </c>
      <c r="W2569" t="s">
        <v>732</v>
      </c>
      <c r="X2569" t="s">
        <v>14951</v>
      </c>
      <c r="Y2569" t="s">
        <v>13068</v>
      </c>
      <c r="Z2569" t="s">
        <v>1072</v>
      </c>
      <c r="AA2569" t="s">
        <v>4760</v>
      </c>
      <c r="AB2569" t="s">
        <v>14952</v>
      </c>
      <c r="AE2569">
        <v>-36.961050319999998</v>
      </c>
      <c r="AF2569">
        <v>174.87562009999999</v>
      </c>
      <c r="AG2569">
        <v>70</v>
      </c>
      <c r="AH2569">
        <v>20</v>
      </c>
      <c r="AI2569">
        <v>4</v>
      </c>
      <c r="AJ2569">
        <v>5</v>
      </c>
      <c r="AK2569">
        <v>12</v>
      </c>
      <c r="AL2569">
        <v>10</v>
      </c>
      <c r="AM2569">
        <v>13</v>
      </c>
      <c r="AN2569">
        <v>0</v>
      </c>
      <c r="AO2569">
        <v>44</v>
      </c>
      <c r="AP2569">
        <v>2</v>
      </c>
      <c r="AQ2569">
        <v>5</v>
      </c>
      <c r="AR2569">
        <v>43</v>
      </c>
      <c r="AS2569">
        <v>2</v>
      </c>
      <c r="AT2569">
        <v>1</v>
      </c>
    </row>
    <row r="2570" spans="1:46">
      <c r="A2570">
        <v>46958</v>
      </c>
      <c r="B2570" t="s">
        <v>14953</v>
      </c>
      <c r="D2570" t="s">
        <v>8762</v>
      </c>
      <c r="E2570" t="s">
        <v>8763</v>
      </c>
      <c r="F2570" t="s">
        <v>1313</v>
      </c>
      <c r="G2570" t="s">
        <v>1296</v>
      </c>
      <c r="H2570" t="s">
        <v>4716</v>
      </c>
      <c r="J2570" t="s">
        <v>3962</v>
      </c>
      <c r="K2570" t="s">
        <v>519</v>
      </c>
      <c r="M2570" t="s">
        <v>1297</v>
      </c>
      <c r="N2570" t="s">
        <v>571</v>
      </c>
      <c r="O2570" t="s">
        <v>1298</v>
      </c>
      <c r="P2570" t="s">
        <v>654</v>
      </c>
      <c r="Q2570" t="s">
        <v>1299</v>
      </c>
      <c r="R2570" t="s">
        <v>1300</v>
      </c>
      <c r="S2570" t="s">
        <v>1312</v>
      </c>
      <c r="T2570" t="s">
        <v>1235</v>
      </c>
      <c r="U2570">
        <v>177300</v>
      </c>
      <c r="V2570" t="s">
        <v>1313</v>
      </c>
      <c r="W2570" t="s">
        <v>1314</v>
      </c>
      <c r="X2570" t="s">
        <v>13699</v>
      </c>
      <c r="Y2570" t="s">
        <v>8763</v>
      </c>
      <c r="Z2570" t="s">
        <v>1313</v>
      </c>
      <c r="AA2570" t="s">
        <v>8511</v>
      </c>
      <c r="AE2570">
        <v>-37.749628829999999</v>
      </c>
      <c r="AF2570">
        <v>175.27363099999999</v>
      </c>
      <c r="AG2570">
        <v>80</v>
      </c>
      <c r="AH2570">
        <v>80</v>
      </c>
      <c r="AI2570">
        <v>3</v>
      </c>
      <c r="AJ2570">
        <v>5</v>
      </c>
      <c r="AK2570">
        <v>4</v>
      </c>
      <c r="AL2570">
        <v>5</v>
      </c>
      <c r="AM2570">
        <v>6</v>
      </c>
      <c r="AN2570">
        <v>0</v>
      </c>
      <c r="AO2570">
        <v>23</v>
      </c>
      <c r="AP2570">
        <v>9</v>
      </c>
      <c r="AQ2570">
        <v>3</v>
      </c>
      <c r="AR2570">
        <v>0</v>
      </c>
      <c r="AS2570">
        <v>0</v>
      </c>
      <c r="AT2570">
        <v>13</v>
      </c>
    </row>
    <row r="2571" spans="1:46">
      <c r="A2571">
        <v>46959</v>
      </c>
      <c r="B2571" t="s">
        <v>14954</v>
      </c>
      <c r="C2571" t="s">
        <v>14955</v>
      </c>
      <c r="D2571" t="s">
        <v>14956</v>
      </c>
      <c r="E2571" t="s">
        <v>14957</v>
      </c>
      <c r="F2571" t="s">
        <v>975</v>
      </c>
      <c r="G2571" t="s">
        <v>652</v>
      </c>
      <c r="H2571" t="s">
        <v>3942</v>
      </c>
      <c r="J2571" t="s">
        <v>3962</v>
      </c>
      <c r="K2571" t="s">
        <v>519</v>
      </c>
      <c r="M2571" t="s">
        <v>520</v>
      </c>
      <c r="N2571" t="s">
        <v>571</v>
      </c>
      <c r="O2571" t="s">
        <v>848</v>
      </c>
      <c r="P2571" t="s">
        <v>654</v>
      </c>
      <c r="Q2571" t="s">
        <v>638</v>
      </c>
      <c r="R2571" t="s">
        <v>708</v>
      </c>
      <c r="S2571" t="s">
        <v>849</v>
      </c>
      <c r="T2571" t="s">
        <v>709</v>
      </c>
      <c r="U2571">
        <v>146800</v>
      </c>
      <c r="V2571" t="s">
        <v>4943</v>
      </c>
      <c r="W2571" t="s">
        <v>732</v>
      </c>
      <c r="X2571" t="s">
        <v>14958</v>
      </c>
      <c r="Y2571" t="s">
        <v>14959</v>
      </c>
      <c r="Z2571" t="s">
        <v>821</v>
      </c>
      <c r="AA2571" t="s">
        <v>4069</v>
      </c>
      <c r="AC2571">
        <v>99190</v>
      </c>
      <c r="AD2571" t="s">
        <v>831</v>
      </c>
      <c r="AE2571">
        <v>-36.941163570000001</v>
      </c>
      <c r="AF2571">
        <v>174.78777264999999</v>
      </c>
      <c r="AG2571">
        <v>80</v>
      </c>
      <c r="AH2571">
        <v>24</v>
      </c>
      <c r="AI2571">
        <v>3</v>
      </c>
      <c r="AJ2571">
        <v>19</v>
      </c>
      <c r="AK2571">
        <v>18</v>
      </c>
      <c r="AL2571">
        <v>25</v>
      </c>
      <c r="AM2571">
        <v>20</v>
      </c>
      <c r="AN2571">
        <v>1</v>
      </c>
      <c r="AO2571">
        <v>86</v>
      </c>
      <c r="AP2571">
        <v>64</v>
      </c>
      <c r="AQ2571">
        <v>15</v>
      </c>
      <c r="AR2571">
        <v>14</v>
      </c>
      <c r="AS2571">
        <v>20</v>
      </c>
      <c r="AT2571">
        <v>3</v>
      </c>
    </row>
    <row r="2572" spans="1:46">
      <c r="A2572">
        <v>46960</v>
      </c>
      <c r="B2572" t="s">
        <v>14960</v>
      </c>
      <c r="C2572" t="s">
        <v>13069</v>
      </c>
      <c r="E2572" t="s">
        <v>14961</v>
      </c>
      <c r="F2572" t="s">
        <v>726</v>
      </c>
      <c r="G2572" t="s">
        <v>652</v>
      </c>
      <c r="H2572" t="s">
        <v>4716</v>
      </c>
      <c r="I2572" t="s">
        <v>4253</v>
      </c>
      <c r="J2572" t="s">
        <v>3962</v>
      </c>
      <c r="K2572" t="s">
        <v>519</v>
      </c>
      <c r="M2572" t="s">
        <v>520</v>
      </c>
      <c r="N2572" t="s">
        <v>539</v>
      </c>
      <c r="O2572" t="s">
        <v>728</v>
      </c>
      <c r="P2572" t="s">
        <v>654</v>
      </c>
      <c r="Q2572" t="s">
        <v>638</v>
      </c>
      <c r="R2572" t="s">
        <v>729</v>
      </c>
      <c r="S2572" t="s">
        <v>730</v>
      </c>
      <c r="T2572" t="s">
        <v>709</v>
      </c>
      <c r="U2572">
        <v>154400</v>
      </c>
      <c r="V2572" t="s">
        <v>7351</v>
      </c>
      <c r="W2572" t="s">
        <v>732</v>
      </c>
      <c r="X2572" t="s">
        <v>13067</v>
      </c>
      <c r="Y2572" t="s">
        <v>13068</v>
      </c>
      <c r="Z2572" t="s">
        <v>1072</v>
      </c>
      <c r="AA2572" t="s">
        <v>4886</v>
      </c>
      <c r="AB2572" t="s">
        <v>13069</v>
      </c>
      <c r="AE2572">
        <v>-36.960850370000003</v>
      </c>
      <c r="AF2572">
        <v>174.8756501</v>
      </c>
      <c r="AG2572">
        <v>70</v>
      </c>
      <c r="AH2572">
        <v>70</v>
      </c>
      <c r="AI2572">
        <v>10</v>
      </c>
      <c r="AJ2572">
        <v>9</v>
      </c>
      <c r="AK2572">
        <v>11</v>
      </c>
      <c r="AL2572">
        <v>4</v>
      </c>
      <c r="AM2572">
        <v>9</v>
      </c>
      <c r="AN2572">
        <v>0</v>
      </c>
      <c r="AO2572">
        <v>43</v>
      </c>
      <c r="AP2572">
        <v>0</v>
      </c>
      <c r="AQ2572">
        <v>0</v>
      </c>
      <c r="AR2572">
        <v>43</v>
      </c>
      <c r="AS2572">
        <v>0</v>
      </c>
      <c r="AT2572">
        <v>0</v>
      </c>
    </row>
    <row r="2573" spans="1:46">
      <c r="A2573">
        <v>46961</v>
      </c>
      <c r="B2573" t="s">
        <v>14962</v>
      </c>
      <c r="C2573" t="s">
        <v>14963</v>
      </c>
      <c r="D2573" t="s">
        <v>10823</v>
      </c>
      <c r="E2573" t="s">
        <v>14964</v>
      </c>
      <c r="G2573" t="s">
        <v>2674</v>
      </c>
      <c r="H2573" t="s">
        <v>3942</v>
      </c>
      <c r="J2573" t="s">
        <v>3962</v>
      </c>
      <c r="K2573" t="s">
        <v>519</v>
      </c>
      <c r="M2573" t="s">
        <v>2287</v>
      </c>
      <c r="N2573" t="s">
        <v>571</v>
      </c>
      <c r="O2573" t="s">
        <v>2675</v>
      </c>
      <c r="P2573" t="s">
        <v>1262</v>
      </c>
      <c r="Q2573" t="s">
        <v>2319</v>
      </c>
      <c r="R2573" t="s">
        <v>2289</v>
      </c>
      <c r="S2573" t="s">
        <v>2067</v>
      </c>
      <c r="T2573" t="s">
        <v>1485</v>
      </c>
      <c r="U2573">
        <v>237800</v>
      </c>
      <c r="V2573" t="s">
        <v>2676</v>
      </c>
      <c r="W2573" t="s">
        <v>2677</v>
      </c>
      <c r="X2573" t="s">
        <v>14965</v>
      </c>
      <c r="Y2573" t="s">
        <v>4658</v>
      </c>
      <c r="Z2573" t="s">
        <v>958</v>
      </c>
      <c r="AA2573" t="s">
        <v>4659</v>
      </c>
      <c r="AB2573" t="s">
        <v>14963</v>
      </c>
      <c r="AE2573">
        <v>-40.916598270000001</v>
      </c>
      <c r="AF2573">
        <v>174.9967126</v>
      </c>
      <c r="AG2573">
        <v>94</v>
      </c>
      <c r="AH2573">
        <v>24</v>
      </c>
      <c r="AI2573">
        <v>4</v>
      </c>
      <c r="AJ2573">
        <v>16</v>
      </c>
      <c r="AK2573">
        <v>20</v>
      </c>
      <c r="AL2573">
        <v>14</v>
      </c>
      <c r="AM2573">
        <v>21</v>
      </c>
      <c r="AN2573">
        <v>0</v>
      </c>
      <c r="AO2573">
        <v>75</v>
      </c>
      <c r="AP2573">
        <v>68</v>
      </c>
      <c r="AQ2573">
        <v>14</v>
      </c>
      <c r="AR2573">
        <v>4</v>
      </c>
      <c r="AS2573">
        <v>8</v>
      </c>
      <c r="AT2573">
        <v>3</v>
      </c>
    </row>
    <row r="2574" spans="1:46">
      <c r="A2574">
        <v>46962</v>
      </c>
      <c r="B2574" t="s">
        <v>14966</v>
      </c>
      <c r="C2574" t="s">
        <v>14967</v>
      </c>
      <c r="E2574" t="s">
        <v>14968</v>
      </c>
      <c r="G2574" t="s">
        <v>1245</v>
      </c>
      <c r="H2574" t="s">
        <v>3942</v>
      </c>
      <c r="J2574" t="s">
        <v>3962</v>
      </c>
      <c r="K2574" t="s">
        <v>519</v>
      </c>
      <c r="M2574" t="s">
        <v>520</v>
      </c>
      <c r="N2574" t="s">
        <v>571</v>
      </c>
      <c r="O2574" t="s">
        <v>1233</v>
      </c>
      <c r="P2574" t="s">
        <v>523</v>
      </c>
      <c r="Q2574" t="s">
        <v>638</v>
      </c>
      <c r="R2574" t="s">
        <v>729</v>
      </c>
      <c r="S2574" t="s">
        <v>1246</v>
      </c>
      <c r="T2574" t="s">
        <v>1235</v>
      </c>
      <c r="U2574">
        <v>164700</v>
      </c>
      <c r="V2574" t="s">
        <v>1290</v>
      </c>
      <c r="W2574" t="s">
        <v>1237</v>
      </c>
      <c r="X2574" t="s">
        <v>14969</v>
      </c>
      <c r="Y2574" t="s">
        <v>14970</v>
      </c>
      <c r="Z2574" t="s">
        <v>6161</v>
      </c>
      <c r="AA2574" t="s">
        <v>4431</v>
      </c>
      <c r="AB2574" t="s">
        <v>14971</v>
      </c>
      <c r="AC2574">
        <v>99033</v>
      </c>
      <c r="AD2574" t="s">
        <v>1248</v>
      </c>
      <c r="AE2574">
        <v>-37.252121629999998</v>
      </c>
      <c r="AF2574">
        <v>174.72906517000001</v>
      </c>
      <c r="AG2574">
        <v>60</v>
      </c>
      <c r="AH2574">
        <v>15</v>
      </c>
      <c r="AI2574">
        <v>3</v>
      </c>
      <c r="AJ2574">
        <v>7</v>
      </c>
      <c r="AK2574">
        <v>13</v>
      </c>
      <c r="AL2574">
        <v>11</v>
      </c>
      <c r="AM2574">
        <v>15</v>
      </c>
      <c r="AN2574">
        <v>0</v>
      </c>
      <c r="AO2574">
        <v>49</v>
      </c>
      <c r="AP2574">
        <v>40</v>
      </c>
      <c r="AQ2574">
        <v>15</v>
      </c>
      <c r="AR2574">
        <v>4</v>
      </c>
      <c r="AS2574">
        <v>4</v>
      </c>
      <c r="AT2574">
        <v>3</v>
      </c>
    </row>
    <row r="2575" spans="1:46">
      <c r="A2575">
        <v>46963</v>
      </c>
      <c r="B2575" t="s">
        <v>14972</v>
      </c>
      <c r="C2575" t="s">
        <v>14973</v>
      </c>
      <c r="E2575" t="s">
        <v>14974</v>
      </c>
      <c r="F2575" t="s">
        <v>1023</v>
      </c>
      <c r="G2575" t="s">
        <v>652</v>
      </c>
      <c r="H2575" t="s">
        <v>4716</v>
      </c>
      <c r="I2575" t="s">
        <v>4304</v>
      </c>
      <c r="J2575" t="s">
        <v>3962</v>
      </c>
      <c r="K2575" t="s">
        <v>519</v>
      </c>
      <c r="M2575" t="s">
        <v>520</v>
      </c>
      <c r="N2575" t="s">
        <v>571</v>
      </c>
      <c r="O2575" t="s">
        <v>912</v>
      </c>
      <c r="P2575" t="s">
        <v>654</v>
      </c>
      <c r="Q2575" t="s">
        <v>638</v>
      </c>
      <c r="R2575" t="s">
        <v>708</v>
      </c>
      <c r="S2575" t="s">
        <v>913</v>
      </c>
      <c r="T2575" t="s">
        <v>709</v>
      </c>
      <c r="U2575">
        <v>142301</v>
      </c>
      <c r="V2575" t="s">
        <v>14975</v>
      </c>
      <c r="W2575" t="s">
        <v>860</v>
      </c>
      <c r="X2575" t="s">
        <v>14976</v>
      </c>
      <c r="Y2575" t="s">
        <v>14974</v>
      </c>
      <c r="Z2575" t="s">
        <v>1023</v>
      </c>
      <c r="AA2575" t="s">
        <v>6064</v>
      </c>
      <c r="AB2575" t="s">
        <v>14977</v>
      </c>
      <c r="AE2575">
        <v>-36.928670619999998</v>
      </c>
      <c r="AF2575">
        <v>174.73986267999999</v>
      </c>
      <c r="AG2575">
        <v>30</v>
      </c>
      <c r="AH2575">
        <v>30</v>
      </c>
      <c r="AI2575">
        <v>7</v>
      </c>
      <c r="AJ2575">
        <v>4</v>
      </c>
      <c r="AK2575">
        <v>2</v>
      </c>
      <c r="AL2575">
        <v>3</v>
      </c>
      <c r="AM2575">
        <v>5</v>
      </c>
      <c r="AN2575">
        <v>0</v>
      </c>
      <c r="AO2575">
        <v>21</v>
      </c>
      <c r="AP2575">
        <v>1</v>
      </c>
      <c r="AQ2575">
        <v>0</v>
      </c>
      <c r="AR2575">
        <v>0</v>
      </c>
      <c r="AS2575">
        <v>21</v>
      </c>
      <c r="AT2575">
        <v>0</v>
      </c>
    </row>
    <row r="2576" spans="1:46">
      <c r="A2576">
        <v>46965</v>
      </c>
      <c r="B2576" t="s">
        <v>14978</v>
      </c>
      <c r="C2576" t="s">
        <v>14051</v>
      </c>
      <c r="D2576" t="s">
        <v>14047</v>
      </c>
      <c r="E2576" t="s">
        <v>14048</v>
      </c>
      <c r="F2576" t="s">
        <v>1072</v>
      </c>
      <c r="G2576" t="s">
        <v>652</v>
      </c>
      <c r="H2576" t="s">
        <v>4716</v>
      </c>
      <c r="I2576" t="s">
        <v>4253</v>
      </c>
      <c r="J2576" t="s">
        <v>3962</v>
      </c>
      <c r="K2576" t="s">
        <v>519</v>
      </c>
      <c r="M2576" t="s">
        <v>520</v>
      </c>
      <c r="N2576" t="s">
        <v>727</v>
      </c>
      <c r="O2576" t="s">
        <v>848</v>
      </c>
      <c r="P2576" t="s">
        <v>654</v>
      </c>
      <c r="Q2576" t="s">
        <v>638</v>
      </c>
      <c r="R2576" t="s">
        <v>729</v>
      </c>
      <c r="S2576" t="s">
        <v>730</v>
      </c>
      <c r="T2576" t="s">
        <v>709</v>
      </c>
      <c r="U2576">
        <v>150101</v>
      </c>
      <c r="V2576" t="s">
        <v>4105</v>
      </c>
      <c r="W2576" t="s">
        <v>732</v>
      </c>
      <c r="X2576" t="s">
        <v>14049</v>
      </c>
      <c r="Y2576" t="s">
        <v>14050</v>
      </c>
      <c r="Z2576" t="s">
        <v>1072</v>
      </c>
      <c r="AA2576" t="s">
        <v>4886</v>
      </c>
      <c r="AB2576" t="s">
        <v>14051</v>
      </c>
      <c r="AE2576">
        <v>-36.941198</v>
      </c>
      <c r="AF2576">
        <v>174.8417211</v>
      </c>
      <c r="AG2576">
        <v>40</v>
      </c>
      <c r="AH2576">
        <v>40</v>
      </c>
      <c r="AI2576">
        <v>2</v>
      </c>
      <c r="AJ2576">
        <v>8</v>
      </c>
      <c r="AK2576">
        <v>7</v>
      </c>
      <c r="AL2576">
        <v>0</v>
      </c>
      <c r="AM2576">
        <v>4</v>
      </c>
      <c r="AN2576">
        <v>1</v>
      </c>
      <c r="AO2576">
        <v>22</v>
      </c>
      <c r="AP2576">
        <v>0</v>
      </c>
      <c r="AQ2576">
        <v>2</v>
      </c>
      <c r="AR2576">
        <v>22</v>
      </c>
      <c r="AS2576">
        <v>0</v>
      </c>
      <c r="AT2576">
        <v>0</v>
      </c>
    </row>
    <row r="2577" spans="1:46">
      <c r="A2577">
        <v>46966</v>
      </c>
      <c r="B2577" t="s">
        <v>14979</v>
      </c>
      <c r="C2577" t="s">
        <v>11681</v>
      </c>
      <c r="E2577" t="s">
        <v>11682</v>
      </c>
      <c r="F2577" t="s">
        <v>3990</v>
      </c>
      <c r="G2577" t="s">
        <v>652</v>
      </c>
      <c r="H2577" t="s">
        <v>4716</v>
      </c>
      <c r="J2577" t="s">
        <v>3962</v>
      </c>
      <c r="K2577" t="s">
        <v>519</v>
      </c>
      <c r="M2577" t="s">
        <v>520</v>
      </c>
      <c r="N2577" t="s">
        <v>727</v>
      </c>
      <c r="O2577" t="s">
        <v>728</v>
      </c>
      <c r="P2577" t="s">
        <v>654</v>
      </c>
      <c r="Q2577" t="s">
        <v>638</v>
      </c>
      <c r="R2577" t="s">
        <v>729</v>
      </c>
      <c r="S2577" t="s">
        <v>778</v>
      </c>
      <c r="T2577" t="s">
        <v>709</v>
      </c>
      <c r="U2577">
        <v>156000</v>
      </c>
      <c r="V2577" t="s">
        <v>6408</v>
      </c>
      <c r="W2577" t="s">
        <v>732</v>
      </c>
      <c r="X2577" t="s">
        <v>11683</v>
      </c>
      <c r="Y2577" t="s">
        <v>11684</v>
      </c>
      <c r="Z2577" t="s">
        <v>828</v>
      </c>
      <c r="AA2577" t="s">
        <v>6880</v>
      </c>
      <c r="AE2577">
        <v>-36.960506950000003</v>
      </c>
      <c r="AF2577">
        <v>174.89600519999999</v>
      </c>
      <c r="AG2577">
        <v>60</v>
      </c>
      <c r="AH2577">
        <v>60</v>
      </c>
      <c r="AI2577">
        <v>4</v>
      </c>
      <c r="AJ2577">
        <v>6</v>
      </c>
      <c r="AK2577">
        <v>5</v>
      </c>
      <c r="AL2577">
        <v>7</v>
      </c>
      <c r="AM2577">
        <v>7</v>
      </c>
      <c r="AN2577">
        <v>0</v>
      </c>
      <c r="AO2577">
        <v>29</v>
      </c>
      <c r="AP2577">
        <v>0</v>
      </c>
      <c r="AQ2577">
        <v>0</v>
      </c>
      <c r="AR2577">
        <v>27</v>
      </c>
      <c r="AS2577">
        <v>2</v>
      </c>
      <c r="AT2577">
        <v>0</v>
      </c>
    </row>
    <row r="2578" spans="1:46">
      <c r="A2578">
        <v>46967</v>
      </c>
      <c r="B2578" t="s">
        <v>14980</v>
      </c>
      <c r="C2578" t="s">
        <v>14981</v>
      </c>
      <c r="D2578" t="s">
        <v>14982</v>
      </c>
      <c r="E2578" t="s">
        <v>14983</v>
      </c>
      <c r="F2578" t="s">
        <v>4044</v>
      </c>
      <c r="G2578" t="s">
        <v>652</v>
      </c>
      <c r="H2578" t="s">
        <v>3942</v>
      </c>
      <c r="J2578" t="s">
        <v>3962</v>
      </c>
      <c r="K2578" t="s">
        <v>519</v>
      </c>
      <c r="M2578" t="s">
        <v>520</v>
      </c>
      <c r="N2578" t="s">
        <v>727</v>
      </c>
      <c r="O2578" t="s">
        <v>1268</v>
      </c>
      <c r="P2578" t="s">
        <v>654</v>
      </c>
      <c r="Q2578" t="s">
        <v>638</v>
      </c>
      <c r="R2578" t="s">
        <v>729</v>
      </c>
      <c r="S2578" t="s">
        <v>1234</v>
      </c>
      <c r="T2578" t="s">
        <v>1235</v>
      </c>
      <c r="U2578">
        <v>163501</v>
      </c>
      <c r="V2578" t="s">
        <v>1269</v>
      </c>
      <c r="W2578" t="s">
        <v>1219</v>
      </c>
      <c r="X2578" t="s">
        <v>14984</v>
      </c>
      <c r="Y2578" t="s">
        <v>6263</v>
      </c>
      <c r="Z2578" t="s">
        <v>879</v>
      </c>
      <c r="AA2578" t="s">
        <v>4774</v>
      </c>
      <c r="AB2578" t="s">
        <v>14985</v>
      </c>
      <c r="AC2578">
        <v>99152</v>
      </c>
      <c r="AD2578" t="s">
        <v>1270</v>
      </c>
      <c r="AE2578">
        <v>-37.060387929999997</v>
      </c>
      <c r="AF2578">
        <v>174.96056806000001</v>
      </c>
      <c r="AG2578">
        <v>50</v>
      </c>
      <c r="AH2578">
        <v>10</v>
      </c>
      <c r="AI2578">
        <v>2</v>
      </c>
      <c r="AJ2578">
        <v>6</v>
      </c>
      <c r="AK2578">
        <v>8</v>
      </c>
      <c r="AL2578">
        <v>15</v>
      </c>
      <c r="AM2578">
        <v>13</v>
      </c>
      <c r="AN2578">
        <v>1</v>
      </c>
      <c r="AO2578">
        <v>45</v>
      </c>
      <c r="AP2578">
        <v>4</v>
      </c>
      <c r="AQ2578">
        <v>36</v>
      </c>
      <c r="AR2578">
        <v>12</v>
      </c>
      <c r="AS2578">
        <v>4</v>
      </c>
      <c r="AT2578">
        <v>0</v>
      </c>
    </row>
    <row r="2579" spans="1:46">
      <c r="A2579">
        <v>46971</v>
      </c>
      <c r="B2579" t="s">
        <v>14986</v>
      </c>
      <c r="D2579" t="s">
        <v>14987</v>
      </c>
      <c r="E2579" t="s">
        <v>14048</v>
      </c>
      <c r="F2579" t="s">
        <v>1072</v>
      </c>
      <c r="G2579" t="s">
        <v>652</v>
      </c>
      <c r="H2579" t="s">
        <v>4716</v>
      </c>
      <c r="I2579" t="s">
        <v>3644</v>
      </c>
      <c r="J2579" t="s">
        <v>3962</v>
      </c>
      <c r="K2579" t="s">
        <v>519</v>
      </c>
      <c r="M2579" t="s">
        <v>520</v>
      </c>
      <c r="N2579" t="s">
        <v>521</v>
      </c>
      <c r="O2579" t="s">
        <v>848</v>
      </c>
      <c r="P2579" t="s">
        <v>654</v>
      </c>
      <c r="Q2579" t="s">
        <v>638</v>
      </c>
      <c r="R2579" t="s">
        <v>729</v>
      </c>
      <c r="S2579" t="s">
        <v>730</v>
      </c>
      <c r="T2579" t="s">
        <v>709</v>
      </c>
      <c r="U2579">
        <v>150101</v>
      </c>
      <c r="V2579" t="s">
        <v>4105</v>
      </c>
      <c r="W2579" t="s">
        <v>732</v>
      </c>
      <c r="X2579" t="s">
        <v>14785</v>
      </c>
      <c r="Y2579" t="s">
        <v>14048</v>
      </c>
      <c r="Z2579" t="s">
        <v>1072</v>
      </c>
      <c r="AA2579" t="s">
        <v>4886</v>
      </c>
      <c r="AE2579">
        <v>-36.941132099999997</v>
      </c>
      <c r="AF2579">
        <v>174.84171749999999</v>
      </c>
      <c r="AG2579">
        <v>50</v>
      </c>
      <c r="AH2579">
        <v>50</v>
      </c>
      <c r="AI2579">
        <v>4</v>
      </c>
      <c r="AJ2579">
        <v>10</v>
      </c>
      <c r="AK2579">
        <v>10</v>
      </c>
      <c r="AL2579">
        <v>9</v>
      </c>
      <c r="AM2579">
        <v>11</v>
      </c>
      <c r="AN2579">
        <v>0</v>
      </c>
      <c r="AO2579">
        <v>44</v>
      </c>
      <c r="AP2579">
        <v>0</v>
      </c>
      <c r="AQ2579">
        <v>1</v>
      </c>
      <c r="AR2579">
        <v>44</v>
      </c>
      <c r="AS2579">
        <v>0</v>
      </c>
      <c r="AT2579">
        <v>0</v>
      </c>
    </row>
    <row r="2580" spans="1:46">
      <c r="A2580">
        <v>46977</v>
      </c>
      <c r="B2580" t="s">
        <v>14988</v>
      </c>
      <c r="C2580" t="s">
        <v>14989</v>
      </c>
      <c r="E2580" t="s">
        <v>14990</v>
      </c>
      <c r="F2580" t="s">
        <v>1398</v>
      </c>
      <c r="G2580" t="s">
        <v>1296</v>
      </c>
      <c r="H2580" t="s">
        <v>3942</v>
      </c>
      <c r="I2580" t="s">
        <v>4065</v>
      </c>
      <c r="J2580" t="s">
        <v>3962</v>
      </c>
      <c r="K2580" t="s">
        <v>519</v>
      </c>
      <c r="M2580" t="s">
        <v>1297</v>
      </c>
      <c r="N2580" t="s">
        <v>571</v>
      </c>
      <c r="O2580" t="s">
        <v>1298</v>
      </c>
      <c r="P2580" t="s">
        <v>654</v>
      </c>
      <c r="Q2580" t="s">
        <v>1299</v>
      </c>
      <c r="R2580" t="s">
        <v>1300</v>
      </c>
      <c r="S2580" t="s">
        <v>1312</v>
      </c>
      <c r="T2580" t="s">
        <v>1235</v>
      </c>
      <c r="U2580">
        <v>179300</v>
      </c>
      <c r="V2580" t="s">
        <v>1398</v>
      </c>
      <c r="W2580" t="s">
        <v>1314</v>
      </c>
      <c r="X2580" t="s">
        <v>14991</v>
      </c>
      <c r="Y2580" t="s">
        <v>14992</v>
      </c>
      <c r="Z2580" t="s">
        <v>1427</v>
      </c>
      <c r="AA2580" t="s">
        <v>14993</v>
      </c>
      <c r="AB2580" t="s">
        <v>14989</v>
      </c>
      <c r="AE2580">
        <v>-37.780469979999999</v>
      </c>
      <c r="AF2580">
        <v>175.2897821</v>
      </c>
      <c r="AG2580">
        <v>95</v>
      </c>
      <c r="AH2580">
        <v>20</v>
      </c>
      <c r="AI2580">
        <v>4</v>
      </c>
      <c r="AJ2580">
        <v>12</v>
      </c>
      <c r="AK2580">
        <v>12</v>
      </c>
      <c r="AL2580">
        <v>14</v>
      </c>
      <c r="AM2580">
        <v>13</v>
      </c>
      <c r="AN2580">
        <v>0</v>
      </c>
      <c r="AO2580">
        <v>55</v>
      </c>
      <c r="AP2580">
        <v>22</v>
      </c>
      <c r="AQ2580">
        <v>5</v>
      </c>
      <c r="AR2580">
        <v>2</v>
      </c>
      <c r="AS2580">
        <v>28</v>
      </c>
      <c r="AT2580">
        <v>3</v>
      </c>
    </row>
    <row r="2581" spans="1:46">
      <c r="A2581">
        <v>46978</v>
      </c>
      <c r="B2581" t="s">
        <v>14994</v>
      </c>
      <c r="C2581" t="s">
        <v>14995</v>
      </c>
      <c r="E2581" t="s">
        <v>14996</v>
      </c>
      <c r="F2581" t="s">
        <v>1358</v>
      </c>
      <c r="G2581" t="s">
        <v>1296</v>
      </c>
      <c r="H2581" t="s">
        <v>3942</v>
      </c>
      <c r="J2581" t="s">
        <v>3962</v>
      </c>
      <c r="K2581" t="s">
        <v>519</v>
      </c>
      <c r="M2581" t="s">
        <v>1297</v>
      </c>
      <c r="N2581" t="s">
        <v>521</v>
      </c>
      <c r="O2581" t="s">
        <v>1298</v>
      </c>
      <c r="P2581" t="s">
        <v>654</v>
      </c>
      <c r="Q2581" t="s">
        <v>1299</v>
      </c>
      <c r="R2581" t="s">
        <v>1300</v>
      </c>
      <c r="S2581" t="s">
        <v>1301</v>
      </c>
      <c r="T2581" t="s">
        <v>1235</v>
      </c>
      <c r="U2581">
        <v>176301</v>
      </c>
      <c r="V2581" t="s">
        <v>8429</v>
      </c>
      <c r="W2581" t="s">
        <v>1303</v>
      </c>
      <c r="X2581" t="s">
        <v>7309</v>
      </c>
      <c r="Y2581" t="s">
        <v>7310</v>
      </c>
      <c r="Z2581" t="s">
        <v>763</v>
      </c>
      <c r="AA2581" t="s">
        <v>4365</v>
      </c>
      <c r="AB2581" t="s">
        <v>7311</v>
      </c>
      <c r="AE2581">
        <v>-37.775160880000001</v>
      </c>
      <c r="AF2581">
        <v>175.2455252</v>
      </c>
      <c r="AG2581">
        <v>67</v>
      </c>
      <c r="AH2581">
        <v>18</v>
      </c>
      <c r="AI2581">
        <v>2</v>
      </c>
      <c r="AJ2581">
        <v>10</v>
      </c>
      <c r="AK2581">
        <v>13</v>
      </c>
      <c r="AL2581">
        <v>25</v>
      </c>
      <c r="AM2581">
        <v>26</v>
      </c>
      <c r="AN2581">
        <v>1</v>
      </c>
      <c r="AO2581">
        <v>77</v>
      </c>
      <c r="AP2581">
        <v>28</v>
      </c>
      <c r="AQ2581">
        <v>42</v>
      </c>
      <c r="AR2581">
        <v>11</v>
      </c>
      <c r="AS2581">
        <v>21</v>
      </c>
      <c r="AT2581">
        <v>2</v>
      </c>
    </row>
    <row r="2582" spans="1:46">
      <c r="A2582">
        <v>46980</v>
      </c>
      <c r="B2582" t="s">
        <v>14997</v>
      </c>
      <c r="D2582" t="s">
        <v>11646</v>
      </c>
      <c r="E2582" t="s">
        <v>14998</v>
      </c>
      <c r="G2582" t="s">
        <v>2197</v>
      </c>
      <c r="H2582" t="s">
        <v>4716</v>
      </c>
      <c r="J2582" t="s">
        <v>3962</v>
      </c>
      <c r="K2582" t="s">
        <v>519</v>
      </c>
      <c r="M2582" t="s">
        <v>2287</v>
      </c>
      <c r="N2582" t="s">
        <v>571</v>
      </c>
      <c r="O2582" t="s">
        <v>2198</v>
      </c>
      <c r="P2582" t="s">
        <v>584</v>
      </c>
      <c r="Q2582" t="s">
        <v>2118</v>
      </c>
      <c r="R2582" t="s">
        <v>2944</v>
      </c>
      <c r="S2582" t="s">
        <v>2199</v>
      </c>
      <c r="T2582" t="s">
        <v>2085</v>
      </c>
      <c r="U2582">
        <v>210500</v>
      </c>
      <c r="V2582" t="s">
        <v>11648</v>
      </c>
      <c r="W2582" t="s">
        <v>2200</v>
      </c>
      <c r="X2582" t="s">
        <v>14999</v>
      </c>
      <c r="Y2582" t="s">
        <v>11647</v>
      </c>
      <c r="AA2582" t="s">
        <v>11650</v>
      </c>
      <c r="AB2582" t="s">
        <v>15000</v>
      </c>
      <c r="AE2582">
        <v>-39.641812020000003</v>
      </c>
      <c r="AF2582">
        <v>176.84602128</v>
      </c>
      <c r="AG2582">
        <v>80</v>
      </c>
      <c r="AH2582">
        <v>80</v>
      </c>
      <c r="AI2582">
        <v>1</v>
      </c>
      <c r="AJ2582">
        <v>9</v>
      </c>
      <c r="AK2582">
        <v>9</v>
      </c>
      <c r="AL2582">
        <v>8</v>
      </c>
      <c r="AM2582">
        <v>4</v>
      </c>
      <c r="AN2582">
        <v>0</v>
      </c>
      <c r="AO2582">
        <v>31</v>
      </c>
      <c r="AP2582">
        <v>28</v>
      </c>
      <c r="AQ2582">
        <v>3</v>
      </c>
      <c r="AR2582">
        <v>1</v>
      </c>
      <c r="AS2582">
        <v>8</v>
      </c>
      <c r="AT2582">
        <v>0</v>
      </c>
    </row>
    <row r="2583" spans="1:46">
      <c r="A2583">
        <v>46984</v>
      </c>
      <c r="B2583" t="s">
        <v>15001</v>
      </c>
      <c r="C2583" t="s">
        <v>15002</v>
      </c>
      <c r="D2583" t="s">
        <v>15003</v>
      </c>
      <c r="E2583" t="s">
        <v>15004</v>
      </c>
      <c r="F2583" t="s">
        <v>1035</v>
      </c>
      <c r="G2583" t="s">
        <v>652</v>
      </c>
      <c r="H2583" t="s">
        <v>3942</v>
      </c>
      <c r="J2583" t="s">
        <v>3962</v>
      </c>
      <c r="K2583" t="s">
        <v>519</v>
      </c>
      <c r="M2583" t="s">
        <v>520</v>
      </c>
      <c r="N2583" t="s">
        <v>727</v>
      </c>
      <c r="O2583" t="s">
        <v>728</v>
      </c>
      <c r="P2583" t="s">
        <v>654</v>
      </c>
      <c r="Q2583" t="s">
        <v>638</v>
      </c>
      <c r="R2583" t="s">
        <v>729</v>
      </c>
      <c r="S2583" t="s">
        <v>730</v>
      </c>
      <c r="T2583" t="s">
        <v>709</v>
      </c>
      <c r="U2583">
        <v>154001</v>
      </c>
      <c r="V2583" t="s">
        <v>1054</v>
      </c>
      <c r="W2583" t="s">
        <v>732</v>
      </c>
      <c r="X2583" t="s">
        <v>15005</v>
      </c>
      <c r="AB2583" t="s">
        <v>15006</v>
      </c>
      <c r="AC2583">
        <v>99102</v>
      </c>
      <c r="AD2583" t="s">
        <v>1038</v>
      </c>
      <c r="AE2583">
        <v>-36.966655680000002</v>
      </c>
      <c r="AF2583">
        <v>174.84462841000001</v>
      </c>
      <c r="AG2583">
        <v>38</v>
      </c>
      <c r="AH2583">
        <v>10</v>
      </c>
      <c r="AI2583">
        <v>2</v>
      </c>
      <c r="AJ2583">
        <v>8</v>
      </c>
      <c r="AK2583">
        <v>4</v>
      </c>
      <c r="AL2583">
        <v>7</v>
      </c>
      <c r="AM2583">
        <v>10</v>
      </c>
      <c r="AN2583">
        <v>1</v>
      </c>
      <c r="AO2583">
        <v>32</v>
      </c>
      <c r="AP2583">
        <v>2</v>
      </c>
      <c r="AQ2583">
        <v>5</v>
      </c>
      <c r="AR2583">
        <v>10</v>
      </c>
      <c r="AS2583">
        <v>19</v>
      </c>
      <c r="AT2583">
        <v>2</v>
      </c>
    </row>
    <row r="2584" spans="1:46">
      <c r="A2584">
        <v>46987</v>
      </c>
      <c r="B2584" t="s">
        <v>13185</v>
      </c>
      <c r="C2584" t="s">
        <v>15007</v>
      </c>
      <c r="D2584" t="s">
        <v>15008</v>
      </c>
      <c r="E2584" t="s">
        <v>15009</v>
      </c>
      <c r="F2584" t="s">
        <v>10153</v>
      </c>
      <c r="G2584" t="s">
        <v>1598</v>
      </c>
      <c r="H2584" t="s">
        <v>4716</v>
      </c>
      <c r="J2584" t="s">
        <v>3962</v>
      </c>
      <c r="K2584" t="s">
        <v>519</v>
      </c>
      <c r="M2584" t="s">
        <v>1297</v>
      </c>
      <c r="N2584" t="s">
        <v>557</v>
      </c>
      <c r="O2584" t="s">
        <v>1698</v>
      </c>
      <c r="P2584" t="s">
        <v>654</v>
      </c>
      <c r="Q2584" t="s">
        <v>1471</v>
      </c>
      <c r="R2584" t="s">
        <v>1472</v>
      </c>
      <c r="S2584" t="s">
        <v>1598</v>
      </c>
      <c r="T2584" t="s">
        <v>1474</v>
      </c>
      <c r="U2584">
        <v>193400</v>
      </c>
      <c r="V2584" t="s">
        <v>10609</v>
      </c>
      <c r="W2584" t="s">
        <v>1709</v>
      </c>
      <c r="X2584" t="s">
        <v>15010</v>
      </c>
      <c r="Y2584" t="s">
        <v>15009</v>
      </c>
      <c r="Z2584" t="s">
        <v>10153</v>
      </c>
      <c r="AA2584" t="s">
        <v>8884</v>
      </c>
      <c r="AB2584" t="s">
        <v>15011</v>
      </c>
      <c r="AE2584">
        <v>-37.693564119999998</v>
      </c>
      <c r="AF2584">
        <v>176.13080805000001</v>
      </c>
      <c r="AG2584">
        <v>50</v>
      </c>
      <c r="AH2584">
        <v>50</v>
      </c>
      <c r="AI2584">
        <v>0</v>
      </c>
      <c r="AJ2584">
        <v>5</v>
      </c>
      <c r="AK2584">
        <v>1</v>
      </c>
      <c r="AL2584">
        <v>6</v>
      </c>
      <c r="AM2584">
        <v>0</v>
      </c>
      <c r="AN2584">
        <v>0</v>
      </c>
      <c r="AO2584">
        <v>12</v>
      </c>
      <c r="AP2584">
        <v>9</v>
      </c>
      <c r="AQ2584">
        <v>5</v>
      </c>
      <c r="AR2584">
        <v>2</v>
      </c>
      <c r="AS2584">
        <v>0</v>
      </c>
      <c r="AT2584">
        <v>2</v>
      </c>
    </row>
    <row r="2585" spans="1:46">
      <c r="A2585">
        <v>46990</v>
      </c>
      <c r="B2585" t="s">
        <v>15012</v>
      </c>
      <c r="C2585" t="s">
        <v>14870</v>
      </c>
      <c r="D2585" t="s">
        <v>14866</v>
      </c>
      <c r="E2585" t="s">
        <v>14885</v>
      </c>
      <c r="F2585" t="s">
        <v>945</v>
      </c>
      <c r="G2585" t="s">
        <v>652</v>
      </c>
      <c r="H2585" t="s">
        <v>4716</v>
      </c>
      <c r="I2585" t="s">
        <v>3644</v>
      </c>
      <c r="J2585" t="s">
        <v>3962</v>
      </c>
      <c r="K2585" t="s">
        <v>519</v>
      </c>
      <c r="M2585" t="s">
        <v>520</v>
      </c>
      <c r="N2585" t="s">
        <v>557</v>
      </c>
      <c r="O2585" t="s">
        <v>848</v>
      </c>
      <c r="P2585" t="s">
        <v>654</v>
      </c>
      <c r="Q2585" t="s">
        <v>638</v>
      </c>
      <c r="R2585" t="s">
        <v>729</v>
      </c>
      <c r="S2585" t="s">
        <v>849</v>
      </c>
      <c r="T2585" t="s">
        <v>709</v>
      </c>
      <c r="U2585">
        <v>150000</v>
      </c>
      <c r="V2585" t="s">
        <v>970</v>
      </c>
      <c r="W2585" t="s">
        <v>732</v>
      </c>
      <c r="X2585" t="s">
        <v>14868</v>
      </c>
      <c r="Y2585" t="s">
        <v>14869</v>
      </c>
      <c r="Z2585" t="s">
        <v>945</v>
      </c>
      <c r="AA2585" t="s">
        <v>4612</v>
      </c>
      <c r="AB2585" t="s">
        <v>14870</v>
      </c>
      <c r="AE2585">
        <v>-36.959676360000003</v>
      </c>
      <c r="AF2585">
        <v>174.81597507999999</v>
      </c>
      <c r="AG2585">
        <v>50</v>
      </c>
      <c r="AH2585">
        <v>50</v>
      </c>
      <c r="AI2585">
        <v>8</v>
      </c>
      <c r="AJ2585">
        <v>11</v>
      </c>
      <c r="AK2585">
        <v>12</v>
      </c>
      <c r="AL2585">
        <v>12</v>
      </c>
      <c r="AM2585">
        <v>7</v>
      </c>
      <c r="AN2585">
        <v>0</v>
      </c>
      <c r="AO2585">
        <v>50</v>
      </c>
      <c r="AP2585">
        <v>0</v>
      </c>
      <c r="AQ2585">
        <v>2</v>
      </c>
      <c r="AR2585">
        <v>50</v>
      </c>
      <c r="AS2585">
        <v>0</v>
      </c>
      <c r="AT2585">
        <v>0</v>
      </c>
    </row>
    <row r="2586" spans="1:46">
      <c r="A2586">
        <v>46991</v>
      </c>
      <c r="B2586" t="s">
        <v>15013</v>
      </c>
      <c r="C2586" t="s">
        <v>14870</v>
      </c>
      <c r="D2586" t="s">
        <v>14866</v>
      </c>
      <c r="E2586" t="s">
        <v>14885</v>
      </c>
      <c r="F2586" t="s">
        <v>945</v>
      </c>
      <c r="G2586" t="s">
        <v>652</v>
      </c>
      <c r="H2586" t="s">
        <v>4716</v>
      </c>
      <c r="I2586" t="s">
        <v>3644</v>
      </c>
      <c r="J2586" t="s">
        <v>3962</v>
      </c>
      <c r="K2586" t="s">
        <v>519</v>
      </c>
      <c r="M2586" t="s">
        <v>520</v>
      </c>
      <c r="N2586" t="s">
        <v>727</v>
      </c>
      <c r="O2586" t="s">
        <v>848</v>
      </c>
      <c r="P2586" t="s">
        <v>654</v>
      </c>
      <c r="Q2586" t="s">
        <v>638</v>
      </c>
      <c r="R2586" t="s">
        <v>729</v>
      </c>
      <c r="S2586" t="s">
        <v>849</v>
      </c>
      <c r="T2586" t="s">
        <v>709</v>
      </c>
      <c r="U2586">
        <v>150000</v>
      </c>
      <c r="V2586" t="s">
        <v>970</v>
      </c>
      <c r="W2586" t="s">
        <v>732</v>
      </c>
      <c r="X2586" t="s">
        <v>14868</v>
      </c>
      <c r="Y2586" t="s">
        <v>14869</v>
      </c>
      <c r="Z2586" t="s">
        <v>945</v>
      </c>
      <c r="AA2586" t="s">
        <v>4612</v>
      </c>
      <c r="AB2586" t="s">
        <v>14870</v>
      </c>
      <c r="AE2586">
        <v>-36.959690709999997</v>
      </c>
      <c r="AF2586">
        <v>174.81592707999999</v>
      </c>
      <c r="AG2586">
        <v>50</v>
      </c>
      <c r="AH2586">
        <v>50</v>
      </c>
      <c r="AI2586">
        <v>4</v>
      </c>
      <c r="AJ2586">
        <v>9</v>
      </c>
      <c r="AK2586">
        <v>17</v>
      </c>
      <c r="AL2586">
        <v>11</v>
      </c>
      <c r="AM2586">
        <v>8</v>
      </c>
      <c r="AN2586">
        <v>1</v>
      </c>
      <c r="AO2586">
        <v>50</v>
      </c>
      <c r="AP2586">
        <v>0</v>
      </c>
      <c r="AQ2586">
        <v>0</v>
      </c>
      <c r="AR2586">
        <v>50</v>
      </c>
      <c r="AS2586">
        <v>0</v>
      </c>
      <c r="AT2586">
        <v>0</v>
      </c>
    </row>
    <row r="2587" spans="1:46">
      <c r="A2587">
        <v>46992</v>
      </c>
      <c r="B2587" t="s">
        <v>15014</v>
      </c>
      <c r="C2587" t="s">
        <v>15015</v>
      </c>
      <c r="D2587" t="s">
        <v>15016</v>
      </c>
      <c r="E2587" t="s">
        <v>15017</v>
      </c>
      <c r="G2587" t="s">
        <v>675</v>
      </c>
      <c r="H2587" t="s">
        <v>3942</v>
      </c>
      <c r="J2587" t="s">
        <v>3962</v>
      </c>
      <c r="K2587" t="s">
        <v>519</v>
      </c>
      <c r="M2587" t="s">
        <v>520</v>
      </c>
      <c r="N2587" t="s">
        <v>571</v>
      </c>
      <c r="O2587" t="s">
        <v>637</v>
      </c>
      <c r="P2587" t="s">
        <v>523</v>
      </c>
      <c r="Q2587" t="s">
        <v>638</v>
      </c>
      <c r="R2587" t="s">
        <v>639</v>
      </c>
      <c r="S2587" t="s">
        <v>640</v>
      </c>
      <c r="T2587" t="s">
        <v>527</v>
      </c>
      <c r="U2587">
        <v>111300</v>
      </c>
      <c r="V2587" t="s">
        <v>6869</v>
      </c>
      <c r="W2587" t="s">
        <v>641</v>
      </c>
      <c r="X2587" t="s">
        <v>15018</v>
      </c>
      <c r="Y2587" t="s">
        <v>15019</v>
      </c>
      <c r="AA2587" t="s">
        <v>15020</v>
      </c>
      <c r="AB2587" t="s">
        <v>15021</v>
      </c>
      <c r="AC2587">
        <v>99122</v>
      </c>
      <c r="AD2587" t="s">
        <v>4085</v>
      </c>
      <c r="AE2587">
        <v>-36.40968736</v>
      </c>
      <c r="AF2587">
        <v>174.66006397000001</v>
      </c>
      <c r="AG2587">
        <v>80</v>
      </c>
      <c r="AH2587">
        <v>25</v>
      </c>
      <c r="AI2587">
        <v>7</v>
      </c>
      <c r="AJ2587">
        <v>9</v>
      </c>
      <c r="AK2587">
        <v>9</v>
      </c>
      <c r="AL2587">
        <v>17</v>
      </c>
      <c r="AM2587">
        <v>17</v>
      </c>
      <c r="AN2587">
        <v>0</v>
      </c>
      <c r="AO2587">
        <v>59</v>
      </c>
      <c r="AP2587">
        <v>28</v>
      </c>
      <c r="AQ2587">
        <v>15</v>
      </c>
      <c r="AR2587">
        <v>19</v>
      </c>
      <c r="AS2587">
        <v>10</v>
      </c>
      <c r="AT2587">
        <v>3</v>
      </c>
    </row>
    <row r="2588" spans="1:46">
      <c r="A2588">
        <v>46994</v>
      </c>
      <c r="B2588" t="s">
        <v>15022</v>
      </c>
      <c r="C2588" t="s">
        <v>15023</v>
      </c>
      <c r="D2588" t="s">
        <v>11149</v>
      </c>
      <c r="E2588" t="s">
        <v>11150</v>
      </c>
      <c r="F2588" t="s">
        <v>3990</v>
      </c>
      <c r="G2588" t="s">
        <v>652</v>
      </c>
      <c r="H2588" t="s">
        <v>4716</v>
      </c>
      <c r="J2588" t="s">
        <v>3962</v>
      </c>
      <c r="K2588" t="s">
        <v>519</v>
      </c>
      <c r="M2588" t="s">
        <v>520</v>
      </c>
      <c r="N2588" t="s">
        <v>727</v>
      </c>
      <c r="O2588" t="s">
        <v>728</v>
      </c>
      <c r="P2588" t="s">
        <v>654</v>
      </c>
      <c r="Q2588" t="s">
        <v>638</v>
      </c>
      <c r="R2588" t="s">
        <v>729</v>
      </c>
      <c r="S2588" t="s">
        <v>730</v>
      </c>
      <c r="T2588" t="s">
        <v>709</v>
      </c>
      <c r="U2588">
        <v>155100</v>
      </c>
      <c r="V2588" t="s">
        <v>990</v>
      </c>
      <c r="W2588" t="s">
        <v>732</v>
      </c>
      <c r="X2588" t="s">
        <v>11151</v>
      </c>
      <c r="Y2588" t="s">
        <v>11152</v>
      </c>
      <c r="Z2588" t="s">
        <v>6408</v>
      </c>
      <c r="AA2588" t="s">
        <v>6409</v>
      </c>
      <c r="AB2588" t="s">
        <v>11148</v>
      </c>
      <c r="AE2588">
        <v>-36.952228609999999</v>
      </c>
      <c r="AF2588">
        <v>174.8905608</v>
      </c>
      <c r="AG2588">
        <v>60</v>
      </c>
      <c r="AH2588">
        <v>60</v>
      </c>
      <c r="AI2588">
        <v>8</v>
      </c>
      <c r="AJ2588">
        <v>15</v>
      </c>
      <c r="AK2588">
        <v>7</v>
      </c>
      <c r="AL2588">
        <v>12</v>
      </c>
      <c r="AM2588">
        <v>9</v>
      </c>
      <c r="AN2588">
        <v>1</v>
      </c>
      <c r="AO2588">
        <v>52</v>
      </c>
      <c r="AP2588">
        <v>0</v>
      </c>
      <c r="AQ2588">
        <v>0</v>
      </c>
      <c r="AR2588">
        <v>52</v>
      </c>
      <c r="AS2588">
        <v>0</v>
      </c>
      <c r="AT2588">
        <v>0</v>
      </c>
    </row>
    <row r="2589" spans="1:46">
      <c r="A2589">
        <v>46996</v>
      </c>
      <c r="B2589" t="s">
        <v>15024</v>
      </c>
      <c r="C2589" t="s">
        <v>15025</v>
      </c>
      <c r="D2589" t="s">
        <v>15026</v>
      </c>
      <c r="E2589" t="s">
        <v>15027</v>
      </c>
      <c r="G2589" t="s">
        <v>2216</v>
      </c>
      <c r="H2589" t="s">
        <v>3942</v>
      </c>
      <c r="I2589" t="s">
        <v>15028</v>
      </c>
      <c r="J2589" t="s">
        <v>518</v>
      </c>
      <c r="K2589" t="s">
        <v>519</v>
      </c>
      <c r="M2589" t="s">
        <v>1297</v>
      </c>
      <c r="N2589" t="s">
        <v>571</v>
      </c>
      <c r="O2589" t="s">
        <v>2198</v>
      </c>
      <c r="P2589" t="s">
        <v>572</v>
      </c>
      <c r="Q2589" t="s">
        <v>2118</v>
      </c>
      <c r="R2589" t="s">
        <v>2084</v>
      </c>
      <c r="S2589" t="s">
        <v>2199</v>
      </c>
      <c r="T2589" t="s">
        <v>2085</v>
      </c>
      <c r="U2589">
        <v>211201</v>
      </c>
      <c r="V2589" t="s">
        <v>15029</v>
      </c>
      <c r="W2589" t="s">
        <v>11860</v>
      </c>
      <c r="X2589" t="s">
        <v>15030</v>
      </c>
      <c r="Y2589" t="s">
        <v>15031</v>
      </c>
      <c r="AA2589" t="s">
        <v>8791</v>
      </c>
      <c r="AB2589" t="s">
        <v>15025</v>
      </c>
      <c r="AE2589">
        <v>-39.670704639999997</v>
      </c>
      <c r="AF2589">
        <v>176.92013689999999</v>
      </c>
      <c r="AG2589">
        <v>72</v>
      </c>
      <c r="AH2589">
        <v>15</v>
      </c>
      <c r="AI2589">
        <v>1</v>
      </c>
      <c r="AJ2589">
        <v>8</v>
      </c>
      <c r="AK2589">
        <v>16</v>
      </c>
      <c r="AL2589">
        <v>19</v>
      </c>
      <c r="AM2589">
        <v>19</v>
      </c>
      <c r="AN2589">
        <v>1</v>
      </c>
      <c r="AO2589">
        <v>64</v>
      </c>
      <c r="AP2589">
        <v>62</v>
      </c>
      <c r="AQ2589">
        <v>14</v>
      </c>
      <c r="AR2589">
        <v>1</v>
      </c>
      <c r="AS2589">
        <v>5</v>
      </c>
      <c r="AT2589">
        <v>0</v>
      </c>
    </row>
    <row r="2590" spans="1:46">
      <c r="A2590">
        <v>46997</v>
      </c>
      <c r="B2590" t="s">
        <v>15032</v>
      </c>
      <c r="C2590" t="s">
        <v>15033</v>
      </c>
      <c r="E2590" t="s">
        <v>15034</v>
      </c>
      <c r="G2590" t="s">
        <v>3623</v>
      </c>
      <c r="H2590" t="s">
        <v>3942</v>
      </c>
      <c r="J2590" t="s">
        <v>3962</v>
      </c>
      <c r="K2590" t="s">
        <v>519</v>
      </c>
      <c r="M2590" t="s">
        <v>520</v>
      </c>
      <c r="N2590" t="s">
        <v>571</v>
      </c>
      <c r="O2590" t="s">
        <v>653</v>
      </c>
      <c r="P2590" t="s">
        <v>584</v>
      </c>
      <c r="Q2590" t="s">
        <v>638</v>
      </c>
      <c r="R2590" t="s">
        <v>639</v>
      </c>
      <c r="S2590" t="s">
        <v>668</v>
      </c>
      <c r="T2590" t="s">
        <v>527</v>
      </c>
      <c r="U2590">
        <v>115100</v>
      </c>
      <c r="V2590" t="s">
        <v>15035</v>
      </c>
      <c r="W2590" t="s">
        <v>657</v>
      </c>
      <c r="X2590" t="s">
        <v>15036</v>
      </c>
      <c r="Y2590" t="s">
        <v>15037</v>
      </c>
      <c r="AA2590" t="s">
        <v>15038</v>
      </c>
      <c r="AC2590">
        <v>99095</v>
      </c>
      <c r="AD2590" t="s">
        <v>701</v>
      </c>
      <c r="AE2590">
        <v>-36.626532670000003</v>
      </c>
      <c r="AF2590">
        <v>174.73890399999999</v>
      </c>
      <c r="AG2590">
        <v>45</v>
      </c>
      <c r="AH2590">
        <v>12</v>
      </c>
      <c r="AI2590">
        <v>3</v>
      </c>
      <c r="AJ2590">
        <v>5</v>
      </c>
      <c r="AK2590">
        <v>3</v>
      </c>
      <c r="AL2590">
        <v>7</v>
      </c>
      <c r="AM2590">
        <v>5</v>
      </c>
      <c r="AN2590">
        <v>1</v>
      </c>
      <c r="AO2590">
        <v>24</v>
      </c>
      <c r="AP2590">
        <v>20</v>
      </c>
      <c r="AQ2590">
        <v>5</v>
      </c>
      <c r="AR2590">
        <v>1</v>
      </c>
      <c r="AS2590">
        <v>2</v>
      </c>
      <c r="AT2590">
        <v>1</v>
      </c>
    </row>
    <row r="2591" spans="1:46">
      <c r="A2591">
        <v>46999</v>
      </c>
      <c r="B2591" t="s">
        <v>15039</v>
      </c>
      <c r="C2591" t="s">
        <v>15040</v>
      </c>
      <c r="E2591" t="s">
        <v>15041</v>
      </c>
      <c r="F2591" t="s">
        <v>2852</v>
      </c>
      <c r="G2591" t="s">
        <v>2853</v>
      </c>
      <c r="H2591" t="s">
        <v>3942</v>
      </c>
      <c r="J2591" t="s">
        <v>3962</v>
      </c>
      <c r="K2591" t="s">
        <v>519</v>
      </c>
      <c r="M2591" t="s">
        <v>2287</v>
      </c>
      <c r="N2591" t="s">
        <v>571</v>
      </c>
      <c r="O2591" t="s">
        <v>2854</v>
      </c>
      <c r="P2591" t="s">
        <v>584</v>
      </c>
      <c r="Q2591" t="s">
        <v>2855</v>
      </c>
      <c r="R2591" t="s">
        <v>2824</v>
      </c>
      <c r="S2591" t="s">
        <v>2853</v>
      </c>
      <c r="T2591" t="s">
        <v>2448</v>
      </c>
      <c r="U2591">
        <v>305000</v>
      </c>
      <c r="V2591" t="s">
        <v>2895</v>
      </c>
      <c r="W2591" t="s">
        <v>2857</v>
      </c>
      <c r="X2591" t="s">
        <v>15042</v>
      </c>
      <c r="Y2591" t="s">
        <v>15043</v>
      </c>
      <c r="Z2591" t="s">
        <v>15044</v>
      </c>
      <c r="AA2591" t="s">
        <v>11528</v>
      </c>
      <c r="AB2591" t="s">
        <v>15040</v>
      </c>
      <c r="AC2591">
        <v>99042</v>
      </c>
      <c r="AD2591" t="s">
        <v>2862</v>
      </c>
      <c r="AE2591">
        <v>-41.306031050000001</v>
      </c>
      <c r="AF2591">
        <v>173.24028655000001</v>
      </c>
      <c r="AG2591">
        <v>30</v>
      </c>
      <c r="AH2591">
        <v>12</v>
      </c>
      <c r="AI2591">
        <v>1</v>
      </c>
      <c r="AJ2591">
        <v>8</v>
      </c>
      <c r="AK2591">
        <v>9</v>
      </c>
      <c r="AL2591">
        <v>10</v>
      </c>
      <c r="AM2591">
        <v>8</v>
      </c>
      <c r="AN2591">
        <v>1</v>
      </c>
      <c r="AO2591">
        <v>37</v>
      </c>
      <c r="AP2591">
        <v>32</v>
      </c>
      <c r="AQ2591">
        <v>4</v>
      </c>
      <c r="AR2591">
        <v>4</v>
      </c>
      <c r="AS2591">
        <v>1</v>
      </c>
      <c r="AT2591">
        <v>8</v>
      </c>
    </row>
    <row r="2592" spans="1:46">
      <c r="A2592">
        <v>47003</v>
      </c>
      <c r="B2592" t="s">
        <v>15045</v>
      </c>
      <c r="C2592" t="s">
        <v>15046</v>
      </c>
      <c r="D2592" t="s">
        <v>15047</v>
      </c>
      <c r="E2592" t="s">
        <v>15048</v>
      </c>
      <c r="F2592" t="s">
        <v>13107</v>
      </c>
      <c r="G2592" t="s">
        <v>652</v>
      </c>
      <c r="H2592" t="s">
        <v>3942</v>
      </c>
      <c r="J2592" t="s">
        <v>3962</v>
      </c>
      <c r="K2592" t="s">
        <v>519</v>
      </c>
      <c r="M2592" t="s">
        <v>520</v>
      </c>
      <c r="N2592" t="s">
        <v>557</v>
      </c>
      <c r="O2592" t="s">
        <v>829</v>
      </c>
      <c r="P2592" t="s">
        <v>654</v>
      </c>
      <c r="Q2592" t="s">
        <v>638</v>
      </c>
      <c r="R2592" t="s">
        <v>708</v>
      </c>
      <c r="S2592" t="s">
        <v>730</v>
      </c>
      <c r="T2592" t="s">
        <v>709</v>
      </c>
      <c r="U2592">
        <v>147400</v>
      </c>
      <c r="V2592" t="s">
        <v>8218</v>
      </c>
      <c r="W2592" t="s">
        <v>807</v>
      </c>
      <c r="X2592" t="s">
        <v>15049</v>
      </c>
      <c r="Y2592" t="s">
        <v>15050</v>
      </c>
      <c r="Z2592" t="s">
        <v>1029</v>
      </c>
      <c r="AA2592" t="s">
        <v>15051</v>
      </c>
      <c r="AE2592">
        <v>-36.912994509999997</v>
      </c>
      <c r="AF2592">
        <v>174.84551217000001</v>
      </c>
      <c r="AG2592">
        <v>90</v>
      </c>
      <c r="AH2592">
        <v>30</v>
      </c>
      <c r="AI2592">
        <v>12</v>
      </c>
      <c r="AJ2592">
        <v>14</v>
      </c>
      <c r="AK2592">
        <v>16</v>
      </c>
      <c r="AL2592">
        <v>21</v>
      </c>
      <c r="AM2592">
        <v>19</v>
      </c>
      <c r="AN2592">
        <v>0</v>
      </c>
      <c r="AO2592">
        <v>82</v>
      </c>
      <c r="AP2592">
        <v>42</v>
      </c>
      <c r="AQ2592">
        <v>13</v>
      </c>
      <c r="AR2592">
        <v>17</v>
      </c>
      <c r="AS2592">
        <v>36</v>
      </c>
      <c r="AT2592">
        <v>4</v>
      </c>
    </row>
    <row r="2593" spans="1:46">
      <c r="A2593">
        <v>47004</v>
      </c>
      <c r="B2593" t="s">
        <v>15052</v>
      </c>
      <c r="C2593" t="s">
        <v>14158</v>
      </c>
      <c r="D2593" t="s">
        <v>13465</v>
      </c>
      <c r="E2593" t="s">
        <v>15053</v>
      </c>
      <c r="G2593" t="s">
        <v>2197</v>
      </c>
      <c r="H2593" t="s">
        <v>4716</v>
      </c>
      <c r="J2593" t="s">
        <v>3962</v>
      </c>
      <c r="K2593" t="s">
        <v>519</v>
      </c>
      <c r="M2593" t="s">
        <v>520</v>
      </c>
      <c r="N2593" t="s">
        <v>571</v>
      </c>
      <c r="O2593" t="s">
        <v>2198</v>
      </c>
      <c r="P2593" t="s">
        <v>1262</v>
      </c>
      <c r="Q2593" t="s">
        <v>2118</v>
      </c>
      <c r="R2593" t="s">
        <v>708</v>
      </c>
      <c r="S2593" t="s">
        <v>2199</v>
      </c>
      <c r="T2593" t="s">
        <v>2085</v>
      </c>
      <c r="U2593">
        <v>211600</v>
      </c>
      <c r="V2593" t="s">
        <v>8721</v>
      </c>
      <c r="W2593" t="s">
        <v>2200</v>
      </c>
      <c r="X2593" t="s">
        <v>15054</v>
      </c>
      <c r="Y2593" t="s">
        <v>8723</v>
      </c>
      <c r="Z2593" t="s">
        <v>2216</v>
      </c>
      <c r="AA2593" t="s">
        <v>8724</v>
      </c>
      <c r="AE2593">
        <v>-39.668070899999996</v>
      </c>
      <c r="AF2593">
        <v>176.87784719999999</v>
      </c>
      <c r="AG2593">
        <v>40</v>
      </c>
      <c r="AH2593">
        <v>40</v>
      </c>
      <c r="AI2593">
        <v>0</v>
      </c>
      <c r="AJ2593">
        <v>2</v>
      </c>
      <c r="AK2593">
        <v>2</v>
      </c>
      <c r="AL2593">
        <v>1</v>
      </c>
      <c r="AM2593">
        <v>3</v>
      </c>
      <c r="AN2593">
        <v>1</v>
      </c>
      <c r="AO2593">
        <v>9</v>
      </c>
      <c r="AP2593">
        <v>9</v>
      </c>
      <c r="AQ2593">
        <v>1</v>
      </c>
      <c r="AR2593">
        <v>0</v>
      </c>
      <c r="AS2593">
        <v>1</v>
      </c>
      <c r="AT2593">
        <v>0</v>
      </c>
    </row>
    <row r="2594" spans="1:46">
      <c r="A2594">
        <v>47007</v>
      </c>
      <c r="B2594" t="s">
        <v>15055</v>
      </c>
      <c r="C2594" t="s">
        <v>15056</v>
      </c>
      <c r="E2594" t="s">
        <v>15057</v>
      </c>
      <c r="G2594" t="s">
        <v>3187</v>
      </c>
      <c r="H2594" t="s">
        <v>3942</v>
      </c>
      <c r="I2594" t="s">
        <v>4065</v>
      </c>
      <c r="J2594" t="s">
        <v>3962</v>
      </c>
      <c r="K2594" t="s">
        <v>519</v>
      </c>
      <c r="M2594" t="s">
        <v>2287</v>
      </c>
      <c r="N2594" t="s">
        <v>571</v>
      </c>
      <c r="O2594" t="s">
        <v>2964</v>
      </c>
      <c r="P2594" t="s">
        <v>1262</v>
      </c>
      <c r="Q2594" t="s">
        <v>2943</v>
      </c>
      <c r="R2594" t="s">
        <v>2944</v>
      </c>
      <c r="S2594" t="s">
        <v>2965</v>
      </c>
      <c r="T2594" t="s">
        <v>2448</v>
      </c>
      <c r="U2594">
        <v>316100</v>
      </c>
      <c r="V2594" t="s">
        <v>15058</v>
      </c>
      <c r="W2594" t="s">
        <v>3189</v>
      </c>
      <c r="X2594" t="s">
        <v>15059</v>
      </c>
      <c r="Y2594" t="s">
        <v>15057</v>
      </c>
      <c r="AA2594" t="s">
        <v>15060</v>
      </c>
      <c r="AC2594">
        <v>99061</v>
      </c>
      <c r="AD2594" t="s">
        <v>3190</v>
      </c>
      <c r="AE2594">
        <v>-43.385978960000003</v>
      </c>
      <c r="AF2594">
        <v>172.65467587000001</v>
      </c>
      <c r="AG2594">
        <v>39</v>
      </c>
      <c r="AH2594">
        <v>7</v>
      </c>
      <c r="AI2594">
        <v>0</v>
      </c>
      <c r="AJ2594">
        <v>3</v>
      </c>
      <c r="AK2594">
        <v>6</v>
      </c>
      <c r="AL2594">
        <v>10</v>
      </c>
      <c r="AM2594">
        <v>16</v>
      </c>
      <c r="AN2594">
        <v>1</v>
      </c>
      <c r="AO2594">
        <v>36</v>
      </c>
      <c r="AP2594">
        <v>33</v>
      </c>
      <c r="AQ2594">
        <v>10</v>
      </c>
      <c r="AR2594">
        <v>2</v>
      </c>
      <c r="AS2594">
        <v>4</v>
      </c>
      <c r="AT2594">
        <v>3</v>
      </c>
    </row>
    <row r="2595" spans="1:46">
      <c r="A2595">
        <v>47010</v>
      </c>
      <c r="B2595" t="s">
        <v>15061</v>
      </c>
      <c r="C2595" t="s">
        <v>15062</v>
      </c>
      <c r="E2595" t="s">
        <v>15063</v>
      </c>
      <c r="F2595" t="s">
        <v>15064</v>
      </c>
      <c r="G2595" t="s">
        <v>1521</v>
      </c>
      <c r="H2595" t="s">
        <v>3942</v>
      </c>
      <c r="J2595" t="s">
        <v>518</v>
      </c>
      <c r="K2595" t="s">
        <v>519</v>
      </c>
      <c r="M2595" t="s">
        <v>1297</v>
      </c>
      <c r="N2595" t="s">
        <v>571</v>
      </c>
      <c r="O2595" t="s">
        <v>1522</v>
      </c>
      <c r="P2595" t="s">
        <v>572</v>
      </c>
      <c r="Q2595" t="s">
        <v>1299</v>
      </c>
      <c r="R2595" t="s">
        <v>1472</v>
      </c>
      <c r="S2595" t="s">
        <v>1521</v>
      </c>
      <c r="T2595" t="s">
        <v>1474</v>
      </c>
      <c r="U2595">
        <v>201600</v>
      </c>
      <c r="V2595" t="s">
        <v>9982</v>
      </c>
      <c r="W2595" t="s">
        <v>9827</v>
      </c>
      <c r="X2595" t="s">
        <v>10487</v>
      </c>
      <c r="Y2595" t="s">
        <v>3944</v>
      </c>
      <c r="Z2595" t="s">
        <v>3945</v>
      </c>
      <c r="AA2595" t="s">
        <v>3946</v>
      </c>
      <c r="AB2595" t="s">
        <v>10488</v>
      </c>
      <c r="AE2595">
        <v>-38.34144955</v>
      </c>
      <c r="AF2595">
        <v>176.25701667999999</v>
      </c>
      <c r="AG2595">
        <v>20</v>
      </c>
      <c r="AH2595">
        <v>0</v>
      </c>
      <c r="AI2595">
        <v>0</v>
      </c>
      <c r="AJ2595">
        <v>0</v>
      </c>
      <c r="AK2595">
        <v>5</v>
      </c>
      <c r="AL2595">
        <v>7</v>
      </c>
      <c r="AM2595">
        <v>8</v>
      </c>
      <c r="AN2595">
        <v>0</v>
      </c>
      <c r="AO2595">
        <v>20</v>
      </c>
      <c r="AP2595">
        <v>18</v>
      </c>
      <c r="AQ2595">
        <v>1</v>
      </c>
      <c r="AR2595">
        <v>0</v>
      </c>
      <c r="AS2595">
        <v>0</v>
      </c>
      <c r="AT2595">
        <v>3</v>
      </c>
    </row>
    <row r="2596" spans="1:46">
      <c r="A2596">
        <v>47011</v>
      </c>
      <c r="B2596" t="s">
        <v>15065</v>
      </c>
      <c r="C2596" t="s">
        <v>15066</v>
      </c>
      <c r="E2596" t="s">
        <v>15067</v>
      </c>
      <c r="G2596" t="s">
        <v>3026</v>
      </c>
      <c r="H2596" t="s">
        <v>3942</v>
      </c>
      <c r="J2596" t="s">
        <v>3962</v>
      </c>
      <c r="K2596" t="s">
        <v>519</v>
      </c>
      <c r="M2596" t="s">
        <v>2287</v>
      </c>
      <c r="N2596" t="s">
        <v>571</v>
      </c>
      <c r="O2596" t="s">
        <v>3027</v>
      </c>
      <c r="P2596" t="s">
        <v>523</v>
      </c>
      <c r="Q2596" t="s">
        <v>2928</v>
      </c>
      <c r="R2596" t="s">
        <v>2824</v>
      </c>
      <c r="S2596" t="s">
        <v>2870</v>
      </c>
      <c r="T2596" t="s">
        <v>2448</v>
      </c>
      <c r="U2596">
        <v>311501</v>
      </c>
      <c r="V2596" t="s">
        <v>3026</v>
      </c>
      <c r="W2596" t="s">
        <v>3028</v>
      </c>
      <c r="X2596" t="s">
        <v>15068</v>
      </c>
      <c r="Y2596" t="s">
        <v>15069</v>
      </c>
      <c r="AA2596" t="s">
        <v>15070</v>
      </c>
      <c r="AB2596" t="s">
        <v>15071</v>
      </c>
      <c r="AE2596">
        <v>-42.719698270000002</v>
      </c>
      <c r="AF2596">
        <v>170.98141798</v>
      </c>
      <c r="AG2596">
        <v>38</v>
      </c>
      <c r="AH2596">
        <v>0</v>
      </c>
      <c r="AI2596">
        <v>0</v>
      </c>
      <c r="AJ2596">
        <v>0</v>
      </c>
      <c r="AK2596">
        <v>10</v>
      </c>
      <c r="AL2596">
        <v>12</v>
      </c>
      <c r="AM2596">
        <v>19</v>
      </c>
      <c r="AN2596">
        <v>0</v>
      </c>
      <c r="AO2596">
        <v>41</v>
      </c>
      <c r="AP2596">
        <v>33</v>
      </c>
      <c r="AQ2596">
        <v>11</v>
      </c>
      <c r="AR2596">
        <v>1</v>
      </c>
      <c r="AS2596">
        <v>0</v>
      </c>
      <c r="AT2596">
        <v>6</v>
      </c>
    </row>
    <row r="2597" spans="1:46">
      <c r="A2597">
        <v>47014</v>
      </c>
      <c r="B2597" t="s">
        <v>15072</v>
      </c>
      <c r="C2597" t="s">
        <v>15073</v>
      </c>
      <c r="D2597" t="s">
        <v>15074</v>
      </c>
      <c r="E2597" t="s">
        <v>15075</v>
      </c>
      <c r="F2597" t="s">
        <v>2882</v>
      </c>
      <c r="G2597" t="s">
        <v>2941</v>
      </c>
      <c r="H2597" t="s">
        <v>3942</v>
      </c>
      <c r="J2597" t="s">
        <v>3962</v>
      </c>
      <c r="K2597" t="s">
        <v>519</v>
      </c>
      <c r="M2597" t="s">
        <v>2287</v>
      </c>
      <c r="N2597" t="s">
        <v>571</v>
      </c>
      <c r="O2597" t="s">
        <v>2942</v>
      </c>
      <c r="P2597" t="s">
        <v>654</v>
      </c>
      <c r="Q2597" t="s">
        <v>2943</v>
      </c>
      <c r="R2597" t="s">
        <v>2944</v>
      </c>
      <c r="S2597" t="s">
        <v>2973</v>
      </c>
      <c r="T2597" t="s">
        <v>2448</v>
      </c>
      <c r="U2597">
        <v>325900</v>
      </c>
      <c r="V2597" t="s">
        <v>3145</v>
      </c>
      <c r="W2597" t="s">
        <v>2443</v>
      </c>
      <c r="X2597" t="s">
        <v>15076</v>
      </c>
      <c r="Y2597" t="s">
        <v>15075</v>
      </c>
      <c r="Z2597" t="s">
        <v>2882</v>
      </c>
      <c r="AA2597" t="s">
        <v>15077</v>
      </c>
      <c r="AB2597" t="s">
        <v>15078</v>
      </c>
      <c r="AE2597">
        <v>-43.51701903</v>
      </c>
      <c r="AF2597">
        <v>172.65350436</v>
      </c>
      <c r="AG2597">
        <v>36</v>
      </c>
      <c r="AH2597">
        <v>10</v>
      </c>
      <c r="AI2597">
        <v>2</v>
      </c>
      <c r="AJ2597">
        <v>7</v>
      </c>
      <c r="AK2597">
        <v>11</v>
      </c>
      <c r="AL2597">
        <v>6</v>
      </c>
      <c r="AM2597">
        <v>10</v>
      </c>
      <c r="AN2597">
        <v>0</v>
      </c>
      <c r="AO2597">
        <v>36</v>
      </c>
      <c r="AP2597">
        <v>35</v>
      </c>
      <c r="AQ2597">
        <v>6</v>
      </c>
      <c r="AR2597">
        <v>0</v>
      </c>
      <c r="AS2597">
        <v>3</v>
      </c>
      <c r="AT2597">
        <v>0</v>
      </c>
    </row>
    <row r="2598" spans="1:46">
      <c r="A2598">
        <v>47016</v>
      </c>
      <c r="B2598" t="s">
        <v>15079</v>
      </c>
      <c r="C2598" t="s">
        <v>15080</v>
      </c>
      <c r="E2598" t="s">
        <v>15081</v>
      </c>
      <c r="F2598" t="s">
        <v>1911</v>
      </c>
      <c r="G2598" t="s">
        <v>1842</v>
      </c>
      <c r="H2598" t="s">
        <v>4716</v>
      </c>
      <c r="J2598" t="s">
        <v>3962</v>
      </c>
      <c r="K2598" t="s">
        <v>519</v>
      </c>
      <c r="M2598" t="s">
        <v>2287</v>
      </c>
      <c r="N2598" t="s">
        <v>557</v>
      </c>
      <c r="O2598" t="s">
        <v>1887</v>
      </c>
      <c r="P2598" t="s">
        <v>584</v>
      </c>
      <c r="Q2598" t="s">
        <v>1636</v>
      </c>
      <c r="R2598" t="s">
        <v>2944</v>
      </c>
      <c r="S2598" t="s">
        <v>1842</v>
      </c>
      <c r="T2598" t="s">
        <v>1485</v>
      </c>
      <c r="U2598">
        <v>225700</v>
      </c>
      <c r="V2598" t="s">
        <v>10264</v>
      </c>
      <c r="W2598" t="s">
        <v>1652</v>
      </c>
      <c r="X2598" t="s">
        <v>15082</v>
      </c>
      <c r="Y2598" t="s">
        <v>15083</v>
      </c>
      <c r="AA2598" t="s">
        <v>15084</v>
      </c>
      <c r="AB2598" t="s">
        <v>11458</v>
      </c>
      <c r="AE2598">
        <v>-39.930705340000003</v>
      </c>
      <c r="AF2598">
        <v>175.04819105000001</v>
      </c>
      <c r="AG2598">
        <v>80</v>
      </c>
      <c r="AH2598">
        <v>80</v>
      </c>
      <c r="AI2598">
        <v>1</v>
      </c>
      <c r="AJ2598">
        <v>1</v>
      </c>
      <c r="AK2598">
        <v>2</v>
      </c>
      <c r="AL2598">
        <v>2</v>
      </c>
      <c r="AM2598">
        <v>3</v>
      </c>
      <c r="AN2598">
        <v>0</v>
      </c>
      <c r="AO2598">
        <v>9</v>
      </c>
      <c r="AP2598">
        <v>5</v>
      </c>
      <c r="AQ2598">
        <v>0</v>
      </c>
      <c r="AR2598">
        <v>0</v>
      </c>
      <c r="AS2598">
        <v>3</v>
      </c>
      <c r="AT2598">
        <v>1</v>
      </c>
    </row>
    <row r="2599" spans="1:46">
      <c r="A2599">
        <v>47017</v>
      </c>
      <c r="B2599" t="s">
        <v>15085</v>
      </c>
      <c r="C2599" t="s">
        <v>15086</v>
      </c>
      <c r="E2599" t="s">
        <v>15087</v>
      </c>
      <c r="F2599" t="s">
        <v>1628</v>
      </c>
      <c r="G2599" t="s">
        <v>1521</v>
      </c>
      <c r="H2599" t="s">
        <v>3942</v>
      </c>
      <c r="J2599" t="s">
        <v>518</v>
      </c>
      <c r="K2599" t="s">
        <v>519</v>
      </c>
      <c r="M2599" t="s">
        <v>1297</v>
      </c>
      <c r="N2599" t="s">
        <v>539</v>
      </c>
      <c r="O2599" t="s">
        <v>1522</v>
      </c>
      <c r="P2599" t="s">
        <v>584</v>
      </c>
      <c r="Q2599" t="s">
        <v>1471</v>
      </c>
      <c r="R2599" t="s">
        <v>1472</v>
      </c>
      <c r="S2599" t="s">
        <v>1521</v>
      </c>
      <c r="T2599" t="s">
        <v>1474</v>
      </c>
      <c r="U2599">
        <v>200900</v>
      </c>
      <c r="V2599" t="s">
        <v>10028</v>
      </c>
      <c r="W2599" t="s">
        <v>1523</v>
      </c>
      <c r="X2599" t="s">
        <v>15088</v>
      </c>
      <c r="Y2599" t="s">
        <v>15089</v>
      </c>
      <c r="Z2599" t="s">
        <v>1665</v>
      </c>
      <c r="AA2599" t="s">
        <v>10031</v>
      </c>
      <c r="AC2599">
        <v>99017</v>
      </c>
      <c r="AD2599" t="s">
        <v>1630</v>
      </c>
      <c r="AE2599">
        <v>-38.127439819999999</v>
      </c>
      <c r="AF2599">
        <v>176.30037214999999</v>
      </c>
      <c r="AG2599">
        <v>75</v>
      </c>
      <c r="AH2599">
        <v>25</v>
      </c>
      <c r="AI2599">
        <v>3</v>
      </c>
      <c r="AJ2599">
        <v>9</v>
      </c>
      <c r="AK2599">
        <v>14</v>
      </c>
      <c r="AL2599">
        <v>15</v>
      </c>
      <c r="AM2599">
        <v>15</v>
      </c>
      <c r="AN2599">
        <v>1</v>
      </c>
      <c r="AO2599">
        <v>57</v>
      </c>
      <c r="AP2599">
        <v>12</v>
      </c>
      <c r="AQ2599">
        <v>56</v>
      </c>
      <c r="AR2599">
        <v>3</v>
      </c>
      <c r="AS2599">
        <v>0</v>
      </c>
      <c r="AT2599">
        <v>0</v>
      </c>
    </row>
    <row r="2600" spans="1:46">
      <c r="A2600">
        <v>47019</v>
      </c>
      <c r="B2600" t="s">
        <v>15090</v>
      </c>
      <c r="C2600" t="s">
        <v>15091</v>
      </c>
      <c r="D2600" t="s">
        <v>15092</v>
      </c>
      <c r="E2600" t="s">
        <v>15093</v>
      </c>
      <c r="G2600" t="s">
        <v>667</v>
      </c>
      <c r="H2600" t="s">
        <v>3942</v>
      </c>
      <c r="I2600" t="s">
        <v>4065</v>
      </c>
      <c r="J2600" t="s">
        <v>3962</v>
      </c>
      <c r="K2600" t="s">
        <v>519</v>
      </c>
      <c r="M2600" t="s">
        <v>520</v>
      </c>
      <c r="N2600" t="s">
        <v>571</v>
      </c>
      <c r="O2600" t="s">
        <v>653</v>
      </c>
      <c r="P2600" t="s">
        <v>584</v>
      </c>
      <c r="Q2600" t="s">
        <v>638</v>
      </c>
      <c r="R2600" t="s">
        <v>639</v>
      </c>
      <c r="S2600" t="s">
        <v>668</v>
      </c>
      <c r="T2600" t="s">
        <v>527</v>
      </c>
      <c r="U2600">
        <v>113000</v>
      </c>
      <c r="V2600" t="s">
        <v>12944</v>
      </c>
      <c r="W2600" t="s">
        <v>657</v>
      </c>
      <c r="X2600" t="s">
        <v>15094</v>
      </c>
      <c r="Y2600" t="s">
        <v>15095</v>
      </c>
      <c r="Z2600" t="s">
        <v>919</v>
      </c>
      <c r="AA2600" t="s">
        <v>15096</v>
      </c>
      <c r="AB2600" t="s">
        <v>15097</v>
      </c>
      <c r="AE2600">
        <v>-36.586720370000002</v>
      </c>
      <c r="AF2600">
        <v>174.69217190000001</v>
      </c>
      <c r="AG2600">
        <v>90</v>
      </c>
      <c r="AH2600">
        <v>20</v>
      </c>
      <c r="AI2600">
        <v>2</v>
      </c>
      <c r="AJ2600">
        <v>11</v>
      </c>
      <c r="AK2600">
        <v>17</v>
      </c>
      <c r="AL2600">
        <v>13</v>
      </c>
      <c r="AM2600">
        <v>10</v>
      </c>
      <c r="AN2600">
        <v>2</v>
      </c>
      <c r="AO2600">
        <v>55</v>
      </c>
      <c r="AP2600">
        <v>35</v>
      </c>
      <c r="AQ2600">
        <v>0</v>
      </c>
      <c r="AR2600">
        <v>1</v>
      </c>
      <c r="AS2600">
        <v>17</v>
      </c>
      <c r="AT2600">
        <v>8</v>
      </c>
    </row>
    <row r="2601" spans="1:46">
      <c r="A2601">
        <v>47020</v>
      </c>
      <c r="B2601" t="s">
        <v>15098</v>
      </c>
      <c r="C2601" t="s">
        <v>15099</v>
      </c>
      <c r="D2601" t="s">
        <v>15100</v>
      </c>
      <c r="E2601" t="s">
        <v>15101</v>
      </c>
      <c r="G2601" t="s">
        <v>3369</v>
      </c>
      <c r="H2601" t="s">
        <v>3942</v>
      </c>
      <c r="J2601" t="s">
        <v>3962</v>
      </c>
      <c r="K2601" t="s">
        <v>519</v>
      </c>
      <c r="M2601" t="s">
        <v>2287</v>
      </c>
      <c r="N2601" t="s">
        <v>571</v>
      </c>
      <c r="O2601" t="s">
        <v>3360</v>
      </c>
      <c r="P2601" t="s">
        <v>523</v>
      </c>
      <c r="Q2601" t="s">
        <v>3337</v>
      </c>
      <c r="R2601" t="s">
        <v>3338</v>
      </c>
      <c r="S2601" t="s">
        <v>3250</v>
      </c>
      <c r="T2601" t="s">
        <v>2448</v>
      </c>
      <c r="U2601">
        <v>344900</v>
      </c>
      <c r="V2601" t="s">
        <v>3370</v>
      </c>
      <c r="W2601" t="s">
        <v>3371</v>
      </c>
      <c r="X2601" t="s">
        <v>15102</v>
      </c>
      <c r="Y2601" t="s">
        <v>15103</v>
      </c>
      <c r="AA2601" t="s">
        <v>15104</v>
      </c>
      <c r="AB2601" t="s">
        <v>15099</v>
      </c>
      <c r="AC2601">
        <v>99046</v>
      </c>
      <c r="AD2601" t="s">
        <v>3372</v>
      </c>
      <c r="AE2601">
        <v>-45.049744939999997</v>
      </c>
      <c r="AF2601">
        <v>169.17990370000001</v>
      </c>
      <c r="AG2601">
        <v>83</v>
      </c>
      <c r="AH2601">
        <v>25</v>
      </c>
      <c r="AI2601">
        <v>4</v>
      </c>
      <c r="AJ2601">
        <v>21</v>
      </c>
      <c r="AK2601">
        <v>26</v>
      </c>
      <c r="AL2601">
        <v>20</v>
      </c>
      <c r="AM2601">
        <v>24</v>
      </c>
      <c r="AN2601">
        <v>0</v>
      </c>
      <c r="AO2601">
        <v>95</v>
      </c>
      <c r="AP2601">
        <v>90</v>
      </c>
      <c r="AQ2601">
        <v>4</v>
      </c>
      <c r="AR2601">
        <v>0</v>
      </c>
      <c r="AS2601">
        <v>4</v>
      </c>
      <c r="AT2601">
        <v>1</v>
      </c>
    </row>
    <row r="2602" spans="1:46">
      <c r="A2602">
        <v>47021</v>
      </c>
      <c r="B2602" t="s">
        <v>15105</v>
      </c>
      <c r="C2602" t="s">
        <v>15106</v>
      </c>
      <c r="D2602" t="s">
        <v>15107</v>
      </c>
      <c r="E2602" t="s">
        <v>15108</v>
      </c>
      <c r="F2602" t="s">
        <v>15109</v>
      </c>
      <c r="G2602" t="s">
        <v>3335</v>
      </c>
      <c r="H2602" t="s">
        <v>517</v>
      </c>
      <c r="J2602" t="s">
        <v>518</v>
      </c>
      <c r="K2602" t="s">
        <v>519</v>
      </c>
      <c r="M2602" t="s">
        <v>2287</v>
      </c>
      <c r="N2602" t="s">
        <v>571</v>
      </c>
      <c r="O2602" t="s">
        <v>3336</v>
      </c>
      <c r="P2602" t="s">
        <v>540</v>
      </c>
      <c r="Q2602" t="s">
        <v>3337</v>
      </c>
      <c r="R2602" t="s">
        <v>3338</v>
      </c>
      <c r="S2602" t="s">
        <v>3250</v>
      </c>
      <c r="T2602" t="s">
        <v>2448</v>
      </c>
      <c r="U2602">
        <v>343700</v>
      </c>
      <c r="V2602" t="s">
        <v>15109</v>
      </c>
      <c r="W2602" t="s">
        <v>15110</v>
      </c>
      <c r="X2602" t="s">
        <v>3341</v>
      </c>
      <c r="Y2602" t="s">
        <v>3342</v>
      </c>
      <c r="AA2602" t="s">
        <v>3343</v>
      </c>
      <c r="AB2602" t="s">
        <v>3344</v>
      </c>
      <c r="AC2602">
        <v>99209</v>
      </c>
      <c r="AD2602" t="s">
        <v>15111</v>
      </c>
      <c r="AE2602">
        <v>-45.168151889999997</v>
      </c>
      <c r="AF2602">
        <v>170.83365128</v>
      </c>
      <c r="AG2602">
        <v>25</v>
      </c>
      <c r="AH2602">
        <v>0</v>
      </c>
      <c r="AI2602">
        <v>0</v>
      </c>
      <c r="AJ2602">
        <v>0</v>
      </c>
      <c r="AK2602">
        <v>6</v>
      </c>
      <c r="AL2602">
        <v>17</v>
      </c>
      <c r="AM2602">
        <v>9</v>
      </c>
      <c r="AN2602">
        <v>0</v>
      </c>
      <c r="AO2602">
        <v>32</v>
      </c>
      <c r="AP2602">
        <v>26</v>
      </c>
      <c r="AQ2602">
        <v>7</v>
      </c>
      <c r="AR2602">
        <v>3</v>
      </c>
      <c r="AS2602">
        <v>4</v>
      </c>
      <c r="AT2602">
        <v>1</v>
      </c>
    </row>
    <row r="2603" spans="1:46">
      <c r="A2603">
        <v>47023</v>
      </c>
      <c r="B2603" t="s">
        <v>15112</v>
      </c>
      <c r="C2603" t="s">
        <v>15113</v>
      </c>
      <c r="E2603" t="s">
        <v>15114</v>
      </c>
      <c r="F2603" t="s">
        <v>1398</v>
      </c>
      <c r="G2603" t="s">
        <v>1296</v>
      </c>
      <c r="H2603" t="s">
        <v>3942</v>
      </c>
      <c r="J2603" t="s">
        <v>518</v>
      </c>
      <c r="K2603" t="s">
        <v>519</v>
      </c>
      <c r="M2603" t="s">
        <v>1297</v>
      </c>
      <c r="N2603" t="s">
        <v>571</v>
      </c>
      <c r="O2603" t="s">
        <v>1298</v>
      </c>
      <c r="P2603" t="s">
        <v>654</v>
      </c>
      <c r="Q2603" t="s">
        <v>1299</v>
      </c>
      <c r="R2603" t="s">
        <v>1300</v>
      </c>
      <c r="S2603" t="s">
        <v>1312</v>
      </c>
      <c r="T2603" t="s">
        <v>1235</v>
      </c>
      <c r="U2603">
        <v>179600</v>
      </c>
      <c r="V2603" t="s">
        <v>8810</v>
      </c>
      <c r="W2603" t="s">
        <v>1314</v>
      </c>
      <c r="X2603" t="s">
        <v>8377</v>
      </c>
      <c r="Y2603" t="s">
        <v>3944</v>
      </c>
      <c r="Z2603" t="s">
        <v>3945</v>
      </c>
      <c r="AA2603" t="s">
        <v>3946</v>
      </c>
      <c r="AB2603" t="s">
        <v>8378</v>
      </c>
      <c r="AE2603">
        <v>-37.778497299999998</v>
      </c>
      <c r="AF2603">
        <v>175.29233058</v>
      </c>
      <c r="AG2603">
        <v>30</v>
      </c>
      <c r="AH2603">
        <v>10</v>
      </c>
      <c r="AI2603">
        <v>1</v>
      </c>
      <c r="AJ2603">
        <v>6</v>
      </c>
      <c r="AK2603">
        <v>7</v>
      </c>
      <c r="AL2603">
        <v>8</v>
      </c>
      <c r="AM2603">
        <v>7</v>
      </c>
      <c r="AN2603">
        <v>2</v>
      </c>
      <c r="AO2603">
        <v>31</v>
      </c>
      <c r="AP2603">
        <v>15</v>
      </c>
      <c r="AQ2603">
        <v>20</v>
      </c>
      <c r="AR2603">
        <v>2</v>
      </c>
      <c r="AS2603">
        <v>3</v>
      </c>
      <c r="AT2603">
        <v>3</v>
      </c>
    </row>
    <row r="2604" spans="1:46">
      <c r="A2604">
        <v>47030</v>
      </c>
      <c r="B2604" t="s">
        <v>15115</v>
      </c>
      <c r="C2604" t="s">
        <v>15116</v>
      </c>
      <c r="D2604" t="s">
        <v>15117</v>
      </c>
      <c r="E2604" t="s">
        <v>15118</v>
      </c>
      <c r="G2604" t="s">
        <v>2197</v>
      </c>
      <c r="H2604" t="s">
        <v>3942</v>
      </c>
      <c r="J2604" t="s">
        <v>3962</v>
      </c>
      <c r="K2604" t="s">
        <v>519</v>
      </c>
      <c r="M2604" t="s">
        <v>1297</v>
      </c>
      <c r="N2604" t="s">
        <v>571</v>
      </c>
      <c r="O2604" t="s">
        <v>2198</v>
      </c>
      <c r="P2604" t="s">
        <v>584</v>
      </c>
      <c r="Q2604" t="s">
        <v>2118</v>
      </c>
      <c r="R2604" t="s">
        <v>2084</v>
      </c>
      <c r="S2604" t="s">
        <v>2199</v>
      </c>
      <c r="T2604" t="s">
        <v>2085</v>
      </c>
      <c r="U2604">
        <v>209800</v>
      </c>
      <c r="V2604" t="s">
        <v>2244</v>
      </c>
      <c r="W2604" t="s">
        <v>2200</v>
      </c>
      <c r="X2604" t="s">
        <v>15119</v>
      </c>
      <c r="Y2604" t="s">
        <v>15118</v>
      </c>
      <c r="Z2604" t="s">
        <v>8698</v>
      </c>
      <c r="AA2604" t="s">
        <v>2204</v>
      </c>
      <c r="AB2604" t="s">
        <v>15116</v>
      </c>
      <c r="AE2604">
        <v>-39.619409820000001</v>
      </c>
      <c r="AF2604">
        <v>176.84799941</v>
      </c>
      <c r="AG2604">
        <v>88</v>
      </c>
      <c r="AH2604">
        <v>32</v>
      </c>
      <c r="AI2604">
        <v>9</v>
      </c>
      <c r="AJ2604">
        <v>19</v>
      </c>
      <c r="AK2604">
        <v>30</v>
      </c>
      <c r="AL2604">
        <v>24</v>
      </c>
      <c r="AM2604">
        <v>18</v>
      </c>
      <c r="AN2604">
        <v>0</v>
      </c>
      <c r="AO2604">
        <v>100</v>
      </c>
      <c r="AP2604">
        <v>90</v>
      </c>
      <c r="AQ2604">
        <v>27</v>
      </c>
      <c r="AR2604">
        <v>5</v>
      </c>
      <c r="AS2604">
        <v>8</v>
      </c>
      <c r="AT2604">
        <v>1</v>
      </c>
    </row>
    <row r="2605" spans="1:46">
      <c r="A2605">
        <v>47031</v>
      </c>
      <c r="B2605" t="s">
        <v>15120</v>
      </c>
      <c r="C2605" t="s">
        <v>15121</v>
      </c>
      <c r="D2605" t="s">
        <v>15122</v>
      </c>
      <c r="E2605" t="s">
        <v>15123</v>
      </c>
      <c r="F2605" t="s">
        <v>898</v>
      </c>
      <c r="G2605" t="s">
        <v>652</v>
      </c>
      <c r="H2605" t="s">
        <v>3942</v>
      </c>
      <c r="J2605" t="s">
        <v>3962</v>
      </c>
      <c r="K2605" t="s">
        <v>519</v>
      </c>
      <c r="M2605" t="s">
        <v>520</v>
      </c>
      <c r="N2605" t="s">
        <v>571</v>
      </c>
      <c r="O2605" t="s">
        <v>813</v>
      </c>
      <c r="P2605" t="s">
        <v>654</v>
      </c>
      <c r="Q2605" t="s">
        <v>638</v>
      </c>
      <c r="R2605" t="s">
        <v>639</v>
      </c>
      <c r="S2605" t="s">
        <v>899</v>
      </c>
      <c r="T2605" t="s">
        <v>527</v>
      </c>
      <c r="U2605">
        <v>125100</v>
      </c>
      <c r="V2605" t="s">
        <v>4305</v>
      </c>
      <c r="W2605" t="s">
        <v>815</v>
      </c>
      <c r="X2605" t="s">
        <v>15124</v>
      </c>
      <c r="Y2605" t="s">
        <v>15125</v>
      </c>
      <c r="Z2605" t="s">
        <v>4555</v>
      </c>
      <c r="AA2605" t="s">
        <v>4556</v>
      </c>
      <c r="AB2605" t="s">
        <v>15126</v>
      </c>
      <c r="AE2605">
        <v>-36.853157629999998</v>
      </c>
      <c r="AF2605">
        <v>174.63036177999999</v>
      </c>
      <c r="AG2605">
        <v>98</v>
      </c>
      <c r="AH2605">
        <v>30</v>
      </c>
      <c r="AI2605">
        <v>5</v>
      </c>
      <c r="AJ2605">
        <v>15</v>
      </c>
      <c r="AK2605">
        <v>25</v>
      </c>
      <c r="AL2605">
        <v>16</v>
      </c>
      <c r="AM2605">
        <v>16</v>
      </c>
      <c r="AN2605">
        <v>0</v>
      </c>
      <c r="AO2605">
        <v>77</v>
      </c>
      <c r="AP2605">
        <v>20</v>
      </c>
      <c r="AQ2605">
        <v>11</v>
      </c>
      <c r="AR2605">
        <v>10</v>
      </c>
      <c r="AS2605">
        <v>50</v>
      </c>
      <c r="AT2605">
        <v>6</v>
      </c>
    </row>
    <row r="2606" spans="1:46">
      <c r="A2606">
        <v>47033</v>
      </c>
      <c r="B2606" t="s">
        <v>15127</v>
      </c>
      <c r="C2606" t="s">
        <v>15128</v>
      </c>
      <c r="D2606" t="s">
        <v>15129</v>
      </c>
      <c r="E2606" t="s">
        <v>15130</v>
      </c>
      <c r="F2606" t="s">
        <v>737</v>
      </c>
      <c r="G2606" t="s">
        <v>652</v>
      </c>
      <c r="H2606" t="s">
        <v>3942</v>
      </c>
      <c r="I2606" t="s">
        <v>4065</v>
      </c>
      <c r="J2606" t="s">
        <v>3962</v>
      </c>
      <c r="K2606" t="s">
        <v>519</v>
      </c>
      <c r="M2606" t="s">
        <v>520</v>
      </c>
      <c r="N2606" t="s">
        <v>571</v>
      </c>
      <c r="O2606" t="s">
        <v>738</v>
      </c>
      <c r="P2606" t="s">
        <v>654</v>
      </c>
      <c r="Q2606" t="s">
        <v>638</v>
      </c>
      <c r="R2606" t="s">
        <v>639</v>
      </c>
      <c r="S2606" t="s">
        <v>756</v>
      </c>
      <c r="T2606" t="s">
        <v>527</v>
      </c>
      <c r="U2606">
        <v>124000</v>
      </c>
      <c r="V2606" t="s">
        <v>981</v>
      </c>
      <c r="W2606" t="s">
        <v>741</v>
      </c>
      <c r="X2606" t="s">
        <v>15131</v>
      </c>
      <c r="Y2606" t="s">
        <v>15130</v>
      </c>
      <c r="Z2606" t="s">
        <v>737</v>
      </c>
      <c r="AA2606" t="s">
        <v>6898</v>
      </c>
      <c r="AE2606">
        <v>-36.787920380000003</v>
      </c>
      <c r="AF2606">
        <v>174.72860661000001</v>
      </c>
      <c r="AG2606">
        <v>30</v>
      </c>
      <c r="AH2606">
        <v>0</v>
      </c>
      <c r="AI2606">
        <v>0</v>
      </c>
      <c r="AJ2606">
        <v>0</v>
      </c>
      <c r="AK2606">
        <v>3</v>
      </c>
      <c r="AL2606">
        <v>19</v>
      </c>
      <c r="AM2606">
        <v>12</v>
      </c>
      <c r="AN2606">
        <v>1</v>
      </c>
      <c r="AO2606">
        <v>35</v>
      </c>
      <c r="AP2606">
        <v>5</v>
      </c>
      <c r="AQ2606">
        <v>0</v>
      </c>
      <c r="AR2606">
        <v>1</v>
      </c>
      <c r="AS2606">
        <v>30</v>
      </c>
      <c r="AT2606">
        <v>0</v>
      </c>
    </row>
    <row r="2607" spans="1:46">
      <c r="A2607">
        <v>47034</v>
      </c>
      <c r="B2607" t="s">
        <v>15132</v>
      </c>
      <c r="C2607" t="s">
        <v>15133</v>
      </c>
      <c r="D2607" t="s">
        <v>13799</v>
      </c>
      <c r="E2607" t="s">
        <v>13800</v>
      </c>
      <c r="F2607" t="s">
        <v>4204</v>
      </c>
      <c r="G2607" t="s">
        <v>652</v>
      </c>
      <c r="H2607" t="s">
        <v>4716</v>
      </c>
      <c r="J2607" t="s">
        <v>3962</v>
      </c>
      <c r="K2607" t="s">
        <v>519</v>
      </c>
      <c r="M2607" t="s">
        <v>520</v>
      </c>
      <c r="N2607" t="s">
        <v>571</v>
      </c>
      <c r="O2607" t="s">
        <v>728</v>
      </c>
      <c r="P2607" t="s">
        <v>654</v>
      </c>
      <c r="Q2607" t="s">
        <v>638</v>
      </c>
      <c r="R2607" t="s">
        <v>729</v>
      </c>
      <c r="S2607" t="s">
        <v>1036</v>
      </c>
      <c r="T2607" t="s">
        <v>709</v>
      </c>
      <c r="U2607">
        <v>155500</v>
      </c>
      <c r="V2607" t="s">
        <v>4338</v>
      </c>
      <c r="W2607" t="s">
        <v>732</v>
      </c>
      <c r="X2607" t="s">
        <v>13801</v>
      </c>
      <c r="Y2607" t="s">
        <v>13802</v>
      </c>
      <c r="Z2607" t="s">
        <v>5104</v>
      </c>
      <c r="AA2607" t="s">
        <v>11753</v>
      </c>
      <c r="AE2607">
        <v>-36.987956490000002</v>
      </c>
      <c r="AF2607">
        <v>174.8758522</v>
      </c>
      <c r="AG2607">
        <v>40</v>
      </c>
      <c r="AH2607">
        <v>40</v>
      </c>
      <c r="AI2607">
        <v>3</v>
      </c>
      <c r="AJ2607">
        <v>1</v>
      </c>
      <c r="AK2607">
        <v>2</v>
      </c>
      <c r="AL2607">
        <v>4</v>
      </c>
      <c r="AM2607">
        <v>4</v>
      </c>
      <c r="AN2607">
        <v>1</v>
      </c>
      <c r="AO2607">
        <v>15</v>
      </c>
      <c r="AP2607">
        <v>0</v>
      </c>
      <c r="AQ2607">
        <v>0</v>
      </c>
      <c r="AR2607">
        <v>13</v>
      </c>
      <c r="AS2607">
        <v>2</v>
      </c>
      <c r="AT2607">
        <v>0</v>
      </c>
    </row>
    <row r="2608" spans="1:46">
      <c r="A2608">
        <v>47036</v>
      </c>
      <c r="B2608" t="s">
        <v>15134</v>
      </c>
      <c r="C2608" t="s">
        <v>15135</v>
      </c>
      <c r="E2608" t="s">
        <v>15136</v>
      </c>
      <c r="F2608" t="s">
        <v>10712</v>
      </c>
      <c r="G2608" t="s">
        <v>1545</v>
      </c>
      <c r="H2608" t="s">
        <v>3942</v>
      </c>
      <c r="J2608" t="s">
        <v>518</v>
      </c>
      <c r="K2608" t="s">
        <v>519</v>
      </c>
      <c r="M2608" t="s">
        <v>1297</v>
      </c>
      <c r="N2608" t="s">
        <v>571</v>
      </c>
      <c r="O2608" t="s">
        <v>1546</v>
      </c>
      <c r="P2608" t="s">
        <v>1262</v>
      </c>
      <c r="Q2608" t="s">
        <v>1299</v>
      </c>
      <c r="R2608" t="s">
        <v>1472</v>
      </c>
      <c r="S2608" t="s">
        <v>1320</v>
      </c>
      <c r="T2608" t="s">
        <v>1474</v>
      </c>
      <c r="U2608">
        <v>189300</v>
      </c>
      <c r="V2608" t="s">
        <v>1686</v>
      </c>
      <c r="W2608" t="s">
        <v>1548</v>
      </c>
      <c r="X2608" t="s">
        <v>10487</v>
      </c>
      <c r="Y2608" t="s">
        <v>3944</v>
      </c>
      <c r="Z2608" t="s">
        <v>3945</v>
      </c>
      <c r="AA2608" t="s">
        <v>3946</v>
      </c>
      <c r="AB2608" t="s">
        <v>10488</v>
      </c>
      <c r="AC2608">
        <v>99020</v>
      </c>
      <c r="AD2608" t="s">
        <v>1550</v>
      </c>
      <c r="AE2608">
        <v>-38.719598300000001</v>
      </c>
      <c r="AF2608">
        <v>176.08719859999999</v>
      </c>
      <c r="AG2608">
        <v>50</v>
      </c>
      <c r="AH2608">
        <v>0</v>
      </c>
      <c r="AI2608">
        <v>0</v>
      </c>
      <c r="AJ2608">
        <v>0</v>
      </c>
      <c r="AK2608">
        <v>17</v>
      </c>
      <c r="AL2608">
        <v>19</v>
      </c>
      <c r="AM2608">
        <v>19</v>
      </c>
      <c r="AN2608">
        <v>1</v>
      </c>
      <c r="AO2608">
        <v>56</v>
      </c>
      <c r="AP2608">
        <v>31</v>
      </c>
      <c r="AQ2608">
        <v>17</v>
      </c>
      <c r="AR2608">
        <v>7</v>
      </c>
      <c r="AS2608">
        <v>7</v>
      </c>
      <c r="AT2608">
        <v>9</v>
      </c>
    </row>
    <row r="2609" spans="1:46">
      <c r="A2609">
        <v>47039</v>
      </c>
      <c r="B2609" t="s">
        <v>15137</v>
      </c>
      <c r="C2609" t="s">
        <v>15138</v>
      </c>
      <c r="D2609" t="s">
        <v>15139</v>
      </c>
      <c r="E2609" t="s">
        <v>15140</v>
      </c>
      <c r="F2609" t="s">
        <v>3770</v>
      </c>
      <c r="G2609" t="s">
        <v>1598</v>
      </c>
      <c r="H2609" t="s">
        <v>3942</v>
      </c>
      <c r="J2609" t="s">
        <v>3962</v>
      </c>
      <c r="K2609" t="s">
        <v>519</v>
      </c>
      <c r="M2609" t="s">
        <v>1297</v>
      </c>
      <c r="N2609" t="s">
        <v>571</v>
      </c>
      <c r="O2609" t="s">
        <v>1698</v>
      </c>
      <c r="P2609" t="s">
        <v>654</v>
      </c>
      <c r="Q2609" t="s">
        <v>1471</v>
      </c>
      <c r="R2609" t="s">
        <v>1472</v>
      </c>
      <c r="S2609" t="s">
        <v>1699</v>
      </c>
      <c r="T2609" t="s">
        <v>1474</v>
      </c>
      <c r="U2609">
        <v>196202</v>
      </c>
      <c r="V2609" t="s">
        <v>15141</v>
      </c>
      <c r="W2609" t="s">
        <v>1701</v>
      </c>
      <c r="X2609" t="s">
        <v>12190</v>
      </c>
      <c r="Y2609" t="s">
        <v>12191</v>
      </c>
      <c r="Z2609" t="s">
        <v>12192</v>
      </c>
      <c r="AA2609" t="s">
        <v>12193</v>
      </c>
      <c r="AB2609" t="s">
        <v>12187</v>
      </c>
      <c r="AE2609">
        <v>-37.687757660000003</v>
      </c>
      <c r="AF2609">
        <v>176.246094</v>
      </c>
      <c r="AG2609">
        <v>75</v>
      </c>
      <c r="AH2609">
        <v>38</v>
      </c>
      <c r="AI2609">
        <v>5</v>
      </c>
      <c r="AJ2609">
        <v>18</v>
      </c>
      <c r="AK2609">
        <v>35</v>
      </c>
      <c r="AL2609">
        <v>14</v>
      </c>
      <c r="AM2609">
        <v>20</v>
      </c>
      <c r="AN2609">
        <v>1</v>
      </c>
      <c r="AO2609">
        <v>93</v>
      </c>
      <c r="AP2609">
        <v>87</v>
      </c>
      <c r="AQ2609">
        <v>20</v>
      </c>
      <c r="AR2609">
        <v>1</v>
      </c>
      <c r="AS2609">
        <v>2</v>
      </c>
      <c r="AT2609">
        <v>8</v>
      </c>
    </row>
    <row r="2610" spans="1:46">
      <c r="A2610">
        <v>47040</v>
      </c>
      <c r="B2610" t="s">
        <v>15142</v>
      </c>
      <c r="C2610" t="s">
        <v>15143</v>
      </c>
      <c r="D2610" t="s">
        <v>8035</v>
      </c>
      <c r="E2610" t="s">
        <v>15144</v>
      </c>
      <c r="F2610" t="s">
        <v>945</v>
      </c>
      <c r="G2610" t="s">
        <v>652</v>
      </c>
      <c r="H2610" t="s">
        <v>3942</v>
      </c>
      <c r="J2610" t="s">
        <v>3962</v>
      </c>
      <c r="K2610" t="s">
        <v>519</v>
      </c>
      <c r="M2610" t="s">
        <v>520</v>
      </c>
      <c r="N2610" t="s">
        <v>521</v>
      </c>
      <c r="O2610" t="s">
        <v>848</v>
      </c>
      <c r="P2610" t="s">
        <v>654</v>
      </c>
      <c r="Q2610" t="s">
        <v>638</v>
      </c>
      <c r="R2610" t="s">
        <v>729</v>
      </c>
      <c r="S2610" t="s">
        <v>849</v>
      </c>
      <c r="T2610" t="s">
        <v>709</v>
      </c>
      <c r="U2610">
        <v>152600</v>
      </c>
      <c r="V2610" t="s">
        <v>14586</v>
      </c>
      <c r="W2610" t="s">
        <v>732</v>
      </c>
      <c r="X2610" t="s">
        <v>8037</v>
      </c>
      <c r="Y2610" t="s">
        <v>8038</v>
      </c>
      <c r="AA2610" t="s">
        <v>8039</v>
      </c>
      <c r="AB2610" t="s">
        <v>8040</v>
      </c>
      <c r="AE2610">
        <v>-36.971441470000002</v>
      </c>
      <c r="AF2610">
        <v>174.81963913999999</v>
      </c>
      <c r="AG2610">
        <v>55</v>
      </c>
      <c r="AH2610">
        <v>15</v>
      </c>
      <c r="AI2610">
        <v>1</v>
      </c>
      <c r="AJ2610">
        <v>8</v>
      </c>
      <c r="AK2610">
        <v>12</v>
      </c>
      <c r="AL2610">
        <v>14</v>
      </c>
      <c r="AM2610">
        <v>9</v>
      </c>
      <c r="AN2610">
        <v>3</v>
      </c>
      <c r="AO2610">
        <v>47</v>
      </c>
      <c r="AP2610">
        <v>2</v>
      </c>
      <c r="AQ2610">
        <v>7</v>
      </c>
      <c r="AR2610">
        <v>19</v>
      </c>
      <c r="AS2610">
        <v>24</v>
      </c>
      <c r="AT2610">
        <v>2</v>
      </c>
    </row>
    <row r="2611" spans="1:46">
      <c r="A2611">
        <v>47041</v>
      </c>
      <c r="B2611" t="s">
        <v>15145</v>
      </c>
      <c r="C2611" t="s">
        <v>15146</v>
      </c>
      <c r="D2611" t="s">
        <v>15147</v>
      </c>
      <c r="E2611" t="s">
        <v>15148</v>
      </c>
      <c r="F2611" t="s">
        <v>828</v>
      </c>
      <c r="G2611" t="s">
        <v>652</v>
      </c>
      <c r="H2611" t="s">
        <v>3942</v>
      </c>
      <c r="J2611" t="s">
        <v>3962</v>
      </c>
      <c r="K2611" t="s">
        <v>519</v>
      </c>
      <c r="M2611" t="s">
        <v>520</v>
      </c>
      <c r="N2611" t="s">
        <v>557</v>
      </c>
      <c r="O2611" t="s">
        <v>829</v>
      </c>
      <c r="P2611" t="s">
        <v>654</v>
      </c>
      <c r="Q2611" t="s">
        <v>638</v>
      </c>
      <c r="R2611" t="s">
        <v>708</v>
      </c>
      <c r="S2611" t="s">
        <v>805</v>
      </c>
      <c r="T2611" t="s">
        <v>709</v>
      </c>
      <c r="U2611">
        <v>145600</v>
      </c>
      <c r="V2611" t="s">
        <v>13492</v>
      </c>
      <c r="W2611" t="s">
        <v>807</v>
      </c>
      <c r="X2611" t="s">
        <v>4839</v>
      </c>
      <c r="Y2611" t="s">
        <v>4840</v>
      </c>
      <c r="Z2611" t="s">
        <v>4841</v>
      </c>
      <c r="AA2611" t="s">
        <v>4484</v>
      </c>
      <c r="AE2611">
        <v>-36.916752649999999</v>
      </c>
      <c r="AF2611">
        <v>174.79916514000001</v>
      </c>
      <c r="AG2611">
        <v>60</v>
      </c>
      <c r="AH2611">
        <v>20</v>
      </c>
      <c r="AI2611">
        <v>2</v>
      </c>
      <c r="AJ2611">
        <v>8</v>
      </c>
      <c r="AK2611">
        <v>9</v>
      </c>
      <c r="AL2611">
        <v>13</v>
      </c>
      <c r="AM2611">
        <v>21</v>
      </c>
      <c r="AN2611">
        <v>0</v>
      </c>
      <c r="AO2611">
        <v>53</v>
      </c>
      <c r="AP2611">
        <v>5</v>
      </c>
      <c r="AQ2611">
        <v>12</v>
      </c>
      <c r="AR2611">
        <v>39</v>
      </c>
      <c r="AS2611">
        <v>10</v>
      </c>
      <c r="AT2611">
        <v>2</v>
      </c>
    </row>
    <row r="2612" spans="1:46">
      <c r="A2612">
        <v>47042</v>
      </c>
      <c r="B2612" t="s">
        <v>15149</v>
      </c>
      <c r="C2612" t="s">
        <v>15150</v>
      </c>
      <c r="E2612" t="s">
        <v>15151</v>
      </c>
      <c r="G2612" t="s">
        <v>1350</v>
      </c>
      <c r="H2612" t="s">
        <v>3942</v>
      </c>
      <c r="J2612" t="s">
        <v>3962</v>
      </c>
      <c r="K2612" t="s">
        <v>519</v>
      </c>
      <c r="M2612" t="s">
        <v>1297</v>
      </c>
      <c r="N2612" t="s">
        <v>557</v>
      </c>
      <c r="O2612" t="s">
        <v>1351</v>
      </c>
      <c r="P2612" t="s">
        <v>523</v>
      </c>
      <c r="Q2612" t="s">
        <v>1299</v>
      </c>
      <c r="R2612" t="s">
        <v>1300</v>
      </c>
      <c r="S2612" t="s">
        <v>1300</v>
      </c>
      <c r="T2612" t="s">
        <v>1235</v>
      </c>
      <c r="U2612">
        <v>172100</v>
      </c>
      <c r="V2612" t="s">
        <v>1352</v>
      </c>
      <c r="W2612" t="s">
        <v>1353</v>
      </c>
      <c r="X2612" t="s">
        <v>15152</v>
      </c>
      <c r="Y2612" t="s">
        <v>15153</v>
      </c>
      <c r="AA2612" t="s">
        <v>14912</v>
      </c>
      <c r="AB2612" t="s">
        <v>15154</v>
      </c>
      <c r="AE2612">
        <v>-37.67103651</v>
      </c>
      <c r="AF2612">
        <v>175.14704098999999</v>
      </c>
      <c r="AG2612">
        <v>30</v>
      </c>
      <c r="AH2612">
        <v>10</v>
      </c>
      <c r="AI2612">
        <v>2</v>
      </c>
      <c r="AJ2612">
        <v>5</v>
      </c>
      <c r="AK2612">
        <v>6</v>
      </c>
      <c r="AL2612">
        <v>9</v>
      </c>
      <c r="AM2612">
        <v>5</v>
      </c>
      <c r="AN2612">
        <v>2</v>
      </c>
      <c r="AO2612">
        <v>29</v>
      </c>
      <c r="AP2612">
        <v>18</v>
      </c>
      <c r="AQ2612">
        <v>21</v>
      </c>
      <c r="AR2612">
        <v>4</v>
      </c>
      <c r="AS2612">
        <v>4</v>
      </c>
      <c r="AT2612">
        <v>0</v>
      </c>
    </row>
    <row r="2613" spans="1:46">
      <c r="A2613">
        <v>47044</v>
      </c>
      <c r="B2613" t="s">
        <v>15155</v>
      </c>
      <c r="C2613" t="s">
        <v>15156</v>
      </c>
      <c r="E2613" t="s">
        <v>15157</v>
      </c>
      <c r="F2613" t="s">
        <v>898</v>
      </c>
      <c r="G2613" t="s">
        <v>652</v>
      </c>
      <c r="H2613" t="s">
        <v>4716</v>
      </c>
      <c r="J2613" t="s">
        <v>3962</v>
      </c>
      <c r="K2613" t="s">
        <v>519</v>
      </c>
      <c r="M2613" t="s">
        <v>520</v>
      </c>
      <c r="N2613" t="s">
        <v>727</v>
      </c>
      <c r="O2613" t="s">
        <v>813</v>
      </c>
      <c r="P2613" t="s">
        <v>654</v>
      </c>
      <c r="Q2613" t="s">
        <v>638</v>
      </c>
      <c r="R2613" t="s">
        <v>639</v>
      </c>
      <c r="S2613" t="s">
        <v>899</v>
      </c>
      <c r="T2613" t="s">
        <v>527</v>
      </c>
      <c r="U2613">
        <v>126100</v>
      </c>
      <c r="V2613" t="s">
        <v>5013</v>
      </c>
      <c r="W2613" t="s">
        <v>815</v>
      </c>
      <c r="X2613" t="s">
        <v>15158</v>
      </c>
      <c r="Y2613" t="s">
        <v>15157</v>
      </c>
      <c r="Z2613" t="s">
        <v>898</v>
      </c>
      <c r="AA2613" t="s">
        <v>3964</v>
      </c>
      <c r="AB2613" t="s">
        <v>15156</v>
      </c>
      <c r="AE2613">
        <v>-36.877258249999997</v>
      </c>
      <c r="AF2613">
        <v>174.61819308</v>
      </c>
      <c r="AG2613">
        <v>60</v>
      </c>
      <c r="AH2613">
        <v>60</v>
      </c>
      <c r="AI2613">
        <v>2</v>
      </c>
      <c r="AJ2613">
        <v>3</v>
      </c>
      <c r="AK2613">
        <v>1</v>
      </c>
      <c r="AL2613">
        <v>6</v>
      </c>
      <c r="AM2613">
        <v>4</v>
      </c>
      <c r="AN2613">
        <v>0</v>
      </c>
      <c r="AO2613">
        <v>16</v>
      </c>
      <c r="AP2613">
        <v>0</v>
      </c>
      <c r="AQ2613">
        <v>2</v>
      </c>
      <c r="AR2613">
        <v>15</v>
      </c>
      <c r="AS2613">
        <v>0</v>
      </c>
      <c r="AT2613">
        <v>1</v>
      </c>
    </row>
    <row r="2614" spans="1:46">
      <c r="A2614">
        <v>47047</v>
      </c>
      <c r="B2614" t="s">
        <v>15159</v>
      </c>
      <c r="C2614" t="s">
        <v>15160</v>
      </c>
      <c r="E2614" t="s">
        <v>15161</v>
      </c>
      <c r="F2614" t="s">
        <v>8591</v>
      </c>
      <c r="G2614" t="s">
        <v>1296</v>
      </c>
      <c r="H2614" t="s">
        <v>3942</v>
      </c>
      <c r="J2614" t="s">
        <v>3962</v>
      </c>
      <c r="K2614" t="s">
        <v>519</v>
      </c>
      <c r="M2614" t="s">
        <v>1297</v>
      </c>
      <c r="N2614" t="s">
        <v>571</v>
      </c>
      <c r="O2614" t="s">
        <v>1298</v>
      </c>
      <c r="P2614" t="s">
        <v>654</v>
      </c>
      <c r="Q2614" t="s">
        <v>1299</v>
      </c>
      <c r="R2614" t="s">
        <v>1300</v>
      </c>
      <c r="S2614" t="s">
        <v>1312</v>
      </c>
      <c r="T2614" t="s">
        <v>1235</v>
      </c>
      <c r="U2614">
        <v>175801</v>
      </c>
      <c r="V2614" t="s">
        <v>8592</v>
      </c>
      <c r="W2614" t="s">
        <v>1314</v>
      </c>
      <c r="X2614" t="s">
        <v>15162</v>
      </c>
      <c r="Y2614" t="s">
        <v>15163</v>
      </c>
      <c r="Z2614" t="s">
        <v>1345</v>
      </c>
      <c r="AA2614" t="s">
        <v>8650</v>
      </c>
      <c r="AB2614" t="s">
        <v>15164</v>
      </c>
      <c r="AE2614">
        <v>-37.737416400000001</v>
      </c>
      <c r="AF2614">
        <v>175.25680539999999</v>
      </c>
      <c r="AG2614">
        <v>20</v>
      </c>
      <c r="AH2614">
        <v>0</v>
      </c>
      <c r="AI2614">
        <v>0</v>
      </c>
      <c r="AJ2614">
        <v>0</v>
      </c>
      <c r="AK2614">
        <v>6</v>
      </c>
      <c r="AL2614">
        <v>5</v>
      </c>
      <c r="AM2614">
        <v>7</v>
      </c>
      <c r="AN2614">
        <v>0</v>
      </c>
      <c r="AO2614">
        <v>18</v>
      </c>
      <c r="AP2614">
        <v>9</v>
      </c>
      <c r="AQ2614">
        <v>12</v>
      </c>
      <c r="AR2614">
        <v>5</v>
      </c>
      <c r="AS2614">
        <v>3</v>
      </c>
      <c r="AT2614">
        <v>0</v>
      </c>
    </row>
    <row r="2615" spans="1:46">
      <c r="A2615">
        <v>47051</v>
      </c>
      <c r="B2615" t="s">
        <v>15165</v>
      </c>
      <c r="C2615" t="s">
        <v>11681</v>
      </c>
      <c r="E2615" t="s">
        <v>11682</v>
      </c>
      <c r="F2615" t="s">
        <v>3990</v>
      </c>
      <c r="G2615" t="s">
        <v>652</v>
      </c>
      <c r="H2615" t="s">
        <v>4716</v>
      </c>
      <c r="J2615" t="s">
        <v>3962</v>
      </c>
      <c r="K2615" t="s">
        <v>519</v>
      </c>
      <c r="M2615" t="s">
        <v>520</v>
      </c>
      <c r="N2615" t="s">
        <v>727</v>
      </c>
      <c r="O2615" t="s">
        <v>728</v>
      </c>
      <c r="P2615" t="s">
        <v>654</v>
      </c>
      <c r="Q2615" t="s">
        <v>638</v>
      </c>
      <c r="R2615" t="s">
        <v>729</v>
      </c>
      <c r="S2615" t="s">
        <v>778</v>
      </c>
      <c r="T2615" t="s">
        <v>709</v>
      </c>
      <c r="U2615">
        <v>156000</v>
      </c>
      <c r="V2615" t="s">
        <v>6408</v>
      </c>
      <c r="W2615" t="s">
        <v>732</v>
      </c>
      <c r="X2615" t="s">
        <v>11683</v>
      </c>
      <c r="Y2615" t="s">
        <v>11684</v>
      </c>
      <c r="Z2615" t="s">
        <v>828</v>
      </c>
      <c r="AA2615" t="s">
        <v>6880</v>
      </c>
      <c r="AE2615">
        <v>-36.960500830000001</v>
      </c>
      <c r="AF2615">
        <v>174.89595969999999</v>
      </c>
      <c r="AG2615">
        <v>50</v>
      </c>
      <c r="AH2615">
        <v>50</v>
      </c>
      <c r="AI2615">
        <v>5</v>
      </c>
      <c r="AJ2615">
        <v>5</v>
      </c>
      <c r="AK2615">
        <v>8</v>
      </c>
      <c r="AL2615">
        <v>4</v>
      </c>
      <c r="AM2615">
        <v>10</v>
      </c>
      <c r="AN2615">
        <v>1</v>
      </c>
      <c r="AO2615">
        <v>33</v>
      </c>
      <c r="AP2615">
        <v>3</v>
      </c>
      <c r="AQ2615">
        <v>0</v>
      </c>
      <c r="AR2615">
        <v>29</v>
      </c>
      <c r="AS2615">
        <v>4</v>
      </c>
      <c r="AT2615">
        <v>0</v>
      </c>
    </row>
    <row r="2616" spans="1:46">
      <c r="A2616">
        <v>47054</v>
      </c>
      <c r="B2616" t="s">
        <v>15166</v>
      </c>
      <c r="C2616" t="s">
        <v>15167</v>
      </c>
      <c r="E2616" t="s">
        <v>15168</v>
      </c>
      <c r="F2616" t="s">
        <v>10075</v>
      </c>
      <c r="G2616" t="s">
        <v>1521</v>
      </c>
      <c r="H2616" t="s">
        <v>3942</v>
      </c>
      <c r="I2616" t="s">
        <v>3644</v>
      </c>
      <c r="J2616" t="s">
        <v>518</v>
      </c>
      <c r="K2616" t="s">
        <v>519</v>
      </c>
      <c r="M2616" t="s">
        <v>1297</v>
      </c>
      <c r="N2616" t="s">
        <v>727</v>
      </c>
      <c r="O2616" t="s">
        <v>1522</v>
      </c>
      <c r="P2616" t="s">
        <v>584</v>
      </c>
      <c r="Q2616" t="s">
        <v>1471</v>
      </c>
      <c r="R2616" t="s">
        <v>1472</v>
      </c>
      <c r="S2616" t="s">
        <v>1521</v>
      </c>
      <c r="T2616" t="s">
        <v>1474</v>
      </c>
      <c r="U2616">
        <v>199700</v>
      </c>
      <c r="V2616" t="s">
        <v>1520</v>
      </c>
      <c r="W2616" t="s">
        <v>1523</v>
      </c>
      <c r="X2616" t="s">
        <v>15169</v>
      </c>
      <c r="Y2616" t="s">
        <v>15170</v>
      </c>
      <c r="AA2616" t="s">
        <v>8908</v>
      </c>
      <c r="AC2616">
        <v>99107</v>
      </c>
      <c r="AD2616" t="s">
        <v>1526</v>
      </c>
      <c r="AE2616">
        <v>-38.138832299999997</v>
      </c>
      <c r="AF2616">
        <v>176.22370584999999</v>
      </c>
      <c r="AG2616">
        <v>20</v>
      </c>
      <c r="AH2616">
        <v>0</v>
      </c>
      <c r="AI2616">
        <v>0</v>
      </c>
      <c r="AJ2616">
        <v>1</v>
      </c>
      <c r="AK2616">
        <v>8</v>
      </c>
      <c r="AL2616">
        <v>7</v>
      </c>
      <c r="AM2616">
        <v>9</v>
      </c>
      <c r="AN2616">
        <v>1</v>
      </c>
      <c r="AO2616">
        <v>26</v>
      </c>
      <c r="AP2616">
        <v>3</v>
      </c>
      <c r="AQ2616">
        <v>15</v>
      </c>
      <c r="AR2616">
        <v>14</v>
      </c>
      <c r="AS2616">
        <v>1</v>
      </c>
      <c r="AT2616">
        <v>0</v>
      </c>
    </row>
    <row r="2617" spans="1:46">
      <c r="A2617">
        <v>47060</v>
      </c>
      <c r="B2617" t="s">
        <v>15171</v>
      </c>
      <c r="C2617" t="s">
        <v>15172</v>
      </c>
      <c r="E2617" t="s">
        <v>15173</v>
      </c>
      <c r="G2617" t="s">
        <v>1987</v>
      </c>
      <c r="H2617" t="s">
        <v>4716</v>
      </c>
      <c r="J2617" t="s">
        <v>3962</v>
      </c>
      <c r="K2617" t="s">
        <v>519</v>
      </c>
      <c r="M2617" t="s">
        <v>1297</v>
      </c>
      <c r="N2617" t="s">
        <v>571</v>
      </c>
      <c r="O2617" t="s">
        <v>1988</v>
      </c>
      <c r="P2617" t="s">
        <v>1262</v>
      </c>
      <c r="Q2617" t="s">
        <v>1636</v>
      </c>
      <c r="R2617" t="s">
        <v>1760</v>
      </c>
      <c r="S2617" t="s">
        <v>1637</v>
      </c>
      <c r="T2617" t="s">
        <v>1485</v>
      </c>
      <c r="U2617">
        <v>228200</v>
      </c>
      <c r="V2617" t="s">
        <v>2027</v>
      </c>
      <c r="W2617" t="s">
        <v>1990</v>
      </c>
      <c r="X2617" t="s">
        <v>15174</v>
      </c>
      <c r="Y2617" t="s">
        <v>15175</v>
      </c>
      <c r="AA2617" t="s">
        <v>15176</v>
      </c>
      <c r="AB2617" t="s">
        <v>15177</v>
      </c>
      <c r="AC2617">
        <v>99134</v>
      </c>
      <c r="AD2617" t="s">
        <v>1991</v>
      </c>
      <c r="AE2617">
        <v>-40.219381859999999</v>
      </c>
      <c r="AF2617">
        <v>175.56211139999999</v>
      </c>
      <c r="AG2617">
        <v>80</v>
      </c>
      <c r="AH2617">
        <v>80</v>
      </c>
      <c r="AI2617">
        <v>3</v>
      </c>
      <c r="AJ2617">
        <v>12</v>
      </c>
      <c r="AK2617">
        <v>15</v>
      </c>
      <c r="AL2617">
        <v>13</v>
      </c>
      <c r="AM2617">
        <v>7</v>
      </c>
      <c r="AN2617">
        <v>0</v>
      </c>
      <c r="AO2617">
        <v>50</v>
      </c>
      <c r="AP2617">
        <v>33</v>
      </c>
      <c r="AQ2617">
        <v>22</v>
      </c>
      <c r="AR2617">
        <v>0</v>
      </c>
      <c r="AS2617">
        <v>3</v>
      </c>
      <c r="AT2617">
        <v>1</v>
      </c>
    </row>
    <row r="2618" spans="1:46">
      <c r="A2618">
        <v>47061</v>
      </c>
      <c r="B2618" t="s">
        <v>15178</v>
      </c>
      <c r="C2618" t="s">
        <v>15179</v>
      </c>
      <c r="D2618" t="s">
        <v>15180</v>
      </c>
      <c r="E2618" t="s">
        <v>15181</v>
      </c>
      <c r="G2618" t="s">
        <v>11192</v>
      </c>
      <c r="H2618" t="s">
        <v>3942</v>
      </c>
      <c r="J2618" t="s">
        <v>3962</v>
      </c>
      <c r="K2618" t="s">
        <v>519</v>
      </c>
      <c r="M2618" t="s">
        <v>2287</v>
      </c>
      <c r="N2618" t="s">
        <v>571</v>
      </c>
      <c r="O2618" t="s">
        <v>3835</v>
      </c>
      <c r="P2618" t="s">
        <v>1262</v>
      </c>
      <c r="Q2618" t="s">
        <v>3337</v>
      </c>
      <c r="R2618" t="s">
        <v>3338</v>
      </c>
      <c r="S2618" t="s">
        <v>3250</v>
      </c>
      <c r="T2618" t="s">
        <v>2448</v>
      </c>
      <c r="U2618">
        <v>346701</v>
      </c>
      <c r="V2618" t="s">
        <v>15182</v>
      </c>
      <c r="W2618" t="s">
        <v>11194</v>
      </c>
      <c r="X2618" t="s">
        <v>15183</v>
      </c>
      <c r="Y2618" t="s">
        <v>15184</v>
      </c>
      <c r="AA2618" t="s">
        <v>11196</v>
      </c>
      <c r="AB2618" t="s">
        <v>15185</v>
      </c>
      <c r="AE2618">
        <v>-44.69002236</v>
      </c>
      <c r="AF2618">
        <v>169.14114917000001</v>
      </c>
      <c r="AG2618">
        <v>70</v>
      </c>
      <c r="AH2618">
        <v>16</v>
      </c>
      <c r="AI2618">
        <v>2</v>
      </c>
      <c r="AJ2618">
        <v>22</v>
      </c>
      <c r="AK2618">
        <v>33</v>
      </c>
      <c r="AL2618">
        <v>29</v>
      </c>
      <c r="AM2618">
        <v>22</v>
      </c>
      <c r="AN2618">
        <v>0</v>
      </c>
      <c r="AO2618">
        <v>108</v>
      </c>
      <c r="AP2618">
        <v>99</v>
      </c>
      <c r="AQ2618">
        <v>6</v>
      </c>
      <c r="AR2618">
        <v>0</v>
      </c>
      <c r="AS2618">
        <v>10</v>
      </c>
      <c r="AT2618">
        <v>4</v>
      </c>
    </row>
    <row r="2619" spans="1:46">
      <c r="A2619">
        <v>47062</v>
      </c>
      <c r="B2619" t="s">
        <v>15186</v>
      </c>
      <c r="C2619" t="s">
        <v>15187</v>
      </c>
      <c r="D2619" t="s">
        <v>15188</v>
      </c>
      <c r="E2619" t="s">
        <v>15189</v>
      </c>
      <c r="F2619" t="s">
        <v>847</v>
      </c>
      <c r="G2619" t="s">
        <v>652</v>
      </c>
      <c r="H2619" t="s">
        <v>3942</v>
      </c>
      <c r="J2619" t="s">
        <v>3962</v>
      </c>
      <c r="K2619" t="s">
        <v>519</v>
      </c>
      <c r="M2619" t="s">
        <v>520</v>
      </c>
      <c r="N2619" t="s">
        <v>521</v>
      </c>
      <c r="O2619" t="s">
        <v>848</v>
      </c>
      <c r="P2619" t="s">
        <v>654</v>
      </c>
      <c r="Q2619" t="s">
        <v>638</v>
      </c>
      <c r="R2619" t="s">
        <v>729</v>
      </c>
      <c r="S2619" t="s">
        <v>849</v>
      </c>
      <c r="T2619" t="s">
        <v>709</v>
      </c>
      <c r="U2619">
        <v>151600</v>
      </c>
      <c r="V2619" t="s">
        <v>15190</v>
      </c>
      <c r="W2619" t="s">
        <v>732</v>
      </c>
      <c r="X2619" t="s">
        <v>15191</v>
      </c>
      <c r="Y2619" t="s">
        <v>15192</v>
      </c>
      <c r="Z2619" t="s">
        <v>847</v>
      </c>
      <c r="AA2619" t="s">
        <v>13641</v>
      </c>
      <c r="AB2619" t="s">
        <v>15187</v>
      </c>
      <c r="AE2619">
        <v>-36.974465029999998</v>
      </c>
      <c r="AF2619">
        <v>174.81418979</v>
      </c>
      <c r="AG2619">
        <v>37</v>
      </c>
      <c r="AH2619">
        <v>4</v>
      </c>
      <c r="AI2619">
        <v>0</v>
      </c>
      <c r="AJ2619">
        <v>4</v>
      </c>
      <c r="AK2619">
        <v>10</v>
      </c>
      <c r="AL2619">
        <v>10</v>
      </c>
      <c r="AM2619">
        <v>9</v>
      </c>
      <c r="AN2619">
        <v>2</v>
      </c>
      <c r="AO2619">
        <v>35</v>
      </c>
      <c r="AP2619">
        <v>0</v>
      </c>
      <c r="AQ2619">
        <v>5</v>
      </c>
      <c r="AR2619">
        <v>24</v>
      </c>
      <c r="AS2619">
        <v>11</v>
      </c>
      <c r="AT2619">
        <v>0</v>
      </c>
    </row>
    <row r="2620" spans="1:46">
      <c r="A2620">
        <v>47069</v>
      </c>
      <c r="B2620" t="s">
        <v>15193</v>
      </c>
      <c r="C2620" t="s">
        <v>15194</v>
      </c>
      <c r="D2620" t="s">
        <v>15195</v>
      </c>
      <c r="E2620" t="s">
        <v>15196</v>
      </c>
      <c r="F2620" t="s">
        <v>872</v>
      </c>
      <c r="G2620" t="s">
        <v>652</v>
      </c>
      <c r="H2620" t="s">
        <v>3942</v>
      </c>
      <c r="J2620" t="s">
        <v>518</v>
      </c>
      <c r="K2620" t="s">
        <v>519</v>
      </c>
      <c r="M2620" t="s">
        <v>520</v>
      </c>
      <c r="N2620" t="s">
        <v>557</v>
      </c>
      <c r="O2620" t="s">
        <v>873</v>
      </c>
      <c r="P2620" t="s">
        <v>654</v>
      </c>
      <c r="Q2620" t="s">
        <v>638</v>
      </c>
      <c r="R2620" t="s">
        <v>639</v>
      </c>
      <c r="S2620" t="s">
        <v>719</v>
      </c>
      <c r="T2620" t="s">
        <v>709</v>
      </c>
      <c r="U2620">
        <v>131500</v>
      </c>
      <c r="V2620" t="s">
        <v>6246</v>
      </c>
      <c r="W2620" t="s">
        <v>815</v>
      </c>
      <c r="X2620" t="s">
        <v>7715</v>
      </c>
      <c r="Y2620" t="s">
        <v>7716</v>
      </c>
      <c r="Z2620" t="s">
        <v>644</v>
      </c>
      <c r="AA2620" t="s">
        <v>645</v>
      </c>
      <c r="AB2620" t="s">
        <v>7717</v>
      </c>
      <c r="AE2620">
        <v>-36.909355329999997</v>
      </c>
      <c r="AF2620">
        <v>174.64782986</v>
      </c>
      <c r="AG2620">
        <v>30</v>
      </c>
      <c r="AH2620">
        <v>0</v>
      </c>
      <c r="AI2620">
        <v>0</v>
      </c>
      <c r="AJ2620">
        <v>0</v>
      </c>
      <c r="AK2620">
        <v>2</v>
      </c>
      <c r="AL2620">
        <v>7</v>
      </c>
      <c r="AM2620">
        <v>6</v>
      </c>
      <c r="AN2620">
        <v>1</v>
      </c>
      <c r="AO2620">
        <v>16</v>
      </c>
      <c r="AP2620">
        <v>5</v>
      </c>
      <c r="AQ2620">
        <v>5</v>
      </c>
      <c r="AR2620">
        <v>4</v>
      </c>
      <c r="AS2620">
        <v>6</v>
      </c>
      <c r="AT2620">
        <v>1</v>
      </c>
    </row>
    <row r="2621" spans="1:46">
      <c r="A2621">
        <v>47073</v>
      </c>
      <c r="B2621" t="s">
        <v>15197</v>
      </c>
      <c r="C2621" t="s">
        <v>6838</v>
      </c>
      <c r="D2621" t="s">
        <v>15198</v>
      </c>
      <c r="E2621" t="s">
        <v>15199</v>
      </c>
      <c r="F2621" t="s">
        <v>6014</v>
      </c>
      <c r="G2621" t="s">
        <v>652</v>
      </c>
      <c r="H2621" t="s">
        <v>3942</v>
      </c>
      <c r="I2621" t="s">
        <v>3644</v>
      </c>
      <c r="J2621" t="s">
        <v>3962</v>
      </c>
      <c r="K2621" t="s">
        <v>519</v>
      </c>
      <c r="M2621" t="s">
        <v>520</v>
      </c>
      <c r="N2621" t="s">
        <v>727</v>
      </c>
      <c r="O2621" t="s">
        <v>1268</v>
      </c>
      <c r="P2621" t="s">
        <v>654</v>
      </c>
      <c r="Q2621" t="s">
        <v>638</v>
      </c>
      <c r="R2621" t="s">
        <v>729</v>
      </c>
      <c r="S2621" t="s">
        <v>1234</v>
      </c>
      <c r="T2621" t="s">
        <v>1235</v>
      </c>
      <c r="U2621">
        <v>163600</v>
      </c>
      <c r="V2621" t="s">
        <v>7555</v>
      </c>
      <c r="W2621" t="s">
        <v>1219</v>
      </c>
      <c r="X2621" t="s">
        <v>7616</v>
      </c>
      <c r="Y2621" t="s">
        <v>7617</v>
      </c>
      <c r="Z2621" t="s">
        <v>3945</v>
      </c>
      <c r="AA2621" t="s">
        <v>4585</v>
      </c>
      <c r="AE2621">
        <v>-37.067870419999998</v>
      </c>
      <c r="AF2621">
        <v>174.95920597</v>
      </c>
      <c r="AG2621">
        <v>30</v>
      </c>
      <c r="AH2621">
        <v>5</v>
      </c>
      <c r="AI2621">
        <v>0</v>
      </c>
      <c r="AJ2621">
        <v>0</v>
      </c>
      <c r="AK2621">
        <v>2</v>
      </c>
      <c r="AL2621">
        <v>10</v>
      </c>
      <c r="AM2621">
        <v>21</v>
      </c>
      <c r="AN2621">
        <v>0</v>
      </c>
      <c r="AO2621">
        <v>33</v>
      </c>
      <c r="AP2621">
        <v>1</v>
      </c>
      <c r="AQ2621">
        <v>2</v>
      </c>
      <c r="AR2621">
        <v>33</v>
      </c>
      <c r="AS2621">
        <v>0</v>
      </c>
      <c r="AT2621">
        <v>0</v>
      </c>
    </row>
    <row r="2622" spans="1:46">
      <c r="A2622">
        <v>47077</v>
      </c>
      <c r="B2622" t="s">
        <v>15200</v>
      </c>
      <c r="D2622" t="s">
        <v>14377</v>
      </c>
      <c r="E2622" t="s">
        <v>15201</v>
      </c>
      <c r="F2622" t="s">
        <v>8255</v>
      </c>
      <c r="G2622" t="s">
        <v>652</v>
      </c>
      <c r="H2622" t="s">
        <v>4716</v>
      </c>
      <c r="J2622" t="s">
        <v>3962</v>
      </c>
      <c r="K2622" t="s">
        <v>519</v>
      </c>
      <c r="M2622" t="s">
        <v>520</v>
      </c>
      <c r="N2622" t="s">
        <v>571</v>
      </c>
      <c r="O2622" t="s">
        <v>1168</v>
      </c>
      <c r="P2622" t="s">
        <v>654</v>
      </c>
      <c r="Q2622" t="s">
        <v>638</v>
      </c>
      <c r="R2622" t="s">
        <v>639</v>
      </c>
      <c r="S2622" t="s">
        <v>655</v>
      </c>
      <c r="T2622" t="s">
        <v>527</v>
      </c>
      <c r="U2622">
        <v>118600</v>
      </c>
      <c r="V2622" t="s">
        <v>4012</v>
      </c>
      <c r="W2622" t="s">
        <v>657</v>
      </c>
      <c r="X2622" t="s">
        <v>6268</v>
      </c>
      <c r="Y2622" t="s">
        <v>6269</v>
      </c>
      <c r="Z2622" t="s">
        <v>3706</v>
      </c>
      <c r="AA2622" t="s">
        <v>6270</v>
      </c>
      <c r="AB2622" t="s">
        <v>6271</v>
      </c>
      <c r="AE2622">
        <v>-36.74475485</v>
      </c>
      <c r="AF2622">
        <v>174.69697859999999</v>
      </c>
      <c r="AG2622">
        <v>80</v>
      </c>
      <c r="AH2622">
        <v>80</v>
      </c>
      <c r="AI2622">
        <v>7</v>
      </c>
      <c r="AJ2622">
        <v>8</v>
      </c>
      <c r="AK2622">
        <v>13</v>
      </c>
      <c r="AL2622">
        <v>7</v>
      </c>
      <c r="AM2622">
        <v>12</v>
      </c>
      <c r="AN2622">
        <v>2</v>
      </c>
      <c r="AO2622">
        <v>49</v>
      </c>
      <c r="AP2622">
        <v>0</v>
      </c>
      <c r="AQ2622">
        <v>0</v>
      </c>
      <c r="AR2622">
        <v>0</v>
      </c>
      <c r="AS2622">
        <v>48</v>
      </c>
      <c r="AT2622">
        <v>2</v>
      </c>
    </row>
    <row r="2623" spans="1:46">
      <c r="A2623">
        <v>47080</v>
      </c>
      <c r="B2623" t="s">
        <v>15202</v>
      </c>
      <c r="E2623" t="s">
        <v>15203</v>
      </c>
      <c r="F2623" t="s">
        <v>822</v>
      </c>
      <c r="G2623" t="s">
        <v>652</v>
      </c>
      <c r="H2623" t="s">
        <v>4032</v>
      </c>
      <c r="I2623" t="s">
        <v>4033</v>
      </c>
      <c r="J2623" t="s">
        <v>518</v>
      </c>
      <c r="K2623" t="s">
        <v>519</v>
      </c>
      <c r="M2623" t="s">
        <v>520</v>
      </c>
      <c r="N2623" t="s">
        <v>727</v>
      </c>
      <c r="O2623" t="s">
        <v>857</v>
      </c>
      <c r="P2623" t="s">
        <v>654</v>
      </c>
      <c r="Q2623" t="s">
        <v>638</v>
      </c>
      <c r="R2623" t="s">
        <v>708</v>
      </c>
      <c r="S2623" t="s">
        <v>822</v>
      </c>
      <c r="T2623" t="s">
        <v>709</v>
      </c>
      <c r="U2623">
        <v>141500</v>
      </c>
      <c r="V2623" t="s">
        <v>5872</v>
      </c>
      <c r="W2623" t="s">
        <v>860</v>
      </c>
      <c r="X2623" t="s">
        <v>4034</v>
      </c>
      <c r="Y2623" t="s">
        <v>4035</v>
      </c>
      <c r="Z2623" t="s">
        <v>4036</v>
      </c>
      <c r="AA2623" t="s">
        <v>4037</v>
      </c>
      <c r="AB2623" t="s">
        <v>4038</v>
      </c>
      <c r="AE2623">
        <v>-36.894309909999997</v>
      </c>
      <c r="AF2623">
        <v>174.77912696000001</v>
      </c>
      <c r="AG2623">
        <v>10</v>
      </c>
      <c r="AH2623">
        <v>10</v>
      </c>
    </row>
    <row r="2624" spans="1:46">
      <c r="A2624">
        <v>47081</v>
      </c>
      <c r="B2624" t="s">
        <v>15204</v>
      </c>
      <c r="C2624" t="s">
        <v>15205</v>
      </c>
      <c r="D2624" t="s">
        <v>15206</v>
      </c>
      <c r="E2624" t="s">
        <v>15207</v>
      </c>
      <c r="F2624" t="s">
        <v>812</v>
      </c>
      <c r="G2624" t="s">
        <v>652</v>
      </c>
      <c r="H2624" t="s">
        <v>3942</v>
      </c>
      <c r="J2624" t="s">
        <v>3962</v>
      </c>
      <c r="K2624" t="s">
        <v>519</v>
      </c>
      <c r="M2624" t="s">
        <v>520</v>
      </c>
      <c r="N2624" t="s">
        <v>571</v>
      </c>
      <c r="O2624" t="s">
        <v>813</v>
      </c>
      <c r="P2624" t="s">
        <v>654</v>
      </c>
      <c r="Q2624" t="s">
        <v>638</v>
      </c>
      <c r="R2624" t="s">
        <v>639</v>
      </c>
      <c r="S2624" t="s">
        <v>640</v>
      </c>
      <c r="T2624" t="s">
        <v>527</v>
      </c>
      <c r="U2624">
        <v>118800</v>
      </c>
      <c r="V2624" t="s">
        <v>14684</v>
      </c>
      <c r="W2624" t="s">
        <v>815</v>
      </c>
      <c r="X2624" t="s">
        <v>15208</v>
      </c>
      <c r="Y2624" t="s">
        <v>3981</v>
      </c>
      <c r="AA2624" t="s">
        <v>3982</v>
      </c>
      <c r="AB2624" t="s">
        <v>15205</v>
      </c>
      <c r="AC2624">
        <v>99125</v>
      </c>
      <c r="AD2624" t="s">
        <v>816</v>
      </c>
      <c r="AE2624">
        <v>-36.822124719999998</v>
      </c>
      <c r="AF2624">
        <v>174.6077938</v>
      </c>
      <c r="AG2624">
        <v>110</v>
      </c>
      <c r="AH2624">
        <v>36</v>
      </c>
      <c r="AI2624">
        <v>7</v>
      </c>
      <c r="AJ2624">
        <v>36</v>
      </c>
      <c r="AK2624">
        <v>28</v>
      </c>
      <c r="AL2624">
        <v>23</v>
      </c>
      <c r="AM2624">
        <v>30</v>
      </c>
      <c r="AN2624">
        <v>0</v>
      </c>
      <c r="AO2624">
        <v>124</v>
      </c>
      <c r="AP2624">
        <v>62</v>
      </c>
      <c r="AQ2624">
        <v>16</v>
      </c>
      <c r="AR2624">
        <v>16</v>
      </c>
      <c r="AS2624">
        <v>49</v>
      </c>
      <c r="AT2624">
        <v>12</v>
      </c>
    </row>
    <row r="2625" spans="1:46">
      <c r="A2625">
        <v>47082</v>
      </c>
      <c r="B2625" t="s">
        <v>15209</v>
      </c>
      <c r="C2625" t="s">
        <v>15210</v>
      </c>
      <c r="D2625" t="s">
        <v>15211</v>
      </c>
      <c r="E2625" t="s">
        <v>15212</v>
      </c>
      <c r="F2625" t="s">
        <v>8255</v>
      </c>
      <c r="G2625" t="s">
        <v>652</v>
      </c>
      <c r="H2625" t="s">
        <v>3942</v>
      </c>
      <c r="J2625" t="s">
        <v>3962</v>
      </c>
      <c r="K2625" t="s">
        <v>519</v>
      </c>
      <c r="M2625" t="s">
        <v>520</v>
      </c>
      <c r="N2625" t="s">
        <v>571</v>
      </c>
      <c r="O2625" t="s">
        <v>1168</v>
      </c>
      <c r="P2625" t="s">
        <v>654</v>
      </c>
      <c r="Q2625" t="s">
        <v>638</v>
      </c>
      <c r="R2625" t="s">
        <v>639</v>
      </c>
      <c r="S2625" t="s">
        <v>655</v>
      </c>
      <c r="T2625" t="s">
        <v>527</v>
      </c>
      <c r="U2625">
        <v>118600</v>
      </c>
      <c r="V2625" t="s">
        <v>4012</v>
      </c>
      <c r="W2625" t="s">
        <v>657</v>
      </c>
      <c r="X2625" t="s">
        <v>15213</v>
      </c>
      <c r="Y2625" t="s">
        <v>3981</v>
      </c>
      <c r="AA2625" t="s">
        <v>3982</v>
      </c>
      <c r="AB2625" t="s">
        <v>15214</v>
      </c>
      <c r="AE2625">
        <v>-36.742634539999997</v>
      </c>
      <c r="AF2625">
        <v>174.72858389999999</v>
      </c>
      <c r="AG2625">
        <v>100</v>
      </c>
      <c r="AH2625">
        <v>35</v>
      </c>
      <c r="AI2625">
        <v>4</v>
      </c>
      <c r="AJ2625">
        <v>15</v>
      </c>
      <c r="AK2625">
        <v>14</v>
      </c>
      <c r="AL2625">
        <v>14</v>
      </c>
      <c r="AM2625">
        <v>18</v>
      </c>
      <c r="AN2625">
        <v>0</v>
      </c>
      <c r="AO2625">
        <v>65</v>
      </c>
      <c r="AP2625">
        <v>19</v>
      </c>
      <c r="AQ2625">
        <v>4</v>
      </c>
      <c r="AR2625">
        <v>1</v>
      </c>
      <c r="AS2625">
        <v>40</v>
      </c>
      <c r="AT2625">
        <v>9</v>
      </c>
    </row>
    <row r="2626" spans="1:46">
      <c r="A2626">
        <v>47083</v>
      </c>
      <c r="B2626" t="s">
        <v>15215</v>
      </c>
      <c r="C2626" t="s">
        <v>15216</v>
      </c>
      <c r="D2626" t="s">
        <v>12875</v>
      </c>
      <c r="E2626" t="s">
        <v>15217</v>
      </c>
      <c r="F2626" t="s">
        <v>6885</v>
      </c>
      <c r="G2626" t="s">
        <v>652</v>
      </c>
      <c r="H2626" t="s">
        <v>3942</v>
      </c>
      <c r="J2626" t="s">
        <v>3962</v>
      </c>
      <c r="K2626" t="s">
        <v>519</v>
      </c>
      <c r="M2626" t="s">
        <v>520</v>
      </c>
      <c r="N2626" t="s">
        <v>571</v>
      </c>
      <c r="O2626" t="s">
        <v>857</v>
      </c>
      <c r="P2626" t="s">
        <v>654</v>
      </c>
      <c r="Q2626" t="s">
        <v>638</v>
      </c>
      <c r="R2626" t="s">
        <v>708</v>
      </c>
      <c r="S2626" t="s">
        <v>719</v>
      </c>
      <c r="T2626" t="s">
        <v>709</v>
      </c>
      <c r="U2626">
        <v>131100</v>
      </c>
      <c r="V2626" t="s">
        <v>6885</v>
      </c>
      <c r="W2626" t="s">
        <v>860</v>
      </c>
      <c r="X2626" t="s">
        <v>12877</v>
      </c>
      <c r="Y2626" t="s">
        <v>12876</v>
      </c>
      <c r="Z2626" t="s">
        <v>5976</v>
      </c>
      <c r="AA2626" t="s">
        <v>4537</v>
      </c>
      <c r="AE2626">
        <v>-36.879108199999997</v>
      </c>
      <c r="AF2626">
        <v>174.70145540999999</v>
      </c>
      <c r="AG2626">
        <v>70</v>
      </c>
      <c r="AH2626">
        <v>25</v>
      </c>
      <c r="AI2626">
        <v>2</v>
      </c>
      <c r="AJ2626">
        <v>17</v>
      </c>
      <c r="AK2626">
        <v>15</v>
      </c>
      <c r="AL2626">
        <v>20</v>
      </c>
      <c r="AM2626">
        <v>13</v>
      </c>
      <c r="AN2626">
        <v>0</v>
      </c>
      <c r="AO2626">
        <v>67</v>
      </c>
      <c r="AP2626">
        <v>63</v>
      </c>
      <c r="AQ2626">
        <v>6</v>
      </c>
      <c r="AR2626">
        <v>2</v>
      </c>
      <c r="AS2626">
        <v>5</v>
      </c>
      <c r="AT2626">
        <v>3</v>
      </c>
    </row>
    <row r="2627" spans="1:46">
      <c r="A2627">
        <v>47084</v>
      </c>
      <c r="B2627" t="s">
        <v>15218</v>
      </c>
      <c r="C2627" t="s">
        <v>15219</v>
      </c>
      <c r="D2627" t="s">
        <v>15220</v>
      </c>
      <c r="E2627" t="s">
        <v>15221</v>
      </c>
      <c r="F2627" t="s">
        <v>15222</v>
      </c>
      <c r="G2627" t="s">
        <v>652</v>
      </c>
      <c r="H2627" t="s">
        <v>3942</v>
      </c>
      <c r="I2627" t="s">
        <v>4065</v>
      </c>
      <c r="J2627" t="s">
        <v>518</v>
      </c>
      <c r="K2627" t="s">
        <v>519</v>
      </c>
      <c r="M2627" t="s">
        <v>520</v>
      </c>
      <c r="N2627" t="s">
        <v>571</v>
      </c>
      <c r="O2627" t="s">
        <v>857</v>
      </c>
      <c r="P2627" t="s">
        <v>654</v>
      </c>
      <c r="Q2627" t="s">
        <v>638</v>
      </c>
      <c r="R2627" t="s">
        <v>708</v>
      </c>
      <c r="S2627" t="s">
        <v>822</v>
      </c>
      <c r="T2627" t="s">
        <v>709</v>
      </c>
      <c r="U2627">
        <v>137800</v>
      </c>
      <c r="V2627" t="s">
        <v>4687</v>
      </c>
      <c r="W2627" t="s">
        <v>860</v>
      </c>
      <c r="X2627" t="s">
        <v>15223</v>
      </c>
      <c r="Y2627" t="s">
        <v>15224</v>
      </c>
      <c r="Z2627" t="s">
        <v>1017</v>
      </c>
      <c r="AA2627" t="s">
        <v>5824</v>
      </c>
      <c r="AB2627" t="s">
        <v>15225</v>
      </c>
      <c r="AE2627">
        <v>-36.87329038</v>
      </c>
      <c r="AF2627">
        <v>174.75969796999999</v>
      </c>
      <c r="AG2627">
        <v>30</v>
      </c>
      <c r="AH2627">
        <v>0</v>
      </c>
      <c r="AI2627">
        <v>0</v>
      </c>
      <c r="AJ2627">
        <v>0</v>
      </c>
      <c r="AK2627">
        <v>0</v>
      </c>
      <c r="AL2627">
        <v>7</v>
      </c>
      <c r="AM2627">
        <v>5</v>
      </c>
      <c r="AN2627">
        <v>2</v>
      </c>
      <c r="AO2627">
        <v>14</v>
      </c>
      <c r="AP2627">
        <v>4</v>
      </c>
      <c r="AQ2627">
        <v>1</v>
      </c>
      <c r="AR2627">
        <v>1</v>
      </c>
      <c r="AS2627">
        <v>8</v>
      </c>
      <c r="AT2627">
        <v>2</v>
      </c>
    </row>
    <row r="2628" spans="1:46">
      <c r="A2628">
        <v>47085</v>
      </c>
      <c r="B2628" t="s">
        <v>15226</v>
      </c>
      <c r="C2628" t="s">
        <v>15227</v>
      </c>
      <c r="E2628" t="s">
        <v>15228</v>
      </c>
      <c r="G2628" t="s">
        <v>1296</v>
      </c>
      <c r="H2628" t="s">
        <v>3942</v>
      </c>
      <c r="J2628" t="s">
        <v>3962</v>
      </c>
      <c r="K2628" t="s">
        <v>519</v>
      </c>
      <c r="M2628" t="s">
        <v>1297</v>
      </c>
      <c r="N2628" t="s">
        <v>571</v>
      </c>
      <c r="O2628" t="s">
        <v>1298</v>
      </c>
      <c r="P2628" t="s">
        <v>654</v>
      </c>
      <c r="Q2628" t="s">
        <v>1299</v>
      </c>
      <c r="R2628" t="s">
        <v>1300</v>
      </c>
      <c r="S2628" t="s">
        <v>1301</v>
      </c>
      <c r="T2628" t="s">
        <v>1235</v>
      </c>
      <c r="U2628">
        <v>176301</v>
      </c>
      <c r="V2628" t="s">
        <v>8429</v>
      </c>
      <c r="W2628" t="s">
        <v>1303</v>
      </c>
      <c r="X2628" t="s">
        <v>15229</v>
      </c>
      <c r="Y2628" t="s">
        <v>15228</v>
      </c>
      <c r="AA2628" t="s">
        <v>9576</v>
      </c>
      <c r="AE2628">
        <v>-37.758256950000003</v>
      </c>
      <c r="AF2628">
        <v>175.23018605999999</v>
      </c>
      <c r="AG2628">
        <v>110</v>
      </c>
      <c r="AH2628">
        <v>30</v>
      </c>
      <c r="AI2628">
        <v>3</v>
      </c>
      <c r="AJ2628">
        <v>9</v>
      </c>
      <c r="AK2628">
        <v>10</v>
      </c>
      <c r="AL2628">
        <v>9</v>
      </c>
      <c r="AM2628">
        <v>8</v>
      </c>
      <c r="AN2628">
        <v>0</v>
      </c>
      <c r="AO2628">
        <v>39</v>
      </c>
      <c r="AP2628">
        <v>23</v>
      </c>
      <c r="AQ2628">
        <v>15</v>
      </c>
      <c r="AR2628">
        <v>3</v>
      </c>
      <c r="AS2628">
        <v>15</v>
      </c>
      <c r="AT2628">
        <v>0</v>
      </c>
    </row>
    <row r="2629" spans="1:46">
      <c r="A2629">
        <v>47086</v>
      </c>
      <c r="B2629" t="s">
        <v>15230</v>
      </c>
      <c r="C2629" t="s">
        <v>15231</v>
      </c>
      <c r="D2629" t="s">
        <v>15232</v>
      </c>
      <c r="E2629" t="s">
        <v>15233</v>
      </c>
      <c r="F2629" t="s">
        <v>1283</v>
      </c>
      <c r="G2629" t="s">
        <v>652</v>
      </c>
      <c r="H2629" t="s">
        <v>4716</v>
      </c>
      <c r="J2629" t="s">
        <v>3962</v>
      </c>
      <c r="K2629" t="s">
        <v>519</v>
      </c>
      <c r="M2629" t="s">
        <v>520</v>
      </c>
      <c r="N2629" t="s">
        <v>727</v>
      </c>
      <c r="O2629" t="s">
        <v>728</v>
      </c>
      <c r="P2629" t="s">
        <v>654</v>
      </c>
      <c r="Q2629" t="s">
        <v>638</v>
      </c>
      <c r="R2629" t="s">
        <v>729</v>
      </c>
      <c r="S2629" t="s">
        <v>778</v>
      </c>
      <c r="T2629" t="s">
        <v>709</v>
      </c>
      <c r="U2629">
        <v>157701</v>
      </c>
      <c r="V2629" t="s">
        <v>4495</v>
      </c>
      <c r="W2629" t="s">
        <v>732</v>
      </c>
      <c r="X2629" t="s">
        <v>15234</v>
      </c>
      <c r="Y2629" t="s">
        <v>15233</v>
      </c>
      <c r="Z2629" t="s">
        <v>1283</v>
      </c>
      <c r="AA2629" t="s">
        <v>4620</v>
      </c>
      <c r="AE2629">
        <v>-36.978050459999999</v>
      </c>
      <c r="AF2629">
        <v>174.89182500999999</v>
      </c>
      <c r="AG2629">
        <v>50</v>
      </c>
      <c r="AH2629">
        <v>50</v>
      </c>
      <c r="AI2629">
        <v>4</v>
      </c>
      <c r="AJ2629">
        <v>10</v>
      </c>
      <c r="AK2629">
        <v>8</v>
      </c>
      <c r="AL2629">
        <v>9</v>
      </c>
      <c r="AM2629">
        <v>9</v>
      </c>
      <c r="AN2629">
        <v>0</v>
      </c>
      <c r="AO2629">
        <v>40</v>
      </c>
      <c r="AP2629">
        <v>1</v>
      </c>
      <c r="AQ2629">
        <v>1</v>
      </c>
      <c r="AR2629">
        <v>33</v>
      </c>
      <c r="AS2629">
        <v>7</v>
      </c>
      <c r="AT2629">
        <v>0</v>
      </c>
    </row>
    <row r="2630" spans="1:46">
      <c r="A2630">
        <v>47087</v>
      </c>
      <c r="B2630" t="s">
        <v>15235</v>
      </c>
      <c r="C2630" t="s">
        <v>15236</v>
      </c>
      <c r="E2630" t="s">
        <v>12321</v>
      </c>
      <c r="F2630" t="s">
        <v>12322</v>
      </c>
      <c r="G2630" t="s">
        <v>2941</v>
      </c>
      <c r="H2630" t="s">
        <v>4716</v>
      </c>
      <c r="J2630" t="s">
        <v>3962</v>
      </c>
      <c r="K2630" t="s">
        <v>519</v>
      </c>
      <c r="M2630" t="s">
        <v>2287</v>
      </c>
      <c r="N2630" t="s">
        <v>571</v>
      </c>
      <c r="O2630" t="s">
        <v>2942</v>
      </c>
      <c r="P2630" t="s">
        <v>654</v>
      </c>
      <c r="Q2630" t="s">
        <v>2943</v>
      </c>
      <c r="R2630" t="s">
        <v>2944</v>
      </c>
      <c r="S2630" t="s">
        <v>2973</v>
      </c>
      <c r="T2630" t="s">
        <v>2448</v>
      </c>
      <c r="U2630">
        <v>326000</v>
      </c>
      <c r="V2630" t="s">
        <v>12322</v>
      </c>
      <c r="W2630" t="s">
        <v>2974</v>
      </c>
      <c r="X2630" t="s">
        <v>12323</v>
      </c>
      <c r="Y2630" t="s">
        <v>12324</v>
      </c>
      <c r="Z2630" t="s">
        <v>2972</v>
      </c>
      <c r="AA2630" t="s">
        <v>12325</v>
      </c>
      <c r="AB2630" t="s">
        <v>15236</v>
      </c>
      <c r="AE2630">
        <v>-43.480429729999997</v>
      </c>
      <c r="AF2630">
        <v>172.71740684</v>
      </c>
      <c r="AG2630">
        <v>80</v>
      </c>
      <c r="AH2630">
        <v>80</v>
      </c>
      <c r="AI2630">
        <v>2</v>
      </c>
      <c r="AJ2630">
        <v>15</v>
      </c>
      <c r="AK2630">
        <v>6</v>
      </c>
      <c r="AL2630">
        <v>12</v>
      </c>
      <c r="AM2630">
        <v>7</v>
      </c>
      <c r="AN2630">
        <v>0</v>
      </c>
      <c r="AO2630">
        <v>42</v>
      </c>
      <c r="AP2630">
        <v>14</v>
      </c>
      <c r="AQ2630">
        <v>2</v>
      </c>
      <c r="AR2630">
        <v>6</v>
      </c>
      <c r="AS2630">
        <v>25</v>
      </c>
      <c r="AT2630">
        <v>0</v>
      </c>
    </row>
    <row r="2631" spans="1:46">
      <c r="A2631">
        <v>47088</v>
      </c>
      <c r="B2631" t="s">
        <v>15237</v>
      </c>
      <c r="C2631" t="s">
        <v>15238</v>
      </c>
      <c r="E2631" t="s">
        <v>15239</v>
      </c>
      <c r="G2631" t="s">
        <v>563</v>
      </c>
      <c r="H2631" t="s">
        <v>3942</v>
      </c>
      <c r="J2631" t="s">
        <v>3962</v>
      </c>
      <c r="K2631" t="s">
        <v>519</v>
      </c>
      <c r="M2631" t="s">
        <v>520</v>
      </c>
      <c r="N2631" t="s">
        <v>539</v>
      </c>
      <c r="O2631" t="s">
        <v>564</v>
      </c>
      <c r="P2631" t="s">
        <v>523</v>
      </c>
      <c r="Q2631" t="s">
        <v>524</v>
      </c>
      <c r="R2631" t="s">
        <v>525</v>
      </c>
      <c r="S2631" t="s">
        <v>526</v>
      </c>
      <c r="T2631" t="s">
        <v>527</v>
      </c>
      <c r="U2631">
        <v>109301</v>
      </c>
      <c r="V2631" t="s">
        <v>563</v>
      </c>
      <c r="W2631" t="s">
        <v>565</v>
      </c>
      <c r="X2631" t="s">
        <v>3980</v>
      </c>
      <c r="Y2631" t="s">
        <v>4107</v>
      </c>
      <c r="AA2631" t="s">
        <v>3982</v>
      </c>
      <c r="AE2631">
        <v>-35.952418199999997</v>
      </c>
      <c r="AF2631">
        <v>173.86327170000001</v>
      </c>
      <c r="AG2631">
        <v>89</v>
      </c>
      <c r="AH2631">
        <v>20</v>
      </c>
      <c r="AI2631">
        <v>5</v>
      </c>
      <c r="AJ2631">
        <v>16</v>
      </c>
      <c r="AK2631">
        <v>24</v>
      </c>
      <c r="AL2631">
        <v>24</v>
      </c>
      <c r="AM2631">
        <v>21</v>
      </c>
      <c r="AN2631">
        <v>3</v>
      </c>
      <c r="AO2631">
        <v>93</v>
      </c>
      <c r="AP2631">
        <v>69</v>
      </c>
      <c r="AQ2631">
        <v>42</v>
      </c>
      <c r="AR2631">
        <v>4</v>
      </c>
      <c r="AS2631">
        <v>7</v>
      </c>
      <c r="AT2631">
        <v>2</v>
      </c>
    </row>
    <row r="2632" spans="1:46">
      <c r="A2632">
        <v>47091</v>
      </c>
      <c r="B2632" t="s">
        <v>15240</v>
      </c>
      <c r="C2632" t="s">
        <v>15241</v>
      </c>
      <c r="E2632" t="s">
        <v>15242</v>
      </c>
      <c r="F2632" t="s">
        <v>15243</v>
      </c>
      <c r="G2632" t="s">
        <v>3382</v>
      </c>
      <c r="H2632" t="s">
        <v>3942</v>
      </c>
      <c r="I2632" t="s">
        <v>4231</v>
      </c>
      <c r="J2632" t="s">
        <v>518</v>
      </c>
      <c r="K2632" t="s">
        <v>519</v>
      </c>
      <c r="M2632" t="s">
        <v>2287</v>
      </c>
      <c r="N2632" t="s">
        <v>571</v>
      </c>
      <c r="O2632" t="s">
        <v>3383</v>
      </c>
      <c r="P2632" t="s">
        <v>654</v>
      </c>
      <c r="Q2632" t="s">
        <v>3337</v>
      </c>
      <c r="R2632" t="s">
        <v>3338</v>
      </c>
      <c r="S2632" t="s">
        <v>3382</v>
      </c>
      <c r="T2632" t="s">
        <v>2448</v>
      </c>
      <c r="U2632">
        <v>351300</v>
      </c>
      <c r="V2632" t="s">
        <v>15244</v>
      </c>
      <c r="W2632" t="s">
        <v>1652</v>
      </c>
      <c r="X2632" t="s">
        <v>15245</v>
      </c>
      <c r="Y2632" t="s">
        <v>15242</v>
      </c>
      <c r="Z2632" t="s">
        <v>15246</v>
      </c>
      <c r="AA2632" t="s">
        <v>15247</v>
      </c>
      <c r="AB2632" t="s">
        <v>15241</v>
      </c>
      <c r="AE2632">
        <v>-45.843818050000003</v>
      </c>
      <c r="AF2632">
        <v>170.51759999000001</v>
      </c>
      <c r="AG2632">
        <v>30</v>
      </c>
      <c r="AH2632">
        <v>10</v>
      </c>
      <c r="AI2632">
        <v>2</v>
      </c>
      <c r="AJ2632">
        <v>3</v>
      </c>
      <c r="AK2632">
        <v>6</v>
      </c>
      <c r="AL2632">
        <v>7</v>
      </c>
      <c r="AM2632">
        <v>3</v>
      </c>
      <c r="AN2632">
        <v>1</v>
      </c>
      <c r="AO2632">
        <v>22</v>
      </c>
      <c r="AP2632">
        <v>18</v>
      </c>
      <c r="AQ2632">
        <v>3</v>
      </c>
      <c r="AR2632">
        <v>0</v>
      </c>
      <c r="AS2632">
        <v>2</v>
      </c>
      <c r="AT2632">
        <v>3</v>
      </c>
    </row>
    <row r="2633" spans="1:46">
      <c r="A2633">
        <v>47093</v>
      </c>
      <c r="B2633" t="s">
        <v>15248</v>
      </c>
      <c r="C2633" t="s">
        <v>15249</v>
      </c>
      <c r="E2633" t="s">
        <v>15250</v>
      </c>
      <c r="F2633" t="s">
        <v>945</v>
      </c>
      <c r="G2633" t="s">
        <v>652</v>
      </c>
      <c r="H2633" t="s">
        <v>3942</v>
      </c>
      <c r="J2633" t="s">
        <v>3962</v>
      </c>
      <c r="K2633" t="s">
        <v>519</v>
      </c>
      <c r="M2633" t="s">
        <v>520</v>
      </c>
      <c r="N2633" t="s">
        <v>727</v>
      </c>
      <c r="O2633" t="s">
        <v>848</v>
      </c>
      <c r="P2633" t="s">
        <v>654</v>
      </c>
      <c r="Q2633" t="s">
        <v>638</v>
      </c>
      <c r="R2633" t="s">
        <v>729</v>
      </c>
      <c r="S2633" t="s">
        <v>849</v>
      </c>
      <c r="T2633" t="s">
        <v>709</v>
      </c>
      <c r="U2633">
        <v>150800</v>
      </c>
      <c r="V2633" t="s">
        <v>7526</v>
      </c>
      <c r="W2633" t="s">
        <v>732</v>
      </c>
      <c r="X2633" t="s">
        <v>15251</v>
      </c>
      <c r="Y2633" t="s">
        <v>15252</v>
      </c>
      <c r="Z2633" t="s">
        <v>945</v>
      </c>
      <c r="AA2633" t="s">
        <v>7456</v>
      </c>
      <c r="AB2633" t="s">
        <v>5096</v>
      </c>
      <c r="AE2633">
        <v>-36.958286690000001</v>
      </c>
      <c r="AF2633">
        <v>174.82527191</v>
      </c>
      <c r="AG2633">
        <v>70</v>
      </c>
      <c r="AH2633">
        <v>15</v>
      </c>
      <c r="AI2633">
        <v>0</v>
      </c>
      <c r="AJ2633">
        <v>9</v>
      </c>
      <c r="AK2633">
        <v>15</v>
      </c>
      <c r="AL2633">
        <v>18</v>
      </c>
      <c r="AM2633">
        <v>13</v>
      </c>
      <c r="AN2633">
        <v>2</v>
      </c>
      <c r="AO2633">
        <v>57</v>
      </c>
      <c r="AP2633">
        <v>4</v>
      </c>
      <c r="AQ2633">
        <v>6</v>
      </c>
      <c r="AR2633">
        <v>49</v>
      </c>
      <c r="AS2633">
        <v>8</v>
      </c>
      <c r="AT2633">
        <v>0</v>
      </c>
    </row>
    <row r="2634" spans="1:46">
      <c r="A2634">
        <v>47095</v>
      </c>
      <c r="B2634" t="s">
        <v>15253</v>
      </c>
      <c r="D2634" t="s">
        <v>15254</v>
      </c>
      <c r="E2634" t="s">
        <v>15255</v>
      </c>
      <c r="F2634" t="s">
        <v>769</v>
      </c>
      <c r="G2634" t="s">
        <v>652</v>
      </c>
      <c r="H2634" t="s">
        <v>3942</v>
      </c>
      <c r="J2634" t="s">
        <v>3962</v>
      </c>
      <c r="K2634" t="s">
        <v>519</v>
      </c>
      <c r="M2634" t="s">
        <v>520</v>
      </c>
      <c r="N2634" t="s">
        <v>571</v>
      </c>
      <c r="O2634" t="s">
        <v>718</v>
      </c>
      <c r="P2634" t="s">
        <v>654</v>
      </c>
      <c r="Q2634" t="s">
        <v>638</v>
      </c>
      <c r="R2634" t="s">
        <v>708</v>
      </c>
      <c r="S2634" t="s">
        <v>913</v>
      </c>
      <c r="T2634" t="s">
        <v>709</v>
      </c>
      <c r="U2634">
        <v>138301</v>
      </c>
      <c r="V2634" t="s">
        <v>7006</v>
      </c>
      <c r="W2634" t="s">
        <v>721</v>
      </c>
      <c r="X2634" t="s">
        <v>15256</v>
      </c>
      <c r="Y2634" t="s">
        <v>15255</v>
      </c>
      <c r="Z2634" t="s">
        <v>769</v>
      </c>
      <c r="AA2634" t="s">
        <v>4333</v>
      </c>
      <c r="AE2634">
        <v>-36.912464159999999</v>
      </c>
      <c r="AF2634">
        <v>174.71646501999999</v>
      </c>
      <c r="AG2634">
        <v>50</v>
      </c>
      <c r="AH2634">
        <v>10</v>
      </c>
      <c r="AI2634">
        <v>3</v>
      </c>
      <c r="AJ2634">
        <v>8</v>
      </c>
      <c r="AK2634">
        <v>12</v>
      </c>
      <c r="AL2634">
        <v>17</v>
      </c>
      <c r="AM2634">
        <v>12</v>
      </c>
      <c r="AN2634">
        <v>0</v>
      </c>
      <c r="AO2634">
        <v>52</v>
      </c>
      <c r="AP2634">
        <v>18</v>
      </c>
      <c r="AQ2634">
        <v>3</v>
      </c>
      <c r="AR2634">
        <v>3</v>
      </c>
      <c r="AS2634">
        <v>29</v>
      </c>
      <c r="AT2634">
        <v>5</v>
      </c>
    </row>
    <row r="2635" spans="1:46">
      <c r="A2635">
        <v>47096</v>
      </c>
      <c r="B2635" t="s">
        <v>12419</v>
      </c>
      <c r="C2635" t="s">
        <v>15257</v>
      </c>
      <c r="D2635" t="s">
        <v>15258</v>
      </c>
      <c r="E2635" t="s">
        <v>15259</v>
      </c>
      <c r="G2635" t="s">
        <v>1449</v>
      </c>
      <c r="H2635" t="s">
        <v>3942</v>
      </c>
      <c r="J2635" t="s">
        <v>3962</v>
      </c>
      <c r="K2635" t="s">
        <v>519</v>
      </c>
      <c r="M2635" t="s">
        <v>1297</v>
      </c>
      <c r="N2635" t="s">
        <v>571</v>
      </c>
      <c r="O2635" t="s">
        <v>1450</v>
      </c>
      <c r="P2635" t="s">
        <v>540</v>
      </c>
      <c r="Q2635" t="s">
        <v>1299</v>
      </c>
      <c r="R2635" t="s">
        <v>1300</v>
      </c>
      <c r="S2635" t="s">
        <v>1300</v>
      </c>
      <c r="T2635" t="s">
        <v>1235</v>
      </c>
      <c r="U2635">
        <v>174300</v>
      </c>
      <c r="V2635" t="s">
        <v>9175</v>
      </c>
      <c r="W2635" t="s">
        <v>1452</v>
      </c>
      <c r="X2635" t="s">
        <v>15260</v>
      </c>
      <c r="Y2635" t="s">
        <v>15259</v>
      </c>
      <c r="AA2635" t="s">
        <v>15261</v>
      </c>
      <c r="AB2635" t="s">
        <v>15257</v>
      </c>
      <c r="AE2635">
        <v>-37.572140070000003</v>
      </c>
      <c r="AF2635">
        <v>175.67288962999999</v>
      </c>
      <c r="AG2635">
        <v>45</v>
      </c>
      <c r="AH2635">
        <v>15</v>
      </c>
      <c r="AI2635">
        <v>0</v>
      </c>
      <c r="AJ2635">
        <v>8</v>
      </c>
      <c r="AK2635">
        <v>13</v>
      </c>
      <c r="AL2635">
        <v>12</v>
      </c>
      <c r="AM2635">
        <v>15</v>
      </c>
      <c r="AN2635">
        <v>1</v>
      </c>
      <c r="AO2635">
        <v>49</v>
      </c>
      <c r="AP2635">
        <v>48</v>
      </c>
      <c r="AQ2635">
        <v>13</v>
      </c>
      <c r="AR2635">
        <v>1</v>
      </c>
      <c r="AS2635">
        <v>1</v>
      </c>
      <c r="AT2635">
        <v>1</v>
      </c>
    </row>
    <row r="2636" spans="1:46">
      <c r="A2636">
        <v>47097</v>
      </c>
      <c r="B2636" t="s">
        <v>15262</v>
      </c>
      <c r="C2636" t="s">
        <v>15263</v>
      </c>
      <c r="E2636" t="s">
        <v>15264</v>
      </c>
      <c r="F2636" t="s">
        <v>15265</v>
      </c>
      <c r="G2636" t="s">
        <v>652</v>
      </c>
      <c r="H2636" t="s">
        <v>3942</v>
      </c>
      <c r="J2636" t="s">
        <v>3962</v>
      </c>
      <c r="K2636" t="s">
        <v>519</v>
      </c>
      <c r="M2636" t="s">
        <v>520</v>
      </c>
      <c r="N2636" t="s">
        <v>521</v>
      </c>
      <c r="O2636" t="s">
        <v>848</v>
      </c>
      <c r="P2636" t="s">
        <v>654</v>
      </c>
      <c r="Q2636" t="s">
        <v>638</v>
      </c>
      <c r="R2636" t="s">
        <v>729</v>
      </c>
      <c r="S2636" t="s">
        <v>849</v>
      </c>
      <c r="T2636" t="s">
        <v>709</v>
      </c>
      <c r="U2636">
        <v>148200</v>
      </c>
      <c r="V2636" t="s">
        <v>850</v>
      </c>
      <c r="W2636" t="s">
        <v>732</v>
      </c>
      <c r="X2636" t="s">
        <v>15266</v>
      </c>
      <c r="Y2636" t="s">
        <v>15267</v>
      </c>
      <c r="Z2636" t="s">
        <v>1035</v>
      </c>
      <c r="AA2636" t="s">
        <v>7374</v>
      </c>
      <c r="AE2636">
        <v>-36.952013119999997</v>
      </c>
      <c r="AF2636">
        <v>174.8026366</v>
      </c>
      <c r="AG2636">
        <v>55</v>
      </c>
      <c r="AH2636">
        <v>15</v>
      </c>
      <c r="AI2636">
        <v>0</v>
      </c>
      <c r="AJ2636">
        <v>4</v>
      </c>
      <c r="AK2636">
        <v>6</v>
      </c>
      <c r="AL2636">
        <v>9</v>
      </c>
      <c r="AM2636">
        <v>13</v>
      </c>
      <c r="AN2636">
        <v>1</v>
      </c>
      <c r="AO2636">
        <v>33</v>
      </c>
      <c r="AP2636">
        <v>5</v>
      </c>
      <c r="AQ2636">
        <v>3</v>
      </c>
      <c r="AR2636">
        <v>16</v>
      </c>
      <c r="AS2636">
        <v>17</v>
      </c>
      <c r="AT2636">
        <v>0</v>
      </c>
    </row>
    <row r="2637" spans="1:46">
      <c r="A2637">
        <v>47099</v>
      </c>
      <c r="B2637" t="s">
        <v>15268</v>
      </c>
      <c r="C2637" t="s">
        <v>15269</v>
      </c>
      <c r="D2637" t="s">
        <v>15270</v>
      </c>
      <c r="E2637" t="s">
        <v>15271</v>
      </c>
      <c r="F2637" t="s">
        <v>975</v>
      </c>
      <c r="G2637" t="s">
        <v>652</v>
      </c>
      <c r="H2637" t="s">
        <v>3942</v>
      </c>
      <c r="J2637" t="s">
        <v>3962</v>
      </c>
      <c r="K2637" t="s">
        <v>519</v>
      </c>
      <c r="M2637" t="s">
        <v>520</v>
      </c>
      <c r="N2637" t="s">
        <v>571</v>
      </c>
      <c r="O2637" t="s">
        <v>848</v>
      </c>
      <c r="P2637" t="s">
        <v>654</v>
      </c>
      <c r="Q2637" t="s">
        <v>638</v>
      </c>
      <c r="R2637" t="s">
        <v>729</v>
      </c>
      <c r="S2637" t="s">
        <v>849</v>
      </c>
      <c r="T2637" t="s">
        <v>709</v>
      </c>
      <c r="U2637">
        <v>147500</v>
      </c>
      <c r="V2637" t="s">
        <v>7575</v>
      </c>
      <c r="W2637" t="s">
        <v>732</v>
      </c>
      <c r="X2637" t="s">
        <v>15272</v>
      </c>
      <c r="Y2637" t="s">
        <v>15273</v>
      </c>
      <c r="Z2637" t="s">
        <v>975</v>
      </c>
      <c r="AA2637" t="s">
        <v>13641</v>
      </c>
      <c r="AB2637" t="s">
        <v>15274</v>
      </c>
      <c r="AC2637">
        <v>99190</v>
      </c>
      <c r="AD2637" t="s">
        <v>831</v>
      </c>
      <c r="AE2637">
        <v>-36.953207900000002</v>
      </c>
      <c r="AF2637">
        <v>174.78637190000001</v>
      </c>
      <c r="AG2637">
        <v>75</v>
      </c>
      <c r="AH2637">
        <v>24</v>
      </c>
      <c r="AI2637">
        <v>4</v>
      </c>
      <c r="AJ2637">
        <v>18</v>
      </c>
      <c r="AK2637">
        <v>22</v>
      </c>
      <c r="AL2637">
        <v>20</v>
      </c>
      <c r="AM2637">
        <v>21</v>
      </c>
      <c r="AN2637">
        <v>1</v>
      </c>
      <c r="AO2637">
        <v>86</v>
      </c>
      <c r="AP2637">
        <v>71</v>
      </c>
      <c r="AQ2637">
        <v>17</v>
      </c>
      <c r="AR2637">
        <v>16</v>
      </c>
      <c r="AS2637">
        <v>10</v>
      </c>
      <c r="AT2637">
        <v>2</v>
      </c>
    </row>
    <row r="2638" spans="1:46">
      <c r="A2638">
        <v>47100</v>
      </c>
      <c r="B2638" t="s">
        <v>15275</v>
      </c>
      <c r="C2638" t="s">
        <v>15276</v>
      </c>
      <c r="E2638" t="s">
        <v>15277</v>
      </c>
      <c r="G2638" t="s">
        <v>2867</v>
      </c>
      <c r="H2638" t="s">
        <v>343</v>
      </c>
      <c r="J2638" t="s">
        <v>518</v>
      </c>
      <c r="K2638" t="s">
        <v>519</v>
      </c>
      <c r="L2638" t="s">
        <v>4205</v>
      </c>
      <c r="M2638" t="s">
        <v>2287</v>
      </c>
      <c r="N2638" t="s">
        <v>557</v>
      </c>
      <c r="O2638" t="s">
        <v>2868</v>
      </c>
      <c r="P2638" t="s">
        <v>523</v>
      </c>
      <c r="Q2638" t="s">
        <v>2869</v>
      </c>
      <c r="R2638" t="s">
        <v>2824</v>
      </c>
      <c r="S2638" t="s">
        <v>2870</v>
      </c>
      <c r="T2638" t="s">
        <v>2448</v>
      </c>
      <c r="U2638">
        <v>301200</v>
      </c>
      <c r="V2638" t="s">
        <v>2890</v>
      </c>
      <c r="W2638" t="s">
        <v>2872</v>
      </c>
      <c r="X2638" t="s">
        <v>12058</v>
      </c>
      <c r="Y2638" t="s">
        <v>4208</v>
      </c>
      <c r="Z2638" t="s">
        <v>4209</v>
      </c>
      <c r="AA2638" t="s">
        <v>4210</v>
      </c>
      <c r="AB2638" t="s">
        <v>12059</v>
      </c>
      <c r="AE2638">
        <v>-41.11183149</v>
      </c>
      <c r="AF2638">
        <v>172.99754626000001</v>
      </c>
      <c r="AG2638">
        <v>26</v>
      </c>
      <c r="AH2638">
        <v>10</v>
      </c>
      <c r="AI2638">
        <v>1</v>
      </c>
      <c r="AJ2638">
        <v>5</v>
      </c>
      <c r="AK2638">
        <v>4</v>
      </c>
      <c r="AL2638">
        <v>6</v>
      </c>
      <c r="AM2638">
        <v>1</v>
      </c>
      <c r="AN2638">
        <v>0</v>
      </c>
      <c r="AO2638">
        <v>17</v>
      </c>
      <c r="AP2638">
        <v>0</v>
      </c>
      <c r="AQ2638">
        <v>17</v>
      </c>
      <c r="AR2638">
        <v>0</v>
      </c>
      <c r="AS2638">
        <v>0</v>
      </c>
      <c r="AT2638">
        <v>0</v>
      </c>
    </row>
    <row r="2639" spans="1:46">
      <c r="A2639">
        <v>47102</v>
      </c>
      <c r="B2639" t="s">
        <v>15278</v>
      </c>
      <c r="C2639" t="s">
        <v>15279</v>
      </c>
      <c r="D2639" t="s">
        <v>15280</v>
      </c>
      <c r="E2639" t="s">
        <v>15281</v>
      </c>
      <c r="F2639" t="s">
        <v>1366</v>
      </c>
      <c r="G2639" t="s">
        <v>652</v>
      </c>
      <c r="H2639" t="s">
        <v>3942</v>
      </c>
      <c r="J2639" t="s">
        <v>3962</v>
      </c>
      <c r="K2639" t="s">
        <v>519</v>
      </c>
      <c r="M2639" t="s">
        <v>520</v>
      </c>
      <c r="N2639" t="s">
        <v>571</v>
      </c>
      <c r="O2639" t="s">
        <v>738</v>
      </c>
      <c r="P2639" t="s">
        <v>654</v>
      </c>
      <c r="Q2639" t="s">
        <v>638</v>
      </c>
      <c r="R2639" t="s">
        <v>639</v>
      </c>
      <c r="S2639" t="s">
        <v>756</v>
      </c>
      <c r="T2639" t="s">
        <v>527</v>
      </c>
      <c r="U2639">
        <v>126200</v>
      </c>
      <c r="V2639" t="s">
        <v>6111</v>
      </c>
      <c r="W2639" t="s">
        <v>741</v>
      </c>
      <c r="X2639" t="s">
        <v>15282</v>
      </c>
      <c r="Y2639" t="s">
        <v>15281</v>
      </c>
      <c r="Z2639" t="s">
        <v>1366</v>
      </c>
      <c r="AA2639" t="s">
        <v>5899</v>
      </c>
      <c r="AB2639" t="s">
        <v>15279</v>
      </c>
      <c r="AE2639">
        <v>-36.796236540000002</v>
      </c>
      <c r="AF2639">
        <v>174.73669384999999</v>
      </c>
      <c r="AG2639">
        <v>58</v>
      </c>
      <c r="AH2639">
        <v>18</v>
      </c>
      <c r="AI2639">
        <v>5</v>
      </c>
      <c r="AJ2639">
        <v>9</v>
      </c>
      <c r="AK2639">
        <v>10</v>
      </c>
      <c r="AL2639">
        <v>10</v>
      </c>
      <c r="AM2639">
        <v>18</v>
      </c>
      <c r="AN2639">
        <v>0</v>
      </c>
      <c r="AO2639">
        <v>52</v>
      </c>
      <c r="AP2639">
        <v>25</v>
      </c>
      <c r="AQ2639">
        <v>4</v>
      </c>
      <c r="AR2639">
        <v>1</v>
      </c>
      <c r="AS2639">
        <v>22</v>
      </c>
      <c r="AT2639">
        <v>8</v>
      </c>
    </row>
    <row r="2640" spans="1:46">
      <c r="A2640">
        <v>47104</v>
      </c>
      <c r="B2640" t="s">
        <v>15283</v>
      </c>
      <c r="C2640" t="s">
        <v>15284</v>
      </c>
      <c r="E2640" t="s">
        <v>15285</v>
      </c>
      <c r="G2640" t="s">
        <v>1974</v>
      </c>
      <c r="H2640" t="s">
        <v>3942</v>
      </c>
      <c r="J2640" t="s">
        <v>3962</v>
      </c>
      <c r="K2640" t="s">
        <v>519</v>
      </c>
      <c r="M2640" t="s">
        <v>1297</v>
      </c>
      <c r="N2640" t="s">
        <v>571</v>
      </c>
      <c r="O2640" t="s">
        <v>1956</v>
      </c>
      <c r="P2640" t="s">
        <v>584</v>
      </c>
      <c r="Q2640" t="s">
        <v>1636</v>
      </c>
      <c r="R2640" t="s">
        <v>1760</v>
      </c>
      <c r="S2640" t="s">
        <v>1974</v>
      </c>
      <c r="T2640" t="s">
        <v>1485</v>
      </c>
      <c r="U2640">
        <v>230600</v>
      </c>
      <c r="V2640" t="s">
        <v>1975</v>
      </c>
      <c r="W2640" t="s">
        <v>1957</v>
      </c>
      <c r="X2640" t="s">
        <v>15286</v>
      </c>
      <c r="Y2640" t="s">
        <v>12723</v>
      </c>
      <c r="AA2640" t="s">
        <v>12298</v>
      </c>
      <c r="AB2640" t="s">
        <v>15287</v>
      </c>
      <c r="AE2640">
        <v>-40.356027480000002</v>
      </c>
      <c r="AF2640">
        <v>175.60716457000001</v>
      </c>
      <c r="AG2640">
        <v>80</v>
      </c>
      <c r="AH2640">
        <v>25</v>
      </c>
      <c r="AI2640">
        <v>3</v>
      </c>
      <c r="AJ2640">
        <v>8</v>
      </c>
      <c r="AK2640">
        <v>7</v>
      </c>
      <c r="AL2640">
        <v>6</v>
      </c>
      <c r="AM2640">
        <v>3</v>
      </c>
      <c r="AN2640">
        <v>0</v>
      </c>
      <c r="AO2640">
        <v>27</v>
      </c>
      <c r="AP2640">
        <v>14</v>
      </c>
      <c r="AQ2640">
        <v>4</v>
      </c>
      <c r="AR2640">
        <v>4</v>
      </c>
      <c r="AS2640">
        <v>10</v>
      </c>
      <c r="AT2640">
        <v>1</v>
      </c>
    </row>
    <row r="2641" spans="1:46">
      <c r="A2641">
        <v>47106</v>
      </c>
      <c r="B2641" t="s">
        <v>15288</v>
      </c>
      <c r="C2641" t="s">
        <v>15289</v>
      </c>
      <c r="E2641" t="s">
        <v>15290</v>
      </c>
      <c r="G2641" t="s">
        <v>3005</v>
      </c>
      <c r="H2641" t="s">
        <v>3942</v>
      </c>
      <c r="J2641" t="s">
        <v>3962</v>
      </c>
      <c r="K2641" t="s">
        <v>519</v>
      </c>
      <c r="M2641" t="s">
        <v>2287</v>
      </c>
      <c r="N2641" t="s">
        <v>571</v>
      </c>
      <c r="O2641" t="s">
        <v>3006</v>
      </c>
      <c r="P2641" t="s">
        <v>523</v>
      </c>
      <c r="Q2641" t="s">
        <v>2928</v>
      </c>
      <c r="R2641" t="s">
        <v>2824</v>
      </c>
      <c r="S2641" t="s">
        <v>2870</v>
      </c>
      <c r="T2641" t="s">
        <v>2448</v>
      </c>
      <c r="U2641">
        <v>310400</v>
      </c>
      <c r="V2641" t="s">
        <v>3007</v>
      </c>
      <c r="W2641" t="s">
        <v>2443</v>
      </c>
      <c r="X2641" t="s">
        <v>15291</v>
      </c>
      <c r="Y2641" t="s">
        <v>15292</v>
      </c>
      <c r="AA2641" t="s">
        <v>11897</v>
      </c>
      <c r="AB2641" t="s">
        <v>15293</v>
      </c>
      <c r="AC2641">
        <v>99026</v>
      </c>
      <c r="AD2641" t="s">
        <v>3008</v>
      </c>
      <c r="AE2641">
        <v>-42.453246800000002</v>
      </c>
      <c r="AF2641">
        <v>171.21154344000001</v>
      </c>
      <c r="AG2641">
        <v>50</v>
      </c>
      <c r="AH2641">
        <v>16</v>
      </c>
      <c r="AI2641">
        <v>2</v>
      </c>
      <c r="AJ2641">
        <v>13</v>
      </c>
      <c r="AK2641">
        <v>13</v>
      </c>
      <c r="AL2641">
        <v>17</v>
      </c>
      <c r="AM2641">
        <v>11</v>
      </c>
      <c r="AN2641">
        <v>0</v>
      </c>
      <c r="AO2641">
        <v>56</v>
      </c>
      <c r="AP2641">
        <v>39</v>
      </c>
      <c r="AQ2641">
        <v>14</v>
      </c>
      <c r="AR2641">
        <v>1</v>
      </c>
      <c r="AS2641">
        <v>7</v>
      </c>
      <c r="AT2641">
        <v>8</v>
      </c>
    </row>
    <row r="2642" spans="1:46">
      <c r="A2642">
        <v>47107</v>
      </c>
      <c r="B2642" t="s">
        <v>15294</v>
      </c>
      <c r="C2642" t="s">
        <v>2861</v>
      </c>
      <c r="D2642" t="s">
        <v>15295</v>
      </c>
      <c r="E2642" t="s">
        <v>15296</v>
      </c>
      <c r="F2642" t="s">
        <v>15297</v>
      </c>
      <c r="G2642" t="s">
        <v>2853</v>
      </c>
      <c r="H2642" t="s">
        <v>4032</v>
      </c>
      <c r="I2642" t="s">
        <v>4033</v>
      </c>
      <c r="J2642" t="s">
        <v>518</v>
      </c>
      <c r="K2642" t="s">
        <v>519</v>
      </c>
      <c r="M2642" t="s">
        <v>2287</v>
      </c>
      <c r="N2642" t="s">
        <v>727</v>
      </c>
      <c r="O2642" t="s">
        <v>2854</v>
      </c>
      <c r="P2642" t="s">
        <v>584</v>
      </c>
      <c r="Q2642" t="s">
        <v>2855</v>
      </c>
      <c r="R2642" t="s">
        <v>2824</v>
      </c>
      <c r="S2642" t="s">
        <v>2853</v>
      </c>
      <c r="T2642" t="s">
        <v>2448</v>
      </c>
      <c r="U2642">
        <v>305200</v>
      </c>
      <c r="V2642" t="s">
        <v>15298</v>
      </c>
      <c r="W2642" t="s">
        <v>2033</v>
      </c>
      <c r="X2642" t="s">
        <v>2858</v>
      </c>
      <c r="Y2642" t="s">
        <v>2859</v>
      </c>
      <c r="Z2642" t="s">
        <v>2853</v>
      </c>
      <c r="AA2642" t="s">
        <v>2860</v>
      </c>
      <c r="AB2642" t="s">
        <v>2861</v>
      </c>
      <c r="AC2642">
        <v>99005</v>
      </c>
      <c r="AD2642" t="s">
        <v>2878</v>
      </c>
      <c r="AE2642">
        <v>-41.286510110000002</v>
      </c>
      <c r="AF2642">
        <v>173.27112507000001</v>
      </c>
      <c r="AG2642">
        <v>12</v>
      </c>
      <c r="AH2642">
        <v>6</v>
      </c>
    </row>
    <row r="2643" spans="1:46">
      <c r="A2643">
        <v>47108</v>
      </c>
      <c r="B2643" t="s">
        <v>15299</v>
      </c>
      <c r="C2643" t="s">
        <v>15300</v>
      </c>
      <c r="D2643" t="s">
        <v>15301</v>
      </c>
      <c r="E2643" t="s">
        <v>15302</v>
      </c>
      <c r="G2643" t="s">
        <v>1598</v>
      </c>
      <c r="H2643" t="s">
        <v>3942</v>
      </c>
      <c r="J2643" t="s">
        <v>3962</v>
      </c>
      <c r="K2643" t="s">
        <v>519</v>
      </c>
      <c r="M2643" t="s">
        <v>1297</v>
      </c>
      <c r="N2643" t="s">
        <v>571</v>
      </c>
      <c r="O2643" t="s">
        <v>1698</v>
      </c>
      <c r="P2643" t="s">
        <v>654</v>
      </c>
      <c r="Q2643" t="s">
        <v>1471</v>
      </c>
      <c r="R2643" t="s">
        <v>1472</v>
      </c>
      <c r="S2643" t="s">
        <v>1598</v>
      </c>
      <c r="T2643" t="s">
        <v>1474</v>
      </c>
      <c r="U2643">
        <v>193800</v>
      </c>
      <c r="V2643" t="s">
        <v>8402</v>
      </c>
      <c r="W2643" t="s">
        <v>3724</v>
      </c>
      <c r="X2643" t="s">
        <v>15303</v>
      </c>
      <c r="Y2643" t="s">
        <v>15304</v>
      </c>
      <c r="Z2643" t="s">
        <v>10532</v>
      </c>
      <c r="AA2643" t="s">
        <v>8708</v>
      </c>
      <c r="AC2643">
        <v>99036</v>
      </c>
      <c r="AD2643" t="s">
        <v>1710</v>
      </c>
      <c r="AE2643">
        <v>-37.677292100000003</v>
      </c>
      <c r="AF2643">
        <v>176.16821408999999</v>
      </c>
      <c r="AG2643">
        <v>83</v>
      </c>
      <c r="AH2643">
        <v>18</v>
      </c>
      <c r="AI2643">
        <v>2</v>
      </c>
      <c r="AJ2643">
        <v>17</v>
      </c>
      <c r="AK2643">
        <v>22</v>
      </c>
      <c r="AL2643">
        <v>24</v>
      </c>
      <c r="AM2643">
        <v>16</v>
      </c>
      <c r="AN2643">
        <v>1</v>
      </c>
      <c r="AO2643">
        <v>82</v>
      </c>
      <c r="AP2643">
        <v>70</v>
      </c>
      <c r="AQ2643">
        <v>11</v>
      </c>
      <c r="AR2643">
        <v>4</v>
      </c>
      <c r="AS2643">
        <v>9</v>
      </c>
      <c r="AT2643">
        <v>5</v>
      </c>
    </row>
    <row r="2644" spans="1:46">
      <c r="A2644">
        <v>47109</v>
      </c>
      <c r="B2644" t="s">
        <v>15305</v>
      </c>
      <c r="C2644" t="s">
        <v>15306</v>
      </c>
      <c r="D2644" t="s">
        <v>15307</v>
      </c>
      <c r="E2644" t="s">
        <v>15308</v>
      </c>
      <c r="G2644" t="s">
        <v>1742</v>
      </c>
      <c r="H2644" t="s">
        <v>3942</v>
      </c>
      <c r="J2644" t="s">
        <v>3962</v>
      </c>
      <c r="K2644" t="s">
        <v>519</v>
      </c>
      <c r="M2644" t="s">
        <v>1297</v>
      </c>
      <c r="N2644" t="s">
        <v>557</v>
      </c>
      <c r="O2644" t="s">
        <v>1743</v>
      </c>
      <c r="P2644" t="s">
        <v>523</v>
      </c>
      <c r="Q2644" t="s">
        <v>1471</v>
      </c>
      <c r="R2644" t="s">
        <v>1472</v>
      </c>
      <c r="S2644" t="s">
        <v>1521</v>
      </c>
      <c r="T2644" t="s">
        <v>1474</v>
      </c>
      <c r="U2644">
        <v>192102</v>
      </c>
      <c r="V2644" t="s">
        <v>15309</v>
      </c>
      <c r="W2644" t="s">
        <v>1745</v>
      </c>
      <c r="X2644" t="s">
        <v>15310</v>
      </c>
      <c r="Y2644" t="s">
        <v>15308</v>
      </c>
      <c r="AA2644" t="s">
        <v>15311</v>
      </c>
      <c r="AB2644" t="s">
        <v>15306</v>
      </c>
      <c r="AC2644">
        <v>99086</v>
      </c>
      <c r="AD2644" t="s">
        <v>1746</v>
      </c>
      <c r="AE2644">
        <v>-37.792818029999999</v>
      </c>
      <c r="AF2644">
        <v>176.31728131</v>
      </c>
      <c r="AG2644">
        <v>45</v>
      </c>
      <c r="AH2644">
        <v>15</v>
      </c>
      <c r="AI2644">
        <v>2</v>
      </c>
      <c r="AJ2644">
        <v>4</v>
      </c>
      <c r="AK2644">
        <v>11</v>
      </c>
      <c r="AL2644">
        <v>17</v>
      </c>
      <c r="AM2644">
        <v>18</v>
      </c>
      <c r="AN2644">
        <v>0</v>
      </c>
      <c r="AO2644">
        <v>52</v>
      </c>
      <c r="AP2644">
        <v>36</v>
      </c>
      <c r="AQ2644">
        <v>15</v>
      </c>
      <c r="AR2644">
        <v>1</v>
      </c>
      <c r="AS2644">
        <v>10</v>
      </c>
      <c r="AT2644">
        <v>1</v>
      </c>
    </row>
    <row r="2645" spans="1:46">
      <c r="A2645">
        <v>47111</v>
      </c>
      <c r="B2645" t="s">
        <v>15312</v>
      </c>
      <c r="C2645" t="s">
        <v>15313</v>
      </c>
      <c r="D2645" t="s">
        <v>15314</v>
      </c>
      <c r="E2645" t="s">
        <v>15315</v>
      </c>
      <c r="G2645" t="s">
        <v>1521</v>
      </c>
      <c r="H2645" t="s">
        <v>3942</v>
      </c>
      <c r="I2645" t="s">
        <v>4951</v>
      </c>
      <c r="J2645" t="s">
        <v>3962</v>
      </c>
      <c r="K2645" t="s">
        <v>519</v>
      </c>
      <c r="M2645" t="s">
        <v>1297</v>
      </c>
      <c r="N2645" t="s">
        <v>557</v>
      </c>
      <c r="O2645" t="s">
        <v>1522</v>
      </c>
      <c r="P2645" t="s">
        <v>584</v>
      </c>
      <c r="Q2645" t="s">
        <v>1471</v>
      </c>
      <c r="R2645" t="s">
        <v>1472</v>
      </c>
      <c r="S2645" t="s">
        <v>1521</v>
      </c>
      <c r="T2645" t="s">
        <v>1474</v>
      </c>
      <c r="U2645">
        <v>198900</v>
      </c>
      <c r="V2645" t="s">
        <v>8492</v>
      </c>
      <c r="W2645" t="s">
        <v>1523</v>
      </c>
      <c r="X2645" t="s">
        <v>15316</v>
      </c>
      <c r="Y2645" t="s">
        <v>15315</v>
      </c>
      <c r="AA2645" t="s">
        <v>9405</v>
      </c>
      <c r="AB2645" t="s">
        <v>15317</v>
      </c>
      <c r="AE2645">
        <v>-38.122333470000001</v>
      </c>
      <c r="AF2645">
        <v>176.23447211000001</v>
      </c>
      <c r="AG2645">
        <v>32</v>
      </c>
      <c r="AH2645">
        <v>5</v>
      </c>
      <c r="AI2645">
        <v>0</v>
      </c>
      <c r="AJ2645">
        <v>5</v>
      </c>
      <c r="AK2645">
        <v>8</v>
      </c>
      <c r="AL2645">
        <v>7</v>
      </c>
      <c r="AM2645">
        <v>7</v>
      </c>
      <c r="AN2645">
        <v>1</v>
      </c>
      <c r="AO2645">
        <v>28</v>
      </c>
      <c r="AP2645">
        <v>2</v>
      </c>
      <c r="AQ2645">
        <v>28</v>
      </c>
      <c r="AR2645">
        <v>5</v>
      </c>
      <c r="AS2645">
        <v>0</v>
      </c>
      <c r="AT2645">
        <v>0</v>
      </c>
    </row>
    <row r="2646" spans="1:46">
      <c r="A2646">
        <v>47119</v>
      </c>
      <c r="B2646" t="s">
        <v>15318</v>
      </c>
      <c r="C2646" t="s">
        <v>15319</v>
      </c>
      <c r="D2646" t="s">
        <v>15320</v>
      </c>
      <c r="E2646" t="s">
        <v>15321</v>
      </c>
      <c r="F2646" t="s">
        <v>2847</v>
      </c>
      <c r="G2646" t="s">
        <v>2821</v>
      </c>
      <c r="H2646" t="s">
        <v>3942</v>
      </c>
      <c r="J2646" t="s">
        <v>3962</v>
      </c>
      <c r="K2646" t="s">
        <v>519</v>
      </c>
      <c r="M2646" t="s">
        <v>2287</v>
      </c>
      <c r="N2646" t="s">
        <v>571</v>
      </c>
      <c r="O2646" t="s">
        <v>2822</v>
      </c>
      <c r="P2646" t="s">
        <v>1262</v>
      </c>
      <c r="Q2646" t="s">
        <v>2823</v>
      </c>
      <c r="R2646" t="s">
        <v>2824</v>
      </c>
      <c r="S2646" t="s">
        <v>2825</v>
      </c>
      <c r="T2646" t="s">
        <v>2448</v>
      </c>
      <c r="U2646">
        <v>308600</v>
      </c>
      <c r="V2646" t="s">
        <v>2848</v>
      </c>
      <c r="W2646" t="s">
        <v>2826</v>
      </c>
      <c r="X2646" t="s">
        <v>15322</v>
      </c>
      <c r="Y2646" t="s">
        <v>15323</v>
      </c>
      <c r="AA2646" t="s">
        <v>2829</v>
      </c>
      <c r="AB2646" t="s">
        <v>15324</v>
      </c>
      <c r="AE2646">
        <v>-41.539064349999997</v>
      </c>
      <c r="AF2646">
        <v>173.95062146000001</v>
      </c>
      <c r="AG2646">
        <v>38</v>
      </c>
      <c r="AH2646">
        <v>8</v>
      </c>
      <c r="AI2646">
        <v>0</v>
      </c>
      <c r="AJ2646">
        <v>8</v>
      </c>
      <c r="AK2646">
        <v>13</v>
      </c>
      <c r="AL2646">
        <v>13</v>
      </c>
      <c r="AM2646">
        <v>13</v>
      </c>
      <c r="AN2646">
        <v>0</v>
      </c>
      <c r="AO2646">
        <v>47</v>
      </c>
      <c r="AP2646">
        <v>37</v>
      </c>
      <c r="AQ2646">
        <v>4</v>
      </c>
      <c r="AR2646">
        <v>1</v>
      </c>
      <c r="AS2646">
        <v>7</v>
      </c>
      <c r="AT2646">
        <v>1</v>
      </c>
    </row>
    <row r="2647" spans="1:46">
      <c r="A2647">
        <v>47124</v>
      </c>
      <c r="B2647" t="s">
        <v>15325</v>
      </c>
      <c r="C2647" t="s">
        <v>15326</v>
      </c>
      <c r="D2647" t="s">
        <v>15327</v>
      </c>
      <c r="E2647" t="s">
        <v>15328</v>
      </c>
      <c r="G2647" t="s">
        <v>15329</v>
      </c>
      <c r="H2647" t="s">
        <v>3942</v>
      </c>
      <c r="J2647" t="s">
        <v>3962</v>
      </c>
      <c r="K2647" t="s">
        <v>519</v>
      </c>
      <c r="M2647" t="s">
        <v>2287</v>
      </c>
      <c r="N2647" t="s">
        <v>571</v>
      </c>
      <c r="O2647" t="s">
        <v>2964</v>
      </c>
      <c r="P2647" t="s">
        <v>523</v>
      </c>
      <c r="Q2647" t="s">
        <v>2943</v>
      </c>
      <c r="R2647" t="s">
        <v>2944</v>
      </c>
      <c r="S2647" t="s">
        <v>2965</v>
      </c>
      <c r="T2647" t="s">
        <v>2448</v>
      </c>
      <c r="U2647">
        <v>315400</v>
      </c>
      <c r="V2647" t="s">
        <v>15329</v>
      </c>
      <c r="W2647" t="s">
        <v>3189</v>
      </c>
      <c r="X2647" t="s">
        <v>15330</v>
      </c>
      <c r="Y2647" t="s">
        <v>4658</v>
      </c>
      <c r="Z2647" t="s">
        <v>958</v>
      </c>
      <c r="AA2647" t="s">
        <v>4659</v>
      </c>
      <c r="AC2647">
        <v>99061</v>
      </c>
      <c r="AD2647" t="s">
        <v>3190</v>
      </c>
      <c r="AE2647">
        <v>-43.31065512</v>
      </c>
      <c r="AF2647">
        <v>172.69418947</v>
      </c>
      <c r="AG2647">
        <v>65</v>
      </c>
      <c r="AH2647">
        <v>20</v>
      </c>
      <c r="AI2647">
        <v>2</v>
      </c>
      <c r="AJ2647">
        <v>10</v>
      </c>
      <c r="AK2647">
        <v>9</v>
      </c>
      <c r="AL2647">
        <v>17</v>
      </c>
      <c r="AM2647">
        <v>27</v>
      </c>
      <c r="AN2647">
        <v>2</v>
      </c>
      <c r="AO2647">
        <v>67</v>
      </c>
      <c r="AP2647">
        <v>57</v>
      </c>
      <c r="AQ2647">
        <v>7</v>
      </c>
      <c r="AR2647">
        <v>1</v>
      </c>
      <c r="AS2647">
        <v>10</v>
      </c>
      <c r="AT2647">
        <v>3</v>
      </c>
    </row>
    <row r="2648" spans="1:46">
      <c r="A2648">
        <v>47125</v>
      </c>
      <c r="B2648" t="s">
        <v>15331</v>
      </c>
      <c r="C2648" t="s">
        <v>15332</v>
      </c>
      <c r="D2648" t="s">
        <v>15333</v>
      </c>
      <c r="E2648" t="s">
        <v>15334</v>
      </c>
      <c r="G2648" t="s">
        <v>2197</v>
      </c>
      <c r="H2648" t="s">
        <v>343</v>
      </c>
      <c r="J2648" t="s">
        <v>518</v>
      </c>
      <c r="K2648" t="s">
        <v>519</v>
      </c>
      <c r="L2648" t="s">
        <v>4205</v>
      </c>
      <c r="M2648" t="s">
        <v>1297</v>
      </c>
      <c r="N2648" t="s">
        <v>727</v>
      </c>
      <c r="O2648" t="s">
        <v>2198</v>
      </c>
      <c r="P2648" t="s">
        <v>572</v>
      </c>
      <c r="Q2648" t="s">
        <v>2118</v>
      </c>
      <c r="R2648" t="s">
        <v>2084</v>
      </c>
      <c r="S2648" t="s">
        <v>2199</v>
      </c>
      <c r="T2648" t="s">
        <v>2085</v>
      </c>
      <c r="U2648">
        <v>211201</v>
      </c>
      <c r="V2648" t="s">
        <v>15029</v>
      </c>
      <c r="W2648" t="s">
        <v>11860</v>
      </c>
      <c r="X2648" t="s">
        <v>8804</v>
      </c>
      <c r="Y2648" t="s">
        <v>4208</v>
      </c>
      <c r="Z2648" t="s">
        <v>4209</v>
      </c>
      <c r="AA2648" t="s">
        <v>4210</v>
      </c>
      <c r="AB2648" t="s">
        <v>8805</v>
      </c>
      <c r="AE2648">
        <v>-39.60499738</v>
      </c>
      <c r="AF2648">
        <v>176.92050903000001</v>
      </c>
      <c r="AG2648">
        <v>23</v>
      </c>
      <c r="AH2648">
        <v>3</v>
      </c>
      <c r="AI2648">
        <v>1</v>
      </c>
      <c r="AJ2648">
        <v>1</v>
      </c>
      <c r="AK2648">
        <v>7</v>
      </c>
      <c r="AL2648">
        <v>4</v>
      </c>
      <c r="AM2648">
        <v>4</v>
      </c>
      <c r="AN2648">
        <v>0</v>
      </c>
      <c r="AO2648">
        <v>17</v>
      </c>
      <c r="AP2648">
        <v>0</v>
      </c>
      <c r="AQ2648">
        <v>16</v>
      </c>
      <c r="AR2648">
        <v>1</v>
      </c>
      <c r="AS2648">
        <v>0</v>
      </c>
      <c r="AT2648">
        <v>0</v>
      </c>
    </row>
    <row r="2649" spans="1:46">
      <c r="A2649">
        <v>47126</v>
      </c>
      <c r="B2649" t="s">
        <v>15335</v>
      </c>
      <c r="C2649" t="s">
        <v>15336</v>
      </c>
      <c r="D2649" t="s">
        <v>15337</v>
      </c>
      <c r="E2649" t="s">
        <v>15338</v>
      </c>
      <c r="F2649" t="s">
        <v>1035</v>
      </c>
      <c r="G2649" t="s">
        <v>652</v>
      </c>
      <c r="H2649" t="s">
        <v>3942</v>
      </c>
      <c r="J2649" t="s">
        <v>518</v>
      </c>
      <c r="K2649" t="s">
        <v>519</v>
      </c>
      <c r="M2649" t="s">
        <v>520</v>
      </c>
      <c r="N2649" t="s">
        <v>539</v>
      </c>
      <c r="O2649" t="s">
        <v>728</v>
      </c>
      <c r="P2649" t="s">
        <v>654</v>
      </c>
      <c r="Q2649" t="s">
        <v>638</v>
      </c>
      <c r="R2649" t="s">
        <v>729</v>
      </c>
      <c r="S2649" t="s">
        <v>730</v>
      </c>
      <c r="T2649" t="s">
        <v>709</v>
      </c>
      <c r="U2649">
        <v>154902</v>
      </c>
      <c r="V2649" t="s">
        <v>7832</v>
      </c>
      <c r="W2649" t="s">
        <v>732</v>
      </c>
      <c r="X2649" t="s">
        <v>3943</v>
      </c>
      <c r="Y2649" t="s">
        <v>3944</v>
      </c>
      <c r="Z2649" t="s">
        <v>3945</v>
      </c>
      <c r="AA2649" t="s">
        <v>3946</v>
      </c>
      <c r="AB2649" t="s">
        <v>3947</v>
      </c>
      <c r="AE2649">
        <v>-36.967420959999998</v>
      </c>
      <c r="AF2649">
        <v>174.86050336</v>
      </c>
      <c r="AG2649">
        <v>100</v>
      </c>
      <c r="AH2649">
        <v>24</v>
      </c>
      <c r="AI2649">
        <v>4</v>
      </c>
      <c r="AJ2649">
        <v>15</v>
      </c>
      <c r="AK2649">
        <v>25</v>
      </c>
      <c r="AL2649">
        <v>31</v>
      </c>
      <c r="AM2649">
        <v>31</v>
      </c>
      <c r="AN2649">
        <v>1</v>
      </c>
      <c r="AO2649">
        <v>107</v>
      </c>
      <c r="AP2649">
        <v>11</v>
      </c>
      <c r="AQ2649">
        <v>3</v>
      </c>
      <c r="AR2649">
        <v>10</v>
      </c>
      <c r="AS2649">
        <v>95</v>
      </c>
      <c r="AT2649">
        <v>2</v>
      </c>
    </row>
    <row r="2650" spans="1:46">
      <c r="A2650">
        <v>47129</v>
      </c>
      <c r="B2650" t="s">
        <v>15339</v>
      </c>
      <c r="C2650" t="s">
        <v>15340</v>
      </c>
      <c r="E2650" t="s">
        <v>15341</v>
      </c>
      <c r="G2650" t="s">
        <v>1598</v>
      </c>
      <c r="H2650" t="s">
        <v>3942</v>
      </c>
      <c r="J2650" t="s">
        <v>3962</v>
      </c>
      <c r="K2650" t="s">
        <v>519</v>
      </c>
      <c r="M2650" t="s">
        <v>1297</v>
      </c>
      <c r="N2650" t="s">
        <v>571</v>
      </c>
      <c r="O2650" t="s">
        <v>1698</v>
      </c>
      <c r="P2650" t="s">
        <v>654</v>
      </c>
      <c r="Q2650" t="s">
        <v>1471</v>
      </c>
      <c r="R2650" t="s">
        <v>1472</v>
      </c>
      <c r="S2650" t="s">
        <v>1598</v>
      </c>
      <c r="T2650" t="s">
        <v>1474</v>
      </c>
      <c r="U2650">
        <v>194801</v>
      </c>
      <c r="V2650" t="s">
        <v>3722</v>
      </c>
      <c r="W2650" t="s">
        <v>3724</v>
      </c>
      <c r="X2650" t="s">
        <v>15342</v>
      </c>
      <c r="Y2650" t="s">
        <v>15341</v>
      </c>
      <c r="Z2650" t="s">
        <v>3722</v>
      </c>
      <c r="AA2650" t="s">
        <v>8884</v>
      </c>
      <c r="AB2650" t="s">
        <v>15343</v>
      </c>
      <c r="AC2650">
        <v>99085</v>
      </c>
      <c r="AD2650" t="s">
        <v>1718</v>
      </c>
      <c r="AE2650">
        <v>-37.699123069999999</v>
      </c>
      <c r="AF2650">
        <v>176.16021995</v>
      </c>
      <c r="AG2650">
        <v>68</v>
      </c>
      <c r="AH2650">
        <v>16</v>
      </c>
      <c r="AI2650">
        <v>3</v>
      </c>
      <c r="AJ2650">
        <v>12</v>
      </c>
      <c r="AK2650">
        <v>10</v>
      </c>
      <c r="AL2650">
        <v>19</v>
      </c>
      <c r="AM2650">
        <v>19</v>
      </c>
      <c r="AN2650">
        <v>0</v>
      </c>
      <c r="AO2650">
        <v>63</v>
      </c>
      <c r="AP2650">
        <v>57</v>
      </c>
      <c r="AQ2650">
        <v>13</v>
      </c>
      <c r="AR2650">
        <v>3</v>
      </c>
      <c r="AS2650">
        <v>4</v>
      </c>
      <c r="AT2650">
        <v>4</v>
      </c>
    </row>
    <row r="2651" spans="1:46">
      <c r="A2651">
        <v>47131</v>
      </c>
      <c r="B2651" t="s">
        <v>15344</v>
      </c>
      <c r="C2651" t="s">
        <v>15345</v>
      </c>
      <c r="D2651" t="s">
        <v>15346</v>
      </c>
      <c r="E2651" t="s">
        <v>15347</v>
      </c>
      <c r="F2651" t="s">
        <v>706</v>
      </c>
      <c r="G2651" t="s">
        <v>652</v>
      </c>
      <c r="H2651" t="s">
        <v>3942</v>
      </c>
      <c r="J2651" t="s">
        <v>3962</v>
      </c>
      <c r="K2651" t="s">
        <v>519</v>
      </c>
      <c r="M2651" t="s">
        <v>520</v>
      </c>
      <c r="N2651" t="s">
        <v>571</v>
      </c>
      <c r="O2651" t="s">
        <v>707</v>
      </c>
      <c r="P2651" t="s">
        <v>654</v>
      </c>
      <c r="Q2651" t="s">
        <v>638</v>
      </c>
      <c r="R2651" t="s">
        <v>708</v>
      </c>
      <c r="S2651" t="s">
        <v>706</v>
      </c>
      <c r="T2651" t="s">
        <v>709</v>
      </c>
      <c r="U2651">
        <v>150700</v>
      </c>
      <c r="V2651" t="s">
        <v>797</v>
      </c>
      <c r="W2651" t="s">
        <v>711</v>
      </c>
      <c r="X2651" t="s">
        <v>15348</v>
      </c>
      <c r="Y2651" t="s">
        <v>12191</v>
      </c>
      <c r="Z2651" t="s">
        <v>12192</v>
      </c>
      <c r="AA2651" t="s">
        <v>12193</v>
      </c>
      <c r="AB2651" t="s">
        <v>15349</v>
      </c>
      <c r="AC2651">
        <v>99149</v>
      </c>
      <c r="AD2651" t="s">
        <v>798</v>
      </c>
      <c r="AE2651">
        <v>-36.913897970000001</v>
      </c>
      <c r="AF2651">
        <v>174.902905</v>
      </c>
      <c r="AG2651">
        <v>140</v>
      </c>
      <c r="AH2651">
        <v>48</v>
      </c>
      <c r="AI2651">
        <v>8</v>
      </c>
      <c r="AJ2651">
        <v>29</v>
      </c>
      <c r="AK2651">
        <v>33</v>
      </c>
      <c r="AL2651">
        <v>34</v>
      </c>
      <c r="AM2651">
        <v>33</v>
      </c>
      <c r="AN2651">
        <v>0</v>
      </c>
      <c r="AO2651">
        <v>137</v>
      </c>
      <c r="AP2651">
        <v>82</v>
      </c>
      <c r="AQ2651">
        <v>9</v>
      </c>
      <c r="AR2651">
        <v>6</v>
      </c>
      <c r="AS2651">
        <v>57</v>
      </c>
      <c r="AT2651">
        <v>13</v>
      </c>
    </row>
    <row r="2652" spans="1:46">
      <c r="A2652">
        <v>47132</v>
      </c>
      <c r="B2652" t="s">
        <v>15350</v>
      </c>
      <c r="C2652" t="s">
        <v>15351</v>
      </c>
      <c r="D2652" t="s">
        <v>13602</v>
      </c>
      <c r="E2652" t="s">
        <v>15352</v>
      </c>
      <c r="F2652" t="s">
        <v>3194</v>
      </c>
      <c r="G2652" t="s">
        <v>2941</v>
      </c>
      <c r="H2652" t="s">
        <v>3942</v>
      </c>
      <c r="J2652" t="s">
        <v>3962</v>
      </c>
      <c r="K2652" t="s">
        <v>519</v>
      </c>
      <c r="M2652" t="s">
        <v>2287</v>
      </c>
      <c r="N2652" t="s">
        <v>571</v>
      </c>
      <c r="O2652" t="s">
        <v>2942</v>
      </c>
      <c r="P2652" t="s">
        <v>654</v>
      </c>
      <c r="Q2652" t="s">
        <v>2943</v>
      </c>
      <c r="R2652" t="s">
        <v>2944</v>
      </c>
      <c r="S2652" t="s">
        <v>3019</v>
      </c>
      <c r="T2652" t="s">
        <v>2448</v>
      </c>
      <c r="U2652">
        <v>324501</v>
      </c>
      <c r="V2652" t="s">
        <v>13604</v>
      </c>
      <c r="W2652" t="s">
        <v>3196</v>
      </c>
      <c r="X2652" t="s">
        <v>13605</v>
      </c>
      <c r="Y2652" t="s">
        <v>13606</v>
      </c>
      <c r="Z2652" t="s">
        <v>3194</v>
      </c>
      <c r="AA2652" t="s">
        <v>12954</v>
      </c>
      <c r="AB2652" t="s">
        <v>13608</v>
      </c>
      <c r="AE2652">
        <v>-43.570554209999997</v>
      </c>
      <c r="AF2652">
        <v>172.5370671</v>
      </c>
      <c r="AG2652">
        <v>75</v>
      </c>
      <c r="AH2652">
        <v>25</v>
      </c>
      <c r="AI2652">
        <v>4</v>
      </c>
      <c r="AJ2652">
        <v>19</v>
      </c>
      <c r="AK2652">
        <v>22</v>
      </c>
      <c r="AL2652">
        <v>30</v>
      </c>
      <c r="AM2652">
        <v>16</v>
      </c>
      <c r="AN2652">
        <v>0</v>
      </c>
      <c r="AO2652">
        <v>91</v>
      </c>
      <c r="AP2652">
        <v>74</v>
      </c>
      <c r="AQ2652">
        <v>13</v>
      </c>
      <c r="AR2652">
        <v>3</v>
      </c>
      <c r="AS2652">
        <v>18</v>
      </c>
      <c r="AT2652">
        <v>2</v>
      </c>
    </row>
    <row r="2653" spans="1:46">
      <c r="A2653">
        <v>47134</v>
      </c>
      <c r="B2653" t="s">
        <v>15353</v>
      </c>
      <c r="C2653" t="s">
        <v>15354</v>
      </c>
      <c r="E2653" t="s">
        <v>15355</v>
      </c>
      <c r="G2653" t="s">
        <v>1850</v>
      </c>
      <c r="H2653" t="s">
        <v>3942</v>
      </c>
      <c r="J2653" t="s">
        <v>3962</v>
      </c>
      <c r="K2653" t="s">
        <v>519</v>
      </c>
      <c r="M2653" t="s">
        <v>1297</v>
      </c>
      <c r="N2653" t="s">
        <v>557</v>
      </c>
      <c r="O2653" t="s">
        <v>1851</v>
      </c>
      <c r="P2653" t="s">
        <v>523</v>
      </c>
      <c r="Q2653" t="s">
        <v>1759</v>
      </c>
      <c r="R2653" t="s">
        <v>1760</v>
      </c>
      <c r="S2653" t="s">
        <v>1842</v>
      </c>
      <c r="T2653" t="s">
        <v>1485</v>
      </c>
      <c r="U2653">
        <v>221001</v>
      </c>
      <c r="V2653" t="s">
        <v>1850</v>
      </c>
      <c r="W2653" t="s">
        <v>1852</v>
      </c>
      <c r="X2653" t="s">
        <v>15356</v>
      </c>
      <c r="Y2653" t="s">
        <v>15357</v>
      </c>
      <c r="AA2653" t="s">
        <v>15358</v>
      </c>
      <c r="AB2653" t="s">
        <v>15359</v>
      </c>
      <c r="AC2653">
        <v>99108</v>
      </c>
      <c r="AD2653" t="s">
        <v>1845</v>
      </c>
      <c r="AE2653">
        <v>-39.428387039999997</v>
      </c>
      <c r="AF2653">
        <v>174.29743762000001</v>
      </c>
      <c r="AG2653">
        <v>44</v>
      </c>
      <c r="AH2653">
        <v>12</v>
      </c>
      <c r="AI2653">
        <v>2</v>
      </c>
      <c r="AJ2653">
        <v>10</v>
      </c>
      <c r="AK2653">
        <v>19</v>
      </c>
      <c r="AL2653">
        <v>9</v>
      </c>
      <c r="AM2653">
        <v>17</v>
      </c>
      <c r="AN2653">
        <v>2</v>
      </c>
      <c r="AO2653">
        <v>59</v>
      </c>
      <c r="AP2653">
        <v>59</v>
      </c>
      <c r="AQ2653">
        <v>4</v>
      </c>
      <c r="AR2653">
        <v>0</v>
      </c>
      <c r="AS2653">
        <v>3</v>
      </c>
      <c r="AT2653">
        <v>0</v>
      </c>
    </row>
    <row r="2654" spans="1:46">
      <c r="A2654">
        <v>47135</v>
      </c>
      <c r="B2654" t="s">
        <v>15360</v>
      </c>
      <c r="C2654" t="s">
        <v>15361</v>
      </c>
      <c r="D2654" t="s">
        <v>15362</v>
      </c>
      <c r="E2654" t="s">
        <v>15363</v>
      </c>
      <c r="F2654" t="s">
        <v>1313</v>
      </c>
      <c r="G2654" t="s">
        <v>1296</v>
      </c>
      <c r="H2654" t="s">
        <v>3942</v>
      </c>
      <c r="J2654" t="s">
        <v>3962</v>
      </c>
      <c r="K2654" t="s">
        <v>519</v>
      </c>
      <c r="M2654" t="s">
        <v>1297</v>
      </c>
      <c r="N2654" t="s">
        <v>571</v>
      </c>
      <c r="O2654" t="s">
        <v>1298</v>
      </c>
      <c r="P2654" t="s">
        <v>654</v>
      </c>
      <c r="Q2654" t="s">
        <v>1299</v>
      </c>
      <c r="R2654" t="s">
        <v>1300</v>
      </c>
      <c r="S2654" t="s">
        <v>1312</v>
      </c>
      <c r="T2654" t="s">
        <v>1235</v>
      </c>
      <c r="U2654">
        <v>177500</v>
      </c>
      <c r="V2654" t="s">
        <v>1371</v>
      </c>
      <c r="W2654" t="s">
        <v>1314</v>
      </c>
      <c r="X2654" t="s">
        <v>15364</v>
      </c>
      <c r="Y2654" t="s">
        <v>4107</v>
      </c>
      <c r="AA2654" t="s">
        <v>3982</v>
      </c>
      <c r="AB2654" t="s">
        <v>15365</v>
      </c>
      <c r="AE2654">
        <v>-37.749331769999998</v>
      </c>
      <c r="AF2654">
        <v>175.27988268999999</v>
      </c>
      <c r="AG2654">
        <v>80</v>
      </c>
      <c r="AH2654">
        <v>24</v>
      </c>
      <c r="AI2654">
        <v>4</v>
      </c>
      <c r="AJ2654">
        <v>13</v>
      </c>
      <c r="AK2654">
        <v>25</v>
      </c>
      <c r="AL2654">
        <v>23</v>
      </c>
      <c r="AM2654">
        <v>20</v>
      </c>
      <c r="AN2654">
        <v>0</v>
      </c>
      <c r="AO2654">
        <v>85</v>
      </c>
      <c r="AP2654">
        <v>64</v>
      </c>
      <c r="AQ2654">
        <v>26</v>
      </c>
      <c r="AR2654">
        <v>6</v>
      </c>
      <c r="AS2654">
        <v>20</v>
      </c>
      <c r="AT2654">
        <v>5</v>
      </c>
    </row>
    <row r="2655" spans="1:46">
      <c r="A2655">
        <v>47136</v>
      </c>
      <c r="B2655" t="s">
        <v>15366</v>
      </c>
      <c r="C2655" t="s">
        <v>15367</v>
      </c>
      <c r="D2655" t="s">
        <v>15368</v>
      </c>
      <c r="E2655" t="s">
        <v>15369</v>
      </c>
      <c r="G2655" t="s">
        <v>2714</v>
      </c>
      <c r="H2655" t="s">
        <v>3942</v>
      </c>
      <c r="J2655" t="s">
        <v>3962</v>
      </c>
      <c r="K2655" t="s">
        <v>519</v>
      </c>
      <c r="M2655" t="s">
        <v>2287</v>
      </c>
      <c r="N2655" t="s">
        <v>571</v>
      </c>
      <c r="O2655" t="s">
        <v>2675</v>
      </c>
      <c r="P2655" t="s">
        <v>1262</v>
      </c>
      <c r="Q2655" t="s">
        <v>2319</v>
      </c>
      <c r="R2655" t="s">
        <v>2289</v>
      </c>
      <c r="S2655" t="s">
        <v>2067</v>
      </c>
      <c r="T2655" t="s">
        <v>1485</v>
      </c>
      <c r="U2655">
        <v>237300</v>
      </c>
      <c r="V2655" t="s">
        <v>15370</v>
      </c>
      <c r="W2655" t="s">
        <v>2677</v>
      </c>
      <c r="X2655" t="s">
        <v>15371</v>
      </c>
      <c r="Y2655" t="s">
        <v>15372</v>
      </c>
      <c r="AA2655" t="s">
        <v>15373</v>
      </c>
      <c r="AB2655" t="s">
        <v>15374</v>
      </c>
      <c r="AE2655">
        <v>-40.896679069999998</v>
      </c>
      <c r="AF2655">
        <v>174.9865466</v>
      </c>
      <c r="AG2655">
        <v>50</v>
      </c>
      <c r="AH2655">
        <v>10</v>
      </c>
      <c r="AI2655">
        <v>0</v>
      </c>
      <c r="AJ2655">
        <v>0</v>
      </c>
      <c r="AK2655">
        <v>6</v>
      </c>
      <c r="AL2655">
        <v>14</v>
      </c>
      <c r="AM2655">
        <v>8</v>
      </c>
      <c r="AN2655">
        <v>1</v>
      </c>
      <c r="AO2655">
        <v>29</v>
      </c>
      <c r="AP2655">
        <v>15</v>
      </c>
      <c r="AQ2655">
        <v>6</v>
      </c>
      <c r="AR2655">
        <v>1</v>
      </c>
      <c r="AS2655">
        <v>8</v>
      </c>
      <c r="AT2655">
        <v>8</v>
      </c>
    </row>
    <row r="2656" spans="1:46">
      <c r="A2656">
        <v>47138</v>
      </c>
      <c r="B2656" t="s">
        <v>15375</v>
      </c>
      <c r="C2656" t="s">
        <v>14584</v>
      </c>
      <c r="D2656" t="s">
        <v>15376</v>
      </c>
      <c r="E2656" t="s">
        <v>15377</v>
      </c>
      <c r="F2656" t="s">
        <v>4054</v>
      </c>
      <c r="G2656" t="s">
        <v>652</v>
      </c>
      <c r="H2656" t="s">
        <v>4716</v>
      </c>
      <c r="J2656" t="s">
        <v>3962</v>
      </c>
      <c r="K2656" t="s">
        <v>519</v>
      </c>
      <c r="M2656" t="s">
        <v>520</v>
      </c>
      <c r="N2656" t="s">
        <v>571</v>
      </c>
      <c r="O2656" t="s">
        <v>748</v>
      </c>
      <c r="P2656" t="s">
        <v>654</v>
      </c>
      <c r="Q2656" t="s">
        <v>638</v>
      </c>
      <c r="R2656" t="s">
        <v>639</v>
      </c>
      <c r="S2656" t="s">
        <v>682</v>
      </c>
      <c r="T2656" t="s">
        <v>527</v>
      </c>
      <c r="U2656">
        <v>123600</v>
      </c>
      <c r="V2656" t="s">
        <v>1196</v>
      </c>
      <c r="W2656" t="s">
        <v>741</v>
      </c>
      <c r="X2656" t="s">
        <v>15378</v>
      </c>
      <c r="Y2656" t="s">
        <v>15377</v>
      </c>
      <c r="Z2656" t="s">
        <v>4054</v>
      </c>
      <c r="AA2656" t="s">
        <v>6781</v>
      </c>
      <c r="AE2656">
        <v>-36.760098419999998</v>
      </c>
      <c r="AF2656">
        <v>174.75515003999999</v>
      </c>
      <c r="AG2656">
        <v>80</v>
      </c>
      <c r="AH2656">
        <v>80</v>
      </c>
      <c r="AI2656">
        <v>12</v>
      </c>
      <c r="AJ2656">
        <v>10</v>
      </c>
      <c r="AK2656">
        <v>13</v>
      </c>
      <c r="AL2656">
        <v>9</v>
      </c>
      <c r="AM2656">
        <v>7</v>
      </c>
      <c r="AN2656">
        <v>0</v>
      </c>
      <c r="AO2656">
        <v>51</v>
      </c>
      <c r="AP2656">
        <v>5</v>
      </c>
      <c r="AQ2656">
        <v>0</v>
      </c>
      <c r="AR2656">
        <v>0</v>
      </c>
      <c r="AS2656">
        <v>51</v>
      </c>
      <c r="AT2656">
        <v>0</v>
      </c>
    </row>
    <row r="2657" spans="1:46">
      <c r="A2657">
        <v>47142</v>
      </c>
      <c r="B2657" t="s">
        <v>15379</v>
      </c>
      <c r="C2657" t="s">
        <v>15380</v>
      </c>
      <c r="D2657" t="s">
        <v>15381</v>
      </c>
      <c r="E2657" t="s">
        <v>15382</v>
      </c>
      <c r="F2657" t="s">
        <v>3706</v>
      </c>
      <c r="G2657" t="s">
        <v>652</v>
      </c>
      <c r="H2657" t="s">
        <v>3942</v>
      </c>
      <c r="J2657" t="s">
        <v>3962</v>
      </c>
      <c r="K2657" t="s">
        <v>519</v>
      </c>
      <c r="M2657" t="s">
        <v>520</v>
      </c>
      <c r="N2657" t="s">
        <v>571</v>
      </c>
      <c r="O2657" t="s">
        <v>1168</v>
      </c>
      <c r="P2657" t="s">
        <v>654</v>
      </c>
      <c r="Q2657" t="s">
        <v>638</v>
      </c>
      <c r="R2657" t="s">
        <v>639</v>
      </c>
      <c r="S2657" t="s">
        <v>655</v>
      </c>
      <c r="T2657" t="s">
        <v>527</v>
      </c>
      <c r="U2657">
        <v>117300</v>
      </c>
      <c r="V2657" t="s">
        <v>5703</v>
      </c>
      <c r="W2657" t="s">
        <v>657</v>
      </c>
      <c r="X2657" t="s">
        <v>15383</v>
      </c>
      <c r="Y2657" t="s">
        <v>15384</v>
      </c>
      <c r="Z2657" t="s">
        <v>3706</v>
      </c>
      <c r="AA2657" t="s">
        <v>4099</v>
      </c>
      <c r="AB2657" t="s">
        <v>15380</v>
      </c>
      <c r="AE2657">
        <v>-36.72575569</v>
      </c>
      <c r="AF2657">
        <v>174.69790019999999</v>
      </c>
      <c r="AG2657">
        <v>80</v>
      </c>
      <c r="AH2657">
        <v>20</v>
      </c>
      <c r="AI2657">
        <v>0</v>
      </c>
      <c r="AJ2657">
        <v>6</v>
      </c>
      <c r="AK2657">
        <v>13</v>
      </c>
      <c r="AL2657">
        <v>15</v>
      </c>
      <c r="AM2657">
        <v>29</v>
      </c>
      <c r="AN2657">
        <v>0</v>
      </c>
      <c r="AO2657">
        <v>63</v>
      </c>
      <c r="AP2657">
        <v>3</v>
      </c>
      <c r="AQ2657">
        <v>3</v>
      </c>
      <c r="AR2657">
        <v>0</v>
      </c>
      <c r="AS2657">
        <v>57</v>
      </c>
      <c r="AT2657">
        <v>2</v>
      </c>
    </row>
    <row r="2658" spans="1:46">
      <c r="A2658">
        <v>47143</v>
      </c>
      <c r="B2658" t="s">
        <v>8172</v>
      </c>
      <c r="E2658" t="s">
        <v>15385</v>
      </c>
      <c r="F2658" t="s">
        <v>15386</v>
      </c>
      <c r="G2658" t="s">
        <v>652</v>
      </c>
      <c r="H2658" t="s">
        <v>3942</v>
      </c>
      <c r="J2658" t="s">
        <v>3962</v>
      </c>
      <c r="K2658" t="s">
        <v>519</v>
      </c>
      <c r="M2658" t="s">
        <v>520</v>
      </c>
      <c r="N2658" t="s">
        <v>539</v>
      </c>
      <c r="O2658" t="s">
        <v>848</v>
      </c>
      <c r="P2658" t="s">
        <v>654</v>
      </c>
      <c r="Q2658" t="s">
        <v>638</v>
      </c>
      <c r="R2658" t="s">
        <v>729</v>
      </c>
      <c r="S2658" t="s">
        <v>849</v>
      </c>
      <c r="T2658" t="s">
        <v>709</v>
      </c>
      <c r="U2658">
        <v>148600</v>
      </c>
      <c r="V2658" t="s">
        <v>14316</v>
      </c>
      <c r="W2658" t="s">
        <v>732</v>
      </c>
      <c r="X2658" t="s">
        <v>8176</v>
      </c>
      <c r="Y2658" t="s">
        <v>8177</v>
      </c>
      <c r="Z2658" t="s">
        <v>1035</v>
      </c>
      <c r="AA2658" t="s">
        <v>7374</v>
      </c>
      <c r="AB2658" t="s">
        <v>8173</v>
      </c>
      <c r="AE2658">
        <v>-36.952372599999997</v>
      </c>
      <c r="AF2658">
        <v>174.79771721</v>
      </c>
      <c r="AG2658">
        <v>70</v>
      </c>
      <c r="AH2658">
        <v>20</v>
      </c>
      <c r="AI2658">
        <v>2</v>
      </c>
      <c r="AJ2658">
        <v>11</v>
      </c>
      <c r="AK2658">
        <v>10</v>
      </c>
      <c r="AL2658">
        <v>9</v>
      </c>
      <c r="AM2658">
        <v>9</v>
      </c>
      <c r="AN2658">
        <v>0</v>
      </c>
      <c r="AO2658">
        <v>41</v>
      </c>
      <c r="AP2658">
        <v>5</v>
      </c>
      <c r="AQ2658">
        <v>4</v>
      </c>
      <c r="AR2658">
        <v>20</v>
      </c>
      <c r="AS2658">
        <v>17</v>
      </c>
      <c r="AT2658">
        <v>1</v>
      </c>
    </row>
    <row r="2659" spans="1:46">
      <c r="A2659">
        <v>47144</v>
      </c>
      <c r="B2659" t="s">
        <v>15387</v>
      </c>
      <c r="C2659" t="s">
        <v>15388</v>
      </c>
      <c r="E2659" t="s">
        <v>15389</v>
      </c>
      <c r="F2659" t="s">
        <v>2038</v>
      </c>
      <c r="G2659" t="s">
        <v>1974</v>
      </c>
      <c r="H2659" t="s">
        <v>3942</v>
      </c>
      <c r="J2659" t="s">
        <v>3962</v>
      </c>
      <c r="K2659" t="s">
        <v>519</v>
      </c>
      <c r="M2659" t="s">
        <v>1297</v>
      </c>
      <c r="N2659" t="s">
        <v>571</v>
      </c>
      <c r="O2659" t="s">
        <v>1956</v>
      </c>
      <c r="P2659" t="s">
        <v>584</v>
      </c>
      <c r="Q2659" t="s">
        <v>1636</v>
      </c>
      <c r="R2659" t="s">
        <v>1760</v>
      </c>
      <c r="S2659" t="s">
        <v>1974</v>
      </c>
      <c r="T2659" t="s">
        <v>1485</v>
      </c>
      <c r="U2659">
        <v>231500</v>
      </c>
      <c r="V2659" t="s">
        <v>2039</v>
      </c>
      <c r="W2659" t="s">
        <v>1957</v>
      </c>
      <c r="X2659" t="s">
        <v>15390</v>
      </c>
      <c r="Y2659" t="s">
        <v>4107</v>
      </c>
      <c r="AA2659" t="s">
        <v>3982</v>
      </c>
      <c r="AB2659" t="s">
        <v>15388</v>
      </c>
      <c r="AC2659">
        <v>99052</v>
      </c>
      <c r="AD2659" t="s">
        <v>1962</v>
      </c>
      <c r="AE2659">
        <v>-40.343312740000002</v>
      </c>
      <c r="AF2659">
        <v>175.64422655999999</v>
      </c>
      <c r="AG2659">
        <v>100</v>
      </c>
      <c r="AH2659">
        <v>30</v>
      </c>
      <c r="AI2659">
        <v>13</v>
      </c>
      <c r="AJ2659">
        <v>16</v>
      </c>
      <c r="AK2659">
        <v>23</v>
      </c>
      <c r="AL2659">
        <v>20</v>
      </c>
      <c r="AM2659">
        <v>16</v>
      </c>
      <c r="AN2659">
        <v>0</v>
      </c>
      <c r="AO2659">
        <v>88</v>
      </c>
      <c r="AP2659">
        <v>74</v>
      </c>
      <c r="AQ2659">
        <v>21</v>
      </c>
      <c r="AR2659">
        <v>2</v>
      </c>
      <c r="AS2659">
        <v>6</v>
      </c>
      <c r="AT2659">
        <v>0</v>
      </c>
    </row>
    <row r="2660" spans="1:46">
      <c r="A2660">
        <v>47147</v>
      </c>
      <c r="B2660" t="s">
        <v>15391</v>
      </c>
      <c r="C2660" t="s">
        <v>13928</v>
      </c>
      <c r="E2660" t="s">
        <v>13924</v>
      </c>
      <c r="F2660" t="s">
        <v>13925</v>
      </c>
      <c r="G2660" t="s">
        <v>3498</v>
      </c>
      <c r="H2660" t="s">
        <v>4716</v>
      </c>
      <c r="J2660" t="s">
        <v>3962</v>
      </c>
      <c r="K2660" t="s">
        <v>519</v>
      </c>
      <c r="M2660" t="s">
        <v>2287</v>
      </c>
      <c r="N2660" t="s">
        <v>571</v>
      </c>
      <c r="O2660" t="s">
        <v>3496</v>
      </c>
      <c r="P2660" t="s">
        <v>584</v>
      </c>
      <c r="Q2660" t="s">
        <v>3497</v>
      </c>
      <c r="R2660" t="s">
        <v>3338</v>
      </c>
      <c r="S2660" t="s">
        <v>3498</v>
      </c>
      <c r="T2660" t="s">
        <v>2448</v>
      </c>
      <c r="U2660">
        <v>361300</v>
      </c>
      <c r="V2660" t="s">
        <v>13925</v>
      </c>
      <c r="W2660" t="s">
        <v>1652</v>
      </c>
      <c r="X2660" t="s">
        <v>13926</v>
      </c>
      <c r="Y2660" t="s">
        <v>13927</v>
      </c>
      <c r="Z2660" t="s">
        <v>3585</v>
      </c>
      <c r="AA2660" t="s">
        <v>11903</v>
      </c>
      <c r="AB2660" t="s">
        <v>13928</v>
      </c>
      <c r="AE2660">
        <v>-46.400447900000003</v>
      </c>
      <c r="AF2660">
        <v>168.34700028</v>
      </c>
      <c r="AG2660">
        <v>100</v>
      </c>
      <c r="AH2660">
        <v>100</v>
      </c>
      <c r="AI2660">
        <v>4</v>
      </c>
      <c r="AJ2660">
        <v>21</v>
      </c>
      <c r="AK2660">
        <v>22</v>
      </c>
      <c r="AL2660">
        <v>17</v>
      </c>
      <c r="AM2660">
        <v>16</v>
      </c>
      <c r="AN2660">
        <v>1</v>
      </c>
      <c r="AO2660">
        <v>81</v>
      </c>
      <c r="AP2660">
        <v>69</v>
      </c>
      <c r="AQ2660">
        <v>7</v>
      </c>
      <c r="AR2660">
        <v>2</v>
      </c>
      <c r="AS2660">
        <v>10</v>
      </c>
      <c r="AT2660">
        <v>4</v>
      </c>
    </row>
    <row r="2661" spans="1:46">
      <c r="A2661">
        <v>47148</v>
      </c>
      <c r="B2661" t="s">
        <v>15392</v>
      </c>
      <c r="C2661" t="s">
        <v>15393</v>
      </c>
      <c r="E2661" t="s">
        <v>15394</v>
      </c>
      <c r="G2661" t="s">
        <v>1521</v>
      </c>
      <c r="H2661" t="s">
        <v>3942</v>
      </c>
      <c r="J2661" t="s">
        <v>3962</v>
      </c>
      <c r="K2661" t="s">
        <v>519</v>
      </c>
      <c r="M2661" t="s">
        <v>1297</v>
      </c>
      <c r="N2661" t="s">
        <v>539</v>
      </c>
      <c r="O2661" t="s">
        <v>1522</v>
      </c>
      <c r="P2661" t="s">
        <v>584</v>
      </c>
      <c r="Q2661" t="s">
        <v>1471</v>
      </c>
      <c r="R2661" t="s">
        <v>1472</v>
      </c>
      <c r="S2661" t="s">
        <v>1521</v>
      </c>
      <c r="T2661" t="s">
        <v>1474</v>
      </c>
      <c r="U2661">
        <v>200100</v>
      </c>
      <c r="V2661" t="s">
        <v>8491</v>
      </c>
      <c r="W2661" t="s">
        <v>1523</v>
      </c>
      <c r="X2661" t="s">
        <v>10626</v>
      </c>
      <c r="Y2661" t="s">
        <v>10627</v>
      </c>
      <c r="Z2661" t="s">
        <v>1366</v>
      </c>
      <c r="AA2661" t="s">
        <v>8520</v>
      </c>
      <c r="AB2661" t="s">
        <v>10628</v>
      </c>
      <c r="AE2661">
        <v>-38.143847659999999</v>
      </c>
      <c r="AF2661">
        <v>176.25480311000001</v>
      </c>
      <c r="AG2661">
        <v>40</v>
      </c>
      <c r="AH2661">
        <v>10</v>
      </c>
      <c r="AI2661">
        <v>0</v>
      </c>
      <c r="AJ2661">
        <v>0</v>
      </c>
      <c r="AK2661">
        <v>2</v>
      </c>
      <c r="AL2661">
        <v>12</v>
      </c>
      <c r="AM2661">
        <v>12</v>
      </c>
      <c r="AN2661">
        <v>0</v>
      </c>
      <c r="AO2661">
        <v>26</v>
      </c>
      <c r="AP2661">
        <v>0</v>
      </c>
      <c r="AQ2661">
        <v>4</v>
      </c>
      <c r="AR2661">
        <v>2</v>
      </c>
      <c r="AS2661">
        <v>19</v>
      </c>
      <c r="AT2661">
        <v>1</v>
      </c>
    </row>
    <row r="2662" spans="1:46">
      <c r="A2662">
        <v>47151</v>
      </c>
      <c r="B2662" t="s">
        <v>15395</v>
      </c>
      <c r="C2662" t="s">
        <v>11879</v>
      </c>
      <c r="D2662" t="s">
        <v>12354</v>
      </c>
      <c r="E2662" t="s">
        <v>12355</v>
      </c>
      <c r="G2662" t="s">
        <v>10911</v>
      </c>
      <c r="H2662" t="s">
        <v>4716</v>
      </c>
      <c r="J2662" t="s">
        <v>3962</v>
      </c>
      <c r="K2662" t="s">
        <v>519</v>
      </c>
      <c r="M2662" t="s">
        <v>2287</v>
      </c>
      <c r="N2662" t="s">
        <v>4519</v>
      </c>
      <c r="O2662" t="s">
        <v>3208</v>
      </c>
      <c r="P2662" t="s">
        <v>1262</v>
      </c>
      <c r="Q2662" t="s">
        <v>2943</v>
      </c>
      <c r="R2662" t="s">
        <v>2944</v>
      </c>
      <c r="S2662" t="s">
        <v>3179</v>
      </c>
      <c r="T2662" t="s">
        <v>2448</v>
      </c>
      <c r="U2662">
        <v>334801</v>
      </c>
      <c r="V2662" t="s">
        <v>12356</v>
      </c>
      <c r="W2662" t="s">
        <v>10914</v>
      </c>
      <c r="X2662" t="s">
        <v>12357</v>
      </c>
      <c r="Y2662" t="s">
        <v>11878</v>
      </c>
      <c r="AA2662" t="s">
        <v>10917</v>
      </c>
      <c r="AB2662" t="s">
        <v>11879</v>
      </c>
      <c r="AE2662">
        <v>-43.586512370000001</v>
      </c>
      <c r="AF2662">
        <v>172.37460179999999</v>
      </c>
      <c r="AG2662">
        <v>80</v>
      </c>
      <c r="AH2662">
        <v>80</v>
      </c>
      <c r="AI2662">
        <v>2</v>
      </c>
      <c r="AJ2662">
        <v>9</v>
      </c>
      <c r="AK2662">
        <v>12</v>
      </c>
      <c r="AL2662">
        <v>12</v>
      </c>
      <c r="AM2662">
        <v>3</v>
      </c>
      <c r="AN2662">
        <v>0</v>
      </c>
      <c r="AO2662">
        <v>38</v>
      </c>
      <c r="AP2662">
        <v>31</v>
      </c>
      <c r="AQ2662">
        <v>5</v>
      </c>
      <c r="AR2662">
        <v>0</v>
      </c>
      <c r="AS2662">
        <v>7</v>
      </c>
      <c r="AT2662">
        <v>0</v>
      </c>
    </row>
    <row r="2663" spans="1:46">
      <c r="A2663">
        <v>47152</v>
      </c>
      <c r="B2663" t="s">
        <v>15396</v>
      </c>
      <c r="C2663" t="s">
        <v>15397</v>
      </c>
      <c r="E2663" t="s">
        <v>15398</v>
      </c>
      <c r="F2663" t="s">
        <v>532</v>
      </c>
      <c r="G2663" t="s">
        <v>582</v>
      </c>
      <c r="H2663" t="s">
        <v>3942</v>
      </c>
      <c r="J2663" t="s">
        <v>3962</v>
      </c>
      <c r="K2663" t="s">
        <v>519</v>
      </c>
      <c r="M2663" t="s">
        <v>520</v>
      </c>
      <c r="N2663" t="s">
        <v>571</v>
      </c>
      <c r="O2663" t="s">
        <v>583</v>
      </c>
      <c r="P2663" t="s">
        <v>584</v>
      </c>
      <c r="Q2663" t="s">
        <v>524</v>
      </c>
      <c r="R2663" t="s">
        <v>525</v>
      </c>
      <c r="S2663" t="s">
        <v>585</v>
      </c>
      <c r="T2663" t="s">
        <v>527</v>
      </c>
      <c r="U2663">
        <v>106000</v>
      </c>
      <c r="V2663" t="s">
        <v>598</v>
      </c>
      <c r="W2663" t="s">
        <v>587</v>
      </c>
      <c r="X2663" t="s">
        <v>15399</v>
      </c>
      <c r="Y2663" t="s">
        <v>15400</v>
      </c>
      <c r="Z2663" t="s">
        <v>5219</v>
      </c>
      <c r="AA2663" t="s">
        <v>4529</v>
      </c>
      <c r="AE2663">
        <v>-35.682387540000001</v>
      </c>
      <c r="AF2663">
        <v>174.30416423</v>
      </c>
      <c r="AG2663">
        <v>30</v>
      </c>
      <c r="AH2663">
        <v>0</v>
      </c>
      <c r="AI2663">
        <v>0</v>
      </c>
      <c r="AJ2663">
        <v>0</v>
      </c>
      <c r="AK2663">
        <v>8</v>
      </c>
      <c r="AL2663">
        <v>7</v>
      </c>
      <c r="AM2663">
        <v>7</v>
      </c>
      <c r="AN2663">
        <v>1</v>
      </c>
      <c r="AO2663">
        <v>23</v>
      </c>
      <c r="AP2663">
        <v>17</v>
      </c>
      <c r="AQ2663">
        <v>12</v>
      </c>
      <c r="AR2663">
        <v>0</v>
      </c>
      <c r="AS2663">
        <v>2</v>
      </c>
      <c r="AT2663">
        <v>1</v>
      </c>
    </row>
    <row r="2664" spans="1:46">
      <c r="A2664">
        <v>47154</v>
      </c>
      <c r="B2664" t="s">
        <v>15401</v>
      </c>
      <c r="C2664" t="s">
        <v>15402</v>
      </c>
      <c r="D2664" t="s">
        <v>15403</v>
      </c>
      <c r="E2664" t="s">
        <v>15404</v>
      </c>
      <c r="F2664" t="s">
        <v>1295</v>
      </c>
      <c r="G2664" t="s">
        <v>1296</v>
      </c>
      <c r="H2664" t="s">
        <v>3942</v>
      </c>
      <c r="J2664" t="s">
        <v>3962</v>
      </c>
      <c r="K2664" t="s">
        <v>519</v>
      </c>
      <c r="M2664" t="s">
        <v>1297</v>
      </c>
      <c r="N2664" t="s">
        <v>571</v>
      </c>
      <c r="O2664" t="s">
        <v>1298</v>
      </c>
      <c r="P2664" t="s">
        <v>654</v>
      </c>
      <c r="Q2664" t="s">
        <v>1299</v>
      </c>
      <c r="R2664" t="s">
        <v>1300</v>
      </c>
      <c r="S2664" t="s">
        <v>1301</v>
      </c>
      <c r="T2664" t="s">
        <v>1235</v>
      </c>
      <c r="U2664">
        <v>179401</v>
      </c>
      <c r="V2664" t="s">
        <v>1295</v>
      </c>
      <c r="W2664" t="s">
        <v>1303</v>
      </c>
      <c r="X2664" t="s">
        <v>15405</v>
      </c>
      <c r="Y2664" t="s">
        <v>15404</v>
      </c>
      <c r="Z2664" t="s">
        <v>1295</v>
      </c>
      <c r="AA2664" t="s">
        <v>8650</v>
      </c>
      <c r="AB2664" t="s">
        <v>15406</v>
      </c>
      <c r="AE2664">
        <v>-37.786135450000003</v>
      </c>
      <c r="AF2664">
        <v>175.27610082000001</v>
      </c>
      <c r="AG2664">
        <v>80</v>
      </c>
      <c r="AH2664">
        <v>30</v>
      </c>
      <c r="AI2664">
        <v>2</v>
      </c>
      <c r="AJ2664">
        <v>20</v>
      </c>
      <c r="AK2664">
        <v>22</v>
      </c>
      <c r="AL2664">
        <v>16</v>
      </c>
      <c r="AM2664">
        <v>15</v>
      </c>
      <c r="AN2664">
        <v>1</v>
      </c>
      <c r="AO2664">
        <v>76</v>
      </c>
      <c r="AP2664">
        <v>64</v>
      </c>
      <c r="AQ2664">
        <v>12</v>
      </c>
      <c r="AR2664">
        <v>5</v>
      </c>
      <c r="AS2664">
        <v>13</v>
      </c>
      <c r="AT2664">
        <v>2</v>
      </c>
    </row>
    <row r="2665" spans="1:46">
      <c r="A2665">
        <v>47155</v>
      </c>
      <c r="B2665" t="s">
        <v>15407</v>
      </c>
      <c r="C2665" t="s">
        <v>15408</v>
      </c>
      <c r="E2665" t="s">
        <v>15409</v>
      </c>
      <c r="G2665" t="s">
        <v>3513</v>
      </c>
      <c r="H2665" t="s">
        <v>3942</v>
      </c>
      <c r="J2665" t="s">
        <v>3962</v>
      </c>
      <c r="K2665" t="s">
        <v>519</v>
      </c>
      <c r="M2665" t="s">
        <v>2287</v>
      </c>
      <c r="N2665" t="s">
        <v>571</v>
      </c>
      <c r="O2665" t="s">
        <v>3514</v>
      </c>
      <c r="P2665" t="s">
        <v>523</v>
      </c>
      <c r="Q2665" t="s">
        <v>3497</v>
      </c>
      <c r="R2665" t="s">
        <v>3338</v>
      </c>
      <c r="S2665" t="s">
        <v>3361</v>
      </c>
      <c r="T2665" t="s">
        <v>2448</v>
      </c>
      <c r="U2665">
        <v>359900</v>
      </c>
      <c r="V2665" t="s">
        <v>11338</v>
      </c>
      <c r="W2665" t="s">
        <v>3516</v>
      </c>
      <c r="X2665" t="s">
        <v>15410</v>
      </c>
      <c r="Y2665" t="s">
        <v>15411</v>
      </c>
      <c r="Z2665" t="s">
        <v>3706</v>
      </c>
      <c r="AA2665" t="s">
        <v>4099</v>
      </c>
      <c r="AB2665" t="s">
        <v>15412</v>
      </c>
      <c r="AC2665">
        <v>99055</v>
      </c>
      <c r="AD2665" t="s">
        <v>3517</v>
      </c>
      <c r="AE2665">
        <v>-46.105363169999997</v>
      </c>
      <c r="AF2665">
        <v>168.93270620000001</v>
      </c>
      <c r="AG2665">
        <v>85</v>
      </c>
      <c r="AH2665">
        <v>30</v>
      </c>
      <c r="AI2665">
        <v>3</v>
      </c>
      <c r="AJ2665">
        <v>32</v>
      </c>
      <c r="AK2665">
        <v>28</v>
      </c>
      <c r="AL2665">
        <v>24</v>
      </c>
      <c r="AM2665">
        <v>22</v>
      </c>
      <c r="AN2665">
        <v>1</v>
      </c>
      <c r="AO2665">
        <v>110</v>
      </c>
      <c r="AP2665">
        <v>99</v>
      </c>
      <c r="AQ2665">
        <v>25</v>
      </c>
      <c r="AR2665">
        <v>1</v>
      </c>
      <c r="AS2665">
        <v>1</v>
      </c>
      <c r="AT2665">
        <v>7</v>
      </c>
    </row>
    <row r="2666" spans="1:46">
      <c r="A2666">
        <v>47156</v>
      </c>
      <c r="B2666" t="s">
        <v>15413</v>
      </c>
      <c r="C2666" t="s">
        <v>15414</v>
      </c>
      <c r="D2666" t="s">
        <v>15415</v>
      </c>
      <c r="E2666" t="s">
        <v>15416</v>
      </c>
      <c r="G2666" t="s">
        <v>2882</v>
      </c>
      <c r="H2666" t="s">
        <v>3942</v>
      </c>
      <c r="J2666" t="s">
        <v>3962</v>
      </c>
      <c r="K2666" t="s">
        <v>519</v>
      </c>
      <c r="M2666" t="s">
        <v>2287</v>
      </c>
      <c r="N2666" t="s">
        <v>571</v>
      </c>
      <c r="O2666" t="s">
        <v>2868</v>
      </c>
      <c r="P2666" t="s">
        <v>1262</v>
      </c>
      <c r="Q2666" t="s">
        <v>2869</v>
      </c>
      <c r="R2666" t="s">
        <v>2824</v>
      </c>
      <c r="S2666" t="s">
        <v>2853</v>
      </c>
      <c r="T2666" t="s">
        <v>2448</v>
      </c>
      <c r="U2666">
        <v>303200</v>
      </c>
      <c r="V2666" t="s">
        <v>2883</v>
      </c>
      <c r="W2666" t="s">
        <v>2884</v>
      </c>
      <c r="X2666" t="s">
        <v>15417</v>
      </c>
      <c r="Y2666" t="s">
        <v>15416</v>
      </c>
      <c r="AA2666" t="s">
        <v>10940</v>
      </c>
      <c r="AB2666" t="s">
        <v>15414</v>
      </c>
      <c r="AC2666">
        <v>99142</v>
      </c>
      <c r="AD2666" t="s">
        <v>2885</v>
      </c>
      <c r="AE2666">
        <v>-41.337542890000002</v>
      </c>
      <c r="AF2666">
        <v>173.20612826999999</v>
      </c>
      <c r="AG2666">
        <v>50</v>
      </c>
      <c r="AH2666">
        <v>15</v>
      </c>
      <c r="AI2666">
        <v>2</v>
      </c>
      <c r="AJ2666">
        <v>10</v>
      </c>
      <c r="AK2666">
        <v>13</v>
      </c>
      <c r="AL2666">
        <v>13</v>
      </c>
      <c r="AM2666">
        <v>14</v>
      </c>
      <c r="AN2666">
        <v>0</v>
      </c>
      <c r="AO2666">
        <v>52</v>
      </c>
      <c r="AP2666">
        <v>48</v>
      </c>
      <c r="AQ2666">
        <v>7</v>
      </c>
      <c r="AR2666">
        <v>0</v>
      </c>
      <c r="AS2666">
        <v>4</v>
      </c>
      <c r="AT2666">
        <v>1</v>
      </c>
    </row>
    <row r="2667" spans="1:46">
      <c r="A2667">
        <v>47162</v>
      </c>
      <c r="B2667" t="s">
        <v>15418</v>
      </c>
      <c r="C2667" t="s">
        <v>15419</v>
      </c>
      <c r="D2667" t="s">
        <v>15420</v>
      </c>
      <c r="E2667" t="s">
        <v>15421</v>
      </c>
      <c r="F2667" t="s">
        <v>3990</v>
      </c>
      <c r="G2667" t="s">
        <v>652</v>
      </c>
      <c r="H2667" t="s">
        <v>4716</v>
      </c>
      <c r="I2667" t="s">
        <v>4165</v>
      </c>
      <c r="J2667" t="s">
        <v>3962</v>
      </c>
      <c r="K2667" t="s">
        <v>519</v>
      </c>
      <c r="M2667" t="s">
        <v>520</v>
      </c>
      <c r="N2667" t="s">
        <v>539</v>
      </c>
      <c r="O2667" t="s">
        <v>707</v>
      </c>
      <c r="P2667" t="s">
        <v>654</v>
      </c>
      <c r="Q2667" t="s">
        <v>638</v>
      </c>
      <c r="R2667" t="s">
        <v>729</v>
      </c>
      <c r="S2667" t="s">
        <v>778</v>
      </c>
      <c r="T2667" t="s">
        <v>709</v>
      </c>
      <c r="U2667">
        <v>152300</v>
      </c>
      <c r="V2667" t="s">
        <v>3990</v>
      </c>
      <c r="W2667" t="s">
        <v>711</v>
      </c>
      <c r="X2667" t="s">
        <v>15422</v>
      </c>
      <c r="Y2667" t="s">
        <v>15423</v>
      </c>
      <c r="Z2667" t="s">
        <v>778</v>
      </c>
      <c r="AA2667" t="s">
        <v>11818</v>
      </c>
      <c r="AE2667">
        <v>-36.937126280000001</v>
      </c>
      <c r="AF2667">
        <v>174.90266729999999</v>
      </c>
      <c r="AG2667">
        <v>100</v>
      </c>
      <c r="AH2667">
        <v>100</v>
      </c>
      <c r="AI2667">
        <v>20</v>
      </c>
      <c r="AJ2667">
        <v>20</v>
      </c>
      <c r="AK2667">
        <v>14</v>
      </c>
      <c r="AL2667">
        <v>14</v>
      </c>
      <c r="AM2667">
        <v>7</v>
      </c>
      <c r="AN2667">
        <v>4</v>
      </c>
      <c r="AO2667">
        <v>79</v>
      </c>
      <c r="AP2667">
        <v>0</v>
      </c>
      <c r="AQ2667">
        <v>0</v>
      </c>
      <c r="AR2667">
        <v>77</v>
      </c>
      <c r="AS2667">
        <v>2</v>
      </c>
      <c r="AT2667">
        <v>0</v>
      </c>
    </row>
    <row r="2668" spans="1:46">
      <c r="A2668">
        <v>47165</v>
      </c>
      <c r="B2668" t="s">
        <v>15424</v>
      </c>
      <c r="C2668" t="s">
        <v>15425</v>
      </c>
      <c r="D2668" t="s">
        <v>15426</v>
      </c>
      <c r="E2668" t="s">
        <v>15427</v>
      </c>
      <c r="F2668" t="s">
        <v>6145</v>
      </c>
      <c r="G2668" t="s">
        <v>652</v>
      </c>
      <c r="H2668" t="s">
        <v>3942</v>
      </c>
      <c r="J2668" t="s">
        <v>3962</v>
      </c>
      <c r="K2668" t="s">
        <v>519</v>
      </c>
      <c r="M2668" t="s">
        <v>520</v>
      </c>
      <c r="N2668" t="s">
        <v>571</v>
      </c>
      <c r="O2668" t="s">
        <v>829</v>
      </c>
      <c r="P2668" t="s">
        <v>654</v>
      </c>
      <c r="Q2668" t="s">
        <v>638</v>
      </c>
      <c r="R2668" t="s">
        <v>708</v>
      </c>
      <c r="S2668" t="s">
        <v>805</v>
      </c>
      <c r="T2668" t="s">
        <v>709</v>
      </c>
      <c r="U2668">
        <v>142802</v>
      </c>
      <c r="V2668" t="s">
        <v>12560</v>
      </c>
      <c r="W2668" t="s">
        <v>807</v>
      </c>
      <c r="X2668" t="s">
        <v>4503</v>
      </c>
      <c r="Y2668" t="s">
        <v>15427</v>
      </c>
      <c r="Z2668" t="s">
        <v>6145</v>
      </c>
      <c r="AA2668" t="s">
        <v>6880</v>
      </c>
      <c r="AB2668" t="s">
        <v>4504</v>
      </c>
      <c r="AE2668">
        <v>-36.908406759999998</v>
      </c>
      <c r="AF2668">
        <v>174.78631741000001</v>
      </c>
      <c r="AG2668">
        <v>30</v>
      </c>
      <c r="AH2668">
        <v>10</v>
      </c>
      <c r="AI2668">
        <v>0</v>
      </c>
      <c r="AJ2668">
        <v>4</v>
      </c>
      <c r="AK2668">
        <v>13</v>
      </c>
      <c r="AL2668">
        <v>10</v>
      </c>
      <c r="AM2668">
        <v>10</v>
      </c>
      <c r="AN2668">
        <v>0</v>
      </c>
      <c r="AO2668">
        <v>37</v>
      </c>
      <c r="AP2668">
        <v>22</v>
      </c>
      <c r="AQ2668">
        <v>2</v>
      </c>
      <c r="AR2668">
        <v>1</v>
      </c>
      <c r="AS2668">
        <v>17</v>
      </c>
      <c r="AT2668">
        <v>2</v>
      </c>
    </row>
    <row r="2669" spans="1:46">
      <c r="A2669">
        <v>47166</v>
      </c>
      <c r="B2669" t="s">
        <v>15428</v>
      </c>
      <c r="C2669" t="s">
        <v>15429</v>
      </c>
      <c r="E2669" t="s">
        <v>15430</v>
      </c>
      <c r="F2669" t="s">
        <v>3173</v>
      </c>
      <c r="G2669" t="s">
        <v>2941</v>
      </c>
      <c r="H2669" t="s">
        <v>3942</v>
      </c>
      <c r="J2669" t="s">
        <v>518</v>
      </c>
      <c r="K2669" t="s">
        <v>519</v>
      </c>
      <c r="M2669" t="s">
        <v>2287</v>
      </c>
      <c r="N2669" t="s">
        <v>571</v>
      </c>
      <c r="O2669" t="s">
        <v>2942</v>
      </c>
      <c r="P2669" t="s">
        <v>654</v>
      </c>
      <c r="Q2669" t="s">
        <v>2943</v>
      </c>
      <c r="R2669" t="s">
        <v>2944</v>
      </c>
      <c r="S2669" t="s">
        <v>2957</v>
      </c>
      <c r="T2669" t="s">
        <v>2448</v>
      </c>
      <c r="U2669">
        <v>323800</v>
      </c>
      <c r="V2669" t="s">
        <v>3174</v>
      </c>
      <c r="W2669" t="s">
        <v>3070</v>
      </c>
      <c r="X2669" t="s">
        <v>10801</v>
      </c>
      <c r="Y2669" t="s">
        <v>3944</v>
      </c>
      <c r="Z2669" t="s">
        <v>3945</v>
      </c>
      <c r="AA2669" t="s">
        <v>3946</v>
      </c>
      <c r="AE2669">
        <v>-43.507358510000003</v>
      </c>
      <c r="AF2669">
        <v>172.63671153999999</v>
      </c>
      <c r="AG2669">
        <v>100</v>
      </c>
      <c r="AH2669">
        <v>25</v>
      </c>
      <c r="AI2669">
        <v>6</v>
      </c>
      <c r="AJ2669">
        <v>16</v>
      </c>
      <c r="AK2669">
        <v>21</v>
      </c>
      <c r="AL2669">
        <v>24</v>
      </c>
      <c r="AM2669">
        <v>32</v>
      </c>
      <c r="AN2669">
        <v>0</v>
      </c>
      <c r="AO2669">
        <v>99</v>
      </c>
      <c r="AP2669">
        <v>68</v>
      </c>
      <c r="AQ2669">
        <v>19</v>
      </c>
      <c r="AR2669">
        <v>4</v>
      </c>
      <c r="AS2669">
        <v>23</v>
      </c>
      <c r="AT2669">
        <v>10</v>
      </c>
    </row>
    <row r="2670" spans="1:46">
      <c r="A2670">
        <v>47168</v>
      </c>
      <c r="B2670" t="s">
        <v>15431</v>
      </c>
      <c r="C2670" t="s">
        <v>15432</v>
      </c>
      <c r="D2670" t="s">
        <v>15433</v>
      </c>
      <c r="E2670" t="s">
        <v>15434</v>
      </c>
      <c r="F2670" t="s">
        <v>726</v>
      </c>
      <c r="G2670" t="s">
        <v>652</v>
      </c>
      <c r="H2670" t="s">
        <v>3942</v>
      </c>
      <c r="J2670" t="s">
        <v>518</v>
      </c>
      <c r="K2670" t="s">
        <v>519</v>
      </c>
      <c r="M2670" t="s">
        <v>520</v>
      </c>
      <c r="N2670" t="s">
        <v>727</v>
      </c>
      <c r="O2670" t="s">
        <v>728</v>
      </c>
      <c r="P2670" t="s">
        <v>654</v>
      </c>
      <c r="Q2670" t="s">
        <v>638</v>
      </c>
      <c r="R2670" t="s">
        <v>729</v>
      </c>
      <c r="S2670" t="s">
        <v>730</v>
      </c>
      <c r="T2670" t="s">
        <v>709</v>
      </c>
      <c r="U2670">
        <v>155701</v>
      </c>
      <c r="V2670" t="s">
        <v>5005</v>
      </c>
      <c r="W2670" t="s">
        <v>732</v>
      </c>
      <c r="X2670" t="s">
        <v>5248</v>
      </c>
      <c r="Y2670" t="s">
        <v>5249</v>
      </c>
      <c r="Z2670" t="s">
        <v>1036</v>
      </c>
      <c r="AA2670" t="s">
        <v>5250</v>
      </c>
      <c r="AB2670" t="s">
        <v>5251</v>
      </c>
      <c r="AC2670">
        <v>99199</v>
      </c>
      <c r="AD2670" t="s">
        <v>8045</v>
      </c>
      <c r="AE2670">
        <v>-36.963159519999998</v>
      </c>
      <c r="AF2670">
        <v>174.8745868</v>
      </c>
      <c r="AG2670">
        <v>40</v>
      </c>
      <c r="AH2670">
        <v>0</v>
      </c>
      <c r="AI2670">
        <v>0</v>
      </c>
      <c r="AJ2670">
        <v>7</v>
      </c>
      <c r="AK2670">
        <v>3</v>
      </c>
      <c r="AL2670">
        <v>7</v>
      </c>
      <c r="AM2670">
        <v>5</v>
      </c>
      <c r="AN2670">
        <v>2</v>
      </c>
      <c r="AO2670">
        <v>24</v>
      </c>
      <c r="AP2670">
        <v>1</v>
      </c>
      <c r="AQ2670">
        <v>14</v>
      </c>
      <c r="AR2670">
        <v>21</v>
      </c>
      <c r="AS2670">
        <v>1</v>
      </c>
      <c r="AT2670">
        <v>1</v>
      </c>
    </row>
    <row r="2671" spans="1:46">
      <c r="A2671">
        <v>47169</v>
      </c>
      <c r="B2671" t="s">
        <v>15435</v>
      </c>
      <c r="C2671" t="s">
        <v>15436</v>
      </c>
      <c r="E2671" t="s">
        <v>15437</v>
      </c>
      <c r="F2671" t="s">
        <v>11099</v>
      </c>
      <c r="G2671" t="s">
        <v>3770</v>
      </c>
      <c r="H2671" t="s">
        <v>3942</v>
      </c>
      <c r="J2671" t="s">
        <v>3962</v>
      </c>
      <c r="K2671" t="s">
        <v>519</v>
      </c>
      <c r="M2671" t="s">
        <v>1297</v>
      </c>
      <c r="N2671" t="s">
        <v>571</v>
      </c>
      <c r="O2671" t="s">
        <v>1698</v>
      </c>
      <c r="P2671" t="s">
        <v>654</v>
      </c>
      <c r="Q2671" t="s">
        <v>1471</v>
      </c>
      <c r="R2671" t="s">
        <v>1472</v>
      </c>
      <c r="S2671" t="s">
        <v>1699</v>
      </c>
      <c r="T2671" t="s">
        <v>1474</v>
      </c>
      <c r="U2671">
        <v>197601</v>
      </c>
      <c r="V2671" t="s">
        <v>15438</v>
      </c>
      <c r="W2671" t="s">
        <v>3772</v>
      </c>
      <c r="X2671" t="s">
        <v>15439</v>
      </c>
      <c r="Y2671" t="s">
        <v>15437</v>
      </c>
      <c r="Z2671" t="s">
        <v>3770</v>
      </c>
      <c r="AA2671" t="s">
        <v>4719</v>
      </c>
      <c r="AB2671" t="s">
        <v>15436</v>
      </c>
      <c r="AE2671">
        <v>-37.714798399999999</v>
      </c>
      <c r="AF2671">
        <v>176.31426210000001</v>
      </c>
      <c r="AG2671">
        <v>100</v>
      </c>
      <c r="AH2671">
        <v>25</v>
      </c>
      <c r="AI2671">
        <v>6</v>
      </c>
      <c r="AJ2671">
        <v>10</v>
      </c>
      <c r="AK2671">
        <v>28</v>
      </c>
      <c r="AL2671">
        <v>26</v>
      </c>
      <c r="AM2671">
        <v>26</v>
      </c>
      <c r="AN2671">
        <v>0</v>
      </c>
      <c r="AO2671">
        <v>96</v>
      </c>
      <c r="AP2671">
        <v>75</v>
      </c>
      <c r="AQ2671">
        <v>31</v>
      </c>
      <c r="AR2671">
        <v>12</v>
      </c>
      <c r="AS2671">
        <v>9</v>
      </c>
      <c r="AT2671">
        <v>3</v>
      </c>
    </row>
    <row r="2672" spans="1:46">
      <c r="A2672">
        <v>47170</v>
      </c>
      <c r="B2672" t="s">
        <v>15440</v>
      </c>
      <c r="C2672" t="s">
        <v>15441</v>
      </c>
      <c r="D2672" t="s">
        <v>15442</v>
      </c>
      <c r="E2672" t="s">
        <v>15443</v>
      </c>
      <c r="F2672" t="s">
        <v>2578</v>
      </c>
      <c r="G2672" t="s">
        <v>2526</v>
      </c>
      <c r="H2672" t="s">
        <v>3942</v>
      </c>
      <c r="J2672" t="s">
        <v>3962</v>
      </c>
      <c r="K2672" t="s">
        <v>519</v>
      </c>
      <c r="M2672" t="s">
        <v>2287</v>
      </c>
      <c r="N2672" t="s">
        <v>571</v>
      </c>
      <c r="O2672" t="s">
        <v>2527</v>
      </c>
      <c r="P2672" t="s">
        <v>584</v>
      </c>
      <c r="Q2672" t="s">
        <v>2319</v>
      </c>
      <c r="R2672" t="s">
        <v>2289</v>
      </c>
      <c r="S2672" t="s">
        <v>2528</v>
      </c>
      <c r="T2672" t="s">
        <v>1485</v>
      </c>
      <c r="U2672">
        <v>240601</v>
      </c>
      <c r="V2672" t="s">
        <v>15444</v>
      </c>
      <c r="W2672" t="s">
        <v>2579</v>
      </c>
      <c r="X2672" t="s">
        <v>15445</v>
      </c>
      <c r="Y2672" t="s">
        <v>14573</v>
      </c>
      <c r="Z2672" t="s">
        <v>581</v>
      </c>
      <c r="AA2672" t="s">
        <v>4529</v>
      </c>
      <c r="AC2672">
        <v>99068</v>
      </c>
      <c r="AD2672" t="s">
        <v>2530</v>
      </c>
      <c r="AE2672">
        <v>-41.118887460000003</v>
      </c>
      <c r="AF2672">
        <v>174.89632330000001</v>
      </c>
      <c r="AG2672">
        <v>99</v>
      </c>
      <c r="AH2672">
        <v>20</v>
      </c>
      <c r="AI2672">
        <v>2</v>
      </c>
      <c r="AJ2672">
        <v>20</v>
      </c>
      <c r="AK2672">
        <v>25</v>
      </c>
      <c r="AL2672">
        <v>39</v>
      </c>
      <c r="AM2672">
        <v>23</v>
      </c>
      <c r="AN2672">
        <v>0</v>
      </c>
      <c r="AO2672">
        <v>109</v>
      </c>
      <c r="AP2672">
        <v>91</v>
      </c>
      <c r="AQ2672">
        <v>18</v>
      </c>
      <c r="AR2672">
        <v>8</v>
      </c>
      <c r="AS2672">
        <v>19</v>
      </c>
      <c r="AT2672">
        <v>1</v>
      </c>
    </row>
    <row r="2673" spans="1:46">
      <c r="A2673">
        <v>47171</v>
      </c>
      <c r="B2673" t="s">
        <v>15446</v>
      </c>
      <c r="C2673" t="s">
        <v>15447</v>
      </c>
      <c r="D2673" t="s">
        <v>15448</v>
      </c>
      <c r="E2673" t="s">
        <v>15449</v>
      </c>
      <c r="F2673" t="s">
        <v>1146</v>
      </c>
      <c r="G2673" t="s">
        <v>652</v>
      </c>
      <c r="H2673" t="s">
        <v>3942</v>
      </c>
      <c r="J2673" t="s">
        <v>3962</v>
      </c>
      <c r="K2673" t="s">
        <v>519</v>
      </c>
      <c r="M2673" t="s">
        <v>520</v>
      </c>
      <c r="N2673" t="s">
        <v>571</v>
      </c>
      <c r="O2673" t="s">
        <v>957</v>
      </c>
      <c r="P2673" t="s">
        <v>654</v>
      </c>
      <c r="Q2673" t="s">
        <v>638</v>
      </c>
      <c r="R2673" t="s">
        <v>708</v>
      </c>
      <c r="S2673" t="s">
        <v>858</v>
      </c>
      <c r="T2673" t="s">
        <v>709</v>
      </c>
      <c r="U2673">
        <v>133500</v>
      </c>
      <c r="V2673" t="s">
        <v>1147</v>
      </c>
      <c r="W2673" t="s">
        <v>959</v>
      </c>
      <c r="X2673" t="s">
        <v>15450</v>
      </c>
      <c r="Y2673" t="s">
        <v>15449</v>
      </c>
      <c r="Z2673" t="s">
        <v>1146</v>
      </c>
      <c r="AA2673" t="s">
        <v>4414</v>
      </c>
      <c r="AE2673">
        <v>-36.8642951</v>
      </c>
      <c r="AF2673">
        <v>174.75040576999999</v>
      </c>
      <c r="AG2673">
        <v>35</v>
      </c>
      <c r="AH2673">
        <v>0</v>
      </c>
      <c r="AI2673">
        <v>0</v>
      </c>
      <c r="AJ2673">
        <v>0</v>
      </c>
      <c r="AK2673">
        <v>10</v>
      </c>
      <c r="AL2673">
        <v>14</v>
      </c>
      <c r="AM2673">
        <v>19</v>
      </c>
      <c r="AN2673">
        <v>2</v>
      </c>
      <c r="AO2673">
        <v>45</v>
      </c>
      <c r="AP2673">
        <v>44</v>
      </c>
      <c r="AQ2673">
        <v>6</v>
      </c>
      <c r="AR2673">
        <v>1</v>
      </c>
      <c r="AS2673">
        <v>6</v>
      </c>
      <c r="AT2673">
        <v>0</v>
      </c>
    </row>
    <row r="2674" spans="1:46">
      <c r="A2674">
        <v>47172</v>
      </c>
      <c r="B2674" t="s">
        <v>15451</v>
      </c>
      <c r="C2674" t="s">
        <v>15452</v>
      </c>
      <c r="D2674" t="s">
        <v>8063</v>
      </c>
      <c r="E2674" t="s">
        <v>15453</v>
      </c>
      <c r="F2674" t="s">
        <v>879</v>
      </c>
      <c r="G2674" t="s">
        <v>652</v>
      </c>
      <c r="H2674" t="s">
        <v>3942</v>
      </c>
      <c r="J2674" t="s">
        <v>3962</v>
      </c>
      <c r="K2674" t="s">
        <v>519</v>
      </c>
      <c r="M2674" t="s">
        <v>520</v>
      </c>
      <c r="N2674" t="s">
        <v>571</v>
      </c>
      <c r="O2674" t="s">
        <v>829</v>
      </c>
      <c r="P2674" t="s">
        <v>654</v>
      </c>
      <c r="Q2674" t="s">
        <v>638</v>
      </c>
      <c r="R2674" t="s">
        <v>708</v>
      </c>
      <c r="S2674" t="s">
        <v>880</v>
      </c>
      <c r="T2674" t="s">
        <v>709</v>
      </c>
      <c r="U2674">
        <v>145800</v>
      </c>
      <c r="V2674" t="s">
        <v>881</v>
      </c>
      <c r="W2674" t="s">
        <v>807</v>
      </c>
      <c r="X2674" t="s">
        <v>8065</v>
      </c>
      <c r="Y2674" t="s">
        <v>8064</v>
      </c>
      <c r="Z2674" t="s">
        <v>803</v>
      </c>
      <c r="AA2674" t="s">
        <v>4768</v>
      </c>
      <c r="AB2674" t="s">
        <v>8062</v>
      </c>
      <c r="AE2674">
        <v>-36.870128790000003</v>
      </c>
      <c r="AF2674">
        <v>174.86644684999999</v>
      </c>
      <c r="AG2674">
        <v>30</v>
      </c>
      <c r="AH2674">
        <v>0</v>
      </c>
      <c r="AI2674">
        <v>0</v>
      </c>
      <c r="AJ2674">
        <v>0</v>
      </c>
      <c r="AK2674">
        <v>10</v>
      </c>
      <c r="AL2674">
        <v>10</v>
      </c>
      <c r="AM2674">
        <v>15</v>
      </c>
      <c r="AN2674">
        <v>2</v>
      </c>
      <c r="AO2674">
        <v>37</v>
      </c>
      <c r="AP2674">
        <v>28</v>
      </c>
      <c r="AQ2674">
        <v>3</v>
      </c>
      <c r="AR2674">
        <v>2</v>
      </c>
      <c r="AS2674">
        <v>9</v>
      </c>
      <c r="AT2674">
        <v>6</v>
      </c>
    </row>
    <row r="2675" spans="1:46">
      <c r="A2675">
        <v>47173</v>
      </c>
      <c r="B2675" t="s">
        <v>15454</v>
      </c>
      <c r="C2675" t="s">
        <v>15455</v>
      </c>
      <c r="D2675" t="s">
        <v>15456</v>
      </c>
      <c r="E2675" t="s">
        <v>15457</v>
      </c>
      <c r="G2675" t="s">
        <v>9172</v>
      </c>
      <c r="H2675" t="s">
        <v>3942</v>
      </c>
      <c r="J2675" t="s">
        <v>3962</v>
      </c>
      <c r="K2675" t="s">
        <v>519</v>
      </c>
      <c r="M2675" t="s">
        <v>520</v>
      </c>
      <c r="N2675" t="s">
        <v>539</v>
      </c>
      <c r="O2675" t="s">
        <v>1351</v>
      </c>
      <c r="P2675" t="s">
        <v>523</v>
      </c>
      <c r="Q2675" t="s">
        <v>1299</v>
      </c>
      <c r="R2675" t="s">
        <v>729</v>
      </c>
      <c r="S2675" t="s">
        <v>1246</v>
      </c>
      <c r="T2675" t="s">
        <v>1235</v>
      </c>
      <c r="U2675">
        <v>170501</v>
      </c>
      <c r="V2675" t="s">
        <v>14552</v>
      </c>
      <c r="W2675" t="s">
        <v>3813</v>
      </c>
      <c r="X2675" t="s">
        <v>15458</v>
      </c>
      <c r="Y2675" t="s">
        <v>15459</v>
      </c>
      <c r="Z2675" t="s">
        <v>5018</v>
      </c>
      <c r="AA2675" t="s">
        <v>7410</v>
      </c>
      <c r="AB2675" t="s">
        <v>15460</v>
      </c>
      <c r="AE2675">
        <v>-37.230895029999999</v>
      </c>
      <c r="AF2675">
        <v>175.01037894999999</v>
      </c>
      <c r="AG2675">
        <v>30</v>
      </c>
      <c r="AH2675">
        <v>0</v>
      </c>
      <c r="AI2675">
        <v>0</v>
      </c>
      <c r="AJ2675">
        <v>0</v>
      </c>
      <c r="AK2675">
        <v>9</v>
      </c>
      <c r="AL2675">
        <v>9</v>
      </c>
      <c r="AM2675">
        <v>19</v>
      </c>
      <c r="AN2675">
        <v>0</v>
      </c>
      <c r="AO2675">
        <v>37</v>
      </c>
      <c r="AP2675">
        <v>19</v>
      </c>
      <c r="AQ2675">
        <v>6</v>
      </c>
      <c r="AR2675">
        <v>5</v>
      </c>
      <c r="AS2675">
        <v>16</v>
      </c>
      <c r="AT2675">
        <v>1</v>
      </c>
    </row>
    <row r="2676" spans="1:46">
      <c r="A2676">
        <v>47174</v>
      </c>
      <c r="B2676" t="s">
        <v>15461</v>
      </c>
      <c r="C2676" t="s">
        <v>5276</v>
      </c>
      <c r="E2676" t="s">
        <v>15462</v>
      </c>
      <c r="F2676" t="s">
        <v>1036</v>
      </c>
      <c r="G2676" t="s">
        <v>652</v>
      </c>
      <c r="H2676" t="s">
        <v>3942</v>
      </c>
      <c r="J2676" t="s">
        <v>3962</v>
      </c>
      <c r="K2676" t="s">
        <v>519</v>
      </c>
      <c r="M2676" t="s">
        <v>520</v>
      </c>
      <c r="N2676" t="s">
        <v>521</v>
      </c>
      <c r="O2676" t="s">
        <v>1216</v>
      </c>
      <c r="P2676" t="s">
        <v>654</v>
      </c>
      <c r="Q2676" t="s">
        <v>638</v>
      </c>
      <c r="R2676" t="s">
        <v>729</v>
      </c>
      <c r="S2676" t="s">
        <v>1217</v>
      </c>
      <c r="T2676" t="s">
        <v>709</v>
      </c>
      <c r="U2676">
        <v>161201</v>
      </c>
      <c r="V2676" t="s">
        <v>7908</v>
      </c>
      <c r="W2676" t="s">
        <v>1219</v>
      </c>
      <c r="X2676" t="s">
        <v>5275</v>
      </c>
      <c r="Y2676" t="s">
        <v>15463</v>
      </c>
      <c r="Z2676" t="s">
        <v>769</v>
      </c>
      <c r="AA2676" t="s">
        <v>4333</v>
      </c>
      <c r="AB2676" t="s">
        <v>5276</v>
      </c>
      <c r="AC2676">
        <v>99211</v>
      </c>
      <c r="AD2676" t="s">
        <v>7277</v>
      </c>
      <c r="AE2676">
        <v>-37.037789629999999</v>
      </c>
      <c r="AF2676">
        <v>174.89733570999999</v>
      </c>
      <c r="AG2676">
        <v>48</v>
      </c>
      <c r="AH2676">
        <v>10</v>
      </c>
      <c r="AI2676">
        <v>0</v>
      </c>
      <c r="AJ2676">
        <v>3</v>
      </c>
      <c r="AK2676">
        <v>17</v>
      </c>
      <c r="AL2676">
        <v>21</v>
      </c>
      <c r="AM2676">
        <v>14</v>
      </c>
      <c r="AN2676">
        <v>3</v>
      </c>
      <c r="AO2676">
        <v>58</v>
      </c>
      <c r="AP2676">
        <v>2</v>
      </c>
      <c r="AQ2676">
        <v>28</v>
      </c>
      <c r="AR2676">
        <v>29</v>
      </c>
      <c r="AS2676">
        <v>12</v>
      </c>
      <c r="AT2676">
        <v>3</v>
      </c>
    </row>
    <row r="2677" spans="1:46">
      <c r="A2677">
        <v>47175</v>
      </c>
      <c r="B2677" t="s">
        <v>15464</v>
      </c>
      <c r="C2677" t="s">
        <v>15465</v>
      </c>
      <c r="D2677" t="s">
        <v>15466</v>
      </c>
      <c r="E2677" t="s">
        <v>15467</v>
      </c>
      <c r="G2677" t="s">
        <v>1318</v>
      </c>
      <c r="H2677" t="s">
        <v>3942</v>
      </c>
      <c r="J2677" t="s">
        <v>3962</v>
      </c>
      <c r="K2677" t="s">
        <v>519</v>
      </c>
      <c r="M2677" t="s">
        <v>1297</v>
      </c>
      <c r="N2677" t="s">
        <v>571</v>
      </c>
      <c r="O2677" t="s">
        <v>1319</v>
      </c>
      <c r="P2677" t="s">
        <v>1262</v>
      </c>
      <c r="Q2677" t="s">
        <v>1299</v>
      </c>
      <c r="R2677" t="s">
        <v>1300</v>
      </c>
      <c r="S2677" t="s">
        <v>1300</v>
      </c>
      <c r="T2677" t="s">
        <v>1235</v>
      </c>
      <c r="U2677">
        <v>183000</v>
      </c>
      <c r="V2677" t="s">
        <v>9559</v>
      </c>
      <c r="W2677" t="s">
        <v>1322</v>
      </c>
      <c r="X2677" t="s">
        <v>15468</v>
      </c>
      <c r="Y2677" t="s">
        <v>15469</v>
      </c>
      <c r="AA2677" t="s">
        <v>8928</v>
      </c>
      <c r="AB2677" t="s">
        <v>15470</v>
      </c>
      <c r="AC2677">
        <v>99034</v>
      </c>
      <c r="AD2677" t="s">
        <v>8503</v>
      </c>
      <c r="AE2677">
        <v>-37.872637159999996</v>
      </c>
      <c r="AF2677">
        <v>175.48696710999999</v>
      </c>
      <c r="AG2677">
        <v>73</v>
      </c>
      <c r="AH2677">
        <v>16</v>
      </c>
      <c r="AI2677">
        <v>1</v>
      </c>
      <c r="AJ2677">
        <v>13</v>
      </c>
      <c r="AK2677">
        <v>19</v>
      </c>
      <c r="AL2677">
        <v>21</v>
      </c>
      <c r="AM2677">
        <v>11</v>
      </c>
      <c r="AN2677">
        <v>0</v>
      </c>
      <c r="AO2677">
        <v>65</v>
      </c>
      <c r="AP2677">
        <v>62</v>
      </c>
      <c r="AQ2677">
        <v>13</v>
      </c>
      <c r="AR2677">
        <v>1</v>
      </c>
      <c r="AS2677">
        <v>1</v>
      </c>
      <c r="AT2677">
        <v>3</v>
      </c>
    </row>
    <row r="2678" spans="1:46">
      <c r="A2678">
        <v>47178</v>
      </c>
      <c r="B2678" t="s">
        <v>15471</v>
      </c>
      <c r="C2678" t="s">
        <v>15472</v>
      </c>
      <c r="D2678" t="s">
        <v>15473</v>
      </c>
      <c r="E2678" t="s">
        <v>15474</v>
      </c>
      <c r="G2678" t="s">
        <v>2963</v>
      </c>
      <c r="H2678" t="s">
        <v>3942</v>
      </c>
      <c r="J2678" t="s">
        <v>3962</v>
      </c>
      <c r="K2678" t="s">
        <v>519</v>
      </c>
      <c r="M2678" t="s">
        <v>2287</v>
      </c>
      <c r="N2678" t="s">
        <v>571</v>
      </c>
      <c r="O2678" t="s">
        <v>2964</v>
      </c>
      <c r="P2678" t="s">
        <v>1262</v>
      </c>
      <c r="Q2678" t="s">
        <v>2943</v>
      </c>
      <c r="R2678" t="s">
        <v>2944</v>
      </c>
      <c r="S2678" t="s">
        <v>2965</v>
      </c>
      <c r="T2678" t="s">
        <v>2448</v>
      </c>
      <c r="U2678">
        <v>313900</v>
      </c>
      <c r="V2678" t="s">
        <v>15475</v>
      </c>
      <c r="W2678" t="s">
        <v>2967</v>
      </c>
      <c r="X2678" t="s">
        <v>11071</v>
      </c>
      <c r="Y2678" t="s">
        <v>11072</v>
      </c>
      <c r="AA2678" t="s">
        <v>11073</v>
      </c>
      <c r="AC2678">
        <v>99077</v>
      </c>
      <c r="AD2678" t="s">
        <v>2968</v>
      </c>
      <c r="AE2678">
        <v>-43.295539859999998</v>
      </c>
      <c r="AF2678">
        <v>172.56993406000001</v>
      </c>
      <c r="AG2678">
        <v>65</v>
      </c>
      <c r="AH2678">
        <v>15</v>
      </c>
      <c r="AI2678">
        <v>1</v>
      </c>
      <c r="AJ2678">
        <v>13</v>
      </c>
      <c r="AK2678">
        <v>14</v>
      </c>
      <c r="AL2678">
        <v>17</v>
      </c>
      <c r="AM2678">
        <v>11</v>
      </c>
      <c r="AN2678">
        <v>0</v>
      </c>
      <c r="AO2678">
        <v>56</v>
      </c>
      <c r="AP2678">
        <v>50</v>
      </c>
      <c r="AQ2678">
        <v>5</v>
      </c>
      <c r="AR2678">
        <v>1</v>
      </c>
      <c r="AS2678">
        <v>4</v>
      </c>
      <c r="AT2678">
        <v>4</v>
      </c>
    </row>
    <row r="2679" spans="1:46">
      <c r="A2679">
        <v>47179</v>
      </c>
      <c r="B2679" t="s">
        <v>15476</v>
      </c>
      <c r="C2679" t="s">
        <v>15477</v>
      </c>
      <c r="D2679" t="s">
        <v>15478</v>
      </c>
      <c r="E2679" t="s">
        <v>15479</v>
      </c>
      <c r="F2679" t="s">
        <v>763</v>
      </c>
      <c r="G2679" t="s">
        <v>652</v>
      </c>
      <c r="H2679" t="s">
        <v>3942</v>
      </c>
      <c r="J2679" t="s">
        <v>3962</v>
      </c>
      <c r="K2679" t="s">
        <v>519</v>
      </c>
      <c r="M2679" t="s">
        <v>520</v>
      </c>
      <c r="N2679" t="s">
        <v>571</v>
      </c>
      <c r="O2679" t="s">
        <v>738</v>
      </c>
      <c r="P2679" t="s">
        <v>654</v>
      </c>
      <c r="Q2679" t="s">
        <v>638</v>
      </c>
      <c r="R2679" t="s">
        <v>639</v>
      </c>
      <c r="S2679" t="s">
        <v>756</v>
      </c>
      <c r="T2679" t="s">
        <v>527</v>
      </c>
      <c r="U2679">
        <v>125202</v>
      </c>
      <c r="V2679" t="s">
        <v>5896</v>
      </c>
      <c r="W2679" t="s">
        <v>741</v>
      </c>
      <c r="X2679" t="s">
        <v>15480</v>
      </c>
      <c r="Y2679" t="s">
        <v>15481</v>
      </c>
      <c r="Z2679" t="s">
        <v>651</v>
      </c>
      <c r="AA2679" t="s">
        <v>4084</v>
      </c>
      <c r="AB2679" t="s">
        <v>15477</v>
      </c>
      <c r="AE2679">
        <v>-36.799791329999998</v>
      </c>
      <c r="AF2679">
        <v>174.72101726</v>
      </c>
      <c r="AG2679">
        <v>44</v>
      </c>
      <c r="AH2679">
        <v>8</v>
      </c>
      <c r="AI2679">
        <v>1</v>
      </c>
      <c r="AJ2679">
        <v>6</v>
      </c>
      <c r="AK2679">
        <v>4</v>
      </c>
      <c r="AL2679">
        <v>9</v>
      </c>
      <c r="AM2679">
        <v>4</v>
      </c>
      <c r="AN2679">
        <v>0</v>
      </c>
      <c r="AO2679">
        <v>24</v>
      </c>
      <c r="AP2679">
        <v>18</v>
      </c>
      <c r="AQ2679">
        <v>6</v>
      </c>
      <c r="AR2679">
        <v>3</v>
      </c>
      <c r="AS2679">
        <v>7</v>
      </c>
      <c r="AT2679">
        <v>3</v>
      </c>
    </row>
    <row r="2680" spans="1:46">
      <c r="A2680">
        <v>47182</v>
      </c>
      <c r="B2680" t="s">
        <v>15482</v>
      </c>
      <c r="C2680" t="s">
        <v>15483</v>
      </c>
      <c r="D2680" t="s">
        <v>15484</v>
      </c>
      <c r="E2680" t="s">
        <v>15485</v>
      </c>
      <c r="F2680" t="s">
        <v>1295</v>
      </c>
      <c r="G2680" t="s">
        <v>1296</v>
      </c>
      <c r="H2680" t="s">
        <v>3942</v>
      </c>
      <c r="J2680" t="s">
        <v>3962</v>
      </c>
      <c r="K2680" t="s">
        <v>519</v>
      </c>
      <c r="M2680" t="s">
        <v>1297</v>
      </c>
      <c r="N2680" t="s">
        <v>571</v>
      </c>
      <c r="O2680" t="s">
        <v>1298</v>
      </c>
      <c r="P2680" t="s">
        <v>654</v>
      </c>
      <c r="Q2680" t="s">
        <v>1299</v>
      </c>
      <c r="R2680" t="s">
        <v>1300</v>
      </c>
      <c r="S2680" t="s">
        <v>1301</v>
      </c>
      <c r="T2680" t="s">
        <v>1235</v>
      </c>
      <c r="U2680">
        <v>179401</v>
      </c>
      <c r="V2680" t="s">
        <v>1295</v>
      </c>
      <c r="W2680" t="s">
        <v>1303</v>
      </c>
      <c r="X2680" t="s">
        <v>15486</v>
      </c>
      <c r="Y2680" t="s">
        <v>15487</v>
      </c>
      <c r="AA2680" t="s">
        <v>9301</v>
      </c>
      <c r="AB2680" t="s">
        <v>15488</v>
      </c>
      <c r="AE2680">
        <v>-37.790733729999999</v>
      </c>
      <c r="AF2680">
        <v>175.28226192</v>
      </c>
      <c r="AG2680">
        <v>124</v>
      </c>
      <c r="AH2680">
        <v>45</v>
      </c>
      <c r="AI2680">
        <v>12</v>
      </c>
      <c r="AJ2680">
        <v>25</v>
      </c>
      <c r="AK2680">
        <v>32</v>
      </c>
      <c r="AL2680">
        <v>22</v>
      </c>
      <c r="AM2680">
        <v>25</v>
      </c>
      <c r="AN2680">
        <v>1</v>
      </c>
      <c r="AO2680">
        <v>117</v>
      </c>
      <c r="AP2680">
        <v>93</v>
      </c>
      <c r="AQ2680">
        <v>27</v>
      </c>
      <c r="AR2680">
        <v>8</v>
      </c>
      <c r="AS2680">
        <v>26</v>
      </c>
      <c r="AT2680">
        <v>7</v>
      </c>
    </row>
    <row r="2681" spans="1:46">
      <c r="A2681">
        <v>47183</v>
      </c>
      <c r="B2681" t="s">
        <v>15489</v>
      </c>
      <c r="C2681" t="s">
        <v>15490</v>
      </c>
      <c r="D2681" t="s">
        <v>15491</v>
      </c>
      <c r="E2681" t="s">
        <v>15492</v>
      </c>
      <c r="F2681" t="s">
        <v>756</v>
      </c>
      <c r="G2681" t="s">
        <v>652</v>
      </c>
      <c r="H2681" t="s">
        <v>3942</v>
      </c>
      <c r="J2681" t="s">
        <v>3962</v>
      </c>
      <c r="K2681" t="s">
        <v>519</v>
      </c>
      <c r="M2681" t="s">
        <v>520</v>
      </c>
      <c r="N2681" t="s">
        <v>571</v>
      </c>
      <c r="O2681" t="s">
        <v>738</v>
      </c>
      <c r="P2681" t="s">
        <v>654</v>
      </c>
      <c r="Q2681" t="s">
        <v>638</v>
      </c>
      <c r="R2681" t="s">
        <v>639</v>
      </c>
      <c r="S2681" t="s">
        <v>756</v>
      </c>
      <c r="T2681" t="s">
        <v>527</v>
      </c>
      <c r="U2681">
        <v>127300</v>
      </c>
      <c r="V2681" t="s">
        <v>1049</v>
      </c>
      <c r="W2681" t="s">
        <v>741</v>
      </c>
      <c r="X2681" t="s">
        <v>7474</v>
      </c>
      <c r="Y2681" t="s">
        <v>15492</v>
      </c>
      <c r="Z2681" t="s">
        <v>756</v>
      </c>
      <c r="AA2681" t="s">
        <v>5899</v>
      </c>
      <c r="AB2681" t="s">
        <v>7476</v>
      </c>
      <c r="AE2681">
        <v>-36.805664229999998</v>
      </c>
      <c r="AF2681">
        <v>174.74397719999999</v>
      </c>
      <c r="AG2681">
        <v>105</v>
      </c>
      <c r="AH2681">
        <v>50</v>
      </c>
      <c r="AI2681">
        <v>5</v>
      </c>
      <c r="AJ2681">
        <v>27</v>
      </c>
      <c r="AK2681">
        <v>39</v>
      </c>
      <c r="AL2681">
        <v>28</v>
      </c>
      <c r="AM2681">
        <v>19</v>
      </c>
      <c r="AN2681">
        <v>1</v>
      </c>
      <c r="AO2681">
        <v>119</v>
      </c>
      <c r="AP2681">
        <v>80</v>
      </c>
      <c r="AQ2681">
        <v>5</v>
      </c>
      <c r="AR2681">
        <v>4</v>
      </c>
      <c r="AS2681">
        <v>44</v>
      </c>
      <c r="AT2681">
        <v>7</v>
      </c>
    </row>
    <row r="2682" spans="1:46">
      <c r="A2682">
        <v>47184</v>
      </c>
      <c r="B2682" t="s">
        <v>15493</v>
      </c>
      <c r="C2682" t="s">
        <v>15494</v>
      </c>
      <c r="D2682" t="s">
        <v>15495</v>
      </c>
      <c r="E2682" t="s">
        <v>15496</v>
      </c>
      <c r="F2682" t="s">
        <v>7810</v>
      </c>
      <c r="G2682" t="s">
        <v>652</v>
      </c>
      <c r="H2682" t="s">
        <v>3942</v>
      </c>
      <c r="J2682" t="s">
        <v>3962</v>
      </c>
      <c r="K2682" t="s">
        <v>519</v>
      </c>
      <c r="M2682" t="s">
        <v>520</v>
      </c>
      <c r="N2682" t="s">
        <v>571</v>
      </c>
      <c r="O2682" t="s">
        <v>1233</v>
      </c>
      <c r="P2682" t="s">
        <v>523</v>
      </c>
      <c r="Q2682" t="s">
        <v>638</v>
      </c>
      <c r="R2682" t="s">
        <v>708</v>
      </c>
      <c r="S2682" t="s">
        <v>1234</v>
      </c>
      <c r="T2682" t="s">
        <v>1235</v>
      </c>
      <c r="U2682">
        <v>156400</v>
      </c>
      <c r="V2682" t="s">
        <v>9436</v>
      </c>
      <c r="W2682" t="s">
        <v>1237</v>
      </c>
      <c r="X2682" t="s">
        <v>15497</v>
      </c>
      <c r="Y2682" t="s">
        <v>15498</v>
      </c>
      <c r="Z2682" t="s">
        <v>3891</v>
      </c>
      <c r="AA2682" t="s">
        <v>15499</v>
      </c>
      <c r="AC2682">
        <v>99119</v>
      </c>
      <c r="AD2682" t="s">
        <v>780</v>
      </c>
      <c r="AE2682">
        <v>-36.889023229999999</v>
      </c>
      <c r="AF2682">
        <v>175.0010144</v>
      </c>
      <c r="AG2682">
        <v>70</v>
      </c>
      <c r="AH2682">
        <v>20</v>
      </c>
      <c r="AI2682">
        <v>3</v>
      </c>
      <c r="AJ2682">
        <v>12</v>
      </c>
      <c r="AK2682">
        <v>12</v>
      </c>
      <c r="AL2682">
        <v>23</v>
      </c>
      <c r="AM2682">
        <v>13</v>
      </c>
      <c r="AN2682">
        <v>1</v>
      </c>
      <c r="AO2682">
        <v>64</v>
      </c>
      <c r="AP2682">
        <v>62</v>
      </c>
      <c r="AQ2682">
        <v>9</v>
      </c>
      <c r="AR2682">
        <v>1</v>
      </c>
      <c r="AS2682">
        <v>9</v>
      </c>
      <c r="AT2682">
        <v>2</v>
      </c>
    </row>
    <row r="2683" spans="1:46">
      <c r="A2683">
        <v>47185</v>
      </c>
      <c r="B2683" t="s">
        <v>15500</v>
      </c>
      <c r="C2683" t="s">
        <v>15501</v>
      </c>
      <c r="D2683" t="s">
        <v>15502</v>
      </c>
      <c r="E2683" t="s">
        <v>15503</v>
      </c>
      <c r="G2683" t="s">
        <v>2882</v>
      </c>
      <c r="H2683" t="s">
        <v>4716</v>
      </c>
      <c r="J2683" t="s">
        <v>3962</v>
      </c>
      <c r="K2683" t="s">
        <v>519</v>
      </c>
      <c r="M2683" t="s">
        <v>2287</v>
      </c>
      <c r="N2683" t="s">
        <v>571</v>
      </c>
      <c r="O2683" t="s">
        <v>2868</v>
      </c>
      <c r="P2683" t="s">
        <v>572</v>
      </c>
      <c r="Q2683" t="s">
        <v>2869</v>
      </c>
      <c r="R2683" t="s">
        <v>2824</v>
      </c>
      <c r="S2683" t="s">
        <v>2870</v>
      </c>
      <c r="T2683" t="s">
        <v>2448</v>
      </c>
      <c r="U2683">
        <v>301601</v>
      </c>
      <c r="V2683" t="s">
        <v>11291</v>
      </c>
      <c r="W2683" t="s">
        <v>11292</v>
      </c>
      <c r="X2683" t="s">
        <v>15504</v>
      </c>
      <c r="Y2683" t="s">
        <v>15505</v>
      </c>
      <c r="AA2683" t="s">
        <v>15506</v>
      </c>
      <c r="AC2683">
        <v>99142</v>
      </c>
      <c r="AD2683" t="s">
        <v>2885</v>
      </c>
      <c r="AE2683">
        <v>-41.287670470000002</v>
      </c>
      <c r="AF2683">
        <v>173.06940280000001</v>
      </c>
      <c r="AG2683">
        <v>80</v>
      </c>
      <c r="AH2683">
        <v>80</v>
      </c>
      <c r="AI2683">
        <v>3</v>
      </c>
      <c r="AJ2683">
        <v>12</v>
      </c>
      <c r="AK2683">
        <v>15</v>
      </c>
      <c r="AL2683">
        <v>15</v>
      </c>
      <c r="AM2683">
        <v>12</v>
      </c>
      <c r="AN2683">
        <v>0</v>
      </c>
      <c r="AO2683">
        <v>57</v>
      </c>
      <c r="AP2683">
        <v>47</v>
      </c>
      <c r="AQ2683">
        <v>8</v>
      </c>
      <c r="AR2683">
        <v>1</v>
      </c>
      <c r="AS2683">
        <v>6</v>
      </c>
      <c r="AT2683">
        <v>2</v>
      </c>
    </row>
    <row r="2684" spans="1:46">
      <c r="A2684">
        <v>47186</v>
      </c>
      <c r="B2684" t="s">
        <v>15507</v>
      </c>
      <c r="C2684" t="s">
        <v>15508</v>
      </c>
      <c r="D2684" t="s">
        <v>1447</v>
      </c>
      <c r="E2684" t="s">
        <v>15509</v>
      </c>
      <c r="G2684" t="s">
        <v>9075</v>
      </c>
      <c r="H2684" t="s">
        <v>517</v>
      </c>
      <c r="J2684" t="s">
        <v>518</v>
      </c>
      <c r="K2684" t="s">
        <v>519</v>
      </c>
      <c r="M2684" t="s">
        <v>1297</v>
      </c>
      <c r="N2684" t="s">
        <v>571</v>
      </c>
      <c r="O2684" t="s">
        <v>1450</v>
      </c>
      <c r="P2684" t="s">
        <v>540</v>
      </c>
      <c r="Q2684" t="s">
        <v>1299</v>
      </c>
      <c r="R2684" t="s">
        <v>1300</v>
      </c>
      <c r="S2684" t="s">
        <v>1300</v>
      </c>
      <c r="T2684" t="s">
        <v>1235</v>
      </c>
      <c r="U2684">
        <v>174400</v>
      </c>
      <c r="V2684" t="s">
        <v>9076</v>
      </c>
      <c r="W2684" t="s">
        <v>1452</v>
      </c>
      <c r="X2684" t="s">
        <v>1453</v>
      </c>
      <c r="Y2684" t="s">
        <v>1448</v>
      </c>
      <c r="Z2684" t="s">
        <v>1449</v>
      </c>
      <c r="AA2684" t="s">
        <v>1454</v>
      </c>
      <c r="AB2684" t="s">
        <v>15510</v>
      </c>
      <c r="AC2684">
        <v>99202</v>
      </c>
      <c r="AD2684" t="s">
        <v>1456</v>
      </c>
      <c r="AE2684">
        <v>-37.596071899999998</v>
      </c>
      <c r="AF2684">
        <v>175.6371484</v>
      </c>
      <c r="AG2684">
        <v>20</v>
      </c>
      <c r="AH2684">
        <v>10</v>
      </c>
      <c r="AI2684">
        <v>2</v>
      </c>
      <c r="AJ2684">
        <v>10</v>
      </c>
      <c r="AK2684">
        <v>17</v>
      </c>
      <c r="AL2684">
        <v>1</v>
      </c>
      <c r="AM2684">
        <v>0</v>
      </c>
      <c r="AN2684">
        <v>0</v>
      </c>
      <c r="AO2684">
        <v>30</v>
      </c>
      <c r="AP2684">
        <v>27</v>
      </c>
      <c r="AQ2684">
        <v>4</v>
      </c>
      <c r="AR2684">
        <v>2</v>
      </c>
      <c r="AS2684">
        <v>0</v>
      </c>
      <c r="AT2684">
        <v>4</v>
      </c>
    </row>
    <row r="2685" spans="1:46">
      <c r="A2685">
        <v>47187</v>
      </c>
      <c r="B2685" t="s">
        <v>15511</v>
      </c>
      <c r="D2685" t="s">
        <v>15512</v>
      </c>
      <c r="E2685" t="s">
        <v>15513</v>
      </c>
      <c r="F2685" t="s">
        <v>1036</v>
      </c>
      <c r="G2685" t="s">
        <v>652</v>
      </c>
      <c r="H2685" t="s">
        <v>3942</v>
      </c>
      <c r="J2685" t="s">
        <v>3962</v>
      </c>
      <c r="K2685" t="s">
        <v>519</v>
      </c>
      <c r="M2685" t="s">
        <v>520</v>
      </c>
      <c r="N2685" t="s">
        <v>521</v>
      </c>
      <c r="O2685" t="s">
        <v>1216</v>
      </c>
      <c r="P2685" t="s">
        <v>654</v>
      </c>
      <c r="Q2685" t="s">
        <v>638</v>
      </c>
      <c r="R2685" t="s">
        <v>729</v>
      </c>
      <c r="S2685" t="s">
        <v>1217</v>
      </c>
      <c r="T2685" t="s">
        <v>709</v>
      </c>
      <c r="U2685">
        <v>160901</v>
      </c>
      <c r="V2685" t="s">
        <v>4961</v>
      </c>
      <c r="W2685" t="s">
        <v>1219</v>
      </c>
      <c r="X2685" t="s">
        <v>4633</v>
      </c>
      <c r="Y2685" t="s">
        <v>11995</v>
      </c>
      <c r="Z2685" t="s">
        <v>770</v>
      </c>
      <c r="AA2685" t="s">
        <v>11996</v>
      </c>
      <c r="AB2685" t="s">
        <v>4636</v>
      </c>
      <c r="AE2685">
        <v>-37.0345181</v>
      </c>
      <c r="AF2685">
        <v>174.89962180000001</v>
      </c>
      <c r="AG2685">
        <v>50</v>
      </c>
      <c r="AH2685">
        <v>10</v>
      </c>
      <c r="AI2685">
        <v>0</v>
      </c>
      <c r="AJ2685">
        <v>6</v>
      </c>
      <c r="AK2685">
        <v>10</v>
      </c>
      <c r="AL2685">
        <v>15</v>
      </c>
      <c r="AM2685">
        <v>9</v>
      </c>
      <c r="AN2685">
        <v>2</v>
      </c>
      <c r="AO2685">
        <v>42</v>
      </c>
      <c r="AP2685">
        <v>10</v>
      </c>
      <c r="AQ2685">
        <v>18</v>
      </c>
      <c r="AR2685">
        <v>21</v>
      </c>
      <c r="AS2685">
        <v>11</v>
      </c>
      <c r="AT2685">
        <v>4</v>
      </c>
    </row>
    <row r="2686" spans="1:46">
      <c r="A2686">
        <v>47188</v>
      </c>
      <c r="B2686" t="s">
        <v>15514</v>
      </c>
      <c r="C2686" t="s">
        <v>15515</v>
      </c>
      <c r="E2686" t="s">
        <v>15516</v>
      </c>
      <c r="F2686" t="s">
        <v>3608</v>
      </c>
      <c r="G2686" t="s">
        <v>2941</v>
      </c>
      <c r="H2686" t="s">
        <v>3942</v>
      </c>
      <c r="I2686" t="s">
        <v>15517</v>
      </c>
      <c r="J2686" t="s">
        <v>3962</v>
      </c>
      <c r="K2686" t="s">
        <v>519</v>
      </c>
      <c r="M2686" t="s">
        <v>2287</v>
      </c>
      <c r="N2686" t="s">
        <v>571</v>
      </c>
      <c r="O2686" t="s">
        <v>2942</v>
      </c>
      <c r="P2686" t="s">
        <v>654</v>
      </c>
      <c r="Q2686" t="s">
        <v>2943</v>
      </c>
      <c r="R2686" t="s">
        <v>2944</v>
      </c>
      <c r="S2686" t="s">
        <v>2965</v>
      </c>
      <c r="T2686" t="s">
        <v>2448</v>
      </c>
      <c r="U2686">
        <v>317400</v>
      </c>
      <c r="V2686" t="s">
        <v>11710</v>
      </c>
      <c r="W2686" t="s">
        <v>2986</v>
      </c>
      <c r="X2686" t="s">
        <v>15518</v>
      </c>
      <c r="Y2686" t="s">
        <v>15516</v>
      </c>
      <c r="Z2686" t="s">
        <v>11710</v>
      </c>
      <c r="AA2686" t="s">
        <v>11642</v>
      </c>
      <c r="AE2686">
        <v>-43.45550386</v>
      </c>
      <c r="AF2686">
        <v>172.61839796999999</v>
      </c>
      <c r="AG2686">
        <v>28</v>
      </c>
      <c r="AH2686">
        <v>0</v>
      </c>
      <c r="AI2686">
        <v>0</v>
      </c>
      <c r="AJ2686">
        <v>0</v>
      </c>
      <c r="AK2686">
        <v>1</v>
      </c>
      <c r="AL2686">
        <v>5</v>
      </c>
      <c r="AM2686">
        <v>13</v>
      </c>
      <c r="AN2686">
        <v>0</v>
      </c>
      <c r="AO2686">
        <v>19</v>
      </c>
      <c r="AP2686">
        <v>18</v>
      </c>
      <c r="AQ2686">
        <v>1</v>
      </c>
      <c r="AR2686">
        <v>0</v>
      </c>
      <c r="AS2686">
        <v>1</v>
      </c>
      <c r="AT2686">
        <v>0</v>
      </c>
    </row>
    <row r="2687" spans="1:46">
      <c r="A2687">
        <v>47189</v>
      </c>
      <c r="B2687" t="s">
        <v>15519</v>
      </c>
      <c r="C2687" t="s">
        <v>15520</v>
      </c>
      <c r="D2687" t="s">
        <v>15521</v>
      </c>
      <c r="E2687" t="s">
        <v>15522</v>
      </c>
      <c r="G2687" t="s">
        <v>15523</v>
      </c>
      <c r="H2687" t="s">
        <v>517</v>
      </c>
      <c r="J2687" t="s">
        <v>518</v>
      </c>
      <c r="K2687" t="s">
        <v>519</v>
      </c>
      <c r="M2687" t="s">
        <v>2287</v>
      </c>
      <c r="N2687" t="s">
        <v>571</v>
      </c>
      <c r="O2687" t="s">
        <v>2868</v>
      </c>
      <c r="P2687" t="s">
        <v>540</v>
      </c>
      <c r="Q2687" t="s">
        <v>2869</v>
      </c>
      <c r="R2687" t="s">
        <v>2824</v>
      </c>
      <c r="S2687" t="s">
        <v>2870</v>
      </c>
      <c r="T2687" t="s">
        <v>2448</v>
      </c>
      <c r="U2687">
        <v>301800</v>
      </c>
      <c r="V2687" t="s">
        <v>15524</v>
      </c>
      <c r="W2687" t="s">
        <v>15525</v>
      </c>
      <c r="X2687" t="s">
        <v>2858</v>
      </c>
      <c r="Y2687" t="s">
        <v>2859</v>
      </c>
      <c r="Z2687" t="s">
        <v>2853</v>
      </c>
      <c r="AA2687" t="s">
        <v>2860</v>
      </c>
      <c r="AB2687" t="s">
        <v>2861</v>
      </c>
      <c r="AC2687">
        <v>99023</v>
      </c>
      <c r="AD2687" t="s">
        <v>15526</v>
      </c>
      <c r="AE2687">
        <v>-41.801469650000001</v>
      </c>
      <c r="AF2687">
        <v>172.32875171000001</v>
      </c>
      <c r="AG2687">
        <v>20</v>
      </c>
      <c r="AH2687">
        <v>0</v>
      </c>
      <c r="AI2687">
        <v>0</v>
      </c>
      <c r="AJ2687">
        <v>0</v>
      </c>
      <c r="AK2687">
        <v>2</v>
      </c>
      <c r="AL2687">
        <v>6</v>
      </c>
      <c r="AM2687">
        <v>19</v>
      </c>
      <c r="AN2687">
        <v>0</v>
      </c>
      <c r="AO2687">
        <v>27</v>
      </c>
      <c r="AP2687">
        <v>22</v>
      </c>
      <c r="AQ2687">
        <v>10</v>
      </c>
      <c r="AR2687">
        <v>0</v>
      </c>
      <c r="AS2687">
        <v>3</v>
      </c>
      <c r="AT2687">
        <v>0</v>
      </c>
    </row>
    <row r="2688" spans="1:46">
      <c r="A2688">
        <v>47190</v>
      </c>
      <c r="B2688" t="s">
        <v>15527</v>
      </c>
      <c r="C2688" t="s">
        <v>15528</v>
      </c>
      <c r="D2688" t="s">
        <v>15529</v>
      </c>
      <c r="E2688" t="s">
        <v>15530</v>
      </c>
      <c r="F2688" t="s">
        <v>898</v>
      </c>
      <c r="G2688" t="s">
        <v>652</v>
      </c>
      <c r="H2688" t="s">
        <v>3942</v>
      </c>
      <c r="J2688" t="s">
        <v>3962</v>
      </c>
      <c r="K2688" t="s">
        <v>519</v>
      </c>
      <c r="M2688" t="s">
        <v>520</v>
      </c>
      <c r="N2688" t="s">
        <v>571</v>
      </c>
      <c r="O2688" t="s">
        <v>813</v>
      </c>
      <c r="P2688" t="s">
        <v>654</v>
      </c>
      <c r="Q2688" t="s">
        <v>638</v>
      </c>
      <c r="R2688" t="s">
        <v>639</v>
      </c>
      <c r="S2688" t="s">
        <v>899</v>
      </c>
      <c r="T2688" t="s">
        <v>527</v>
      </c>
      <c r="U2688">
        <v>124900</v>
      </c>
      <c r="V2688" t="s">
        <v>1120</v>
      </c>
      <c r="W2688" t="s">
        <v>815</v>
      </c>
      <c r="X2688" t="s">
        <v>15531</v>
      </c>
      <c r="Y2688" t="s">
        <v>15532</v>
      </c>
      <c r="Z2688" t="s">
        <v>3706</v>
      </c>
      <c r="AA2688" t="s">
        <v>4099</v>
      </c>
      <c r="AB2688" t="s">
        <v>15533</v>
      </c>
      <c r="AE2688">
        <v>-36.859319159999998</v>
      </c>
      <c r="AF2688">
        <v>174.62330487</v>
      </c>
      <c r="AG2688">
        <v>50</v>
      </c>
      <c r="AH2688">
        <v>15</v>
      </c>
      <c r="AI2688">
        <v>5</v>
      </c>
      <c r="AJ2688">
        <v>8</v>
      </c>
      <c r="AK2688">
        <v>14</v>
      </c>
      <c r="AL2688">
        <v>10</v>
      </c>
      <c r="AM2688">
        <v>8</v>
      </c>
      <c r="AN2688">
        <v>1</v>
      </c>
      <c r="AO2688">
        <v>46</v>
      </c>
      <c r="AP2688">
        <v>11</v>
      </c>
      <c r="AQ2688">
        <v>2</v>
      </c>
      <c r="AR2688">
        <v>11</v>
      </c>
      <c r="AS2688">
        <v>29</v>
      </c>
      <c r="AT2688">
        <v>4</v>
      </c>
    </row>
    <row r="2689" spans="1:46">
      <c r="A2689">
        <v>47191</v>
      </c>
      <c r="B2689" t="s">
        <v>15534</v>
      </c>
      <c r="C2689" t="s">
        <v>13730</v>
      </c>
      <c r="D2689" t="s">
        <v>15535</v>
      </c>
      <c r="E2689" t="s">
        <v>15536</v>
      </c>
      <c r="F2689" t="s">
        <v>1023</v>
      </c>
      <c r="G2689" t="s">
        <v>652</v>
      </c>
      <c r="H2689" t="s">
        <v>3942</v>
      </c>
      <c r="J2689" t="s">
        <v>3962</v>
      </c>
      <c r="K2689" t="s">
        <v>519</v>
      </c>
      <c r="M2689" t="s">
        <v>520</v>
      </c>
      <c r="N2689" t="s">
        <v>571</v>
      </c>
      <c r="O2689" t="s">
        <v>912</v>
      </c>
      <c r="P2689" t="s">
        <v>654</v>
      </c>
      <c r="Q2689" t="s">
        <v>638</v>
      </c>
      <c r="R2689" t="s">
        <v>708</v>
      </c>
      <c r="S2689" t="s">
        <v>913</v>
      </c>
      <c r="T2689" t="s">
        <v>709</v>
      </c>
      <c r="U2689">
        <v>139700</v>
      </c>
      <c r="V2689" t="s">
        <v>1024</v>
      </c>
      <c r="W2689" t="s">
        <v>860</v>
      </c>
      <c r="X2689" t="s">
        <v>15537</v>
      </c>
      <c r="Y2689" t="s">
        <v>13729</v>
      </c>
      <c r="Z2689" t="s">
        <v>822</v>
      </c>
      <c r="AA2689" t="s">
        <v>5194</v>
      </c>
      <c r="AB2689" t="s">
        <v>13730</v>
      </c>
      <c r="AE2689">
        <v>-36.90261435</v>
      </c>
      <c r="AF2689">
        <v>174.74216720000001</v>
      </c>
      <c r="AG2689">
        <v>95</v>
      </c>
      <c r="AH2689">
        <v>25</v>
      </c>
      <c r="AI2689">
        <v>0</v>
      </c>
      <c r="AJ2689">
        <v>15</v>
      </c>
      <c r="AK2689">
        <v>19</v>
      </c>
      <c r="AL2689">
        <v>24</v>
      </c>
      <c r="AM2689">
        <v>24</v>
      </c>
      <c r="AN2689">
        <v>0</v>
      </c>
      <c r="AO2689">
        <v>82</v>
      </c>
      <c r="AP2689">
        <v>23</v>
      </c>
      <c r="AQ2689">
        <v>16</v>
      </c>
      <c r="AR2689">
        <v>33</v>
      </c>
      <c r="AS2689">
        <v>37</v>
      </c>
      <c r="AT2689">
        <v>8</v>
      </c>
    </row>
    <row r="2690" spans="1:46">
      <c r="A2690">
        <v>47192</v>
      </c>
      <c r="B2690" t="s">
        <v>15538</v>
      </c>
      <c r="C2690" t="s">
        <v>15539</v>
      </c>
      <c r="E2690" t="s">
        <v>15540</v>
      </c>
      <c r="F2690" t="s">
        <v>3433</v>
      </c>
      <c r="G2690" t="s">
        <v>3382</v>
      </c>
      <c r="H2690" t="s">
        <v>3942</v>
      </c>
      <c r="J2690" t="s">
        <v>518</v>
      </c>
      <c r="K2690" t="s">
        <v>519</v>
      </c>
      <c r="M2690" t="s">
        <v>2287</v>
      </c>
      <c r="N2690" t="s">
        <v>571</v>
      </c>
      <c r="O2690" t="s">
        <v>3383</v>
      </c>
      <c r="P2690" t="s">
        <v>654</v>
      </c>
      <c r="Q2690" t="s">
        <v>3337</v>
      </c>
      <c r="R2690" t="s">
        <v>3338</v>
      </c>
      <c r="S2690" t="s">
        <v>3382</v>
      </c>
      <c r="T2690" t="s">
        <v>2448</v>
      </c>
      <c r="U2690">
        <v>350401</v>
      </c>
      <c r="V2690" t="s">
        <v>3418</v>
      </c>
      <c r="W2690" t="s">
        <v>1652</v>
      </c>
      <c r="X2690" t="s">
        <v>15541</v>
      </c>
      <c r="Y2690" t="s">
        <v>15542</v>
      </c>
      <c r="Z2690" t="s">
        <v>14304</v>
      </c>
      <c r="AA2690" t="s">
        <v>14305</v>
      </c>
      <c r="AB2690" t="s">
        <v>15543</v>
      </c>
      <c r="AE2690">
        <v>-45.856760170000001</v>
      </c>
      <c r="AF2690">
        <v>170.47343031</v>
      </c>
      <c r="AG2690">
        <v>47</v>
      </c>
      <c r="AH2690">
        <v>16</v>
      </c>
      <c r="AI2690">
        <v>2</v>
      </c>
      <c r="AJ2690">
        <v>10</v>
      </c>
      <c r="AK2690">
        <v>22</v>
      </c>
      <c r="AL2690">
        <v>16</v>
      </c>
      <c r="AM2690">
        <v>10</v>
      </c>
      <c r="AN2690">
        <v>0</v>
      </c>
      <c r="AO2690">
        <v>60</v>
      </c>
      <c r="AP2690">
        <v>53</v>
      </c>
      <c r="AQ2690">
        <v>0</v>
      </c>
      <c r="AR2690">
        <v>1</v>
      </c>
      <c r="AS2690">
        <v>8</v>
      </c>
      <c r="AT2690">
        <v>1</v>
      </c>
    </row>
    <row r="2691" spans="1:46">
      <c r="A2691">
        <v>47194</v>
      </c>
      <c r="B2691" t="s">
        <v>15544</v>
      </c>
      <c r="C2691" t="s">
        <v>15545</v>
      </c>
      <c r="D2691" t="s">
        <v>15546</v>
      </c>
      <c r="E2691" t="s">
        <v>15547</v>
      </c>
      <c r="F2691" t="s">
        <v>3033</v>
      </c>
      <c r="G2691" t="s">
        <v>2941</v>
      </c>
      <c r="H2691" t="s">
        <v>3942</v>
      </c>
      <c r="I2691" t="s">
        <v>4065</v>
      </c>
      <c r="J2691" t="s">
        <v>3962</v>
      </c>
      <c r="K2691" t="s">
        <v>519</v>
      </c>
      <c r="M2691" t="s">
        <v>2287</v>
      </c>
      <c r="N2691" t="s">
        <v>571</v>
      </c>
      <c r="O2691" t="s">
        <v>2942</v>
      </c>
      <c r="P2691" t="s">
        <v>654</v>
      </c>
      <c r="Q2691" t="s">
        <v>2943</v>
      </c>
      <c r="R2691" t="s">
        <v>2944</v>
      </c>
      <c r="S2691" t="s">
        <v>3019</v>
      </c>
      <c r="T2691" t="s">
        <v>2448</v>
      </c>
      <c r="U2691">
        <v>322900</v>
      </c>
      <c r="V2691" t="s">
        <v>11390</v>
      </c>
      <c r="W2691" t="s">
        <v>3020</v>
      </c>
      <c r="X2691" t="s">
        <v>15548</v>
      </c>
      <c r="Y2691" t="s">
        <v>15547</v>
      </c>
      <c r="Z2691" t="s">
        <v>3033</v>
      </c>
      <c r="AA2691" t="s">
        <v>11419</v>
      </c>
      <c r="AB2691" t="s">
        <v>15545</v>
      </c>
      <c r="AE2691">
        <v>-43.557716470000003</v>
      </c>
      <c r="AF2691">
        <v>172.5377063</v>
      </c>
      <c r="AG2691">
        <v>50</v>
      </c>
      <c r="AH2691">
        <v>0</v>
      </c>
      <c r="AI2691">
        <v>0</v>
      </c>
      <c r="AJ2691">
        <v>0</v>
      </c>
      <c r="AK2691">
        <v>9</v>
      </c>
      <c r="AL2691">
        <v>16</v>
      </c>
      <c r="AM2691">
        <v>24</v>
      </c>
      <c r="AN2691">
        <v>0</v>
      </c>
      <c r="AO2691">
        <v>49</v>
      </c>
      <c r="AP2691">
        <v>9</v>
      </c>
      <c r="AQ2691">
        <v>0</v>
      </c>
      <c r="AR2691">
        <v>0</v>
      </c>
      <c r="AS2691">
        <v>42</v>
      </c>
      <c r="AT2691">
        <v>1</v>
      </c>
    </row>
    <row r="2692" spans="1:46">
      <c r="A2692">
        <v>47199</v>
      </c>
      <c r="B2692" t="s">
        <v>15549</v>
      </c>
      <c r="C2692" t="s">
        <v>15550</v>
      </c>
      <c r="D2692" t="s">
        <v>15551</v>
      </c>
      <c r="E2692" t="s">
        <v>15552</v>
      </c>
      <c r="G2692" t="s">
        <v>2867</v>
      </c>
      <c r="H2692" t="s">
        <v>3942</v>
      </c>
      <c r="J2692" t="s">
        <v>3962</v>
      </c>
      <c r="K2692" t="s">
        <v>519</v>
      </c>
      <c r="M2692" t="s">
        <v>2287</v>
      </c>
      <c r="N2692" t="s">
        <v>539</v>
      </c>
      <c r="O2692" t="s">
        <v>2868</v>
      </c>
      <c r="P2692" t="s">
        <v>523</v>
      </c>
      <c r="Q2692" t="s">
        <v>2869</v>
      </c>
      <c r="R2692" t="s">
        <v>2824</v>
      </c>
      <c r="S2692" t="s">
        <v>2870</v>
      </c>
      <c r="T2692" t="s">
        <v>2448</v>
      </c>
      <c r="U2692">
        <v>301301</v>
      </c>
      <c r="V2692" t="s">
        <v>2871</v>
      </c>
      <c r="W2692" t="s">
        <v>2872</v>
      </c>
      <c r="X2692" t="s">
        <v>15553</v>
      </c>
      <c r="Y2692" t="s">
        <v>4107</v>
      </c>
      <c r="AA2692" t="s">
        <v>3982</v>
      </c>
      <c r="AB2692" t="s">
        <v>15550</v>
      </c>
      <c r="AC2692">
        <v>99115</v>
      </c>
      <c r="AD2692" t="s">
        <v>2873</v>
      </c>
      <c r="AE2692">
        <v>-41.129220979999999</v>
      </c>
      <c r="AF2692">
        <v>173.01038832</v>
      </c>
      <c r="AG2692">
        <v>60</v>
      </c>
      <c r="AH2692">
        <v>25</v>
      </c>
      <c r="AI2692">
        <v>5</v>
      </c>
      <c r="AJ2692">
        <v>10</v>
      </c>
      <c r="AK2692">
        <v>14</v>
      </c>
      <c r="AL2692">
        <v>15</v>
      </c>
      <c r="AM2692">
        <v>9</v>
      </c>
      <c r="AN2692">
        <v>0</v>
      </c>
      <c r="AO2692">
        <v>53</v>
      </c>
      <c r="AP2692">
        <v>38</v>
      </c>
      <c r="AQ2692">
        <v>15</v>
      </c>
      <c r="AR2692">
        <v>6</v>
      </c>
      <c r="AS2692">
        <v>2</v>
      </c>
      <c r="AT2692">
        <v>5</v>
      </c>
    </row>
    <row r="2693" spans="1:46">
      <c r="A2693">
        <v>47200</v>
      </c>
      <c r="B2693" t="s">
        <v>15554</v>
      </c>
      <c r="C2693" t="s">
        <v>4592</v>
      </c>
      <c r="D2693" t="s">
        <v>4588</v>
      </c>
      <c r="E2693" t="s">
        <v>4220</v>
      </c>
      <c r="F2693" t="s">
        <v>847</v>
      </c>
      <c r="G2693" t="s">
        <v>652</v>
      </c>
      <c r="H2693" t="s">
        <v>3942</v>
      </c>
      <c r="I2693" t="s">
        <v>4165</v>
      </c>
      <c r="J2693" t="s">
        <v>3962</v>
      </c>
      <c r="K2693" t="s">
        <v>519</v>
      </c>
      <c r="M2693" t="s">
        <v>520</v>
      </c>
      <c r="N2693" t="s">
        <v>521</v>
      </c>
      <c r="O2693" t="s">
        <v>848</v>
      </c>
      <c r="P2693" t="s">
        <v>654</v>
      </c>
      <c r="Q2693" t="s">
        <v>638</v>
      </c>
      <c r="R2693" t="s">
        <v>729</v>
      </c>
      <c r="S2693" t="s">
        <v>849</v>
      </c>
      <c r="T2693" t="s">
        <v>709</v>
      </c>
      <c r="U2693">
        <v>151000</v>
      </c>
      <c r="V2693" t="s">
        <v>4223</v>
      </c>
      <c r="W2693" t="s">
        <v>732</v>
      </c>
      <c r="X2693" t="s">
        <v>4590</v>
      </c>
      <c r="Y2693" t="s">
        <v>4591</v>
      </c>
      <c r="Z2693" t="s">
        <v>1283</v>
      </c>
      <c r="AA2693" t="s">
        <v>4537</v>
      </c>
      <c r="AB2693" t="s">
        <v>4592</v>
      </c>
      <c r="AE2693">
        <v>-36.976317180000002</v>
      </c>
      <c r="AF2693">
        <v>174.79513315</v>
      </c>
      <c r="AG2693">
        <v>50</v>
      </c>
      <c r="AH2693">
        <v>10</v>
      </c>
      <c r="AI2693">
        <v>1</v>
      </c>
      <c r="AJ2693">
        <v>5</v>
      </c>
      <c r="AK2693">
        <v>5</v>
      </c>
      <c r="AL2693">
        <v>9</v>
      </c>
      <c r="AM2693">
        <v>13</v>
      </c>
      <c r="AN2693">
        <v>0</v>
      </c>
      <c r="AO2693">
        <v>33</v>
      </c>
      <c r="AP2693">
        <v>1</v>
      </c>
      <c r="AQ2693">
        <v>6</v>
      </c>
      <c r="AR2693">
        <v>32</v>
      </c>
      <c r="AS2693">
        <v>3</v>
      </c>
      <c r="AT2693">
        <v>0</v>
      </c>
    </row>
    <row r="2694" spans="1:46">
      <c r="A2694">
        <v>47201</v>
      </c>
      <c r="B2694" t="s">
        <v>15555</v>
      </c>
      <c r="C2694" t="s">
        <v>15556</v>
      </c>
      <c r="D2694" t="s">
        <v>15557</v>
      </c>
      <c r="E2694" t="s">
        <v>15558</v>
      </c>
      <c r="F2694" t="s">
        <v>11947</v>
      </c>
      <c r="G2694" t="s">
        <v>2941</v>
      </c>
      <c r="H2694" t="s">
        <v>3942</v>
      </c>
      <c r="J2694" t="s">
        <v>3962</v>
      </c>
      <c r="K2694" t="s">
        <v>519</v>
      </c>
      <c r="M2694" t="s">
        <v>2287</v>
      </c>
      <c r="N2694" t="s">
        <v>571</v>
      </c>
      <c r="O2694" t="s">
        <v>2942</v>
      </c>
      <c r="P2694" t="s">
        <v>654</v>
      </c>
      <c r="Q2694" t="s">
        <v>2943</v>
      </c>
      <c r="R2694" t="s">
        <v>2944</v>
      </c>
      <c r="S2694" t="s">
        <v>2973</v>
      </c>
      <c r="T2694" t="s">
        <v>2448</v>
      </c>
      <c r="U2694">
        <v>321301</v>
      </c>
      <c r="V2694" t="s">
        <v>14708</v>
      </c>
      <c r="W2694" t="s">
        <v>3126</v>
      </c>
      <c r="X2694" t="s">
        <v>15559</v>
      </c>
      <c r="Y2694" t="s">
        <v>15560</v>
      </c>
      <c r="Z2694" t="s">
        <v>11947</v>
      </c>
      <c r="AA2694" t="s">
        <v>12325</v>
      </c>
      <c r="AE2694">
        <v>-43.472822190000002</v>
      </c>
      <c r="AF2694">
        <v>172.66927150000001</v>
      </c>
      <c r="AG2694">
        <v>64</v>
      </c>
      <c r="AH2694">
        <v>19</v>
      </c>
      <c r="AI2694">
        <v>3</v>
      </c>
      <c r="AJ2694">
        <v>15</v>
      </c>
      <c r="AK2694">
        <v>24</v>
      </c>
      <c r="AL2694">
        <v>21</v>
      </c>
      <c r="AM2694">
        <v>13</v>
      </c>
      <c r="AN2694">
        <v>0</v>
      </c>
      <c r="AO2694">
        <v>76</v>
      </c>
      <c r="AP2694">
        <v>72</v>
      </c>
      <c r="AQ2694">
        <v>7</v>
      </c>
      <c r="AR2694">
        <v>1</v>
      </c>
      <c r="AS2694">
        <v>3</v>
      </c>
      <c r="AT2694">
        <v>3</v>
      </c>
    </row>
    <row r="2695" spans="1:46">
      <c r="A2695">
        <v>47205</v>
      </c>
      <c r="B2695" t="s">
        <v>15561</v>
      </c>
      <c r="C2695" t="s">
        <v>15562</v>
      </c>
      <c r="D2695" t="s">
        <v>15563</v>
      </c>
      <c r="E2695" t="s">
        <v>15564</v>
      </c>
      <c r="G2695" t="s">
        <v>2941</v>
      </c>
      <c r="H2695" t="s">
        <v>3942</v>
      </c>
      <c r="J2695" t="s">
        <v>3962</v>
      </c>
      <c r="K2695" t="s">
        <v>519</v>
      </c>
      <c r="M2695" t="s">
        <v>2287</v>
      </c>
      <c r="N2695" t="s">
        <v>571</v>
      </c>
      <c r="O2695" t="s">
        <v>3208</v>
      </c>
      <c r="P2695" t="s">
        <v>572</v>
      </c>
      <c r="Q2695" t="s">
        <v>2943</v>
      </c>
      <c r="R2695" t="s">
        <v>2944</v>
      </c>
      <c r="S2695" t="s">
        <v>3179</v>
      </c>
      <c r="T2695" t="s">
        <v>2448</v>
      </c>
      <c r="U2695">
        <v>335001</v>
      </c>
      <c r="V2695" t="s">
        <v>15565</v>
      </c>
      <c r="W2695" t="s">
        <v>3210</v>
      </c>
      <c r="X2695" t="s">
        <v>15566</v>
      </c>
      <c r="Y2695" t="s">
        <v>15567</v>
      </c>
      <c r="Z2695" t="s">
        <v>15568</v>
      </c>
      <c r="AA2695" t="s">
        <v>15569</v>
      </c>
      <c r="AB2695" t="s">
        <v>15570</v>
      </c>
      <c r="AC2695">
        <v>99206</v>
      </c>
      <c r="AD2695" t="s">
        <v>3211</v>
      </c>
      <c r="AE2695">
        <v>-43.608044219999996</v>
      </c>
      <c r="AF2695">
        <v>172.35706239999999</v>
      </c>
      <c r="AG2695">
        <v>130</v>
      </c>
      <c r="AH2695">
        <v>20</v>
      </c>
      <c r="AI2695">
        <v>8</v>
      </c>
      <c r="AJ2695">
        <v>12</v>
      </c>
      <c r="AK2695">
        <v>31</v>
      </c>
      <c r="AL2695">
        <v>24</v>
      </c>
      <c r="AM2695">
        <v>27</v>
      </c>
      <c r="AN2695">
        <v>5</v>
      </c>
      <c r="AO2695">
        <v>107</v>
      </c>
      <c r="AP2695">
        <v>48</v>
      </c>
      <c r="AQ2695">
        <v>9</v>
      </c>
      <c r="AR2695">
        <v>9</v>
      </c>
      <c r="AS2695">
        <v>34</v>
      </c>
      <c r="AT2695">
        <v>14</v>
      </c>
    </row>
    <row r="2696" spans="1:46">
      <c r="A2696">
        <v>47209</v>
      </c>
      <c r="B2696" t="s">
        <v>15571</v>
      </c>
      <c r="C2696" t="s">
        <v>15572</v>
      </c>
      <c r="D2696" t="s">
        <v>15573</v>
      </c>
      <c r="E2696" t="s">
        <v>15574</v>
      </c>
      <c r="F2696" t="s">
        <v>847</v>
      </c>
      <c r="G2696" t="s">
        <v>652</v>
      </c>
      <c r="H2696" t="s">
        <v>3942</v>
      </c>
      <c r="J2696" t="s">
        <v>3962</v>
      </c>
      <c r="K2696" t="s">
        <v>519</v>
      </c>
      <c r="M2696" t="s">
        <v>520</v>
      </c>
      <c r="N2696" t="s">
        <v>521</v>
      </c>
      <c r="O2696" t="s">
        <v>848</v>
      </c>
      <c r="P2696" t="s">
        <v>654</v>
      </c>
      <c r="Q2696" t="s">
        <v>638</v>
      </c>
      <c r="R2696" t="s">
        <v>729</v>
      </c>
      <c r="S2696" t="s">
        <v>849</v>
      </c>
      <c r="T2696" t="s">
        <v>709</v>
      </c>
      <c r="U2696">
        <v>150200</v>
      </c>
      <c r="V2696" t="s">
        <v>940</v>
      </c>
      <c r="W2696" t="s">
        <v>732</v>
      </c>
      <c r="X2696" t="s">
        <v>15575</v>
      </c>
      <c r="Y2696" t="s">
        <v>15576</v>
      </c>
      <c r="Z2696" t="s">
        <v>7819</v>
      </c>
      <c r="AA2696" t="s">
        <v>15577</v>
      </c>
      <c r="AB2696" t="s">
        <v>15572</v>
      </c>
      <c r="AE2696">
        <v>-36.977369629999998</v>
      </c>
      <c r="AF2696">
        <v>174.80390471999999</v>
      </c>
      <c r="AG2696">
        <v>50</v>
      </c>
      <c r="AH2696">
        <v>0</v>
      </c>
      <c r="AI2696">
        <v>0</v>
      </c>
      <c r="AJ2696">
        <v>0</v>
      </c>
      <c r="AK2696">
        <v>8</v>
      </c>
      <c r="AL2696">
        <v>22</v>
      </c>
      <c r="AM2696">
        <v>32</v>
      </c>
      <c r="AN2696">
        <v>1</v>
      </c>
      <c r="AO2696">
        <v>63</v>
      </c>
      <c r="AP2696">
        <v>3</v>
      </c>
      <c r="AQ2696">
        <v>13</v>
      </c>
      <c r="AR2696">
        <v>33</v>
      </c>
      <c r="AS2696">
        <v>25</v>
      </c>
      <c r="AT2696">
        <v>1</v>
      </c>
    </row>
    <row r="2697" spans="1:46">
      <c r="A2697">
        <v>47212</v>
      </c>
      <c r="B2697" t="s">
        <v>12168</v>
      </c>
      <c r="D2697" t="s">
        <v>15578</v>
      </c>
      <c r="E2697" t="s">
        <v>15579</v>
      </c>
      <c r="G2697" t="s">
        <v>1579</v>
      </c>
      <c r="H2697" t="s">
        <v>4716</v>
      </c>
      <c r="J2697" t="s">
        <v>3962</v>
      </c>
      <c r="K2697" t="s">
        <v>519</v>
      </c>
      <c r="M2697" t="s">
        <v>1297</v>
      </c>
      <c r="N2697" t="s">
        <v>571</v>
      </c>
      <c r="O2697" t="s">
        <v>1450</v>
      </c>
      <c r="P2697" t="s">
        <v>523</v>
      </c>
      <c r="Q2697" t="s">
        <v>1299</v>
      </c>
      <c r="R2697" t="s">
        <v>1300</v>
      </c>
      <c r="S2697" t="s">
        <v>1300</v>
      </c>
      <c r="T2697" t="s">
        <v>1235</v>
      </c>
      <c r="U2697">
        <v>174901</v>
      </c>
      <c r="V2697" t="s">
        <v>1656</v>
      </c>
      <c r="W2697" t="s">
        <v>1581</v>
      </c>
      <c r="X2697" t="s">
        <v>15580</v>
      </c>
      <c r="Y2697" t="s">
        <v>9026</v>
      </c>
      <c r="Z2697" t="s">
        <v>2427</v>
      </c>
      <c r="AA2697" t="s">
        <v>9029</v>
      </c>
      <c r="AB2697" t="s">
        <v>15581</v>
      </c>
      <c r="AE2697">
        <v>-37.802881960000001</v>
      </c>
      <c r="AF2697">
        <v>175.77577968</v>
      </c>
      <c r="AG2697">
        <v>40</v>
      </c>
      <c r="AH2697">
        <v>40</v>
      </c>
      <c r="AI2697">
        <v>1</v>
      </c>
      <c r="AJ2697">
        <v>1</v>
      </c>
      <c r="AK2697">
        <v>2</v>
      </c>
      <c r="AL2697">
        <v>3</v>
      </c>
      <c r="AM2697">
        <v>3</v>
      </c>
      <c r="AN2697">
        <v>1</v>
      </c>
      <c r="AO2697">
        <v>11</v>
      </c>
      <c r="AP2697">
        <v>9</v>
      </c>
      <c r="AQ2697">
        <v>0</v>
      </c>
      <c r="AR2697">
        <v>2</v>
      </c>
      <c r="AS2697">
        <v>1</v>
      </c>
      <c r="AT2697">
        <v>2</v>
      </c>
    </row>
    <row r="2698" spans="1:46">
      <c r="A2698">
        <v>47213</v>
      </c>
      <c r="B2698" t="s">
        <v>15582</v>
      </c>
      <c r="C2698" t="s">
        <v>15583</v>
      </c>
      <c r="D2698" t="s">
        <v>15584</v>
      </c>
      <c r="E2698" t="s">
        <v>15585</v>
      </c>
      <c r="F2698" t="s">
        <v>726</v>
      </c>
      <c r="G2698" t="s">
        <v>4204</v>
      </c>
      <c r="H2698" t="s">
        <v>3942</v>
      </c>
      <c r="J2698" t="s">
        <v>518</v>
      </c>
      <c r="K2698" t="s">
        <v>519</v>
      </c>
      <c r="M2698" t="s">
        <v>520</v>
      </c>
      <c r="N2698" t="s">
        <v>727</v>
      </c>
      <c r="O2698" t="s">
        <v>728</v>
      </c>
      <c r="P2698" t="s">
        <v>654</v>
      </c>
      <c r="Q2698" t="s">
        <v>638</v>
      </c>
      <c r="R2698" t="s">
        <v>729</v>
      </c>
      <c r="S2698" t="s">
        <v>730</v>
      </c>
      <c r="T2698" t="s">
        <v>709</v>
      </c>
      <c r="U2698">
        <v>153500</v>
      </c>
      <c r="V2698" t="s">
        <v>731</v>
      </c>
      <c r="W2698" t="s">
        <v>732</v>
      </c>
      <c r="X2698" t="s">
        <v>15586</v>
      </c>
      <c r="Y2698" t="s">
        <v>15587</v>
      </c>
      <c r="Z2698" t="s">
        <v>15588</v>
      </c>
      <c r="AA2698" t="s">
        <v>15589</v>
      </c>
      <c r="AB2698" t="s">
        <v>15590</v>
      </c>
      <c r="AE2698">
        <v>-36.957718989999996</v>
      </c>
      <c r="AF2698">
        <v>174.86885143000001</v>
      </c>
      <c r="AG2698">
        <v>50</v>
      </c>
      <c r="AH2698">
        <v>10</v>
      </c>
      <c r="AI2698">
        <v>0</v>
      </c>
      <c r="AJ2698">
        <v>5</v>
      </c>
      <c r="AK2698">
        <v>9</v>
      </c>
      <c r="AL2698">
        <v>18</v>
      </c>
      <c r="AM2698">
        <v>10</v>
      </c>
      <c r="AN2698">
        <v>0</v>
      </c>
      <c r="AO2698">
        <v>42</v>
      </c>
      <c r="AP2698">
        <v>5</v>
      </c>
      <c r="AQ2698">
        <v>7</v>
      </c>
      <c r="AR2698">
        <v>41</v>
      </c>
      <c r="AS2698">
        <v>1</v>
      </c>
      <c r="AT2698">
        <v>1</v>
      </c>
    </row>
    <row r="2699" spans="1:46">
      <c r="A2699">
        <v>47214</v>
      </c>
      <c r="B2699" t="s">
        <v>15591</v>
      </c>
      <c r="D2699" t="s">
        <v>15592</v>
      </c>
      <c r="E2699" t="s">
        <v>15593</v>
      </c>
      <c r="F2699" t="s">
        <v>3033</v>
      </c>
      <c r="G2699" t="s">
        <v>2941</v>
      </c>
      <c r="H2699" t="s">
        <v>3942</v>
      </c>
      <c r="I2699" t="s">
        <v>3644</v>
      </c>
      <c r="J2699" t="s">
        <v>518</v>
      </c>
      <c r="K2699" t="s">
        <v>519</v>
      </c>
      <c r="M2699" t="s">
        <v>2287</v>
      </c>
      <c r="N2699" t="s">
        <v>539</v>
      </c>
      <c r="O2699" t="s">
        <v>2942</v>
      </c>
      <c r="P2699" t="s">
        <v>654</v>
      </c>
      <c r="Q2699" t="s">
        <v>2943</v>
      </c>
      <c r="R2699" t="s">
        <v>2944</v>
      </c>
      <c r="S2699" t="s">
        <v>3019</v>
      </c>
      <c r="T2699" t="s">
        <v>2448</v>
      </c>
      <c r="U2699">
        <v>319300</v>
      </c>
      <c r="V2699" t="s">
        <v>3018</v>
      </c>
      <c r="W2699" t="s">
        <v>3020</v>
      </c>
      <c r="X2699" t="s">
        <v>15594</v>
      </c>
      <c r="Y2699" t="s">
        <v>6369</v>
      </c>
      <c r="Z2699" t="s">
        <v>4555</v>
      </c>
      <c r="AA2699" t="s">
        <v>4556</v>
      </c>
      <c r="AB2699" t="s">
        <v>15595</v>
      </c>
      <c r="AC2699">
        <v>99045</v>
      </c>
      <c r="AD2699" t="s">
        <v>3021</v>
      </c>
      <c r="AE2699">
        <v>-43.538504439999997</v>
      </c>
      <c r="AF2699">
        <v>172.52495332000001</v>
      </c>
      <c r="AG2699">
        <v>47</v>
      </c>
      <c r="AH2699">
        <v>10</v>
      </c>
      <c r="AI2699">
        <v>1</v>
      </c>
      <c r="AJ2699">
        <v>7</v>
      </c>
      <c r="AK2699">
        <v>8</v>
      </c>
      <c r="AL2699">
        <v>16</v>
      </c>
      <c r="AM2699">
        <v>10</v>
      </c>
      <c r="AN2699">
        <v>0</v>
      </c>
      <c r="AO2699">
        <v>42</v>
      </c>
      <c r="AP2699">
        <v>21</v>
      </c>
      <c r="AQ2699">
        <v>15</v>
      </c>
      <c r="AR2699">
        <v>13</v>
      </c>
      <c r="AS2699">
        <v>9</v>
      </c>
      <c r="AT2699">
        <v>2</v>
      </c>
    </row>
    <row r="2700" spans="1:46">
      <c r="A2700">
        <v>47220</v>
      </c>
      <c r="B2700" t="s">
        <v>15596</v>
      </c>
      <c r="C2700" t="s">
        <v>15597</v>
      </c>
      <c r="D2700" t="s">
        <v>15598</v>
      </c>
      <c r="E2700" t="s">
        <v>15599</v>
      </c>
      <c r="G2700" t="s">
        <v>1261</v>
      </c>
      <c r="H2700" t="s">
        <v>4716</v>
      </c>
      <c r="J2700" t="s">
        <v>3962</v>
      </c>
      <c r="K2700" t="s">
        <v>519</v>
      </c>
      <c r="M2700" t="s">
        <v>520</v>
      </c>
      <c r="N2700" t="s">
        <v>557</v>
      </c>
      <c r="O2700" t="s">
        <v>1233</v>
      </c>
      <c r="P2700" t="s">
        <v>1262</v>
      </c>
      <c r="Q2700" t="s">
        <v>638</v>
      </c>
      <c r="R2700" t="s">
        <v>729</v>
      </c>
      <c r="S2700" t="s">
        <v>1246</v>
      </c>
      <c r="T2700" t="s">
        <v>1235</v>
      </c>
      <c r="U2700">
        <v>166000</v>
      </c>
      <c r="V2700" t="s">
        <v>1280</v>
      </c>
      <c r="W2700" t="s">
        <v>1237</v>
      </c>
      <c r="X2700" t="s">
        <v>15600</v>
      </c>
      <c r="Y2700" t="s">
        <v>15599</v>
      </c>
      <c r="AA2700" t="s">
        <v>5078</v>
      </c>
      <c r="AB2700" t="s">
        <v>15601</v>
      </c>
      <c r="AE2700">
        <v>-37.200106439999999</v>
      </c>
      <c r="AF2700">
        <v>174.90202787999999</v>
      </c>
      <c r="AG2700">
        <v>80</v>
      </c>
      <c r="AH2700">
        <v>80</v>
      </c>
      <c r="AI2700">
        <v>4</v>
      </c>
      <c r="AJ2700">
        <v>12</v>
      </c>
      <c r="AK2700">
        <v>11</v>
      </c>
      <c r="AL2700">
        <v>13</v>
      </c>
      <c r="AM2700">
        <v>14</v>
      </c>
      <c r="AN2700">
        <v>3</v>
      </c>
      <c r="AO2700">
        <v>57</v>
      </c>
      <c r="AP2700">
        <v>41</v>
      </c>
      <c r="AQ2700">
        <v>13</v>
      </c>
      <c r="AR2700">
        <v>3</v>
      </c>
      <c r="AS2700">
        <v>4</v>
      </c>
      <c r="AT2700">
        <v>3</v>
      </c>
    </row>
    <row r="2701" spans="1:46">
      <c r="A2701">
        <v>47221</v>
      </c>
      <c r="B2701" t="s">
        <v>12168</v>
      </c>
      <c r="C2701" t="s">
        <v>12169</v>
      </c>
      <c r="E2701" t="s">
        <v>15602</v>
      </c>
      <c r="F2701" t="s">
        <v>3770</v>
      </c>
      <c r="G2701" t="s">
        <v>1598</v>
      </c>
      <c r="H2701" t="s">
        <v>4716</v>
      </c>
      <c r="J2701" t="s">
        <v>3962</v>
      </c>
      <c r="K2701" t="s">
        <v>519</v>
      </c>
      <c r="M2701" t="s">
        <v>1297</v>
      </c>
      <c r="N2701" t="s">
        <v>571</v>
      </c>
      <c r="O2701" t="s">
        <v>1698</v>
      </c>
      <c r="P2701" t="s">
        <v>654</v>
      </c>
      <c r="Q2701" t="s">
        <v>1471</v>
      </c>
      <c r="R2701" t="s">
        <v>1472</v>
      </c>
      <c r="S2701" t="s">
        <v>1699</v>
      </c>
      <c r="T2701" t="s">
        <v>1474</v>
      </c>
      <c r="U2701">
        <v>196202</v>
      </c>
      <c r="V2701" t="s">
        <v>15141</v>
      </c>
      <c r="W2701" t="s">
        <v>1701</v>
      </c>
      <c r="X2701" t="s">
        <v>15603</v>
      </c>
      <c r="Y2701" t="s">
        <v>9026</v>
      </c>
      <c r="Z2701" t="s">
        <v>2427</v>
      </c>
      <c r="AA2701" t="s">
        <v>9029</v>
      </c>
      <c r="AB2701" t="s">
        <v>15604</v>
      </c>
      <c r="AE2701">
        <v>-37.682922689999998</v>
      </c>
      <c r="AF2701">
        <v>176.25315412</v>
      </c>
      <c r="AG2701">
        <v>25</v>
      </c>
      <c r="AH2701">
        <v>25</v>
      </c>
      <c r="AI2701">
        <v>1</v>
      </c>
      <c r="AJ2701">
        <v>4</v>
      </c>
      <c r="AK2701">
        <v>10</v>
      </c>
      <c r="AL2701">
        <v>3</v>
      </c>
      <c r="AM2701">
        <v>1</v>
      </c>
      <c r="AN2701">
        <v>0</v>
      </c>
      <c r="AO2701">
        <v>19</v>
      </c>
      <c r="AP2701">
        <v>13</v>
      </c>
      <c r="AQ2701">
        <v>4</v>
      </c>
      <c r="AR2701">
        <v>3</v>
      </c>
      <c r="AS2701">
        <v>4</v>
      </c>
      <c r="AT2701">
        <v>0</v>
      </c>
    </row>
    <row r="2702" spans="1:46">
      <c r="A2702">
        <v>47222</v>
      </c>
      <c r="B2702" t="s">
        <v>15605</v>
      </c>
      <c r="C2702" t="s">
        <v>15606</v>
      </c>
      <c r="D2702" t="s">
        <v>8253</v>
      </c>
      <c r="E2702" t="s">
        <v>8254</v>
      </c>
      <c r="F2702" t="s">
        <v>8255</v>
      </c>
      <c r="G2702" t="s">
        <v>652</v>
      </c>
      <c r="H2702" t="s">
        <v>4716</v>
      </c>
      <c r="J2702" t="s">
        <v>3962</v>
      </c>
      <c r="K2702" t="s">
        <v>519</v>
      </c>
      <c r="M2702" t="s">
        <v>520</v>
      </c>
      <c r="N2702" t="s">
        <v>571</v>
      </c>
      <c r="O2702" t="s">
        <v>1168</v>
      </c>
      <c r="P2702" t="s">
        <v>654</v>
      </c>
      <c r="Q2702" t="s">
        <v>638</v>
      </c>
      <c r="R2702" t="s">
        <v>639</v>
      </c>
      <c r="S2702" t="s">
        <v>655</v>
      </c>
      <c r="T2702" t="s">
        <v>527</v>
      </c>
      <c r="U2702">
        <v>118600</v>
      </c>
      <c r="V2702" t="s">
        <v>4012</v>
      </c>
      <c r="W2702" t="s">
        <v>657</v>
      </c>
      <c r="X2702" t="s">
        <v>6268</v>
      </c>
      <c r="Y2702" t="s">
        <v>6269</v>
      </c>
      <c r="Z2702" t="s">
        <v>3706</v>
      </c>
      <c r="AA2702" t="s">
        <v>6270</v>
      </c>
      <c r="AB2702" t="s">
        <v>6271</v>
      </c>
      <c r="AE2702">
        <v>-36.74598975</v>
      </c>
      <c r="AF2702">
        <v>174.70412110000001</v>
      </c>
      <c r="AG2702">
        <v>50</v>
      </c>
      <c r="AH2702">
        <v>50</v>
      </c>
      <c r="AI2702">
        <v>8</v>
      </c>
      <c r="AJ2702">
        <v>8</v>
      </c>
      <c r="AK2702">
        <v>14</v>
      </c>
      <c r="AL2702">
        <v>8</v>
      </c>
      <c r="AM2702">
        <v>10</v>
      </c>
      <c r="AN2702">
        <v>0</v>
      </c>
      <c r="AO2702">
        <v>48</v>
      </c>
      <c r="AP2702">
        <v>4</v>
      </c>
      <c r="AQ2702">
        <v>0</v>
      </c>
      <c r="AR2702">
        <v>1</v>
      </c>
      <c r="AS2702">
        <v>48</v>
      </c>
      <c r="AT2702">
        <v>1</v>
      </c>
    </row>
    <row r="2703" spans="1:46">
      <c r="A2703">
        <v>47225</v>
      </c>
      <c r="B2703" t="s">
        <v>15607</v>
      </c>
      <c r="C2703" t="s">
        <v>15608</v>
      </c>
      <c r="E2703" t="s">
        <v>15609</v>
      </c>
      <c r="F2703" t="s">
        <v>15610</v>
      </c>
      <c r="G2703" t="s">
        <v>3498</v>
      </c>
      <c r="H2703" t="s">
        <v>3942</v>
      </c>
      <c r="I2703" t="s">
        <v>4065</v>
      </c>
      <c r="J2703" t="s">
        <v>3962</v>
      </c>
      <c r="K2703" t="s">
        <v>519</v>
      </c>
      <c r="M2703" t="s">
        <v>2287</v>
      </c>
      <c r="N2703" t="s">
        <v>557</v>
      </c>
      <c r="O2703" t="s">
        <v>3496</v>
      </c>
      <c r="P2703" t="s">
        <v>584</v>
      </c>
      <c r="Q2703" t="s">
        <v>3497</v>
      </c>
      <c r="R2703" t="s">
        <v>3338</v>
      </c>
      <c r="S2703" t="s">
        <v>3498</v>
      </c>
      <c r="T2703" t="s">
        <v>2448</v>
      </c>
      <c r="U2703">
        <v>362100</v>
      </c>
      <c r="V2703" t="s">
        <v>15610</v>
      </c>
      <c r="W2703" t="s">
        <v>1652</v>
      </c>
      <c r="X2703" t="s">
        <v>15611</v>
      </c>
      <c r="Y2703" t="s">
        <v>15609</v>
      </c>
      <c r="Z2703" t="s">
        <v>15610</v>
      </c>
      <c r="AA2703" t="s">
        <v>15612</v>
      </c>
      <c r="AE2703">
        <v>-46.418064899999997</v>
      </c>
      <c r="AF2703">
        <v>168.36906970000001</v>
      </c>
      <c r="AG2703">
        <v>100</v>
      </c>
      <c r="AH2703">
        <v>30</v>
      </c>
      <c r="AI2703">
        <v>3</v>
      </c>
      <c r="AJ2703">
        <v>15</v>
      </c>
      <c r="AK2703">
        <v>23</v>
      </c>
      <c r="AL2703">
        <v>23</v>
      </c>
      <c r="AM2703">
        <v>32</v>
      </c>
      <c r="AN2703">
        <v>3</v>
      </c>
      <c r="AO2703">
        <v>99</v>
      </c>
      <c r="AP2703">
        <v>70</v>
      </c>
      <c r="AQ2703">
        <v>25</v>
      </c>
      <c r="AR2703">
        <v>10</v>
      </c>
      <c r="AS2703">
        <v>15</v>
      </c>
      <c r="AT2703">
        <v>5</v>
      </c>
    </row>
    <row r="2704" spans="1:46">
      <c r="A2704">
        <v>47227</v>
      </c>
      <c r="B2704" t="s">
        <v>15613</v>
      </c>
      <c r="C2704" t="s">
        <v>15614</v>
      </c>
      <c r="D2704" t="s">
        <v>15615</v>
      </c>
      <c r="E2704" t="s">
        <v>15616</v>
      </c>
      <c r="F2704" t="s">
        <v>3033</v>
      </c>
      <c r="G2704" t="s">
        <v>2941</v>
      </c>
      <c r="H2704" t="s">
        <v>3942</v>
      </c>
      <c r="I2704" t="s">
        <v>4065</v>
      </c>
      <c r="J2704" t="s">
        <v>3962</v>
      </c>
      <c r="K2704" t="s">
        <v>519</v>
      </c>
      <c r="M2704" t="s">
        <v>2287</v>
      </c>
      <c r="N2704" t="s">
        <v>571</v>
      </c>
      <c r="O2704" t="s">
        <v>2942</v>
      </c>
      <c r="P2704" t="s">
        <v>654</v>
      </c>
      <c r="Q2704" t="s">
        <v>2943</v>
      </c>
      <c r="R2704" t="s">
        <v>2944</v>
      </c>
      <c r="S2704" t="s">
        <v>3019</v>
      </c>
      <c r="T2704" t="s">
        <v>2448</v>
      </c>
      <c r="U2704">
        <v>321101</v>
      </c>
      <c r="V2704" t="s">
        <v>3034</v>
      </c>
      <c r="W2704" t="s">
        <v>3020</v>
      </c>
      <c r="X2704" t="s">
        <v>15617</v>
      </c>
      <c r="Y2704" t="s">
        <v>15618</v>
      </c>
      <c r="Z2704" t="s">
        <v>3033</v>
      </c>
      <c r="AA2704" t="s">
        <v>11419</v>
      </c>
      <c r="AB2704" t="s">
        <v>15619</v>
      </c>
      <c r="AC2704">
        <v>99045</v>
      </c>
      <c r="AD2704" t="s">
        <v>3021</v>
      </c>
      <c r="AE2704">
        <v>-43.551766610000001</v>
      </c>
      <c r="AF2704">
        <v>172.53424096000001</v>
      </c>
      <c r="AG2704">
        <v>38</v>
      </c>
      <c r="AH2704">
        <v>8</v>
      </c>
      <c r="AI2704">
        <v>0</v>
      </c>
      <c r="AJ2704">
        <v>7</v>
      </c>
      <c r="AK2704">
        <v>11</v>
      </c>
      <c r="AL2704">
        <v>13</v>
      </c>
      <c r="AM2704">
        <v>12</v>
      </c>
      <c r="AN2704">
        <v>2</v>
      </c>
      <c r="AO2704">
        <v>45</v>
      </c>
      <c r="AP2704">
        <v>6</v>
      </c>
      <c r="AQ2704">
        <v>3</v>
      </c>
      <c r="AR2704">
        <v>2</v>
      </c>
      <c r="AS2704">
        <v>38</v>
      </c>
      <c r="AT2704">
        <v>1</v>
      </c>
    </row>
    <row r="2705" spans="1:46">
      <c r="A2705">
        <v>47229</v>
      </c>
      <c r="B2705" t="s">
        <v>15620</v>
      </c>
      <c r="C2705" t="s">
        <v>15621</v>
      </c>
      <c r="D2705" t="s">
        <v>15622</v>
      </c>
      <c r="E2705" t="s">
        <v>15623</v>
      </c>
      <c r="G2705" t="s">
        <v>667</v>
      </c>
      <c r="H2705" t="s">
        <v>3942</v>
      </c>
      <c r="J2705" t="s">
        <v>3962</v>
      </c>
      <c r="K2705" t="s">
        <v>519</v>
      </c>
      <c r="M2705" t="s">
        <v>520</v>
      </c>
      <c r="N2705" t="s">
        <v>571</v>
      </c>
      <c r="O2705" t="s">
        <v>653</v>
      </c>
      <c r="P2705" t="s">
        <v>584</v>
      </c>
      <c r="Q2705" t="s">
        <v>638</v>
      </c>
      <c r="R2705" t="s">
        <v>639</v>
      </c>
      <c r="S2705" t="s">
        <v>668</v>
      </c>
      <c r="T2705" t="s">
        <v>527</v>
      </c>
      <c r="U2705">
        <v>113000</v>
      </c>
      <c r="V2705" t="s">
        <v>12944</v>
      </c>
      <c r="W2705" t="s">
        <v>657</v>
      </c>
      <c r="X2705" t="s">
        <v>15624</v>
      </c>
      <c r="Y2705" t="s">
        <v>4404</v>
      </c>
      <c r="Z2705" t="s">
        <v>4405</v>
      </c>
      <c r="AA2705" t="s">
        <v>4529</v>
      </c>
      <c r="AC2705">
        <v>99069</v>
      </c>
      <c r="AD2705" t="s">
        <v>670</v>
      </c>
      <c r="AE2705">
        <v>-36.593051619999997</v>
      </c>
      <c r="AF2705">
        <v>174.69464531</v>
      </c>
      <c r="AG2705">
        <v>70</v>
      </c>
      <c r="AH2705">
        <v>20</v>
      </c>
      <c r="AI2705">
        <v>3</v>
      </c>
      <c r="AJ2705">
        <v>15</v>
      </c>
      <c r="AK2705">
        <v>7</v>
      </c>
      <c r="AL2705">
        <v>15</v>
      </c>
      <c r="AM2705">
        <v>11</v>
      </c>
      <c r="AN2705">
        <v>0</v>
      </c>
      <c r="AO2705">
        <v>51</v>
      </c>
      <c r="AP2705">
        <v>38</v>
      </c>
      <c r="AQ2705">
        <v>5</v>
      </c>
      <c r="AR2705">
        <v>1</v>
      </c>
      <c r="AS2705">
        <v>12</v>
      </c>
      <c r="AT2705">
        <v>5</v>
      </c>
    </row>
    <row r="2706" spans="1:46">
      <c r="A2706">
        <v>47232</v>
      </c>
      <c r="B2706" t="s">
        <v>15625</v>
      </c>
      <c r="C2706" t="s">
        <v>15626</v>
      </c>
      <c r="D2706" t="s">
        <v>12329</v>
      </c>
      <c r="E2706" t="s">
        <v>12330</v>
      </c>
      <c r="G2706" t="s">
        <v>1974</v>
      </c>
      <c r="H2706" t="s">
        <v>4716</v>
      </c>
      <c r="J2706" t="s">
        <v>3962</v>
      </c>
      <c r="K2706" t="s">
        <v>519</v>
      </c>
      <c r="M2706" t="s">
        <v>1297</v>
      </c>
      <c r="N2706" t="s">
        <v>557</v>
      </c>
      <c r="O2706" t="s">
        <v>1956</v>
      </c>
      <c r="P2706" t="s">
        <v>584</v>
      </c>
      <c r="Q2706" t="s">
        <v>1636</v>
      </c>
      <c r="R2706" t="s">
        <v>1760</v>
      </c>
      <c r="S2706" t="s">
        <v>1974</v>
      </c>
      <c r="T2706" t="s">
        <v>1485</v>
      </c>
      <c r="U2706">
        <v>230600</v>
      </c>
      <c r="V2706" t="s">
        <v>1975</v>
      </c>
      <c r="W2706" t="s">
        <v>1957</v>
      </c>
      <c r="X2706" t="s">
        <v>12331</v>
      </c>
      <c r="Y2706" t="s">
        <v>12332</v>
      </c>
      <c r="AA2706" t="s">
        <v>1960</v>
      </c>
      <c r="AB2706" t="s">
        <v>12328</v>
      </c>
      <c r="AC2706">
        <v>99165</v>
      </c>
      <c r="AD2706" t="s">
        <v>1976</v>
      </c>
      <c r="AE2706">
        <v>-40.358771429999997</v>
      </c>
      <c r="AF2706">
        <v>175.60477043</v>
      </c>
      <c r="AG2706">
        <v>80</v>
      </c>
      <c r="AH2706">
        <v>80</v>
      </c>
      <c r="AI2706">
        <v>5</v>
      </c>
      <c r="AJ2706">
        <v>10</v>
      </c>
      <c r="AK2706">
        <v>18</v>
      </c>
      <c r="AL2706">
        <v>10</v>
      </c>
      <c r="AM2706">
        <v>11</v>
      </c>
      <c r="AN2706">
        <v>2</v>
      </c>
      <c r="AO2706">
        <v>56</v>
      </c>
      <c r="AP2706">
        <v>43</v>
      </c>
      <c r="AQ2706">
        <v>27</v>
      </c>
      <c r="AR2706">
        <v>8</v>
      </c>
      <c r="AS2706">
        <v>5</v>
      </c>
      <c r="AT2706">
        <v>2</v>
      </c>
    </row>
    <row r="2707" spans="1:46">
      <c r="A2707">
        <v>47235</v>
      </c>
      <c r="B2707" t="s">
        <v>15627</v>
      </c>
      <c r="C2707" t="s">
        <v>15628</v>
      </c>
      <c r="D2707" t="s">
        <v>15629</v>
      </c>
      <c r="E2707" t="s">
        <v>15630</v>
      </c>
      <c r="F2707" t="s">
        <v>6954</v>
      </c>
      <c r="G2707" t="s">
        <v>652</v>
      </c>
      <c r="H2707" t="s">
        <v>3942</v>
      </c>
      <c r="J2707" t="s">
        <v>3962</v>
      </c>
      <c r="K2707" t="s">
        <v>519</v>
      </c>
      <c r="M2707" t="s">
        <v>520</v>
      </c>
      <c r="N2707" t="s">
        <v>521</v>
      </c>
      <c r="O2707" t="s">
        <v>829</v>
      </c>
      <c r="P2707" t="s">
        <v>654</v>
      </c>
      <c r="Q2707" t="s">
        <v>638</v>
      </c>
      <c r="R2707" t="s">
        <v>708</v>
      </c>
      <c r="S2707" t="s">
        <v>730</v>
      </c>
      <c r="T2707" t="s">
        <v>709</v>
      </c>
      <c r="U2707">
        <v>145400</v>
      </c>
      <c r="V2707" t="s">
        <v>8194</v>
      </c>
      <c r="W2707" t="s">
        <v>807</v>
      </c>
      <c r="X2707" t="s">
        <v>15631</v>
      </c>
      <c r="Y2707" t="s">
        <v>15632</v>
      </c>
      <c r="Z2707" t="s">
        <v>821</v>
      </c>
      <c r="AA2707" t="s">
        <v>4069</v>
      </c>
      <c r="AE2707">
        <v>-36.890404570000001</v>
      </c>
      <c r="AF2707">
        <v>174.85105479999999</v>
      </c>
      <c r="AG2707">
        <v>100</v>
      </c>
      <c r="AH2707">
        <v>32</v>
      </c>
      <c r="AI2707">
        <v>5</v>
      </c>
      <c r="AJ2707">
        <v>22</v>
      </c>
      <c r="AK2707">
        <v>21</v>
      </c>
      <c r="AL2707">
        <v>15</v>
      </c>
      <c r="AM2707">
        <v>22</v>
      </c>
      <c r="AN2707">
        <v>1</v>
      </c>
      <c r="AO2707">
        <v>86</v>
      </c>
      <c r="AP2707">
        <v>61</v>
      </c>
      <c r="AQ2707">
        <v>14</v>
      </c>
      <c r="AR2707">
        <v>9</v>
      </c>
      <c r="AS2707">
        <v>21</v>
      </c>
      <c r="AT2707">
        <v>11</v>
      </c>
    </row>
    <row r="2708" spans="1:46">
      <c r="A2708">
        <v>47236</v>
      </c>
      <c r="B2708" t="s">
        <v>15633</v>
      </c>
      <c r="C2708" t="s">
        <v>15634</v>
      </c>
      <c r="E2708" t="s">
        <v>15635</v>
      </c>
      <c r="G2708" t="s">
        <v>15636</v>
      </c>
      <c r="H2708" t="s">
        <v>3942</v>
      </c>
      <c r="I2708" t="s">
        <v>6218</v>
      </c>
      <c r="J2708" t="s">
        <v>518</v>
      </c>
      <c r="K2708" t="s">
        <v>519</v>
      </c>
      <c r="M2708" t="s">
        <v>1297</v>
      </c>
      <c r="N2708" t="s">
        <v>727</v>
      </c>
      <c r="O2708" t="s">
        <v>1351</v>
      </c>
      <c r="P2708" t="s">
        <v>540</v>
      </c>
      <c r="Q2708" t="s">
        <v>1299</v>
      </c>
      <c r="R2708" t="s">
        <v>1300</v>
      </c>
      <c r="S2708" t="s">
        <v>1246</v>
      </c>
      <c r="T2708" t="s">
        <v>1235</v>
      </c>
      <c r="U2708">
        <v>170700</v>
      </c>
      <c r="V2708" t="s">
        <v>7773</v>
      </c>
      <c r="W2708" t="s">
        <v>7799</v>
      </c>
      <c r="X2708" t="s">
        <v>15637</v>
      </c>
      <c r="Y2708" t="s">
        <v>5270</v>
      </c>
      <c r="AA2708" t="s">
        <v>5271</v>
      </c>
      <c r="AC2708">
        <v>99193</v>
      </c>
      <c r="AD2708" t="s">
        <v>7800</v>
      </c>
      <c r="AE2708">
        <v>-37.318304339999997</v>
      </c>
      <c r="AF2708">
        <v>175.07262089</v>
      </c>
      <c r="AG2708">
        <v>22</v>
      </c>
      <c r="AH2708">
        <v>4</v>
      </c>
      <c r="AI2708">
        <v>1</v>
      </c>
      <c r="AJ2708">
        <v>0</v>
      </c>
      <c r="AK2708">
        <v>7</v>
      </c>
      <c r="AL2708">
        <v>5</v>
      </c>
      <c r="AM2708">
        <v>11</v>
      </c>
      <c r="AN2708">
        <v>0</v>
      </c>
      <c r="AO2708">
        <v>24</v>
      </c>
      <c r="AP2708">
        <v>13</v>
      </c>
      <c r="AQ2708">
        <v>20</v>
      </c>
      <c r="AR2708">
        <v>9</v>
      </c>
      <c r="AS2708">
        <v>0</v>
      </c>
      <c r="AT2708">
        <v>0</v>
      </c>
    </row>
    <row r="2709" spans="1:46">
      <c r="A2709">
        <v>47240</v>
      </c>
      <c r="B2709" t="s">
        <v>15638</v>
      </c>
      <c r="C2709" t="s">
        <v>15639</v>
      </c>
      <c r="D2709" t="s">
        <v>15640</v>
      </c>
      <c r="E2709" t="s">
        <v>15641</v>
      </c>
      <c r="F2709" t="s">
        <v>15642</v>
      </c>
      <c r="G2709" t="s">
        <v>2119</v>
      </c>
      <c r="H2709" t="s">
        <v>3942</v>
      </c>
      <c r="J2709" t="s">
        <v>3962</v>
      </c>
      <c r="K2709" t="s">
        <v>519</v>
      </c>
      <c r="M2709" t="s">
        <v>1297</v>
      </c>
      <c r="N2709" t="s">
        <v>571</v>
      </c>
      <c r="O2709" t="s">
        <v>2131</v>
      </c>
      <c r="P2709" t="s">
        <v>584</v>
      </c>
      <c r="Q2709" t="s">
        <v>2118</v>
      </c>
      <c r="R2709" t="s">
        <v>2084</v>
      </c>
      <c r="S2709" t="s">
        <v>2119</v>
      </c>
      <c r="T2709" t="s">
        <v>2085</v>
      </c>
      <c r="U2709">
        <v>212301</v>
      </c>
      <c r="V2709" t="s">
        <v>3735</v>
      </c>
      <c r="W2709" t="s">
        <v>3736</v>
      </c>
      <c r="X2709" t="s">
        <v>15643</v>
      </c>
      <c r="AB2709" t="s">
        <v>15639</v>
      </c>
      <c r="AE2709">
        <v>-39.43711923</v>
      </c>
      <c r="AF2709">
        <v>176.86974660999999</v>
      </c>
      <c r="AG2709">
        <v>36</v>
      </c>
      <c r="AH2709">
        <v>12</v>
      </c>
      <c r="AI2709">
        <v>2</v>
      </c>
      <c r="AJ2709">
        <v>5</v>
      </c>
      <c r="AK2709">
        <v>11</v>
      </c>
      <c r="AL2709">
        <v>13</v>
      </c>
      <c r="AM2709">
        <v>5</v>
      </c>
      <c r="AN2709">
        <v>0</v>
      </c>
      <c r="AO2709">
        <v>36</v>
      </c>
      <c r="AP2709">
        <v>33</v>
      </c>
      <c r="AQ2709">
        <v>15</v>
      </c>
      <c r="AR2709">
        <v>3</v>
      </c>
      <c r="AS2709">
        <v>0</v>
      </c>
      <c r="AT2709">
        <v>1</v>
      </c>
    </row>
    <row r="2710" spans="1:46">
      <c r="A2710">
        <v>47242</v>
      </c>
      <c r="B2710" t="s">
        <v>15644</v>
      </c>
      <c r="C2710" t="s">
        <v>15645</v>
      </c>
      <c r="D2710" t="s">
        <v>15646</v>
      </c>
      <c r="E2710" t="s">
        <v>15647</v>
      </c>
      <c r="G2710" t="s">
        <v>1497</v>
      </c>
      <c r="H2710" t="s">
        <v>3942</v>
      </c>
      <c r="J2710" t="s">
        <v>3962</v>
      </c>
      <c r="K2710" t="s">
        <v>519</v>
      </c>
      <c r="M2710" t="s">
        <v>1297</v>
      </c>
      <c r="N2710" t="s">
        <v>557</v>
      </c>
      <c r="O2710" t="s">
        <v>1484</v>
      </c>
      <c r="P2710" t="s">
        <v>523</v>
      </c>
      <c r="Q2710" t="s">
        <v>1299</v>
      </c>
      <c r="R2710" t="s">
        <v>1300</v>
      </c>
      <c r="S2710" t="s">
        <v>1320</v>
      </c>
      <c r="T2710" t="s">
        <v>1485</v>
      </c>
      <c r="U2710">
        <v>186000</v>
      </c>
      <c r="V2710" t="s">
        <v>1498</v>
      </c>
      <c r="W2710" t="s">
        <v>1499</v>
      </c>
      <c r="X2710" t="s">
        <v>15648</v>
      </c>
      <c r="Y2710" t="s">
        <v>15647</v>
      </c>
      <c r="AA2710" t="s">
        <v>15649</v>
      </c>
      <c r="AB2710" t="s">
        <v>15645</v>
      </c>
      <c r="AC2710">
        <v>99076</v>
      </c>
      <c r="AD2710" t="s">
        <v>1500</v>
      </c>
      <c r="AE2710">
        <v>-38.049488910000001</v>
      </c>
      <c r="AF2710">
        <v>175.78364511999999</v>
      </c>
      <c r="AG2710">
        <v>68</v>
      </c>
      <c r="AH2710">
        <v>20</v>
      </c>
      <c r="AI2710">
        <v>4</v>
      </c>
      <c r="AJ2710">
        <v>15</v>
      </c>
      <c r="AK2710">
        <v>18</v>
      </c>
      <c r="AL2710">
        <v>17</v>
      </c>
      <c r="AM2710">
        <v>26</v>
      </c>
      <c r="AN2710">
        <v>0</v>
      </c>
      <c r="AO2710">
        <v>80</v>
      </c>
      <c r="AP2710">
        <v>70</v>
      </c>
      <c r="AQ2710">
        <v>17</v>
      </c>
      <c r="AR2710">
        <v>1</v>
      </c>
      <c r="AS2710">
        <v>10</v>
      </c>
      <c r="AT2710">
        <v>0</v>
      </c>
    </row>
    <row r="2711" spans="1:46">
      <c r="A2711">
        <v>47245</v>
      </c>
      <c r="B2711" t="s">
        <v>15650</v>
      </c>
      <c r="C2711" t="s">
        <v>15651</v>
      </c>
      <c r="E2711" t="s">
        <v>15652</v>
      </c>
      <c r="F2711" t="s">
        <v>1981</v>
      </c>
      <c r="G2711" t="s">
        <v>1974</v>
      </c>
      <c r="H2711" t="s">
        <v>3942</v>
      </c>
      <c r="J2711" t="s">
        <v>3962</v>
      </c>
      <c r="K2711" t="s">
        <v>519</v>
      </c>
      <c r="M2711" t="s">
        <v>1297</v>
      </c>
      <c r="N2711" t="s">
        <v>571</v>
      </c>
      <c r="O2711" t="s">
        <v>1956</v>
      </c>
      <c r="P2711" t="s">
        <v>584</v>
      </c>
      <c r="Q2711" t="s">
        <v>1636</v>
      </c>
      <c r="R2711" t="s">
        <v>1760</v>
      </c>
      <c r="S2711" t="s">
        <v>1974</v>
      </c>
      <c r="T2711" t="s">
        <v>1485</v>
      </c>
      <c r="U2711">
        <v>229201</v>
      </c>
      <c r="V2711" t="s">
        <v>12504</v>
      </c>
      <c r="W2711" t="s">
        <v>1957</v>
      </c>
      <c r="X2711" t="s">
        <v>15653</v>
      </c>
      <c r="Y2711" t="s">
        <v>15654</v>
      </c>
      <c r="Z2711" t="s">
        <v>1981</v>
      </c>
      <c r="AA2711" t="s">
        <v>14326</v>
      </c>
      <c r="AB2711" t="s">
        <v>15655</v>
      </c>
      <c r="AE2711">
        <v>-40.343173950000001</v>
      </c>
      <c r="AF2711">
        <v>175.59096939</v>
      </c>
      <c r="AG2711">
        <v>62</v>
      </c>
      <c r="AH2711">
        <v>22</v>
      </c>
      <c r="AI2711">
        <v>2</v>
      </c>
      <c r="AJ2711">
        <v>9</v>
      </c>
      <c r="AK2711">
        <v>12</v>
      </c>
      <c r="AL2711">
        <v>12</v>
      </c>
      <c r="AM2711">
        <v>26</v>
      </c>
      <c r="AN2711">
        <v>0</v>
      </c>
      <c r="AO2711">
        <v>61</v>
      </c>
      <c r="AP2711">
        <v>53</v>
      </c>
      <c r="AQ2711">
        <v>25</v>
      </c>
      <c r="AR2711">
        <v>5</v>
      </c>
      <c r="AS2711">
        <v>4</v>
      </c>
      <c r="AT2711">
        <v>1</v>
      </c>
    </row>
    <row r="2712" spans="1:46">
      <c r="A2712">
        <v>47248</v>
      </c>
      <c r="B2712" t="s">
        <v>15656</v>
      </c>
      <c r="C2712" t="s">
        <v>15657</v>
      </c>
      <c r="E2712" t="s">
        <v>15658</v>
      </c>
      <c r="F2712" t="s">
        <v>14507</v>
      </c>
      <c r="G2712" t="s">
        <v>1842</v>
      </c>
      <c r="H2712" t="s">
        <v>3942</v>
      </c>
      <c r="I2712" t="s">
        <v>3644</v>
      </c>
      <c r="J2712" t="s">
        <v>518</v>
      </c>
      <c r="K2712" t="s">
        <v>519</v>
      </c>
      <c r="M2712" t="s">
        <v>1297</v>
      </c>
      <c r="N2712" t="s">
        <v>521</v>
      </c>
      <c r="O2712" t="s">
        <v>1887</v>
      </c>
      <c r="P2712" t="s">
        <v>584</v>
      </c>
      <c r="Q2712" t="s">
        <v>1636</v>
      </c>
      <c r="R2712" t="s">
        <v>1760</v>
      </c>
      <c r="S2712" t="s">
        <v>1842</v>
      </c>
      <c r="T2712" t="s">
        <v>1485</v>
      </c>
      <c r="U2712">
        <v>224301</v>
      </c>
      <c r="V2712" t="s">
        <v>1899</v>
      </c>
      <c r="W2712" t="s">
        <v>1652</v>
      </c>
      <c r="X2712" t="s">
        <v>15659</v>
      </c>
      <c r="Y2712" t="s">
        <v>15660</v>
      </c>
      <c r="Z2712" t="s">
        <v>1886</v>
      </c>
      <c r="AA2712" t="s">
        <v>14509</v>
      </c>
      <c r="AB2712" t="s">
        <v>15661</v>
      </c>
      <c r="AE2712">
        <v>-39.935998390000002</v>
      </c>
      <c r="AF2712">
        <v>175.01564651999999</v>
      </c>
      <c r="AG2712">
        <v>30</v>
      </c>
      <c r="AH2712">
        <v>5</v>
      </c>
      <c r="AI2712">
        <v>0</v>
      </c>
      <c r="AJ2712">
        <v>0</v>
      </c>
      <c r="AK2712">
        <v>5</v>
      </c>
      <c r="AL2712">
        <v>9</v>
      </c>
      <c r="AM2712">
        <v>5</v>
      </c>
      <c r="AN2712">
        <v>2</v>
      </c>
      <c r="AO2712">
        <v>21</v>
      </c>
      <c r="AP2712">
        <v>1</v>
      </c>
      <c r="AQ2712">
        <v>13</v>
      </c>
      <c r="AR2712">
        <v>10</v>
      </c>
      <c r="AS2712">
        <v>1</v>
      </c>
      <c r="AT2712">
        <v>0</v>
      </c>
    </row>
    <row r="2713" spans="1:46">
      <c r="A2713">
        <v>47252</v>
      </c>
      <c r="B2713" t="s">
        <v>15662</v>
      </c>
      <c r="C2713" t="s">
        <v>5190</v>
      </c>
      <c r="D2713" t="s">
        <v>15663</v>
      </c>
      <c r="E2713" t="s">
        <v>15664</v>
      </c>
      <c r="F2713" t="s">
        <v>828</v>
      </c>
      <c r="G2713" t="s">
        <v>652</v>
      </c>
      <c r="H2713" t="s">
        <v>3942</v>
      </c>
      <c r="J2713" t="s">
        <v>3962</v>
      </c>
      <c r="K2713" t="s">
        <v>519</v>
      </c>
      <c r="M2713" t="s">
        <v>520</v>
      </c>
      <c r="N2713" t="s">
        <v>571</v>
      </c>
      <c r="O2713" t="s">
        <v>829</v>
      </c>
      <c r="P2713" t="s">
        <v>654</v>
      </c>
      <c r="Q2713" t="s">
        <v>638</v>
      </c>
      <c r="R2713" t="s">
        <v>708</v>
      </c>
      <c r="S2713" t="s">
        <v>805</v>
      </c>
      <c r="T2713" t="s">
        <v>709</v>
      </c>
      <c r="U2713">
        <v>145000</v>
      </c>
      <c r="V2713" t="s">
        <v>830</v>
      </c>
      <c r="W2713" t="s">
        <v>807</v>
      </c>
      <c r="X2713" t="s">
        <v>5192</v>
      </c>
      <c r="Y2713" t="s">
        <v>5193</v>
      </c>
      <c r="Z2713" t="s">
        <v>822</v>
      </c>
      <c r="AA2713" t="s">
        <v>5194</v>
      </c>
      <c r="AB2713" t="s">
        <v>5190</v>
      </c>
      <c r="AE2713">
        <v>-36.916455470000002</v>
      </c>
      <c r="AF2713">
        <v>174.78630339</v>
      </c>
      <c r="AG2713">
        <v>30</v>
      </c>
      <c r="AH2713">
        <v>20</v>
      </c>
      <c r="AI2713">
        <v>0</v>
      </c>
      <c r="AJ2713">
        <v>20</v>
      </c>
      <c r="AK2713">
        <v>10</v>
      </c>
      <c r="AL2713">
        <v>0</v>
      </c>
      <c r="AM2713">
        <v>0</v>
      </c>
      <c r="AN2713">
        <v>0</v>
      </c>
      <c r="AO2713">
        <v>30</v>
      </c>
      <c r="AP2713">
        <v>10</v>
      </c>
      <c r="AQ2713">
        <v>5</v>
      </c>
      <c r="AR2713">
        <v>4</v>
      </c>
      <c r="AS2713">
        <v>17</v>
      </c>
      <c r="AT2713">
        <v>1</v>
      </c>
    </row>
    <row r="2714" spans="1:46">
      <c r="A2714">
        <v>47253</v>
      </c>
      <c r="B2714" t="s">
        <v>15665</v>
      </c>
      <c r="C2714" t="s">
        <v>15666</v>
      </c>
      <c r="D2714" t="s">
        <v>15667</v>
      </c>
      <c r="E2714" t="s">
        <v>15668</v>
      </c>
      <c r="G2714" t="s">
        <v>2197</v>
      </c>
      <c r="H2714" t="s">
        <v>3942</v>
      </c>
      <c r="J2714" t="s">
        <v>3962</v>
      </c>
      <c r="K2714" t="s">
        <v>519</v>
      </c>
      <c r="M2714" t="s">
        <v>1297</v>
      </c>
      <c r="N2714" t="s">
        <v>539</v>
      </c>
      <c r="O2714" t="s">
        <v>2198</v>
      </c>
      <c r="P2714" t="s">
        <v>584</v>
      </c>
      <c r="Q2714" t="s">
        <v>2118</v>
      </c>
      <c r="R2714" t="s">
        <v>2084</v>
      </c>
      <c r="S2714" t="s">
        <v>2199</v>
      </c>
      <c r="T2714" t="s">
        <v>2085</v>
      </c>
      <c r="U2714">
        <v>210700</v>
      </c>
      <c r="V2714" t="s">
        <v>2210</v>
      </c>
      <c r="W2714" t="s">
        <v>2200</v>
      </c>
      <c r="X2714" t="s">
        <v>15669</v>
      </c>
      <c r="Y2714" t="s">
        <v>15670</v>
      </c>
      <c r="AA2714" t="s">
        <v>15671</v>
      </c>
      <c r="AB2714" t="s">
        <v>15666</v>
      </c>
      <c r="AE2714">
        <v>-39.647956059999999</v>
      </c>
      <c r="AF2714">
        <v>176.84065385</v>
      </c>
      <c r="AG2714">
        <v>100</v>
      </c>
      <c r="AH2714">
        <v>30</v>
      </c>
      <c r="AI2714">
        <v>5</v>
      </c>
      <c r="AJ2714">
        <v>18</v>
      </c>
      <c r="AK2714">
        <v>12</v>
      </c>
      <c r="AL2714">
        <v>24</v>
      </c>
      <c r="AM2714">
        <v>22</v>
      </c>
      <c r="AN2714">
        <v>0</v>
      </c>
      <c r="AO2714">
        <v>81</v>
      </c>
      <c r="AP2714">
        <v>53</v>
      </c>
      <c r="AQ2714">
        <v>41</v>
      </c>
      <c r="AR2714">
        <v>9</v>
      </c>
      <c r="AS2714">
        <v>13</v>
      </c>
      <c r="AT2714">
        <v>0</v>
      </c>
    </row>
    <row r="2715" spans="1:46">
      <c r="A2715">
        <v>47254</v>
      </c>
      <c r="B2715" t="s">
        <v>15672</v>
      </c>
      <c r="C2715" t="s">
        <v>14870</v>
      </c>
      <c r="D2715" t="s">
        <v>14866</v>
      </c>
      <c r="E2715" t="s">
        <v>15673</v>
      </c>
      <c r="F2715" t="s">
        <v>945</v>
      </c>
      <c r="G2715" t="s">
        <v>652</v>
      </c>
      <c r="H2715" t="s">
        <v>4716</v>
      </c>
      <c r="I2715" t="s">
        <v>4253</v>
      </c>
      <c r="J2715" t="s">
        <v>3962</v>
      </c>
      <c r="K2715" t="s">
        <v>519</v>
      </c>
      <c r="M2715" t="s">
        <v>520</v>
      </c>
      <c r="N2715" t="s">
        <v>727</v>
      </c>
      <c r="O2715" t="s">
        <v>848</v>
      </c>
      <c r="P2715" t="s">
        <v>654</v>
      </c>
      <c r="Q2715" t="s">
        <v>638</v>
      </c>
      <c r="R2715" t="s">
        <v>729</v>
      </c>
      <c r="S2715" t="s">
        <v>849</v>
      </c>
      <c r="T2715" t="s">
        <v>709</v>
      </c>
      <c r="U2715">
        <v>150000</v>
      </c>
      <c r="V2715" t="s">
        <v>970</v>
      </c>
      <c r="W2715" t="s">
        <v>732</v>
      </c>
      <c r="X2715" t="s">
        <v>14868</v>
      </c>
      <c r="Y2715" t="s">
        <v>14869</v>
      </c>
      <c r="Z2715" t="s">
        <v>945</v>
      </c>
      <c r="AA2715" t="s">
        <v>4612</v>
      </c>
      <c r="AB2715" t="s">
        <v>14870</v>
      </c>
      <c r="AE2715">
        <v>-36.959705079999999</v>
      </c>
      <c r="AF2715">
        <v>174.81597696</v>
      </c>
      <c r="AG2715">
        <v>50</v>
      </c>
      <c r="AH2715">
        <v>50</v>
      </c>
      <c r="AI2715">
        <v>7</v>
      </c>
      <c r="AJ2715">
        <v>8</v>
      </c>
      <c r="AK2715">
        <v>13</v>
      </c>
      <c r="AL2715">
        <v>13</v>
      </c>
      <c r="AM2715">
        <v>9</v>
      </c>
      <c r="AN2715">
        <v>0</v>
      </c>
      <c r="AO2715">
        <v>50</v>
      </c>
      <c r="AP2715">
        <v>0</v>
      </c>
      <c r="AQ2715">
        <v>0</v>
      </c>
      <c r="AR2715">
        <v>50</v>
      </c>
      <c r="AS2715">
        <v>2</v>
      </c>
      <c r="AT2715">
        <v>0</v>
      </c>
    </row>
    <row r="2716" spans="1:46">
      <c r="A2716">
        <v>47255</v>
      </c>
      <c r="B2716" t="s">
        <v>15674</v>
      </c>
      <c r="C2716" t="s">
        <v>14870</v>
      </c>
      <c r="D2716" t="s">
        <v>14866</v>
      </c>
      <c r="E2716" t="s">
        <v>15673</v>
      </c>
      <c r="F2716" t="s">
        <v>945</v>
      </c>
      <c r="G2716" t="s">
        <v>652</v>
      </c>
      <c r="H2716" t="s">
        <v>4716</v>
      </c>
      <c r="I2716" t="s">
        <v>4253</v>
      </c>
      <c r="J2716" t="s">
        <v>3962</v>
      </c>
      <c r="K2716" t="s">
        <v>519</v>
      </c>
      <c r="M2716" t="s">
        <v>520</v>
      </c>
      <c r="N2716" t="s">
        <v>727</v>
      </c>
      <c r="O2716" t="s">
        <v>848</v>
      </c>
      <c r="P2716" t="s">
        <v>654</v>
      </c>
      <c r="Q2716" t="s">
        <v>638</v>
      </c>
      <c r="R2716" t="s">
        <v>729</v>
      </c>
      <c r="S2716" t="s">
        <v>849</v>
      </c>
      <c r="T2716" t="s">
        <v>709</v>
      </c>
      <c r="U2716">
        <v>150000</v>
      </c>
      <c r="V2716" t="s">
        <v>970</v>
      </c>
      <c r="W2716" t="s">
        <v>732</v>
      </c>
      <c r="X2716" t="s">
        <v>14868</v>
      </c>
      <c r="Y2716" t="s">
        <v>14869</v>
      </c>
      <c r="Z2716" t="s">
        <v>945</v>
      </c>
      <c r="AA2716" t="s">
        <v>4612</v>
      </c>
      <c r="AB2716" t="s">
        <v>14870</v>
      </c>
      <c r="AE2716">
        <v>-36.959719589999999</v>
      </c>
      <c r="AF2716">
        <v>174.81593599999999</v>
      </c>
      <c r="AG2716">
        <v>50</v>
      </c>
      <c r="AH2716">
        <v>50</v>
      </c>
      <c r="AI2716">
        <v>12</v>
      </c>
      <c r="AJ2716">
        <v>13</v>
      </c>
      <c r="AK2716">
        <v>8</v>
      </c>
      <c r="AL2716">
        <v>10</v>
      </c>
      <c r="AM2716">
        <v>6</v>
      </c>
      <c r="AN2716">
        <v>0</v>
      </c>
      <c r="AO2716">
        <v>49</v>
      </c>
      <c r="AP2716">
        <v>0</v>
      </c>
      <c r="AQ2716">
        <v>0</v>
      </c>
      <c r="AR2716">
        <v>49</v>
      </c>
      <c r="AS2716">
        <v>0</v>
      </c>
      <c r="AT2716">
        <v>0</v>
      </c>
    </row>
    <row r="2717" spans="1:46">
      <c r="A2717">
        <v>47256</v>
      </c>
      <c r="B2717" t="s">
        <v>15675</v>
      </c>
      <c r="C2717" t="s">
        <v>15676</v>
      </c>
      <c r="D2717" t="s">
        <v>15677</v>
      </c>
      <c r="E2717" t="s">
        <v>15678</v>
      </c>
      <c r="F2717" t="s">
        <v>763</v>
      </c>
      <c r="G2717" t="s">
        <v>652</v>
      </c>
      <c r="H2717" t="s">
        <v>3942</v>
      </c>
      <c r="J2717" t="s">
        <v>3962</v>
      </c>
      <c r="K2717" t="s">
        <v>519</v>
      </c>
      <c r="M2717" t="s">
        <v>520</v>
      </c>
      <c r="N2717" t="s">
        <v>571</v>
      </c>
      <c r="O2717" t="s">
        <v>738</v>
      </c>
      <c r="P2717" t="s">
        <v>654</v>
      </c>
      <c r="Q2717" t="s">
        <v>638</v>
      </c>
      <c r="R2717" t="s">
        <v>639</v>
      </c>
      <c r="S2717" t="s">
        <v>756</v>
      </c>
      <c r="T2717" t="s">
        <v>527</v>
      </c>
      <c r="U2717">
        <v>125202</v>
      </c>
      <c r="V2717" t="s">
        <v>5896</v>
      </c>
      <c r="W2717" t="s">
        <v>741</v>
      </c>
      <c r="X2717" t="s">
        <v>15679</v>
      </c>
      <c r="Y2717" t="s">
        <v>15680</v>
      </c>
      <c r="AA2717" t="s">
        <v>4365</v>
      </c>
      <c r="AE2717">
        <v>-36.800813060000003</v>
      </c>
      <c r="AF2717">
        <v>174.72103125000001</v>
      </c>
      <c r="AG2717">
        <v>35</v>
      </c>
      <c r="AH2717">
        <v>10</v>
      </c>
      <c r="AI2717">
        <v>2</v>
      </c>
      <c r="AJ2717">
        <v>5</v>
      </c>
      <c r="AK2717">
        <v>7</v>
      </c>
      <c r="AL2717">
        <v>11</v>
      </c>
      <c r="AM2717">
        <v>10</v>
      </c>
      <c r="AN2717">
        <v>0</v>
      </c>
      <c r="AO2717">
        <v>35</v>
      </c>
      <c r="AP2717">
        <v>20</v>
      </c>
      <c r="AQ2717">
        <v>2</v>
      </c>
      <c r="AR2717">
        <v>0</v>
      </c>
      <c r="AS2717">
        <v>14</v>
      </c>
      <c r="AT2717">
        <v>4</v>
      </c>
    </row>
    <row r="2718" spans="1:46">
      <c r="A2718">
        <v>47257</v>
      </c>
      <c r="B2718" t="s">
        <v>15681</v>
      </c>
      <c r="C2718" t="s">
        <v>15682</v>
      </c>
      <c r="D2718" t="s">
        <v>15683</v>
      </c>
      <c r="E2718" t="s">
        <v>15684</v>
      </c>
      <c r="F2718" t="s">
        <v>3987</v>
      </c>
      <c r="G2718" t="s">
        <v>652</v>
      </c>
      <c r="H2718" t="s">
        <v>3942</v>
      </c>
      <c r="J2718" t="s">
        <v>3962</v>
      </c>
      <c r="K2718" t="s">
        <v>519</v>
      </c>
      <c r="M2718" t="s">
        <v>520</v>
      </c>
      <c r="N2718" t="s">
        <v>727</v>
      </c>
      <c r="O2718" t="s">
        <v>1233</v>
      </c>
      <c r="P2718" t="s">
        <v>1262</v>
      </c>
      <c r="Q2718" t="s">
        <v>638</v>
      </c>
      <c r="R2718" t="s">
        <v>729</v>
      </c>
      <c r="S2718" t="s">
        <v>1246</v>
      </c>
      <c r="T2718" t="s">
        <v>1235</v>
      </c>
      <c r="U2718">
        <v>165501</v>
      </c>
      <c r="V2718" t="s">
        <v>3987</v>
      </c>
      <c r="W2718" t="s">
        <v>1237</v>
      </c>
      <c r="X2718" t="s">
        <v>12646</v>
      </c>
      <c r="Y2718" t="s">
        <v>12647</v>
      </c>
      <c r="Z2718" t="s">
        <v>836</v>
      </c>
      <c r="AA2718" t="s">
        <v>4282</v>
      </c>
      <c r="AB2718" t="s">
        <v>12648</v>
      </c>
      <c r="AC2718">
        <v>99075</v>
      </c>
      <c r="AD2718" t="s">
        <v>1264</v>
      </c>
      <c r="AE2718">
        <v>-37.1987776</v>
      </c>
      <c r="AF2718">
        <v>174.88569582</v>
      </c>
      <c r="AG2718">
        <v>150</v>
      </c>
      <c r="AH2718">
        <v>30</v>
      </c>
      <c r="AI2718">
        <v>4</v>
      </c>
      <c r="AJ2718">
        <v>14</v>
      </c>
      <c r="AK2718">
        <v>33</v>
      </c>
      <c r="AL2718">
        <v>38</v>
      </c>
      <c r="AM2718">
        <v>36</v>
      </c>
      <c r="AN2718">
        <v>2</v>
      </c>
      <c r="AO2718">
        <v>127</v>
      </c>
      <c r="AP2718">
        <v>44</v>
      </c>
      <c r="AQ2718">
        <v>84</v>
      </c>
      <c r="AR2718">
        <v>29</v>
      </c>
      <c r="AS2718">
        <v>13</v>
      </c>
      <c r="AT2718">
        <v>1</v>
      </c>
    </row>
    <row r="2719" spans="1:46">
      <c r="A2719">
        <v>47260</v>
      </c>
      <c r="B2719" t="s">
        <v>15685</v>
      </c>
      <c r="C2719" t="s">
        <v>15686</v>
      </c>
      <c r="D2719" t="s">
        <v>15687</v>
      </c>
      <c r="E2719" t="s">
        <v>15688</v>
      </c>
      <c r="F2719" t="s">
        <v>11099</v>
      </c>
      <c r="G2719" t="s">
        <v>3770</v>
      </c>
      <c r="H2719" t="s">
        <v>3942</v>
      </c>
      <c r="J2719" t="s">
        <v>3962</v>
      </c>
      <c r="K2719" t="s">
        <v>519</v>
      </c>
      <c r="M2719" t="s">
        <v>1297</v>
      </c>
      <c r="N2719" t="s">
        <v>571</v>
      </c>
      <c r="O2719" t="s">
        <v>1698</v>
      </c>
      <c r="P2719" t="s">
        <v>654</v>
      </c>
      <c r="Q2719" t="s">
        <v>1471</v>
      </c>
      <c r="R2719" t="s">
        <v>1472</v>
      </c>
      <c r="S2719" t="s">
        <v>1699</v>
      </c>
      <c r="T2719" t="s">
        <v>1474</v>
      </c>
      <c r="U2719">
        <v>197300</v>
      </c>
      <c r="V2719" t="s">
        <v>3771</v>
      </c>
      <c r="W2719" t="s">
        <v>3772</v>
      </c>
      <c r="X2719" t="s">
        <v>15689</v>
      </c>
      <c r="Y2719" t="s">
        <v>15690</v>
      </c>
      <c r="Z2719" t="s">
        <v>11099</v>
      </c>
      <c r="AA2719" t="s">
        <v>11889</v>
      </c>
      <c r="AE2719">
        <v>-37.714160980000003</v>
      </c>
      <c r="AF2719">
        <v>176.30181669999999</v>
      </c>
      <c r="AG2719">
        <v>90</v>
      </c>
      <c r="AH2719">
        <v>24</v>
      </c>
      <c r="AI2719">
        <v>2</v>
      </c>
      <c r="AJ2719">
        <v>22</v>
      </c>
      <c r="AK2719">
        <v>27</v>
      </c>
      <c r="AL2719">
        <v>26</v>
      </c>
      <c r="AM2719">
        <v>21</v>
      </c>
      <c r="AN2719">
        <v>0</v>
      </c>
      <c r="AO2719">
        <v>98</v>
      </c>
      <c r="AP2719">
        <v>88</v>
      </c>
      <c r="AQ2719">
        <v>23</v>
      </c>
      <c r="AR2719">
        <v>6</v>
      </c>
      <c r="AS2719">
        <v>2</v>
      </c>
      <c r="AT2719">
        <v>2</v>
      </c>
    </row>
    <row r="2720" spans="1:46">
      <c r="A2720">
        <v>47261</v>
      </c>
      <c r="B2720" t="s">
        <v>15691</v>
      </c>
      <c r="C2720" t="s">
        <v>14376</v>
      </c>
      <c r="D2720" t="s">
        <v>14377</v>
      </c>
      <c r="E2720" t="s">
        <v>15692</v>
      </c>
      <c r="F2720" t="s">
        <v>8255</v>
      </c>
      <c r="G2720" t="s">
        <v>652</v>
      </c>
      <c r="H2720" t="s">
        <v>4716</v>
      </c>
      <c r="J2720" t="s">
        <v>3962</v>
      </c>
      <c r="K2720" t="s">
        <v>519</v>
      </c>
      <c r="M2720" t="s">
        <v>520</v>
      </c>
      <c r="N2720" t="s">
        <v>571</v>
      </c>
      <c r="O2720" t="s">
        <v>1168</v>
      </c>
      <c r="P2720" t="s">
        <v>654</v>
      </c>
      <c r="Q2720" t="s">
        <v>638</v>
      </c>
      <c r="R2720" t="s">
        <v>639</v>
      </c>
      <c r="S2720" t="s">
        <v>655</v>
      </c>
      <c r="T2720" t="s">
        <v>527</v>
      </c>
      <c r="U2720">
        <v>118600</v>
      </c>
      <c r="V2720" t="s">
        <v>4012</v>
      </c>
      <c r="W2720" t="s">
        <v>657</v>
      </c>
      <c r="X2720" t="s">
        <v>6268</v>
      </c>
      <c r="Y2720" t="s">
        <v>6269</v>
      </c>
      <c r="Z2720" t="s">
        <v>3706</v>
      </c>
      <c r="AA2720" t="s">
        <v>6270</v>
      </c>
      <c r="AB2720" t="s">
        <v>6271</v>
      </c>
      <c r="AE2720">
        <v>-36.745911509999999</v>
      </c>
      <c r="AF2720">
        <v>174.7043171</v>
      </c>
      <c r="AG2720">
        <v>80</v>
      </c>
      <c r="AH2720">
        <v>80</v>
      </c>
      <c r="AI2720">
        <v>3</v>
      </c>
      <c r="AJ2720">
        <v>9</v>
      </c>
      <c r="AK2720">
        <v>12</v>
      </c>
      <c r="AL2720">
        <v>11</v>
      </c>
      <c r="AM2720">
        <v>12</v>
      </c>
      <c r="AN2720">
        <v>0</v>
      </c>
      <c r="AO2720">
        <v>47</v>
      </c>
      <c r="AP2720">
        <v>3</v>
      </c>
      <c r="AQ2720">
        <v>1</v>
      </c>
      <c r="AR2720">
        <v>0</v>
      </c>
      <c r="AS2720">
        <v>47</v>
      </c>
      <c r="AT2720">
        <v>0</v>
      </c>
    </row>
    <row r="2721" spans="1:46">
      <c r="A2721">
        <v>47262</v>
      </c>
      <c r="B2721" t="s">
        <v>15693</v>
      </c>
      <c r="C2721" t="s">
        <v>15694</v>
      </c>
      <c r="D2721" t="s">
        <v>15695</v>
      </c>
      <c r="E2721" t="s">
        <v>15696</v>
      </c>
      <c r="G2721" t="s">
        <v>3187</v>
      </c>
      <c r="H2721" t="s">
        <v>3942</v>
      </c>
      <c r="J2721" t="s">
        <v>3962</v>
      </c>
      <c r="K2721" t="s">
        <v>519</v>
      </c>
      <c r="M2721" t="s">
        <v>2287</v>
      </c>
      <c r="N2721" t="s">
        <v>539</v>
      </c>
      <c r="O2721" t="s">
        <v>2964</v>
      </c>
      <c r="P2721" t="s">
        <v>1262</v>
      </c>
      <c r="Q2721" t="s">
        <v>2943</v>
      </c>
      <c r="R2721" t="s">
        <v>2944</v>
      </c>
      <c r="S2721" t="s">
        <v>2965</v>
      </c>
      <c r="T2721" t="s">
        <v>2448</v>
      </c>
      <c r="U2721">
        <v>315901</v>
      </c>
      <c r="V2721" t="s">
        <v>14209</v>
      </c>
      <c r="W2721" t="s">
        <v>3189</v>
      </c>
      <c r="X2721" t="s">
        <v>15697</v>
      </c>
      <c r="Y2721" t="s">
        <v>4658</v>
      </c>
      <c r="Z2721" t="s">
        <v>958</v>
      </c>
      <c r="AA2721" t="s">
        <v>4659</v>
      </c>
      <c r="AB2721" t="s">
        <v>15698</v>
      </c>
      <c r="AC2721">
        <v>99061</v>
      </c>
      <c r="AD2721" t="s">
        <v>3190</v>
      </c>
      <c r="AE2721">
        <v>-43.378878589999999</v>
      </c>
      <c r="AF2721">
        <v>172.66669611</v>
      </c>
      <c r="AG2721">
        <v>68</v>
      </c>
      <c r="AH2721">
        <v>12</v>
      </c>
      <c r="AI2721">
        <v>2</v>
      </c>
      <c r="AJ2721">
        <v>16</v>
      </c>
      <c r="AK2721">
        <v>9</v>
      </c>
      <c r="AL2721">
        <v>13</v>
      </c>
      <c r="AM2721">
        <v>16</v>
      </c>
      <c r="AN2721">
        <v>0</v>
      </c>
      <c r="AO2721">
        <v>56</v>
      </c>
      <c r="AP2721">
        <v>43</v>
      </c>
      <c r="AQ2721">
        <v>11</v>
      </c>
      <c r="AR2721">
        <v>4</v>
      </c>
      <c r="AS2721">
        <v>9</v>
      </c>
      <c r="AT2721">
        <v>2</v>
      </c>
    </row>
    <row r="2722" spans="1:46">
      <c r="A2722">
        <v>47263</v>
      </c>
      <c r="B2722" t="s">
        <v>15699</v>
      </c>
      <c r="C2722" t="s">
        <v>15700</v>
      </c>
      <c r="D2722" t="s">
        <v>15701</v>
      </c>
      <c r="E2722" t="s">
        <v>15702</v>
      </c>
      <c r="G2722" t="s">
        <v>3834</v>
      </c>
      <c r="H2722" t="s">
        <v>3942</v>
      </c>
      <c r="J2722" t="s">
        <v>3962</v>
      </c>
      <c r="K2722" t="s">
        <v>519</v>
      </c>
      <c r="M2722" t="s">
        <v>2287</v>
      </c>
      <c r="N2722" t="s">
        <v>571</v>
      </c>
      <c r="O2722" t="s">
        <v>3835</v>
      </c>
      <c r="P2722" t="s">
        <v>1262</v>
      </c>
      <c r="Q2722" t="s">
        <v>3337</v>
      </c>
      <c r="R2722" t="s">
        <v>3338</v>
      </c>
      <c r="S2722" t="s">
        <v>3361</v>
      </c>
      <c r="T2722" t="s">
        <v>2448</v>
      </c>
      <c r="U2722">
        <v>348700</v>
      </c>
      <c r="V2722" t="s">
        <v>15703</v>
      </c>
      <c r="W2722" t="s">
        <v>11506</v>
      </c>
      <c r="X2722" t="s">
        <v>15704</v>
      </c>
      <c r="Y2722" t="s">
        <v>12396</v>
      </c>
      <c r="Z2722" t="s">
        <v>4555</v>
      </c>
      <c r="AA2722" t="s">
        <v>4556</v>
      </c>
      <c r="AB2722" t="s">
        <v>15705</v>
      </c>
      <c r="AE2722">
        <v>-45.004918029999999</v>
      </c>
      <c r="AF2722">
        <v>168.77600939999999</v>
      </c>
      <c r="AG2722">
        <v>70</v>
      </c>
      <c r="AH2722">
        <v>16</v>
      </c>
      <c r="AI2722">
        <v>1</v>
      </c>
      <c r="AJ2722">
        <v>18</v>
      </c>
      <c r="AK2722">
        <v>20</v>
      </c>
      <c r="AL2722">
        <v>20</v>
      </c>
      <c r="AM2722">
        <v>19</v>
      </c>
      <c r="AN2722">
        <v>1</v>
      </c>
      <c r="AO2722">
        <v>79</v>
      </c>
      <c r="AP2722">
        <v>64</v>
      </c>
      <c r="AQ2722">
        <v>9</v>
      </c>
      <c r="AR2722">
        <v>3</v>
      </c>
      <c r="AS2722">
        <v>8</v>
      </c>
      <c r="AT2722">
        <v>5</v>
      </c>
    </row>
    <row r="2723" spans="1:46">
      <c r="A2723">
        <v>47264</v>
      </c>
      <c r="B2723" t="s">
        <v>15706</v>
      </c>
      <c r="C2723" t="s">
        <v>15707</v>
      </c>
      <c r="D2723" t="s">
        <v>8035</v>
      </c>
      <c r="E2723" t="s">
        <v>15708</v>
      </c>
      <c r="F2723" t="s">
        <v>1108</v>
      </c>
      <c r="G2723" t="s">
        <v>652</v>
      </c>
      <c r="H2723" t="s">
        <v>3942</v>
      </c>
      <c r="J2723" t="s">
        <v>3962</v>
      </c>
      <c r="K2723" t="s">
        <v>519</v>
      </c>
      <c r="M2723" t="s">
        <v>520</v>
      </c>
      <c r="N2723" t="s">
        <v>727</v>
      </c>
      <c r="O2723" t="s">
        <v>829</v>
      </c>
      <c r="P2723" t="s">
        <v>654</v>
      </c>
      <c r="Q2723" t="s">
        <v>638</v>
      </c>
      <c r="R2723" t="s">
        <v>708</v>
      </c>
      <c r="S2723" t="s">
        <v>730</v>
      </c>
      <c r="T2723" t="s">
        <v>709</v>
      </c>
      <c r="U2723">
        <v>145400</v>
      </c>
      <c r="V2723" t="s">
        <v>8194</v>
      </c>
      <c r="W2723" t="s">
        <v>807</v>
      </c>
      <c r="X2723" t="s">
        <v>8037</v>
      </c>
      <c r="Y2723" t="s">
        <v>8038</v>
      </c>
      <c r="AA2723" t="s">
        <v>8039</v>
      </c>
      <c r="AB2723" t="s">
        <v>8040</v>
      </c>
      <c r="AE2723">
        <v>-36.885893830000001</v>
      </c>
      <c r="AF2723">
        <v>174.85727118</v>
      </c>
      <c r="AG2723">
        <v>110</v>
      </c>
      <c r="AH2723">
        <v>30</v>
      </c>
      <c r="AI2723">
        <v>4</v>
      </c>
      <c r="AJ2723">
        <v>12</v>
      </c>
      <c r="AK2723">
        <v>17</v>
      </c>
      <c r="AL2723">
        <v>23</v>
      </c>
      <c r="AM2723">
        <v>29</v>
      </c>
      <c r="AN2723">
        <v>2</v>
      </c>
      <c r="AO2723">
        <v>87</v>
      </c>
      <c r="AP2723">
        <v>16</v>
      </c>
      <c r="AQ2723">
        <v>38</v>
      </c>
      <c r="AR2723">
        <v>40</v>
      </c>
      <c r="AS2723">
        <v>15</v>
      </c>
      <c r="AT2723">
        <v>9</v>
      </c>
    </row>
    <row r="2724" spans="1:46">
      <c r="A2724">
        <v>47265</v>
      </c>
      <c r="B2724" t="s">
        <v>15709</v>
      </c>
      <c r="C2724" t="s">
        <v>15710</v>
      </c>
      <c r="E2724" t="s">
        <v>15711</v>
      </c>
      <c r="G2724" t="s">
        <v>2821</v>
      </c>
      <c r="H2724" t="s">
        <v>4716</v>
      </c>
      <c r="J2724" t="s">
        <v>3962</v>
      </c>
      <c r="K2724" t="s">
        <v>519</v>
      </c>
      <c r="M2724" t="s">
        <v>2287</v>
      </c>
      <c r="N2724" t="s">
        <v>571</v>
      </c>
      <c r="O2724" t="s">
        <v>2822</v>
      </c>
      <c r="P2724" t="s">
        <v>1262</v>
      </c>
      <c r="Q2724" t="s">
        <v>2823</v>
      </c>
      <c r="R2724" t="s">
        <v>2824</v>
      </c>
      <c r="S2724" t="s">
        <v>2825</v>
      </c>
      <c r="T2724" t="s">
        <v>2448</v>
      </c>
      <c r="U2724">
        <v>307900</v>
      </c>
      <c r="V2724" t="s">
        <v>11552</v>
      </c>
      <c r="W2724" t="s">
        <v>2826</v>
      </c>
      <c r="X2724" t="s">
        <v>15712</v>
      </c>
      <c r="Y2724" t="s">
        <v>15713</v>
      </c>
      <c r="AA2724" t="s">
        <v>15714</v>
      </c>
      <c r="AE2724">
        <v>-41.516372339999997</v>
      </c>
      <c r="AF2724">
        <v>173.96429911000001</v>
      </c>
      <c r="AG2724">
        <v>80</v>
      </c>
      <c r="AH2724">
        <v>80</v>
      </c>
      <c r="AI2724">
        <v>1</v>
      </c>
      <c r="AJ2724">
        <v>9</v>
      </c>
      <c r="AK2724">
        <v>20</v>
      </c>
      <c r="AL2724">
        <v>7</v>
      </c>
      <c r="AM2724">
        <v>2</v>
      </c>
      <c r="AN2724">
        <v>0</v>
      </c>
      <c r="AO2724">
        <v>39</v>
      </c>
      <c r="AP2724">
        <v>37</v>
      </c>
      <c r="AQ2724">
        <v>8</v>
      </c>
      <c r="AR2724">
        <v>3</v>
      </c>
      <c r="AS2724">
        <v>0</v>
      </c>
      <c r="AT2724">
        <v>1</v>
      </c>
    </row>
    <row r="2725" spans="1:46">
      <c r="A2725">
        <v>47267</v>
      </c>
      <c r="B2725" t="s">
        <v>15715</v>
      </c>
      <c r="C2725" t="s">
        <v>15716</v>
      </c>
      <c r="D2725" t="s">
        <v>15717</v>
      </c>
      <c r="E2725" t="s">
        <v>15718</v>
      </c>
      <c r="F2725" t="s">
        <v>660</v>
      </c>
      <c r="G2725" t="s">
        <v>652</v>
      </c>
      <c r="H2725" t="s">
        <v>4716</v>
      </c>
      <c r="J2725" t="s">
        <v>3962</v>
      </c>
      <c r="K2725" t="s">
        <v>519</v>
      </c>
      <c r="M2725" t="s">
        <v>520</v>
      </c>
      <c r="N2725" t="s">
        <v>571</v>
      </c>
      <c r="O2725" t="s">
        <v>653</v>
      </c>
      <c r="P2725" t="s">
        <v>654</v>
      </c>
      <c r="Q2725" t="s">
        <v>638</v>
      </c>
      <c r="R2725" t="s">
        <v>639</v>
      </c>
      <c r="S2725" t="s">
        <v>655</v>
      </c>
      <c r="T2725" t="s">
        <v>527</v>
      </c>
      <c r="U2725">
        <v>118300</v>
      </c>
      <c r="V2725" t="s">
        <v>689</v>
      </c>
      <c r="W2725" t="s">
        <v>657</v>
      </c>
      <c r="X2725" t="s">
        <v>15719</v>
      </c>
      <c r="Y2725" t="s">
        <v>15720</v>
      </c>
      <c r="Z2725" t="s">
        <v>737</v>
      </c>
      <c r="AA2725" t="s">
        <v>13176</v>
      </c>
      <c r="AB2725" t="s">
        <v>15716</v>
      </c>
      <c r="AE2725">
        <v>-36.717535580000003</v>
      </c>
      <c r="AF2725">
        <v>174.74455610000001</v>
      </c>
      <c r="AG2725">
        <v>80</v>
      </c>
      <c r="AH2725">
        <v>80</v>
      </c>
      <c r="AI2725">
        <v>7</v>
      </c>
      <c r="AJ2725">
        <v>21</v>
      </c>
      <c r="AK2725">
        <v>22</v>
      </c>
      <c r="AL2725">
        <v>14</v>
      </c>
      <c r="AM2725">
        <v>11</v>
      </c>
      <c r="AN2725">
        <v>1</v>
      </c>
      <c r="AO2725">
        <v>76</v>
      </c>
      <c r="AP2725">
        <v>4</v>
      </c>
      <c r="AQ2725">
        <v>1</v>
      </c>
      <c r="AR2725">
        <v>0</v>
      </c>
      <c r="AS2725">
        <v>75</v>
      </c>
      <c r="AT2725">
        <v>0</v>
      </c>
    </row>
    <row r="2726" spans="1:46">
      <c r="A2726">
        <v>47268</v>
      </c>
      <c r="B2726" t="s">
        <v>4266</v>
      </c>
      <c r="C2726" t="s">
        <v>15721</v>
      </c>
      <c r="E2726" t="s">
        <v>15722</v>
      </c>
      <c r="F2726" t="s">
        <v>975</v>
      </c>
      <c r="G2726" t="s">
        <v>652</v>
      </c>
      <c r="H2726" t="s">
        <v>3942</v>
      </c>
      <c r="J2726" t="s">
        <v>3962</v>
      </c>
      <c r="K2726" t="s">
        <v>519</v>
      </c>
      <c r="M2726" t="s">
        <v>520</v>
      </c>
      <c r="N2726" t="s">
        <v>521</v>
      </c>
      <c r="O2726" t="s">
        <v>848</v>
      </c>
      <c r="P2726" t="s">
        <v>654</v>
      </c>
      <c r="Q2726" t="s">
        <v>638</v>
      </c>
      <c r="R2726" t="s">
        <v>729</v>
      </c>
      <c r="S2726" t="s">
        <v>849</v>
      </c>
      <c r="T2726" t="s">
        <v>709</v>
      </c>
      <c r="U2726">
        <v>148901</v>
      </c>
      <c r="V2726" t="s">
        <v>930</v>
      </c>
      <c r="W2726" t="s">
        <v>732</v>
      </c>
      <c r="X2726" t="s">
        <v>15158</v>
      </c>
      <c r="Y2726" t="s">
        <v>15723</v>
      </c>
      <c r="Z2726" t="s">
        <v>911</v>
      </c>
      <c r="AA2726" t="s">
        <v>7047</v>
      </c>
      <c r="AB2726" t="s">
        <v>15156</v>
      </c>
      <c r="AC2726">
        <v>99190</v>
      </c>
      <c r="AD2726" t="s">
        <v>831</v>
      </c>
      <c r="AE2726">
        <v>-36.96397048</v>
      </c>
      <c r="AF2726">
        <v>174.78665093999999</v>
      </c>
      <c r="AG2726">
        <v>80</v>
      </c>
      <c r="AH2726">
        <v>20</v>
      </c>
      <c r="AI2726">
        <v>1</v>
      </c>
      <c r="AJ2726">
        <v>12</v>
      </c>
      <c r="AK2726">
        <v>13</v>
      </c>
      <c r="AL2726">
        <v>21</v>
      </c>
      <c r="AM2726">
        <v>16</v>
      </c>
      <c r="AN2726">
        <v>2</v>
      </c>
      <c r="AO2726">
        <v>65</v>
      </c>
      <c r="AP2726">
        <v>9</v>
      </c>
      <c r="AQ2726">
        <v>11</v>
      </c>
      <c r="AR2726">
        <v>41</v>
      </c>
      <c r="AS2726">
        <v>19</v>
      </c>
      <c r="AT2726">
        <v>2</v>
      </c>
    </row>
    <row r="2727" spans="1:46">
      <c r="A2727">
        <v>47269</v>
      </c>
      <c r="B2727" t="s">
        <v>15724</v>
      </c>
      <c r="C2727" t="s">
        <v>15725</v>
      </c>
      <c r="D2727" t="s">
        <v>15726</v>
      </c>
      <c r="E2727" t="s">
        <v>15727</v>
      </c>
      <c r="G2727" t="s">
        <v>1300</v>
      </c>
      <c r="H2727" t="s">
        <v>3942</v>
      </c>
      <c r="J2727" t="s">
        <v>3962</v>
      </c>
      <c r="K2727" t="s">
        <v>519</v>
      </c>
      <c r="M2727" t="s">
        <v>1297</v>
      </c>
      <c r="N2727" t="s">
        <v>571</v>
      </c>
      <c r="O2727" t="s">
        <v>1351</v>
      </c>
      <c r="P2727" t="s">
        <v>572</v>
      </c>
      <c r="Q2727" t="s">
        <v>1299</v>
      </c>
      <c r="R2727" t="s">
        <v>1300</v>
      </c>
      <c r="S2727" t="s">
        <v>1300</v>
      </c>
      <c r="T2727" t="s">
        <v>1235</v>
      </c>
      <c r="U2727">
        <v>173400</v>
      </c>
      <c r="V2727" t="s">
        <v>15728</v>
      </c>
      <c r="W2727" t="s">
        <v>8358</v>
      </c>
      <c r="X2727" t="s">
        <v>15729</v>
      </c>
      <c r="Y2727" t="s">
        <v>4404</v>
      </c>
      <c r="Z2727" t="s">
        <v>4405</v>
      </c>
      <c r="AA2727" t="s">
        <v>4529</v>
      </c>
      <c r="AB2727" t="s">
        <v>15730</v>
      </c>
      <c r="AE2727">
        <v>-37.830802800000001</v>
      </c>
      <c r="AF2727">
        <v>175.35845828000001</v>
      </c>
      <c r="AG2727">
        <v>101</v>
      </c>
      <c r="AH2727">
        <v>25</v>
      </c>
      <c r="AI2727">
        <v>1</v>
      </c>
      <c r="AJ2727">
        <v>16</v>
      </c>
      <c r="AK2727">
        <v>12</v>
      </c>
      <c r="AL2727">
        <v>17</v>
      </c>
      <c r="AM2727">
        <v>14</v>
      </c>
      <c r="AN2727">
        <v>1</v>
      </c>
      <c r="AO2727">
        <v>61</v>
      </c>
      <c r="AP2727">
        <v>47</v>
      </c>
      <c r="AQ2727">
        <v>7</v>
      </c>
      <c r="AR2727">
        <v>3</v>
      </c>
      <c r="AS2727">
        <v>4</v>
      </c>
      <c r="AT2727">
        <v>12</v>
      </c>
    </row>
    <row r="2728" spans="1:46">
      <c r="A2728">
        <v>47270</v>
      </c>
      <c r="B2728" t="s">
        <v>15731</v>
      </c>
      <c r="C2728" t="s">
        <v>15732</v>
      </c>
      <c r="D2728" t="s">
        <v>15733</v>
      </c>
      <c r="E2728" t="s">
        <v>15734</v>
      </c>
      <c r="G2728" t="s">
        <v>3683</v>
      </c>
      <c r="H2728" t="s">
        <v>3942</v>
      </c>
      <c r="J2728" t="s">
        <v>3962</v>
      </c>
      <c r="K2728" t="s">
        <v>519</v>
      </c>
      <c r="M2728" t="s">
        <v>1297</v>
      </c>
      <c r="N2728" t="s">
        <v>557</v>
      </c>
      <c r="O2728" t="s">
        <v>1437</v>
      </c>
      <c r="P2728" t="s">
        <v>523</v>
      </c>
      <c r="Q2728" t="s">
        <v>1299</v>
      </c>
      <c r="R2728" t="s">
        <v>1300</v>
      </c>
      <c r="S2728" t="s">
        <v>1438</v>
      </c>
      <c r="T2728" t="s">
        <v>1235</v>
      </c>
      <c r="U2728">
        <v>169401</v>
      </c>
      <c r="V2728" t="s">
        <v>9445</v>
      </c>
      <c r="W2728" t="s">
        <v>3685</v>
      </c>
      <c r="X2728" t="s">
        <v>15735</v>
      </c>
      <c r="Y2728" t="s">
        <v>15736</v>
      </c>
      <c r="AA2728" t="s">
        <v>12070</v>
      </c>
      <c r="AB2728" t="s">
        <v>15737</v>
      </c>
      <c r="AC2728">
        <v>99089</v>
      </c>
      <c r="AD2728" t="s">
        <v>3686</v>
      </c>
      <c r="AE2728">
        <v>-37.386050599999997</v>
      </c>
      <c r="AF2728">
        <v>175.83372399999999</v>
      </c>
      <c r="AG2728">
        <v>50</v>
      </c>
      <c r="AH2728">
        <v>13</v>
      </c>
      <c r="AI2728">
        <v>0</v>
      </c>
      <c r="AJ2728">
        <v>11</v>
      </c>
      <c r="AK2728">
        <v>9</v>
      </c>
      <c r="AL2728">
        <v>17</v>
      </c>
      <c r="AM2728">
        <v>17</v>
      </c>
      <c r="AN2728">
        <v>0</v>
      </c>
      <c r="AO2728">
        <v>54</v>
      </c>
      <c r="AP2728">
        <v>40</v>
      </c>
      <c r="AQ2728">
        <v>15</v>
      </c>
      <c r="AR2728">
        <v>5</v>
      </c>
      <c r="AS2728">
        <v>9</v>
      </c>
      <c r="AT2728">
        <v>0</v>
      </c>
    </row>
    <row r="2729" spans="1:46">
      <c r="A2729">
        <v>47271</v>
      </c>
      <c r="B2729" t="s">
        <v>15738</v>
      </c>
      <c r="D2729" t="s">
        <v>14240</v>
      </c>
      <c r="E2729" t="s">
        <v>15739</v>
      </c>
      <c r="F2729" t="s">
        <v>12983</v>
      </c>
      <c r="G2729" t="s">
        <v>1296</v>
      </c>
      <c r="H2729" t="s">
        <v>6218</v>
      </c>
      <c r="I2729" t="s">
        <v>6218</v>
      </c>
      <c r="J2729" t="s">
        <v>518</v>
      </c>
      <c r="K2729" t="s">
        <v>519</v>
      </c>
      <c r="M2729" t="s">
        <v>1297</v>
      </c>
      <c r="N2729" t="s">
        <v>539</v>
      </c>
      <c r="O2729" t="s">
        <v>1298</v>
      </c>
      <c r="P2729" t="s">
        <v>654</v>
      </c>
      <c r="Q2729" t="s">
        <v>1299</v>
      </c>
      <c r="R2729" t="s">
        <v>1300</v>
      </c>
      <c r="S2729" t="s">
        <v>1312</v>
      </c>
      <c r="T2729" t="s">
        <v>1235</v>
      </c>
      <c r="U2729">
        <v>179100</v>
      </c>
      <c r="V2729" t="s">
        <v>9687</v>
      </c>
      <c r="W2729" t="s">
        <v>1314</v>
      </c>
      <c r="X2729" t="s">
        <v>14242</v>
      </c>
      <c r="Y2729" t="s">
        <v>14243</v>
      </c>
      <c r="AA2729" t="s">
        <v>1306</v>
      </c>
      <c r="AB2729" t="s">
        <v>14244</v>
      </c>
      <c r="AC2729">
        <v>99084</v>
      </c>
      <c r="AD2729" t="s">
        <v>14245</v>
      </c>
      <c r="AE2729">
        <v>-37.768084770000002</v>
      </c>
      <c r="AF2729">
        <v>175.29403169</v>
      </c>
      <c r="AG2729">
        <v>40</v>
      </c>
      <c r="AH2729">
        <v>0</v>
      </c>
      <c r="AI2729">
        <v>0</v>
      </c>
      <c r="AJ2729">
        <v>0</v>
      </c>
      <c r="AK2729">
        <v>1</v>
      </c>
      <c r="AL2729">
        <v>14</v>
      </c>
      <c r="AM2729">
        <v>19</v>
      </c>
      <c r="AN2729">
        <v>2</v>
      </c>
      <c r="AO2729">
        <v>36</v>
      </c>
      <c r="AP2729">
        <v>4</v>
      </c>
      <c r="AQ2729">
        <v>35</v>
      </c>
      <c r="AR2729">
        <v>2</v>
      </c>
      <c r="AS2729">
        <v>4</v>
      </c>
      <c r="AT2729">
        <v>1</v>
      </c>
    </row>
    <row r="2730" spans="1:46">
      <c r="A2730">
        <v>47272</v>
      </c>
      <c r="B2730" t="s">
        <v>15740</v>
      </c>
      <c r="E2730" t="s">
        <v>8763</v>
      </c>
      <c r="F2730" t="s">
        <v>1313</v>
      </c>
      <c r="G2730" t="s">
        <v>1296</v>
      </c>
      <c r="H2730" t="s">
        <v>4716</v>
      </c>
      <c r="J2730" t="s">
        <v>3962</v>
      </c>
      <c r="K2730" t="s">
        <v>519</v>
      </c>
      <c r="M2730" t="s">
        <v>1297</v>
      </c>
      <c r="N2730" t="s">
        <v>557</v>
      </c>
      <c r="O2730" t="s">
        <v>1298</v>
      </c>
      <c r="P2730" t="s">
        <v>654</v>
      </c>
      <c r="Q2730" t="s">
        <v>1299</v>
      </c>
      <c r="R2730" t="s">
        <v>1300</v>
      </c>
      <c r="S2730" t="s">
        <v>1312</v>
      </c>
      <c r="T2730" t="s">
        <v>1235</v>
      </c>
      <c r="U2730">
        <v>177300</v>
      </c>
      <c r="V2730" t="s">
        <v>1313</v>
      </c>
      <c r="W2730" t="s">
        <v>1314</v>
      </c>
      <c r="X2730" t="s">
        <v>13699</v>
      </c>
      <c r="Y2730" t="s">
        <v>8763</v>
      </c>
      <c r="Z2730" t="s">
        <v>1313</v>
      </c>
      <c r="AA2730" t="s">
        <v>8511</v>
      </c>
      <c r="AE2730">
        <v>-37.749600880000003</v>
      </c>
      <c r="AF2730">
        <v>175.27366000000001</v>
      </c>
      <c r="AG2730">
        <v>50</v>
      </c>
      <c r="AH2730">
        <v>50</v>
      </c>
      <c r="AI2730">
        <v>4</v>
      </c>
      <c r="AJ2730">
        <v>5</v>
      </c>
      <c r="AK2730">
        <v>8</v>
      </c>
      <c r="AL2730">
        <v>8</v>
      </c>
      <c r="AM2730">
        <v>1</v>
      </c>
      <c r="AN2730">
        <v>1</v>
      </c>
      <c r="AO2730">
        <v>27</v>
      </c>
      <c r="AP2730">
        <v>9</v>
      </c>
      <c r="AQ2730">
        <v>2</v>
      </c>
      <c r="AR2730">
        <v>2</v>
      </c>
      <c r="AS2730">
        <v>1</v>
      </c>
      <c r="AT2730">
        <v>17</v>
      </c>
    </row>
    <row r="2731" spans="1:46">
      <c r="A2731">
        <v>47274</v>
      </c>
      <c r="B2731" t="s">
        <v>15741</v>
      </c>
      <c r="C2731" t="s">
        <v>15742</v>
      </c>
      <c r="D2731" t="s">
        <v>15743</v>
      </c>
      <c r="E2731" t="s">
        <v>15744</v>
      </c>
      <c r="F2731" t="s">
        <v>828</v>
      </c>
      <c r="G2731" t="s">
        <v>652</v>
      </c>
      <c r="H2731" t="s">
        <v>3942</v>
      </c>
      <c r="J2731" t="s">
        <v>3962</v>
      </c>
      <c r="K2731" t="s">
        <v>519</v>
      </c>
      <c r="M2731" t="s">
        <v>520</v>
      </c>
      <c r="N2731" t="s">
        <v>571</v>
      </c>
      <c r="O2731" t="s">
        <v>829</v>
      </c>
      <c r="P2731" t="s">
        <v>654</v>
      </c>
      <c r="Q2731" t="s">
        <v>638</v>
      </c>
      <c r="R2731" t="s">
        <v>708</v>
      </c>
      <c r="S2731" t="s">
        <v>805</v>
      </c>
      <c r="T2731" t="s">
        <v>709</v>
      </c>
      <c r="U2731">
        <v>145600</v>
      </c>
      <c r="V2731" t="s">
        <v>13492</v>
      </c>
      <c r="W2731" t="s">
        <v>807</v>
      </c>
      <c r="X2731" t="s">
        <v>5881</v>
      </c>
      <c r="Y2731" t="s">
        <v>5882</v>
      </c>
      <c r="Z2731" t="s">
        <v>1183</v>
      </c>
      <c r="AA2731" t="s">
        <v>4307</v>
      </c>
      <c r="AB2731" t="s">
        <v>5883</v>
      </c>
      <c r="AC2731">
        <v>99190</v>
      </c>
      <c r="AD2731" t="s">
        <v>831</v>
      </c>
      <c r="AE2731">
        <v>-36.921398330000002</v>
      </c>
      <c r="AF2731">
        <v>174.79676687</v>
      </c>
      <c r="AG2731">
        <v>70</v>
      </c>
      <c r="AH2731">
        <v>18</v>
      </c>
      <c r="AI2731">
        <v>0</v>
      </c>
      <c r="AJ2731">
        <v>13</v>
      </c>
      <c r="AK2731">
        <v>12</v>
      </c>
      <c r="AL2731">
        <v>16</v>
      </c>
      <c r="AM2731">
        <v>12</v>
      </c>
      <c r="AN2731">
        <v>1</v>
      </c>
      <c r="AO2731">
        <v>54</v>
      </c>
      <c r="AP2731">
        <v>33</v>
      </c>
      <c r="AQ2731">
        <v>10</v>
      </c>
      <c r="AR2731">
        <v>15</v>
      </c>
      <c r="AS2731">
        <v>15</v>
      </c>
      <c r="AT2731">
        <v>5</v>
      </c>
    </row>
    <row r="2732" spans="1:46">
      <c r="A2732">
        <v>47275</v>
      </c>
      <c r="B2732" t="s">
        <v>15745</v>
      </c>
      <c r="C2732" t="s">
        <v>15746</v>
      </c>
      <c r="D2732" t="s">
        <v>15747</v>
      </c>
      <c r="E2732" t="s">
        <v>15748</v>
      </c>
      <c r="G2732" t="s">
        <v>1245</v>
      </c>
      <c r="H2732" t="s">
        <v>3942</v>
      </c>
      <c r="J2732" t="s">
        <v>3962</v>
      </c>
      <c r="K2732" t="s">
        <v>519</v>
      </c>
      <c r="M2732" t="s">
        <v>520</v>
      </c>
      <c r="N2732" t="s">
        <v>571</v>
      </c>
      <c r="O2732" t="s">
        <v>1233</v>
      </c>
      <c r="P2732" t="s">
        <v>523</v>
      </c>
      <c r="Q2732" t="s">
        <v>638</v>
      </c>
      <c r="R2732" t="s">
        <v>729</v>
      </c>
      <c r="S2732" t="s">
        <v>1246</v>
      </c>
      <c r="T2732" t="s">
        <v>1235</v>
      </c>
      <c r="U2732">
        <v>164401</v>
      </c>
      <c r="V2732" t="s">
        <v>7517</v>
      </c>
      <c r="W2732" t="s">
        <v>1237</v>
      </c>
      <c r="X2732" t="s">
        <v>15749</v>
      </c>
      <c r="Y2732" t="s">
        <v>15750</v>
      </c>
      <c r="Z2732" t="s">
        <v>5766</v>
      </c>
      <c r="AA2732" t="s">
        <v>15751</v>
      </c>
      <c r="AC2732">
        <v>99033</v>
      </c>
      <c r="AD2732" t="s">
        <v>1248</v>
      </c>
      <c r="AE2732">
        <v>-37.246810109999998</v>
      </c>
      <c r="AF2732">
        <v>174.72505171</v>
      </c>
      <c r="AG2732">
        <v>55</v>
      </c>
      <c r="AH2732">
        <v>12</v>
      </c>
      <c r="AI2732">
        <v>4</v>
      </c>
      <c r="AJ2732">
        <v>9</v>
      </c>
      <c r="AK2732">
        <v>17</v>
      </c>
      <c r="AL2732">
        <v>14</v>
      </c>
      <c r="AM2732">
        <v>10</v>
      </c>
      <c r="AN2732">
        <v>1</v>
      </c>
      <c r="AO2732">
        <v>55</v>
      </c>
      <c r="AP2732">
        <v>51</v>
      </c>
      <c r="AQ2732">
        <v>13</v>
      </c>
      <c r="AR2732">
        <v>3</v>
      </c>
      <c r="AS2732">
        <v>5</v>
      </c>
      <c r="AT2732">
        <v>1</v>
      </c>
    </row>
    <row r="2733" spans="1:46">
      <c r="A2733">
        <v>47277</v>
      </c>
      <c r="B2733" t="s">
        <v>15752</v>
      </c>
      <c r="C2733" t="s">
        <v>15753</v>
      </c>
      <c r="E2733" t="s">
        <v>15754</v>
      </c>
      <c r="F2733" t="s">
        <v>913</v>
      </c>
      <c r="G2733" t="s">
        <v>652</v>
      </c>
      <c r="H2733" t="s">
        <v>3942</v>
      </c>
      <c r="J2733" t="s">
        <v>3962</v>
      </c>
      <c r="K2733" t="s">
        <v>519</v>
      </c>
      <c r="M2733" t="s">
        <v>520</v>
      </c>
      <c r="N2733" t="s">
        <v>571</v>
      </c>
      <c r="O2733" t="s">
        <v>912</v>
      </c>
      <c r="P2733" t="s">
        <v>654</v>
      </c>
      <c r="Q2733" t="s">
        <v>638</v>
      </c>
      <c r="R2733" t="s">
        <v>708</v>
      </c>
      <c r="S2733" t="s">
        <v>913</v>
      </c>
      <c r="T2733" t="s">
        <v>709</v>
      </c>
      <c r="U2733">
        <v>139601</v>
      </c>
      <c r="V2733" t="s">
        <v>4489</v>
      </c>
      <c r="W2733" t="s">
        <v>860</v>
      </c>
      <c r="X2733" t="s">
        <v>14775</v>
      </c>
      <c r="Y2733" t="s">
        <v>15755</v>
      </c>
      <c r="Z2733" t="s">
        <v>4804</v>
      </c>
      <c r="AA2733" t="s">
        <v>3991</v>
      </c>
      <c r="AB2733" t="s">
        <v>14776</v>
      </c>
      <c r="AE2733">
        <v>-36.920776510000003</v>
      </c>
      <c r="AF2733">
        <v>174.71816197000001</v>
      </c>
      <c r="AG2733">
        <v>105</v>
      </c>
      <c r="AH2733">
        <v>25</v>
      </c>
      <c r="AI2733">
        <v>1</v>
      </c>
      <c r="AJ2733">
        <v>14</v>
      </c>
      <c r="AK2733">
        <v>20</v>
      </c>
      <c r="AL2733">
        <v>33</v>
      </c>
      <c r="AM2733">
        <v>33</v>
      </c>
      <c r="AN2733">
        <v>0</v>
      </c>
      <c r="AO2733">
        <v>101</v>
      </c>
      <c r="AP2733">
        <v>13</v>
      </c>
      <c r="AQ2733">
        <v>1</v>
      </c>
      <c r="AR2733">
        <v>8</v>
      </c>
      <c r="AS2733">
        <v>82</v>
      </c>
      <c r="AT2733">
        <v>4</v>
      </c>
    </row>
    <row r="2734" spans="1:46">
      <c r="A2734">
        <v>47279</v>
      </c>
      <c r="B2734" t="s">
        <v>15756</v>
      </c>
      <c r="E2734" t="s">
        <v>15757</v>
      </c>
      <c r="F2734" t="s">
        <v>1358</v>
      </c>
      <c r="G2734" t="s">
        <v>1296</v>
      </c>
      <c r="H2734" t="s">
        <v>3942</v>
      </c>
      <c r="J2734" t="s">
        <v>3962</v>
      </c>
      <c r="K2734" t="s">
        <v>519</v>
      </c>
      <c r="M2734" t="s">
        <v>1297</v>
      </c>
      <c r="N2734" t="s">
        <v>571</v>
      </c>
      <c r="O2734" t="s">
        <v>1298</v>
      </c>
      <c r="P2734" t="s">
        <v>654</v>
      </c>
      <c r="Q2734" t="s">
        <v>1299</v>
      </c>
      <c r="R2734" t="s">
        <v>1300</v>
      </c>
      <c r="S2734" t="s">
        <v>1301</v>
      </c>
      <c r="T2734" t="s">
        <v>1235</v>
      </c>
      <c r="U2734">
        <v>176301</v>
      </c>
      <c r="V2734" t="s">
        <v>8429</v>
      </c>
      <c r="W2734" t="s">
        <v>1303</v>
      </c>
      <c r="X2734" t="s">
        <v>15758</v>
      </c>
      <c r="Y2734" t="s">
        <v>15759</v>
      </c>
      <c r="Z2734" t="s">
        <v>15760</v>
      </c>
      <c r="AA2734" t="s">
        <v>9576</v>
      </c>
      <c r="AB2734" t="s">
        <v>15761</v>
      </c>
      <c r="AE2734">
        <v>-37.777885079999997</v>
      </c>
      <c r="AF2734">
        <v>175.24737956999999</v>
      </c>
      <c r="AG2734">
        <v>45</v>
      </c>
      <c r="AH2734">
        <v>15</v>
      </c>
      <c r="AI2734">
        <v>0</v>
      </c>
      <c r="AJ2734">
        <v>3</v>
      </c>
      <c r="AK2734">
        <v>5</v>
      </c>
      <c r="AL2734">
        <v>11</v>
      </c>
      <c r="AM2734">
        <v>9</v>
      </c>
      <c r="AN2734">
        <v>1</v>
      </c>
      <c r="AO2734">
        <v>29</v>
      </c>
      <c r="AP2734">
        <v>12</v>
      </c>
      <c r="AQ2734">
        <v>8</v>
      </c>
      <c r="AR2734">
        <v>5</v>
      </c>
      <c r="AS2734">
        <v>10</v>
      </c>
      <c r="AT2734">
        <v>1</v>
      </c>
    </row>
    <row r="2735" spans="1:46">
      <c r="A2735">
        <v>47281</v>
      </c>
      <c r="B2735" t="s">
        <v>15762</v>
      </c>
      <c r="C2735" t="s">
        <v>15763</v>
      </c>
      <c r="E2735" t="s">
        <v>15764</v>
      </c>
      <c r="F2735" t="s">
        <v>15765</v>
      </c>
      <c r="G2735" t="s">
        <v>2941</v>
      </c>
      <c r="H2735" t="s">
        <v>3942</v>
      </c>
      <c r="J2735" t="s">
        <v>3962</v>
      </c>
      <c r="K2735" t="s">
        <v>519</v>
      </c>
      <c r="M2735" t="s">
        <v>2287</v>
      </c>
      <c r="N2735" t="s">
        <v>571</v>
      </c>
      <c r="O2735" t="s">
        <v>2942</v>
      </c>
      <c r="P2735" t="s">
        <v>654</v>
      </c>
      <c r="Q2735" t="s">
        <v>2943</v>
      </c>
      <c r="R2735" t="s">
        <v>2944</v>
      </c>
      <c r="S2735" t="s">
        <v>2945</v>
      </c>
      <c r="T2735" t="s">
        <v>2448</v>
      </c>
      <c r="U2735">
        <v>319900</v>
      </c>
      <c r="V2735" t="s">
        <v>11519</v>
      </c>
      <c r="W2735" t="s">
        <v>3098</v>
      </c>
      <c r="X2735" t="s">
        <v>15766</v>
      </c>
      <c r="Y2735" t="s">
        <v>15764</v>
      </c>
      <c r="Z2735" t="s">
        <v>15765</v>
      </c>
      <c r="AA2735" t="s">
        <v>12325</v>
      </c>
      <c r="AB2735" t="s">
        <v>15767</v>
      </c>
      <c r="AC2735">
        <v>99027</v>
      </c>
      <c r="AD2735" t="s">
        <v>3000</v>
      </c>
      <c r="AE2735">
        <v>-43.50083205</v>
      </c>
      <c r="AF2735">
        <v>172.589124</v>
      </c>
      <c r="AG2735">
        <v>130</v>
      </c>
      <c r="AH2735">
        <v>45</v>
      </c>
      <c r="AI2735">
        <v>11</v>
      </c>
      <c r="AJ2735">
        <v>37</v>
      </c>
      <c r="AK2735">
        <v>44</v>
      </c>
      <c r="AL2735">
        <v>52</v>
      </c>
      <c r="AM2735">
        <v>43</v>
      </c>
      <c r="AN2735">
        <v>1</v>
      </c>
      <c r="AO2735">
        <v>188</v>
      </c>
      <c r="AP2735">
        <v>172</v>
      </c>
      <c r="AQ2735">
        <v>24</v>
      </c>
      <c r="AR2735">
        <v>5</v>
      </c>
      <c r="AS2735">
        <v>17</v>
      </c>
      <c r="AT2735">
        <v>3</v>
      </c>
    </row>
    <row r="2736" spans="1:46">
      <c r="A2736">
        <v>47283</v>
      </c>
      <c r="B2736" t="s">
        <v>15768</v>
      </c>
      <c r="C2736" t="s">
        <v>15769</v>
      </c>
      <c r="D2736" t="s">
        <v>15770</v>
      </c>
      <c r="E2736" t="s">
        <v>15771</v>
      </c>
      <c r="F2736" t="s">
        <v>1017</v>
      </c>
      <c r="G2736" t="s">
        <v>652</v>
      </c>
      <c r="H2736" t="s">
        <v>4716</v>
      </c>
      <c r="J2736" t="s">
        <v>3962</v>
      </c>
      <c r="K2736" t="s">
        <v>519</v>
      </c>
      <c r="M2736" t="s">
        <v>520</v>
      </c>
      <c r="N2736" t="s">
        <v>571</v>
      </c>
      <c r="O2736" t="s">
        <v>857</v>
      </c>
      <c r="P2736" t="s">
        <v>654</v>
      </c>
      <c r="Q2736" t="s">
        <v>638</v>
      </c>
      <c r="R2736" t="s">
        <v>708</v>
      </c>
      <c r="S2736" t="s">
        <v>822</v>
      </c>
      <c r="T2736" t="s">
        <v>709</v>
      </c>
      <c r="U2736">
        <v>139300</v>
      </c>
      <c r="V2736" t="s">
        <v>6761</v>
      </c>
      <c r="W2736" t="s">
        <v>860</v>
      </c>
      <c r="X2736" t="s">
        <v>15772</v>
      </c>
      <c r="Y2736" t="s">
        <v>15771</v>
      </c>
      <c r="Z2736" t="s">
        <v>1017</v>
      </c>
      <c r="AA2736" t="s">
        <v>5824</v>
      </c>
      <c r="AB2736" t="s">
        <v>15769</v>
      </c>
      <c r="AE2736">
        <v>-36.893104100000002</v>
      </c>
      <c r="AF2736">
        <v>174.75970580000001</v>
      </c>
      <c r="AG2736">
        <v>50</v>
      </c>
      <c r="AH2736">
        <v>50</v>
      </c>
      <c r="AI2736">
        <v>5</v>
      </c>
      <c r="AJ2736">
        <v>12</v>
      </c>
      <c r="AK2736">
        <v>9</v>
      </c>
      <c r="AL2736">
        <v>10</v>
      </c>
      <c r="AM2736">
        <v>7</v>
      </c>
      <c r="AN2736">
        <v>1</v>
      </c>
      <c r="AO2736">
        <v>44</v>
      </c>
      <c r="AP2736">
        <v>1</v>
      </c>
      <c r="AQ2736">
        <v>0</v>
      </c>
      <c r="AR2736">
        <v>0</v>
      </c>
      <c r="AS2736">
        <v>43</v>
      </c>
      <c r="AT2736">
        <v>0</v>
      </c>
    </row>
    <row r="2737" spans="1:46">
      <c r="A2737">
        <v>47286</v>
      </c>
      <c r="B2737" t="s">
        <v>15773</v>
      </c>
      <c r="C2737" t="s">
        <v>3947</v>
      </c>
      <c r="D2737" t="s">
        <v>15774</v>
      </c>
      <c r="E2737" t="s">
        <v>15775</v>
      </c>
      <c r="F2737" t="s">
        <v>945</v>
      </c>
      <c r="G2737" t="s">
        <v>652</v>
      </c>
      <c r="H2737" t="s">
        <v>3942</v>
      </c>
      <c r="J2737" t="s">
        <v>518</v>
      </c>
      <c r="K2737" t="s">
        <v>519</v>
      </c>
      <c r="M2737" t="s">
        <v>520</v>
      </c>
      <c r="N2737" t="s">
        <v>727</v>
      </c>
      <c r="O2737" t="s">
        <v>848</v>
      </c>
      <c r="P2737" t="s">
        <v>654</v>
      </c>
      <c r="Q2737" t="s">
        <v>638</v>
      </c>
      <c r="R2737" t="s">
        <v>729</v>
      </c>
      <c r="S2737" t="s">
        <v>849</v>
      </c>
      <c r="T2737" t="s">
        <v>709</v>
      </c>
      <c r="U2737">
        <v>150800</v>
      </c>
      <c r="V2737" t="s">
        <v>7526</v>
      </c>
      <c r="W2737" t="s">
        <v>732</v>
      </c>
      <c r="X2737" t="s">
        <v>3943</v>
      </c>
      <c r="Y2737" t="s">
        <v>3944</v>
      </c>
      <c r="Z2737" t="s">
        <v>3945</v>
      </c>
      <c r="AA2737" t="s">
        <v>3946</v>
      </c>
      <c r="AB2737" t="s">
        <v>3947</v>
      </c>
      <c r="AE2737">
        <v>-36.960751309999999</v>
      </c>
      <c r="AF2737">
        <v>174.82472032999999</v>
      </c>
      <c r="AG2737">
        <v>116</v>
      </c>
      <c r="AH2737">
        <v>21</v>
      </c>
      <c r="AI2737">
        <v>3</v>
      </c>
      <c r="AJ2737">
        <v>9</v>
      </c>
      <c r="AK2737">
        <v>20</v>
      </c>
      <c r="AL2737">
        <v>28</v>
      </c>
      <c r="AM2737">
        <v>31</v>
      </c>
      <c r="AN2737">
        <v>4</v>
      </c>
      <c r="AO2737">
        <v>95</v>
      </c>
      <c r="AP2737">
        <v>13</v>
      </c>
      <c r="AQ2737">
        <v>20</v>
      </c>
      <c r="AR2737">
        <v>67</v>
      </c>
      <c r="AS2737">
        <v>18</v>
      </c>
      <c r="AT2737">
        <v>8</v>
      </c>
    </row>
    <row r="2738" spans="1:46">
      <c r="A2738">
        <v>47291</v>
      </c>
      <c r="B2738" t="s">
        <v>15776</v>
      </c>
      <c r="C2738" t="s">
        <v>15777</v>
      </c>
      <c r="D2738" t="s">
        <v>15778</v>
      </c>
      <c r="E2738" t="s">
        <v>15779</v>
      </c>
      <c r="F2738" t="s">
        <v>8591</v>
      </c>
      <c r="G2738" t="s">
        <v>1296</v>
      </c>
      <c r="H2738" t="s">
        <v>3942</v>
      </c>
      <c r="J2738" t="s">
        <v>3962</v>
      </c>
      <c r="K2738" t="s">
        <v>519</v>
      </c>
      <c r="M2738" t="s">
        <v>1297</v>
      </c>
      <c r="N2738" t="s">
        <v>571</v>
      </c>
      <c r="O2738" t="s">
        <v>1298</v>
      </c>
      <c r="P2738" t="s">
        <v>654</v>
      </c>
      <c r="Q2738" t="s">
        <v>1299</v>
      </c>
      <c r="R2738" t="s">
        <v>1300</v>
      </c>
      <c r="S2738" t="s">
        <v>1300</v>
      </c>
      <c r="T2738" t="s">
        <v>1235</v>
      </c>
      <c r="U2738">
        <v>175302</v>
      </c>
      <c r="V2738" t="s">
        <v>13261</v>
      </c>
      <c r="W2738" t="s">
        <v>1314</v>
      </c>
      <c r="X2738" t="s">
        <v>10837</v>
      </c>
      <c r="Y2738" t="s">
        <v>4097</v>
      </c>
      <c r="Z2738" t="s">
        <v>4098</v>
      </c>
      <c r="AA2738" t="s">
        <v>4099</v>
      </c>
      <c r="AE2738">
        <v>-37.721456119999999</v>
      </c>
      <c r="AF2738">
        <v>175.25029001999999</v>
      </c>
      <c r="AG2738">
        <v>120</v>
      </c>
      <c r="AH2738">
        <v>25</v>
      </c>
      <c r="AI2738">
        <v>6</v>
      </c>
      <c r="AJ2738">
        <v>19</v>
      </c>
      <c r="AK2738">
        <v>25</v>
      </c>
      <c r="AL2738">
        <v>30</v>
      </c>
      <c r="AM2738">
        <v>41</v>
      </c>
      <c r="AN2738">
        <v>2</v>
      </c>
      <c r="AO2738">
        <v>123</v>
      </c>
      <c r="AP2738">
        <v>45</v>
      </c>
      <c r="AQ2738">
        <v>11</v>
      </c>
      <c r="AR2738">
        <v>4</v>
      </c>
      <c r="AS2738">
        <v>71</v>
      </c>
      <c r="AT2738">
        <v>10</v>
      </c>
    </row>
    <row r="2739" spans="1:46">
      <c r="A2739">
        <v>47294</v>
      </c>
      <c r="B2739" t="s">
        <v>15780</v>
      </c>
      <c r="C2739" t="s">
        <v>15781</v>
      </c>
      <c r="D2739" t="s">
        <v>15782</v>
      </c>
      <c r="E2739" t="s">
        <v>15783</v>
      </c>
      <c r="G2739" t="s">
        <v>2941</v>
      </c>
      <c r="H2739" t="s">
        <v>3942</v>
      </c>
      <c r="J2739" t="s">
        <v>3962</v>
      </c>
      <c r="K2739" t="s">
        <v>519</v>
      </c>
      <c r="M2739" t="s">
        <v>2287</v>
      </c>
      <c r="N2739" t="s">
        <v>571</v>
      </c>
      <c r="O2739" t="s">
        <v>2942</v>
      </c>
      <c r="P2739" t="s">
        <v>654</v>
      </c>
      <c r="Q2739" t="s">
        <v>2943</v>
      </c>
      <c r="R2739" t="s">
        <v>2944</v>
      </c>
      <c r="S2739" t="s">
        <v>2957</v>
      </c>
      <c r="T2739" t="s">
        <v>2448</v>
      </c>
      <c r="U2739">
        <v>328100</v>
      </c>
      <c r="V2739" t="s">
        <v>15784</v>
      </c>
      <c r="W2739" t="s">
        <v>3014</v>
      </c>
      <c r="X2739" t="s">
        <v>15785</v>
      </c>
      <c r="Y2739" t="s">
        <v>15125</v>
      </c>
      <c r="Z2739" t="s">
        <v>4555</v>
      </c>
      <c r="AA2739" t="s">
        <v>4556</v>
      </c>
      <c r="AB2739" t="s">
        <v>15786</v>
      </c>
      <c r="AC2739">
        <v>99215</v>
      </c>
      <c r="AD2739" t="s">
        <v>10972</v>
      </c>
      <c r="AE2739">
        <v>-43.540703039999997</v>
      </c>
      <c r="AF2739">
        <v>172.64016000999999</v>
      </c>
      <c r="AG2739">
        <v>75</v>
      </c>
      <c r="AH2739">
        <v>35</v>
      </c>
      <c r="AI2739">
        <v>3</v>
      </c>
      <c r="AJ2739">
        <v>16</v>
      </c>
      <c r="AK2739">
        <v>12</v>
      </c>
      <c r="AL2739">
        <v>16</v>
      </c>
      <c r="AM2739">
        <v>9</v>
      </c>
      <c r="AN2739">
        <v>0</v>
      </c>
      <c r="AO2739">
        <v>56</v>
      </c>
      <c r="AP2739">
        <v>31</v>
      </c>
      <c r="AQ2739">
        <v>11</v>
      </c>
      <c r="AR2739">
        <v>4</v>
      </c>
      <c r="AS2739">
        <v>21</v>
      </c>
      <c r="AT2739">
        <v>5</v>
      </c>
    </row>
    <row r="2740" spans="1:46">
      <c r="A2740">
        <v>47296</v>
      </c>
      <c r="B2740" t="s">
        <v>15787</v>
      </c>
      <c r="C2740" t="s">
        <v>15788</v>
      </c>
      <c r="D2740" t="s">
        <v>15789</v>
      </c>
      <c r="E2740" t="s">
        <v>15790</v>
      </c>
      <c r="F2740" t="s">
        <v>3394</v>
      </c>
      <c r="G2740" t="s">
        <v>3382</v>
      </c>
      <c r="H2740" t="s">
        <v>3942</v>
      </c>
      <c r="J2740" t="s">
        <v>3962</v>
      </c>
      <c r="K2740" t="s">
        <v>519</v>
      </c>
      <c r="M2740" t="s">
        <v>2287</v>
      </c>
      <c r="N2740" t="s">
        <v>571</v>
      </c>
      <c r="O2740" t="s">
        <v>3383</v>
      </c>
      <c r="P2740" t="s">
        <v>654</v>
      </c>
      <c r="Q2740" t="s">
        <v>3337</v>
      </c>
      <c r="R2740" t="s">
        <v>3338</v>
      </c>
      <c r="S2740" t="s">
        <v>3384</v>
      </c>
      <c r="T2740" t="s">
        <v>2448</v>
      </c>
      <c r="U2740">
        <v>355300</v>
      </c>
      <c r="V2740" t="s">
        <v>3394</v>
      </c>
      <c r="W2740" t="s">
        <v>1652</v>
      </c>
      <c r="X2740" t="s">
        <v>15791</v>
      </c>
      <c r="Y2740" t="s">
        <v>15792</v>
      </c>
      <c r="AA2740" t="s">
        <v>15793</v>
      </c>
      <c r="AE2740">
        <v>-45.898218120000003</v>
      </c>
      <c r="AF2740">
        <v>170.51170619000001</v>
      </c>
      <c r="AG2740">
        <v>150</v>
      </c>
      <c r="AH2740">
        <v>50</v>
      </c>
      <c r="AI2740">
        <v>7</v>
      </c>
      <c r="AJ2740">
        <v>48</v>
      </c>
      <c r="AK2740">
        <v>49</v>
      </c>
      <c r="AL2740">
        <v>31</v>
      </c>
      <c r="AM2740">
        <v>30</v>
      </c>
      <c r="AN2740">
        <v>1</v>
      </c>
      <c r="AO2740">
        <v>166</v>
      </c>
      <c r="AP2740">
        <v>139</v>
      </c>
      <c r="AQ2740">
        <v>33</v>
      </c>
      <c r="AR2740">
        <v>10</v>
      </c>
      <c r="AS2740">
        <v>25</v>
      </c>
      <c r="AT2740">
        <v>3</v>
      </c>
    </row>
    <row r="2741" spans="1:46">
      <c r="A2741">
        <v>47298</v>
      </c>
      <c r="B2741" t="s">
        <v>15794</v>
      </c>
      <c r="C2741" t="s">
        <v>15795</v>
      </c>
      <c r="D2741" t="s">
        <v>15796</v>
      </c>
      <c r="E2741" t="s">
        <v>15797</v>
      </c>
      <c r="F2741" t="s">
        <v>15386</v>
      </c>
      <c r="G2741" t="s">
        <v>652</v>
      </c>
      <c r="H2741" t="s">
        <v>4716</v>
      </c>
      <c r="J2741" t="s">
        <v>3962</v>
      </c>
      <c r="K2741" t="s">
        <v>519</v>
      </c>
      <c r="M2741" t="s">
        <v>520</v>
      </c>
      <c r="N2741" t="s">
        <v>727</v>
      </c>
      <c r="O2741" t="s">
        <v>848</v>
      </c>
      <c r="P2741" t="s">
        <v>654</v>
      </c>
      <c r="Q2741" t="s">
        <v>638</v>
      </c>
      <c r="R2741" t="s">
        <v>729</v>
      </c>
      <c r="S2741" t="s">
        <v>849</v>
      </c>
      <c r="T2741" t="s">
        <v>709</v>
      </c>
      <c r="U2741">
        <v>149400</v>
      </c>
      <c r="V2741" t="s">
        <v>6587</v>
      </c>
      <c r="W2741" t="s">
        <v>732</v>
      </c>
      <c r="X2741" t="s">
        <v>15798</v>
      </c>
      <c r="Y2741" t="s">
        <v>15799</v>
      </c>
      <c r="Z2741" t="s">
        <v>15386</v>
      </c>
      <c r="AA2741" t="s">
        <v>7456</v>
      </c>
      <c r="AB2741" t="s">
        <v>15795</v>
      </c>
      <c r="AE2741">
        <v>-36.95687152</v>
      </c>
      <c r="AF2741">
        <v>174.81253620000001</v>
      </c>
      <c r="AG2741">
        <v>80</v>
      </c>
      <c r="AH2741">
        <v>80</v>
      </c>
      <c r="AI2741">
        <v>6</v>
      </c>
      <c r="AJ2741">
        <v>6</v>
      </c>
      <c r="AK2741">
        <v>6</v>
      </c>
      <c r="AL2741">
        <v>4</v>
      </c>
      <c r="AM2741">
        <v>9</v>
      </c>
      <c r="AN2741">
        <v>0</v>
      </c>
      <c r="AO2741">
        <v>31</v>
      </c>
      <c r="AP2741">
        <v>0</v>
      </c>
      <c r="AQ2741">
        <v>1</v>
      </c>
      <c r="AR2741">
        <v>31</v>
      </c>
      <c r="AS2741">
        <v>0</v>
      </c>
      <c r="AT2741">
        <v>0</v>
      </c>
    </row>
    <row r="2742" spans="1:46">
      <c r="A2742">
        <v>47301</v>
      </c>
      <c r="B2742" t="s">
        <v>15800</v>
      </c>
      <c r="C2742" t="s">
        <v>15801</v>
      </c>
      <c r="E2742" t="s">
        <v>15802</v>
      </c>
      <c r="F2742" t="s">
        <v>1422</v>
      </c>
      <c r="G2742" t="s">
        <v>1296</v>
      </c>
      <c r="H2742" t="s">
        <v>3942</v>
      </c>
      <c r="J2742" t="s">
        <v>3962</v>
      </c>
      <c r="K2742" t="s">
        <v>519</v>
      </c>
      <c r="M2742" t="s">
        <v>1297</v>
      </c>
      <c r="N2742" t="s">
        <v>571</v>
      </c>
      <c r="O2742" t="s">
        <v>1298</v>
      </c>
      <c r="P2742" t="s">
        <v>654</v>
      </c>
      <c r="Q2742" t="s">
        <v>1299</v>
      </c>
      <c r="R2742" t="s">
        <v>1300</v>
      </c>
      <c r="S2742" t="s">
        <v>1301</v>
      </c>
      <c r="T2742" t="s">
        <v>1235</v>
      </c>
      <c r="U2742">
        <v>176301</v>
      </c>
      <c r="V2742" t="s">
        <v>8429</v>
      </c>
      <c r="W2742" t="s">
        <v>1303</v>
      </c>
      <c r="X2742" t="s">
        <v>15803</v>
      </c>
      <c r="Y2742" t="s">
        <v>15804</v>
      </c>
      <c r="Z2742" t="s">
        <v>1422</v>
      </c>
      <c r="AA2742" t="s">
        <v>14041</v>
      </c>
      <c r="AB2742" t="s">
        <v>15805</v>
      </c>
      <c r="AC2742">
        <v>99132</v>
      </c>
      <c r="AD2742" t="s">
        <v>8513</v>
      </c>
      <c r="AE2742">
        <v>-37.740792390000003</v>
      </c>
      <c r="AF2742">
        <v>175.23165284999999</v>
      </c>
      <c r="AG2742">
        <v>120</v>
      </c>
      <c r="AH2742">
        <v>45</v>
      </c>
      <c r="AI2742">
        <v>8</v>
      </c>
      <c r="AJ2742">
        <v>19</v>
      </c>
      <c r="AK2742">
        <v>32</v>
      </c>
      <c r="AL2742">
        <v>27</v>
      </c>
      <c r="AM2742">
        <v>18</v>
      </c>
      <c r="AN2742">
        <v>1</v>
      </c>
      <c r="AO2742">
        <v>105</v>
      </c>
      <c r="AP2742">
        <v>72</v>
      </c>
      <c r="AQ2742">
        <v>23</v>
      </c>
      <c r="AR2742">
        <v>1</v>
      </c>
      <c r="AS2742">
        <v>24</v>
      </c>
      <c r="AT2742">
        <v>16</v>
      </c>
    </row>
    <row r="2743" spans="1:46">
      <c r="A2743">
        <v>47302</v>
      </c>
      <c r="B2743" t="s">
        <v>15806</v>
      </c>
      <c r="C2743" t="s">
        <v>15807</v>
      </c>
      <c r="E2743" t="s">
        <v>15808</v>
      </c>
      <c r="F2743" t="s">
        <v>3081</v>
      </c>
      <c r="G2743" t="s">
        <v>2941</v>
      </c>
      <c r="H2743" t="s">
        <v>3942</v>
      </c>
      <c r="J2743" t="s">
        <v>518</v>
      </c>
      <c r="K2743" t="s">
        <v>519</v>
      </c>
      <c r="M2743" t="s">
        <v>2287</v>
      </c>
      <c r="N2743" t="s">
        <v>557</v>
      </c>
      <c r="O2743" t="s">
        <v>2942</v>
      </c>
      <c r="P2743" t="s">
        <v>654</v>
      </c>
      <c r="Q2743" t="s">
        <v>2943</v>
      </c>
      <c r="R2743" t="s">
        <v>2944</v>
      </c>
      <c r="S2743" t="s">
        <v>2957</v>
      </c>
      <c r="T2743" t="s">
        <v>2448</v>
      </c>
      <c r="U2743">
        <v>323100</v>
      </c>
      <c r="V2743" t="s">
        <v>3082</v>
      </c>
      <c r="W2743" t="s">
        <v>3070</v>
      </c>
      <c r="X2743" t="s">
        <v>10801</v>
      </c>
      <c r="Y2743" t="s">
        <v>3944</v>
      </c>
      <c r="Z2743" t="s">
        <v>3945</v>
      </c>
      <c r="AA2743" t="s">
        <v>3946</v>
      </c>
      <c r="AC2743">
        <v>99175</v>
      </c>
      <c r="AD2743" t="s">
        <v>3071</v>
      </c>
      <c r="AE2743">
        <v>-43.507898169999997</v>
      </c>
      <c r="AF2743">
        <v>172.65085869000001</v>
      </c>
      <c r="AG2743">
        <v>76</v>
      </c>
      <c r="AH2743">
        <v>12</v>
      </c>
      <c r="AI2743">
        <v>4</v>
      </c>
      <c r="AJ2743">
        <v>11</v>
      </c>
      <c r="AK2743">
        <v>24</v>
      </c>
      <c r="AL2743">
        <v>17</v>
      </c>
      <c r="AM2743">
        <v>18</v>
      </c>
      <c r="AN2743">
        <v>1</v>
      </c>
      <c r="AO2743">
        <v>75</v>
      </c>
      <c r="AP2743">
        <v>26</v>
      </c>
      <c r="AQ2743">
        <v>17</v>
      </c>
      <c r="AR2743">
        <v>8</v>
      </c>
      <c r="AS2743">
        <v>22</v>
      </c>
      <c r="AT2743">
        <v>23</v>
      </c>
    </row>
    <row r="2744" spans="1:46">
      <c r="A2744">
        <v>47303</v>
      </c>
      <c r="B2744" t="s">
        <v>15809</v>
      </c>
      <c r="C2744" t="s">
        <v>8515</v>
      </c>
      <c r="E2744" t="s">
        <v>8517</v>
      </c>
      <c r="F2744" t="s">
        <v>1563</v>
      </c>
      <c r="G2744" t="s">
        <v>1521</v>
      </c>
      <c r="H2744" t="s">
        <v>4716</v>
      </c>
      <c r="J2744" t="s">
        <v>3962</v>
      </c>
      <c r="K2744" t="s">
        <v>519</v>
      </c>
      <c r="M2744" t="s">
        <v>1297</v>
      </c>
      <c r="N2744" t="s">
        <v>571</v>
      </c>
      <c r="O2744" t="s">
        <v>1522</v>
      </c>
      <c r="P2744" t="s">
        <v>584</v>
      </c>
      <c r="Q2744" t="s">
        <v>1471</v>
      </c>
      <c r="R2744" t="s">
        <v>1472</v>
      </c>
      <c r="S2744" t="s">
        <v>1521</v>
      </c>
      <c r="T2744" t="s">
        <v>1474</v>
      </c>
      <c r="U2744">
        <v>201300</v>
      </c>
      <c r="V2744" t="s">
        <v>8518</v>
      </c>
      <c r="W2744" t="s">
        <v>1523</v>
      </c>
      <c r="X2744" t="s">
        <v>8519</v>
      </c>
      <c r="Y2744" t="s">
        <v>8517</v>
      </c>
      <c r="AA2744" t="s">
        <v>8520</v>
      </c>
      <c r="AC2744">
        <v>99017</v>
      </c>
      <c r="AD2744" t="s">
        <v>1630</v>
      </c>
      <c r="AE2744">
        <v>-38.16461305</v>
      </c>
      <c r="AF2744">
        <v>176.23345570000001</v>
      </c>
      <c r="AG2744">
        <v>80</v>
      </c>
      <c r="AH2744">
        <v>80</v>
      </c>
      <c r="AI2744">
        <v>1</v>
      </c>
      <c r="AJ2744">
        <v>18</v>
      </c>
      <c r="AK2744">
        <v>20</v>
      </c>
      <c r="AL2744">
        <v>12</v>
      </c>
      <c r="AM2744">
        <v>7</v>
      </c>
      <c r="AN2744">
        <v>1</v>
      </c>
      <c r="AO2744">
        <v>59</v>
      </c>
      <c r="AP2744">
        <v>55</v>
      </c>
      <c r="AQ2744">
        <v>22</v>
      </c>
      <c r="AR2744">
        <v>0</v>
      </c>
      <c r="AS2744">
        <v>1</v>
      </c>
      <c r="AT2744">
        <v>0</v>
      </c>
    </row>
    <row r="2745" spans="1:46">
      <c r="A2745">
        <v>47305</v>
      </c>
      <c r="B2745" t="s">
        <v>15810</v>
      </c>
      <c r="C2745" t="s">
        <v>15811</v>
      </c>
      <c r="D2745" t="s">
        <v>5003</v>
      </c>
      <c r="E2745" t="s">
        <v>15812</v>
      </c>
      <c r="F2745" t="s">
        <v>847</v>
      </c>
      <c r="G2745" t="s">
        <v>652</v>
      </c>
      <c r="H2745" t="s">
        <v>3942</v>
      </c>
      <c r="J2745" t="s">
        <v>3962</v>
      </c>
      <c r="K2745" t="s">
        <v>519</v>
      </c>
      <c r="M2745" t="s">
        <v>520</v>
      </c>
      <c r="N2745" t="s">
        <v>727</v>
      </c>
      <c r="O2745" t="s">
        <v>848</v>
      </c>
      <c r="P2745" t="s">
        <v>654</v>
      </c>
      <c r="Q2745" t="s">
        <v>638</v>
      </c>
      <c r="R2745" t="s">
        <v>729</v>
      </c>
      <c r="S2745" t="s">
        <v>849</v>
      </c>
      <c r="T2745" t="s">
        <v>709</v>
      </c>
      <c r="U2745">
        <v>148200</v>
      </c>
      <c r="V2745" t="s">
        <v>850</v>
      </c>
      <c r="W2745" t="s">
        <v>732</v>
      </c>
      <c r="X2745" t="s">
        <v>5006</v>
      </c>
      <c r="Y2745" t="s">
        <v>5007</v>
      </c>
      <c r="Z2745" t="s">
        <v>769</v>
      </c>
      <c r="AA2745" t="s">
        <v>4333</v>
      </c>
      <c r="AB2745" t="s">
        <v>5008</v>
      </c>
      <c r="AE2745">
        <v>-36.95168451</v>
      </c>
      <c r="AF2745">
        <v>174.80353829000001</v>
      </c>
      <c r="AG2745">
        <v>46</v>
      </c>
      <c r="AH2745">
        <v>12</v>
      </c>
      <c r="AI2745">
        <v>1</v>
      </c>
      <c r="AJ2745">
        <v>3</v>
      </c>
      <c r="AK2745">
        <v>4</v>
      </c>
      <c r="AL2745">
        <v>5</v>
      </c>
      <c r="AM2745">
        <v>6</v>
      </c>
      <c r="AN2745">
        <v>0</v>
      </c>
      <c r="AO2745">
        <v>19</v>
      </c>
      <c r="AP2745">
        <v>3</v>
      </c>
      <c r="AQ2745">
        <v>2</v>
      </c>
      <c r="AR2745">
        <v>10</v>
      </c>
      <c r="AS2745">
        <v>10</v>
      </c>
      <c r="AT2745">
        <v>0</v>
      </c>
    </row>
    <row r="2746" spans="1:46">
      <c r="A2746">
        <v>47307</v>
      </c>
      <c r="B2746" t="s">
        <v>15813</v>
      </c>
      <c r="C2746" t="s">
        <v>15814</v>
      </c>
      <c r="D2746" t="s">
        <v>15815</v>
      </c>
      <c r="E2746" t="s">
        <v>15816</v>
      </c>
      <c r="F2746" t="s">
        <v>9007</v>
      </c>
      <c r="G2746" t="s">
        <v>2081</v>
      </c>
      <c r="H2746" t="s">
        <v>3942</v>
      </c>
      <c r="J2746" t="s">
        <v>3962</v>
      </c>
      <c r="K2746" t="s">
        <v>519</v>
      </c>
      <c r="M2746" t="s">
        <v>1297</v>
      </c>
      <c r="N2746" t="s">
        <v>571</v>
      </c>
      <c r="O2746" t="s">
        <v>2082</v>
      </c>
      <c r="P2746" t="s">
        <v>584</v>
      </c>
      <c r="Q2746" t="s">
        <v>2083</v>
      </c>
      <c r="R2746" t="s">
        <v>2084</v>
      </c>
      <c r="S2746" t="s">
        <v>1473</v>
      </c>
      <c r="T2746" t="s">
        <v>2085</v>
      </c>
      <c r="U2746">
        <v>206400</v>
      </c>
      <c r="V2746" t="s">
        <v>15817</v>
      </c>
      <c r="W2746" t="s">
        <v>2087</v>
      </c>
      <c r="X2746" t="s">
        <v>15818</v>
      </c>
      <c r="Y2746" t="s">
        <v>4107</v>
      </c>
      <c r="AA2746" t="s">
        <v>3982</v>
      </c>
      <c r="AB2746" t="s">
        <v>15819</v>
      </c>
      <c r="AC2746">
        <v>99082</v>
      </c>
      <c r="AD2746" t="s">
        <v>2092</v>
      </c>
      <c r="AE2746">
        <v>-38.657394080000003</v>
      </c>
      <c r="AF2746">
        <v>178.01326975000001</v>
      </c>
      <c r="AG2746">
        <v>60</v>
      </c>
      <c r="AH2746">
        <v>25</v>
      </c>
      <c r="AI2746">
        <v>0</v>
      </c>
      <c r="AJ2746">
        <v>13</v>
      </c>
      <c r="AK2746">
        <v>8</v>
      </c>
      <c r="AL2746">
        <v>21</v>
      </c>
      <c r="AM2746">
        <v>15</v>
      </c>
      <c r="AN2746">
        <v>0</v>
      </c>
      <c r="AO2746">
        <v>57</v>
      </c>
      <c r="AP2746">
        <v>37</v>
      </c>
      <c r="AQ2746">
        <v>29</v>
      </c>
      <c r="AR2746">
        <v>2</v>
      </c>
      <c r="AS2746">
        <v>3</v>
      </c>
      <c r="AT2746">
        <v>2</v>
      </c>
    </row>
    <row r="2747" spans="1:46">
      <c r="A2747">
        <v>47308</v>
      </c>
      <c r="B2747" t="s">
        <v>15820</v>
      </c>
      <c r="C2747" t="s">
        <v>15821</v>
      </c>
      <c r="D2747" t="s">
        <v>15822</v>
      </c>
      <c r="E2747" t="s">
        <v>15823</v>
      </c>
      <c r="G2747" t="s">
        <v>8636</v>
      </c>
      <c r="H2747" t="s">
        <v>3942</v>
      </c>
      <c r="J2747" t="s">
        <v>3962</v>
      </c>
      <c r="K2747" t="s">
        <v>519</v>
      </c>
      <c r="M2747" t="s">
        <v>1297</v>
      </c>
      <c r="N2747" t="s">
        <v>539</v>
      </c>
      <c r="O2747" t="s">
        <v>8637</v>
      </c>
      <c r="P2747" t="s">
        <v>523</v>
      </c>
      <c r="Q2747" t="s">
        <v>1299</v>
      </c>
      <c r="R2747" t="s">
        <v>1300</v>
      </c>
      <c r="S2747" t="s">
        <v>1417</v>
      </c>
      <c r="T2747" t="s">
        <v>1485</v>
      </c>
      <c r="U2747">
        <v>187300</v>
      </c>
      <c r="V2747" t="s">
        <v>9164</v>
      </c>
      <c r="W2747" t="s">
        <v>8639</v>
      </c>
      <c r="X2747" t="s">
        <v>15824</v>
      </c>
      <c r="Y2747" t="s">
        <v>15823</v>
      </c>
      <c r="AA2747" t="s">
        <v>15825</v>
      </c>
      <c r="AB2747" t="s">
        <v>15826</v>
      </c>
      <c r="AC2747">
        <v>99106</v>
      </c>
      <c r="AD2747" t="s">
        <v>8644</v>
      </c>
      <c r="AE2747">
        <v>-38.333177429999999</v>
      </c>
      <c r="AF2747">
        <v>175.15718862</v>
      </c>
      <c r="AG2747">
        <v>35</v>
      </c>
      <c r="AH2747">
        <v>9</v>
      </c>
      <c r="AI2747">
        <v>1</v>
      </c>
      <c r="AJ2747">
        <v>9</v>
      </c>
      <c r="AK2747">
        <v>10</v>
      </c>
      <c r="AL2747">
        <v>11</v>
      </c>
      <c r="AM2747">
        <v>12</v>
      </c>
      <c r="AN2747">
        <v>0</v>
      </c>
      <c r="AO2747">
        <v>43</v>
      </c>
      <c r="AP2747">
        <v>22</v>
      </c>
      <c r="AQ2747">
        <v>28</v>
      </c>
      <c r="AR2747">
        <v>2</v>
      </c>
      <c r="AS2747">
        <v>4</v>
      </c>
      <c r="AT2747">
        <v>1</v>
      </c>
    </row>
    <row r="2748" spans="1:46">
      <c r="A2748">
        <v>47310</v>
      </c>
      <c r="B2748" t="s">
        <v>15827</v>
      </c>
      <c r="C2748" t="s">
        <v>15828</v>
      </c>
      <c r="E2748" t="s">
        <v>15829</v>
      </c>
      <c r="G2748" t="s">
        <v>7797</v>
      </c>
      <c r="H2748" t="s">
        <v>3942</v>
      </c>
      <c r="J2748" t="s">
        <v>3962</v>
      </c>
      <c r="K2748" t="s">
        <v>519</v>
      </c>
      <c r="M2748" t="s">
        <v>1297</v>
      </c>
      <c r="N2748" t="s">
        <v>557</v>
      </c>
      <c r="O2748" t="s">
        <v>1351</v>
      </c>
      <c r="P2748" t="s">
        <v>523</v>
      </c>
      <c r="Q2748" t="s">
        <v>1299</v>
      </c>
      <c r="R2748" t="s">
        <v>1300</v>
      </c>
      <c r="S2748" t="s">
        <v>1246</v>
      </c>
      <c r="T2748" t="s">
        <v>1235</v>
      </c>
      <c r="U2748">
        <v>171101</v>
      </c>
      <c r="V2748" t="s">
        <v>7798</v>
      </c>
      <c r="W2748" t="s">
        <v>7799</v>
      </c>
      <c r="X2748" t="s">
        <v>15830</v>
      </c>
      <c r="Y2748" t="s">
        <v>4107</v>
      </c>
      <c r="AA2748" t="s">
        <v>3982</v>
      </c>
      <c r="AE2748">
        <v>-37.405687440000001</v>
      </c>
      <c r="AF2748">
        <v>175.1419836</v>
      </c>
      <c r="AG2748">
        <v>80</v>
      </c>
      <c r="AH2748">
        <v>16</v>
      </c>
      <c r="AI2748">
        <v>3</v>
      </c>
      <c r="AJ2748">
        <v>8</v>
      </c>
      <c r="AK2748">
        <v>14</v>
      </c>
      <c r="AL2748">
        <v>25</v>
      </c>
      <c r="AM2748">
        <v>30</v>
      </c>
      <c r="AN2748">
        <v>3</v>
      </c>
      <c r="AO2748">
        <v>83</v>
      </c>
      <c r="AP2748">
        <v>54</v>
      </c>
      <c r="AQ2748">
        <v>22</v>
      </c>
      <c r="AR2748">
        <v>12</v>
      </c>
      <c r="AS2748">
        <v>25</v>
      </c>
      <c r="AT2748">
        <v>5</v>
      </c>
    </row>
    <row r="2749" spans="1:46">
      <c r="A2749">
        <v>47311</v>
      </c>
      <c r="B2749" t="s">
        <v>15831</v>
      </c>
      <c r="D2749" t="s">
        <v>15832</v>
      </c>
      <c r="E2749" t="s">
        <v>7274</v>
      </c>
      <c r="F2749" t="s">
        <v>4203</v>
      </c>
      <c r="G2749" t="s">
        <v>652</v>
      </c>
      <c r="H2749" t="s">
        <v>4716</v>
      </c>
      <c r="J2749" t="s">
        <v>3962</v>
      </c>
      <c r="K2749" t="s">
        <v>519</v>
      </c>
      <c r="M2749" t="s">
        <v>520</v>
      </c>
      <c r="N2749" t="s">
        <v>557</v>
      </c>
      <c r="O2749" t="s">
        <v>1216</v>
      </c>
      <c r="P2749" t="s">
        <v>654</v>
      </c>
      <c r="Q2749" t="s">
        <v>638</v>
      </c>
      <c r="R2749" t="s">
        <v>729</v>
      </c>
      <c r="S2749" t="s">
        <v>1036</v>
      </c>
      <c r="T2749" t="s">
        <v>709</v>
      </c>
      <c r="U2749">
        <v>160700</v>
      </c>
      <c r="V2749" t="s">
        <v>7275</v>
      </c>
      <c r="W2749" t="s">
        <v>1219</v>
      </c>
      <c r="X2749" t="s">
        <v>15833</v>
      </c>
      <c r="Y2749" t="s">
        <v>7274</v>
      </c>
      <c r="Z2749" t="s">
        <v>4203</v>
      </c>
      <c r="AA2749" t="s">
        <v>7740</v>
      </c>
      <c r="AE2749">
        <v>-37.049539889999998</v>
      </c>
      <c r="AF2749">
        <v>174.85876117000001</v>
      </c>
      <c r="AG2749">
        <v>50</v>
      </c>
      <c r="AH2749">
        <v>50</v>
      </c>
      <c r="AI2749">
        <v>0</v>
      </c>
      <c r="AJ2749">
        <v>2</v>
      </c>
      <c r="AK2749">
        <v>7</v>
      </c>
      <c r="AL2749">
        <v>12</v>
      </c>
      <c r="AM2749">
        <v>17</v>
      </c>
      <c r="AN2749">
        <v>3</v>
      </c>
      <c r="AO2749">
        <v>41</v>
      </c>
      <c r="AP2749">
        <v>8</v>
      </c>
      <c r="AQ2749">
        <v>7</v>
      </c>
      <c r="AR2749">
        <v>13</v>
      </c>
      <c r="AS2749">
        <v>20</v>
      </c>
      <c r="AT2749">
        <v>2</v>
      </c>
    </row>
    <row r="2750" spans="1:46">
      <c r="A2750">
        <v>47314</v>
      </c>
      <c r="B2750" t="s">
        <v>15834</v>
      </c>
      <c r="C2750" t="s">
        <v>12819</v>
      </c>
      <c r="E2750" t="s">
        <v>15835</v>
      </c>
      <c r="G2750" t="s">
        <v>2853</v>
      </c>
      <c r="H2750" t="s">
        <v>3942</v>
      </c>
      <c r="J2750" t="s">
        <v>3962</v>
      </c>
      <c r="K2750" t="s">
        <v>519</v>
      </c>
      <c r="M2750" t="s">
        <v>2287</v>
      </c>
      <c r="N2750" t="s">
        <v>571</v>
      </c>
      <c r="O2750" t="s">
        <v>2868</v>
      </c>
      <c r="P2750" t="s">
        <v>523</v>
      </c>
      <c r="Q2750" t="s">
        <v>2869</v>
      </c>
      <c r="R2750" t="s">
        <v>2824</v>
      </c>
      <c r="S2750" t="s">
        <v>2853</v>
      </c>
      <c r="T2750" t="s">
        <v>2448</v>
      </c>
      <c r="U2750">
        <v>302701</v>
      </c>
      <c r="V2750" t="s">
        <v>12822</v>
      </c>
      <c r="W2750" t="s">
        <v>2884</v>
      </c>
      <c r="X2750" t="s">
        <v>15836</v>
      </c>
      <c r="Y2750" t="s">
        <v>12821</v>
      </c>
      <c r="Z2750" t="s">
        <v>12822</v>
      </c>
      <c r="AA2750" t="s">
        <v>12824</v>
      </c>
      <c r="AB2750" t="s">
        <v>15837</v>
      </c>
      <c r="AC2750">
        <v>99142</v>
      </c>
      <c r="AD2750" t="s">
        <v>2885</v>
      </c>
      <c r="AE2750">
        <v>-41.354415070000002</v>
      </c>
      <c r="AF2750">
        <v>173.15426044</v>
      </c>
      <c r="AG2750">
        <v>24</v>
      </c>
      <c r="AH2750">
        <v>18</v>
      </c>
      <c r="AI2750">
        <v>4</v>
      </c>
      <c r="AJ2750">
        <v>14</v>
      </c>
      <c r="AK2750">
        <v>8</v>
      </c>
      <c r="AL2750">
        <v>0</v>
      </c>
      <c r="AM2750">
        <v>0</v>
      </c>
      <c r="AN2750">
        <v>0</v>
      </c>
      <c r="AO2750">
        <v>26</v>
      </c>
      <c r="AP2750">
        <v>24</v>
      </c>
      <c r="AQ2750">
        <v>4</v>
      </c>
      <c r="AR2750">
        <v>1</v>
      </c>
      <c r="AS2750">
        <v>0</v>
      </c>
      <c r="AT2750">
        <v>1</v>
      </c>
    </row>
    <row r="2751" spans="1:46">
      <c r="A2751">
        <v>47316</v>
      </c>
      <c r="B2751" t="s">
        <v>15838</v>
      </c>
      <c r="C2751" t="s">
        <v>15839</v>
      </c>
      <c r="D2751" t="s">
        <v>15840</v>
      </c>
      <c r="E2751" t="s">
        <v>15841</v>
      </c>
      <c r="F2751" t="s">
        <v>858</v>
      </c>
      <c r="G2751" t="s">
        <v>652</v>
      </c>
      <c r="H2751" t="s">
        <v>3942</v>
      </c>
      <c r="J2751" t="s">
        <v>3962</v>
      </c>
      <c r="K2751" t="s">
        <v>519</v>
      </c>
      <c r="M2751" t="s">
        <v>520</v>
      </c>
      <c r="N2751" t="s">
        <v>571</v>
      </c>
      <c r="O2751" t="s">
        <v>857</v>
      </c>
      <c r="P2751" t="s">
        <v>654</v>
      </c>
      <c r="Q2751" t="s">
        <v>638</v>
      </c>
      <c r="R2751" t="s">
        <v>708</v>
      </c>
      <c r="S2751" t="s">
        <v>858</v>
      </c>
      <c r="T2751" t="s">
        <v>709</v>
      </c>
      <c r="U2751">
        <v>136801</v>
      </c>
      <c r="V2751" t="s">
        <v>5126</v>
      </c>
      <c r="W2751" t="s">
        <v>860</v>
      </c>
      <c r="X2751" t="s">
        <v>15842</v>
      </c>
      <c r="Y2751" t="s">
        <v>15841</v>
      </c>
      <c r="Z2751" t="s">
        <v>855</v>
      </c>
      <c r="AA2751" t="s">
        <v>4876</v>
      </c>
      <c r="AE2751">
        <v>-36.895623620000002</v>
      </c>
      <c r="AF2751">
        <v>174.72060221999999</v>
      </c>
      <c r="AG2751">
        <v>50</v>
      </c>
      <c r="AH2751">
        <v>8</v>
      </c>
      <c r="AI2751">
        <v>3</v>
      </c>
      <c r="AJ2751">
        <v>7</v>
      </c>
      <c r="AK2751">
        <v>13</v>
      </c>
      <c r="AL2751">
        <v>13</v>
      </c>
      <c r="AM2751">
        <v>13</v>
      </c>
      <c r="AN2751">
        <v>3</v>
      </c>
      <c r="AO2751">
        <v>52</v>
      </c>
      <c r="AP2751">
        <v>12</v>
      </c>
      <c r="AQ2751">
        <v>4</v>
      </c>
      <c r="AR2751">
        <v>13</v>
      </c>
      <c r="AS2751">
        <v>27</v>
      </c>
      <c r="AT2751">
        <v>5</v>
      </c>
    </row>
    <row r="2752" spans="1:46">
      <c r="A2752">
        <v>47317</v>
      </c>
      <c r="B2752" t="s">
        <v>15843</v>
      </c>
      <c r="C2752" t="s">
        <v>15844</v>
      </c>
      <c r="E2752" t="s">
        <v>15845</v>
      </c>
      <c r="F2752" t="s">
        <v>747</v>
      </c>
      <c r="G2752" t="s">
        <v>652</v>
      </c>
      <c r="H2752" t="s">
        <v>3942</v>
      </c>
      <c r="J2752" t="s">
        <v>3962</v>
      </c>
      <c r="K2752" t="s">
        <v>519</v>
      </c>
      <c r="M2752" t="s">
        <v>520</v>
      </c>
      <c r="N2752" t="s">
        <v>571</v>
      </c>
      <c r="O2752" t="s">
        <v>748</v>
      </c>
      <c r="P2752" t="s">
        <v>654</v>
      </c>
      <c r="Q2752" t="s">
        <v>638</v>
      </c>
      <c r="R2752" t="s">
        <v>639</v>
      </c>
      <c r="S2752" t="s">
        <v>682</v>
      </c>
      <c r="T2752" t="s">
        <v>527</v>
      </c>
      <c r="U2752">
        <v>129300</v>
      </c>
      <c r="V2752" t="s">
        <v>5993</v>
      </c>
      <c r="W2752" t="s">
        <v>741</v>
      </c>
      <c r="X2752" t="s">
        <v>15846</v>
      </c>
      <c r="Y2752" t="s">
        <v>15847</v>
      </c>
      <c r="Z2752" t="s">
        <v>3706</v>
      </c>
      <c r="AA2752" t="s">
        <v>4099</v>
      </c>
      <c r="AB2752" t="s">
        <v>15848</v>
      </c>
      <c r="AC2752">
        <v>99048</v>
      </c>
      <c r="AD2752" t="s">
        <v>750</v>
      </c>
      <c r="AE2752">
        <v>-36.809796830000003</v>
      </c>
      <c r="AF2752">
        <v>174.78654564000001</v>
      </c>
      <c r="AG2752">
        <v>51</v>
      </c>
      <c r="AH2752">
        <v>11</v>
      </c>
      <c r="AI2752">
        <v>4</v>
      </c>
      <c r="AJ2752">
        <v>9</v>
      </c>
      <c r="AK2752">
        <v>14</v>
      </c>
      <c r="AL2752">
        <v>15</v>
      </c>
      <c r="AM2752">
        <v>16</v>
      </c>
      <c r="AN2752">
        <v>0</v>
      </c>
      <c r="AO2752">
        <v>58</v>
      </c>
      <c r="AP2752">
        <v>47</v>
      </c>
      <c r="AQ2752">
        <v>8</v>
      </c>
      <c r="AR2752">
        <v>1</v>
      </c>
      <c r="AS2752">
        <v>9</v>
      </c>
      <c r="AT2752">
        <v>3</v>
      </c>
    </row>
    <row r="2753" spans="1:46">
      <c r="A2753">
        <v>47318</v>
      </c>
      <c r="B2753" t="s">
        <v>15849</v>
      </c>
      <c r="C2753" t="s">
        <v>15850</v>
      </c>
      <c r="D2753" t="s">
        <v>15851</v>
      </c>
      <c r="E2753" t="s">
        <v>15852</v>
      </c>
      <c r="G2753" t="s">
        <v>13481</v>
      </c>
      <c r="H2753" t="s">
        <v>3942</v>
      </c>
      <c r="J2753" t="s">
        <v>3962</v>
      </c>
      <c r="K2753" t="s">
        <v>519</v>
      </c>
      <c r="M2753" t="s">
        <v>2287</v>
      </c>
      <c r="N2753" t="s">
        <v>571</v>
      </c>
      <c r="O2753" t="s">
        <v>13482</v>
      </c>
      <c r="P2753" t="s">
        <v>523</v>
      </c>
      <c r="Q2753" t="s">
        <v>2943</v>
      </c>
      <c r="R2753" t="s">
        <v>2944</v>
      </c>
      <c r="S2753" t="s">
        <v>2825</v>
      </c>
      <c r="T2753" t="s">
        <v>2448</v>
      </c>
      <c r="U2753">
        <v>312901</v>
      </c>
      <c r="V2753" t="s">
        <v>13481</v>
      </c>
      <c r="W2753" t="s">
        <v>13483</v>
      </c>
      <c r="X2753" t="s">
        <v>15853</v>
      </c>
      <c r="Y2753" t="s">
        <v>15854</v>
      </c>
      <c r="Z2753" t="s">
        <v>13481</v>
      </c>
      <c r="AA2753" t="s">
        <v>15855</v>
      </c>
      <c r="AB2753" t="s">
        <v>15856</v>
      </c>
      <c r="AC2753">
        <v>99077</v>
      </c>
      <c r="AD2753" t="s">
        <v>2968</v>
      </c>
      <c r="AE2753">
        <v>-43.157027980000002</v>
      </c>
      <c r="AF2753">
        <v>172.73844969999999</v>
      </c>
      <c r="AG2753">
        <v>65</v>
      </c>
      <c r="AH2753">
        <v>20</v>
      </c>
      <c r="AI2753">
        <v>7</v>
      </c>
      <c r="AJ2753">
        <v>19</v>
      </c>
      <c r="AK2753">
        <v>15</v>
      </c>
      <c r="AL2753">
        <v>23</v>
      </c>
      <c r="AM2753">
        <v>13</v>
      </c>
      <c r="AN2753">
        <v>1</v>
      </c>
      <c r="AO2753">
        <v>78</v>
      </c>
      <c r="AP2753">
        <v>72</v>
      </c>
      <c r="AQ2753">
        <v>8</v>
      </c>
      <c r="AR2753">
        <v>1</v>
      </c>
      <c r="AS2753">
        <v>2</v>
      </c>
      <c r="AT2753">
        <v>1</v>
      </c>
    </row>
    <row r="2754" spans="1:46">
      <c r="A2754">
        <v>47321</v>
      </c>
      <c r="B2754" t="s">
        <v>15857</v>
      </c>
      <c r="C2754" t="s">
        <v>14158</v>
      </c>
      <c r="D2754" t="s">
        <v>15858</v>
      </c>
      <c r="E2754" t="s">
        <v>15053</v>
      </c>
      <c r="G2754" t="s">
        <v>2216</v>
      </c>
      <c r="H2754" t="s">
        <v>4716</v>
      </c>
      <c r="J2754" t="s">
        <v>3962</v>
      </c>
      <c r="K2754" t="s">
        <v>519</v>
      </c>
      <c r="M2754" t="s">
        <v>1297</v>
      </c>
      <c r="N2754" t="s">
        <v>571</v>
      </c>
      <c r="O2754" t="s">
        <v>2198</v>
      </c>
      <c r="P2754" t="s">
        <v>1262</v>
      </c>
      <c r="Q2754" t="s">
        <v>2118</v>
      </c>
      <c r="R2754" t="s">
        <v>1760</v>
      </c>
      <c r="S2754" t="s">
        <v>2199</v>
      </c>
      <c r="T2754" t="s">
        <v>2085</v>
      </c>
      <c r="U2754">
        <v>211600</v>
      </c>
      <c r="V2754" t="s">
        <v>8721</v>
      </c>
      <c r="W2754" t="s">
        <v>2200</v>
      </c>
      <c r="X2754" t="s">
        <v>15859</v>
      </c>
      <c r="Y2754" t="s">
        <v>8723</v>
      </c>
      <c r="Z2754" t="s">
        <v>2216</v>
      </c>
      <c r="AA2754" t="s">
        <v>8724</v>
      </c>
      <c r="AB2754" t="s">
        <v>14158</v>
      </c>
      <c r="AE2754">
        <v>-39.668052330000002</v>
      </c>
      <c r="AF2754">
        <v>176.87792060000001</v>
      </c>
      <c r="AG2754">
        <v>50</v>
      </c>
      <c r="AH2754">
        <v>50</v>
      </c>
      <c r="AI2754">
        <v>0</v>
      </c>
      <c r="AJ2754">
        <v>12</v>
      </c>
      <c r="AK2754">
        <v>21</v>
      </c>
      <c r="AL2754">
        <v>9</v>
      </c>
      <c r="AM2754">
        <v>7</v>
      </c>
      <c r="AN2754">
        <v>0</v>
      </c>
      <c r="AO2754">
        <v>49</v>
      </c>
      <c r="AP2754">
        <v>47</v>
      </c>
      <c r="AQ2754">
        <v>17</v>
      </c>
      <c r="AR2754">
        <v>4</v>
      </c>
      <c r="AS2754">
        <v>1</v>
      </c>
      <c r="AT2754">
        <v>1</v>
      </c>
    </row>
    <row r="2755" spans="1:46">
      <c r="A2755">
        <v>47324</v>
      </c>
      <c r="B2755" t="s">
        <v>15860</v>
      </c>
      <c r="C2755" t="s">
        <v>15861</v>
      </c>
      <c r="D2755" t="s">
        <v>15862</v>
      </c>
      <c r="E2755" t="s">
        <v>15863</v>
      </c>
      <c r="F2755" t="s">
        <v>13107</v>
      </c>
      <c r="G2755" t="s">
        <v>652</v>
      </c>
      <c r="H2755" t="s">
        <v>3942</v>
      </c>
      <c r="J2755" t="s">
        <v>3962</v>
      </c>
      <c r="K2755" t="s">
        <v>519</v>
      </c>
      <c r="M2755" t="s">
        <v>520</v>
      </c>
      <c r="N2755" t="s">
        <v>571</v>
      </c>
      <c r="O2755" t="s">
        <v>829</v>
      </c>
      <c r="P2755" t="s">
        <v>654</v>
      </c>
      <c r="Q2755" t="s">
        <v>638</v>
      </c>
      <c r="R2755" t="s">
        <v>729</v>
      </c>
      <c r="S2755" t="s">
        <v>805</v>
      </c>
      <c r="T2755" t="s">
        <v>709</v>
      </c>
      <c r="U2755">
        <v>145900</v>
      </c>
      <c r="V2755" t="s">
        <v>13807</v>
      </c>
      <c r="W2755" t="s">
        <v>807</v>
      </c>
      <c r="X2755" t="s">
        <v>15049</v>
      </c>
      <c r="Y2755" t="s">
        <v>15864</v>
      </c>
      <c r="Z2755" t="s">
        <v>11745</v>
      </c>
      <c r="AA2755" t="s">
        <v>4911</v>
      </c>
      <c r="AE2755">
        <v>-36.92053791</v>
      </c>
      <c r="AF2755">
        <v>174.8378337</v>
      </c>
      <c r="AG2755">
        <v>100</v>
      </c>
      <c r="AH2755">
        <v>30</v>
      </c>
      <c r="AI2755">
        <v>5</v>
      </c>
      <c r="AJ2755">
        <v>30</v>
      </c>
      <c r="AK2755">
        <v>19</v>
      </c>
      <c r="AL2755">
        <v>12</v>
      </c>
      <c r="AM2755">
        <v>21</v>
      </c>
      <c r="AN2755">
        <v>0</v>
      </c>
      <c r="AO2755">
        <v>87</v>
      </c>
      <c r="AP2755">
        <v>57</v>
      </c>
      <c r="AQ2755">
        <v>7</v>
      </c>
      <c r="AR2755">
        <v>9</v>
      </c>
      <c r="AS2755">
        <v>33</v>
      </c>
      <c r="AT2755">
        <v>9</v>
      </c>
    </row>
    <row r="2756" spans="1:46">
      <c r="A2756">
        <v>47325</v>
      </c>
      <c r="B2756" t="s">
        <v>15865</v>
      </c>
      <c r="C2756" t="s">
        <v>15866</v>
      </c>
      <c r="D2756" t="s">
        <v>12975</v>
      </c>
      <c r="E2756" t="s">
        <v>12976</v>
      </c>
      <c r="F2756" t="s">
        <v>2053</v>
      </c>
      <c r="G2756" t="s">
        <v>1974</v>
      </c>
      <c r="H2756" t="s">
        <v>4716</v>
      </c>
      <c r="J2756" t="s">
        <v>3962</v>
      </c>
      <c r="K2756" t="s">
        <v>519</v>
      </c>
      <c r="M2756" t="s">
        <v>1297</v>
      </c>
      <c r="N2756" t="s">
        <v>571</v>
      </c>
      <c r="O2756" t="s">
        <v>1956</v>
      </c>
      <c r="P2756" t="s">
        <v>584</v>
      </c>
      <c r="Q2756" t="s">
        <v>1636</v>
      </c>
      <c r="R2756" t="s">
        <v>1760</v>
      </c>
      <c r="S2756" t="s">
        <v>1974</v>
      </c>
      <c r="T2756" t="s">
        <v>1485</v>
      </c>
      <c r="U2756">
        <v>230100</v>
      </c>
      <c r="V2756" t="s">
        <v>11763</v>
      </c>
      <c r="W2756" t="s">
        <v>1957</v>
      </c>
      <c r="X2756" t="s">
        <v>12977</v>
      </c>
      <c r="Y2756" t="s">
        <v>12976</v>
      </c>
      <c r="AA2756" t="s">
        <v>15867</v>
      </c>
      <c r="AB2756" t="s">
        <v>12978</v>
      </c>
      <c r="AE2756">
        <v>-40.354767889999998</v>
      </c>
      <c r="AF2756">
        <v>175.59716933000001</v>
      </c>
      <c r="AG2756">
        <v>50</v>
      </c>
      <c r="AH2756">
        <v>50</v>
      </c>
      <c r="AI2756">
        <v>1</v>
      </c>
      <c r="AJ2756">
        <v>6</v>
      </c>
      <c r="AK2756">
        <v>8</v>
      </c>
      <c r="AL2756">
        <v>6</v>
      </c>
      <c r="AM2756">
        <v>7</v>
      </c>
      <c r="AN2756">
        <v>0</v>
      </c>
      <c r="AO2756">
        <v>28</v>
      </c>
      <c r="AP2756">
        <v>24</v>
      </c>
      <c r="AQ2756">
        <v>10</v>
      </c>
      <c r="AR2756">
        <v>0</v>
      </c>
      <c r="AS2756">
        <v>1</v>
      </c>
      <c r="AT2756">
        <v>1</v>
      </c>
    </row>
    <row r="2757" spans="1:46">
      <c r="A2757">
        <v>47327</v>
      </c>
      <c r="B2757" t="s">
        <v>15868</v>
      </c>
      <c r="C2757" t="s">
        <v>15869</v>
      </c>
      <c r="D2757" t="s">
        <v>8035</v>
      </c>
      <c r="E2757" t="s">
        <v>15870</v>
      </c>
      <c r="G2757" t="s">
        <v>2963</v>
      </c>
      <c r="H2757" t="s">
        <v>3942</v>
      </c>
      <c r="J2757" t="s">
        <v>3962</v>
      </c>
      <c r="K2757" t="s">
        <v>519</v>
      </c>
      <c r="M2757" t="s">
        <v>2287</v>
      </c>
      <c r="N2757" t="s">
        <v>571</v>
      </c>
      <c r="O2757" t="s">
        <v>2964</v>
      </c>
      <c r="P2757" t="s">
        <v>1262</v>
      </c>
      <c r="Q2757" t="s">
        <v>2943</v>
      </c>
      <c r="R2757" t="s">
        <v>2944</v>
      </c>
      <c r="S2757" t="s">
        <v>2965</v>
      </c>
      <c r="T2757" t="s">
        <v>2448</v>
      </c>
      <c r="U2757">
        <v>314600</v>
      </c>
      <c r="V2757" t="s">
        <v>15871</v>
      </c>
      <c r="W2757" t="s">
        <v>2967</v>
      </c>
      <c r="X2757" t="s">
        <v>15566</v>
      </c>
      <c r="Y2757" t="s">
        <v>15872</v>
      </c>
      <c r="AA2757" t="s">
        <v>8039</v>
      </c>
      <c r="AB2757" t="s">
        <v>15873</v>
      </c>
      <c r="AE2757">
        <v>-43.312044350000001</v>
      </c>
      <c r="AF2757">
        <v>172.59496242</v>
      </c>
      <c r="AG2757">
        <v>74</v>
      </c>
      <c r="AH2757">
        <v>24</v>
      </c>
      <c r="AI2757">
        <v>6</v>
      </c>
      <c r="AJ2757">
        <v>12</v>
      </c>
      <c r="AK2757">
        <v>17</v>
      </c>
      <c r="AL2757">
        <v>12</v>
      </c>
      <c r="AM2757">
        <v>5</v>
      </c>
      <c r="AN2757">
        <v>0</v>
      </c>
      <c r="AO2757">
        <v>52</v>
      </c>
      <c r="AP2757">
        <v>42</v>
      </c>
      <c r="AQ2757">
        <v>9</v>
      </c>
      <c r="AR2757">
        <v>3</v>
      </c>
      <c r="AS2757">
        <v>3</v>
      </c>
      <c r="AT2757">
        <v>5</v>
      </c>
    </row>
    <row r="2758" spans="1:46">
      <c r="A2758">
        <v>47329</v>
      </c>
      <c r="B2758" t="s">
        <v>15874</v>
      </c>
      <c r="C2758" t="s">
        <v>15875</v>
      </c>
      <c r="D2758" t="s">
        <v>15876</v>
      </c>
      <c r="E2758" t="s">
        <v>15877</v>
      </c>
      <c r="F2758" t="s">
        <v>4921</v>
      </c>
      <c r="G2758" t="s">
        <v>652</v>
      </c>
      <c r="H2758" t="s">
        <v>3942</v>
      </c>
      <c r="J2758" t="s">
        <v>3962</v>
      </c>
      <c r="K2758" t="s">
        <v>519</v>
      </c>
      <c r="M2758" t="s">
        <v>520</v>
      </c>
      <c r="N2758" t="s">
        <v>571</v>
      </c>
      <c r="O2758" t="s">
        <v>957</v>
      </c>
      <c r="P2758" t="s">
        <v>654</v>
      </c>
      <c r="Q2758" t="s">
        <v>638</v>
      </c>
      <c r="R2758" t="s">
        <v>708</v>
      </c>
      <c r="S2758" t="s">
        <v>958</v>
      </c>
      <c r="T2758" t="s">
        <v>709</v>
      </c>
      <c r="U2758">
        <v>133200</v>
      </c>
      <c r="V2758" t="s">
        <v>15878</v>
      </c>
      <c r="W2758" t="s">
        <v>959</v>
      </c>
      <c r="X2758" t="s">
        <v>15879</v>
      </c>
      <c r="Y2758" t="s">
        <v>15880</v>
      </c>
      <c r="Z2758" t="s">
        <v>1096</v>
      </c>
      <c r="AA2758" t="s">
        <v>15881</v>
      </c>
      <c r="AB2758" t="s">
        <v>7462</v>
      </c>
      <c r="AE2758">
        <v>-36.846533549999997</v>
      </c>
      <c r="AF2758">
        <v>174.76576890000001</v>
      </c>
      <c r="AG2758">
        <v>50</v>
      </c>
      <c r="AH2758">
        <v>19</v>
      </c>
      <c r="AI2758">
        <v>3</v>
      </c>
      <c r="AJ2758">
        <v>6</v>
      </c>
      <c r="AK2758">
        <v>9</v>
      </c>
      <c r="AL2758">
        <v>10</v>
      </c>
      <c r="AM2758">
        <v>4</v>
      </c>
      <c r="AN2758">
        <v>0</v>
      </c>
      <c r="AO2758">
        <v>32</v>
      </c>
      <c r="AP2758">
        <v>12</v>
      </c>
      <c r="AQ2758">
        <v>1</v>
      </c>
      <c r="AR2758">
        <v>3</v>
      </c>
      <c r="AS2758">
        <v>22</v>
      </c>
      <c r="AT2758">
        <v>3</v>
      </c>
    </row>
    <row r="2759" spans="1:46">
      <c r="A2759">
        <v>47330</v>
      </c>
      <c r="B2759" t="s">
        <v>9023</v>
      </c>
      <c r="C2759" t="s">
        <v>15882</v>
      </c>
      <c r="D2759" t="s">
        <v>15883</v>
      </c>
      <c r="E2759" t="s">
        <v>9026</v>
      </c>
      <c r="G2759" t="s">
        <v>2427</v>
      </c>
      <c r="H2759" t="s">
        <v>4716</v>
      </c>
      <c r="J2759" t="s">
        <v>3962</v>
      </c>
      <c r="K2759" t="s">
        <v>519</v>
      </c>
      <c r="M2759" t="s">
        <v>2287</v>
      </c>
      <c r="N2759" t="s">
        <v>571</v>
      </c>
      <c r="O2759" t="s">
        <v>2428</v>
      </c>
      <c r="P2759" t="s">
        <v>654</v>
      </c>
      <c r="Q2759" t="s">
        <v>2319</v>
      </c>
      <c r="R2759" t="s">
        <v>2289</v>
      </c>
      <c r="S2759" t="s">
        <v>2429</v>
      </c>
      <c r="T2759" t="s">
        <v>2448</v>
      </c>
      <c r="U2759">
        <v>244300</v>
      </c>
      <c r="V2759" t="s">
        <v>9027</v>
      </c>
      <c r="W2759" t="s">
        <v>2443</v>
      </c>
      <c r="X2759" t="s">
        <v>15884</v>
      </c>
      <c r="Y2759" t="s">
        <v>9026</v>
      </c>
      <c r="Z2759" t="s">
        <v>2427</v>
      </c>
      <c r="AA2759" t="s">
        <v>9029</v>
      </c>
      <c r="AB2759" t="s">
        <v>12169</v>
      </c>
      <c r="AE2759">
        <v>-41.207206800000002</v>
      </c>
      <c r="AF2759">
        <v>174.9101445</v>
      </c>
      <c r="AG2759">
        <v>80</v>
      </c>
      <c r="AH2759">
        <v>80</v>
      </c>
      <c r="AI2759">
        <v>0</v>
      </c>
      <c r="AJ2759">
        <v>6</v>
      </c>
      <c r="AK2759">
        <v>4</v>
      </c>
      <c r="AL2759">
        <v>1</v>
      </c>
      <c r="AM2759">
        <v>5</v>
      </c>
      <c r="AN2759">
        <v>0</v>
      </c>
      <c r="AO2759">
        <v>16</v>
      </c>
      <c r="AP2759">
        <v>13</v>
      </c>
      <c r="AQ2759">
        <v>2</v>
      </c>
      <c r="AR2759">
        <v>0</v>
      </c>
      <c r="AS2759">
        <v>4</v>
      </c>
      <c r="AT2759">
        <v>0</v>
      </c>
    </row>
    <row r="2760" spans="1:46">
      <c r="A2760">
        <v>47332</v>
      </c>
      <c r="B2760" t="s">
        <v>15885</v>
      </c>
      <c r="C2760" t="s">
        <v>15886</v>
      </c>
      <c r="D2760" t="s">
        <v>15887</v>
      </c>
      <c r="E2760" t="s">
        <v>15888</v>
      </c>
      <c r="F2760" t="s">
        <v>15889</v>
      </c>
      <c r="G2760" t="s">
        <v>1296</v>
      </c>
      <c r="H2760" t="s">
        <v>3942</v>
      </c>
      <c r="J2760" t="s">
        <v>3962</v>
      </c>
      <c r="K2760" t="s">
        <v>519</v>
      </c>
      <c r="M2760" t="s">
        <v>1297</v>
      </c>
      <c r="N2760" t="s">
        <v>571</v>
      </c>
      <c r="O2760" t="s">
        <v>1319</v>
      </c>
      <c r="P2760" t="s">
        <v>540</v>
      </c>
      <c r="Q2760" t="s">
        <v>1299</v>
      </c>
      <c r="R2760" t="s">
        <v>1300</v>
      </c>
      <c r="S2760" t="s">
        <v>1417</v>
      </c>
      <c r="T2760" t="s">
        <v>1235</v>
      </c>
      <c r="U2760">
        <v>181600</v>
      </c>
      <c r="V2760" t="s">
        <v>9121</v>
      </c>
      <c r="W2760" t="s">
        <v>8964</v>
      </c>
      <c r="X2760" t="s">
        <v>15890</v>
      </c>
      <c r="Y2760" t="s">
        <v>15891</v>
      </c>
      <c r="Z2760" t="s">
        <v>9080</v>
      </c>
      <c r="AA2760" t="s">
        <v>15892</v>
      </c>
      <c r="AB2760" t="s">
        <v>15893</v>
      </c>
      <c r="AE2760">
        <v>-37.852568169999998</v>
      </c>
      <c r="AF2760">
        <v>175.30582127</v>
      </c>
      <c r="AG2760">
        <v>40</v>
      </c>
      <c r="AH2760">
        <v>15</v>
      </c>
      <c r="AI2760">
        <v>1</v>
      </c>
      <c r="AJ2760">
        <v>6</v>
      </c>
      <c r="AK2760">
        <v>11</v>
      </c>
      <c r="AL2760">
        <v>12</v>
      </c>
      <c r="AM2760">
        <v>11</v>
      </c>
      <c r="AN2760">
        <v>0</v>
      </c>
      <c r="AO2760">
        <v>41</v>
      </c>
      <c r="AP2760">
        <v>30</v>
      </c>
      <c r="AQ2760">
        <v>12</v>
      </c>
      <c r="AR2760">
        <v>6</v>
      </c>
      <c r="AS2760">
        <v>6</v>
      </c>
      <c r="AT2760">
        <v>6</v>
      </c>
    </row>
    <row r="2761" spans="1:46">
      <c r="A2761">
        <v>47335</v>
      </c>
      <c r="B2761" t="s">
        <v>15894</v>
      </c>
      <c r="C2761" t="s">
        <v>15895</v>
      </c>
      <c r="D2761" t="s">
        <v>15896</v>
      </c>
      <c r="E2761" t="s">
        <v>15897</v>
      </c>
      <c r="F2761" t="s">
        <v>5976</v>
      </c>
      <c r="G2761" t="s">
        <v>652</v>
      </c>
      <c r="H2761" t="s">
        <v>517</v>
      </c>
      <c r="I2761" t="s">
        <v>856</v>
      </c>
      <c r="J2761" t="s">
        <v>518</v>
      </c>
      <c r="K2761" t="s">
        <v>519</v>
      </c>
      <c r="M2761" t="s">
        <v>520</v>
      </c>
      <c r="N2761" t="s">
        <v>571</v>
      </c>
      <c r="O2761" t="s">
        <v>857</v>
      </c>
      <c r="P2761" t="s">
        <v>654</v>
      </c>
      <c r="Q2761" t="s">
        <v>638</v>
      </c>
      <c r="R2761" t="s">
        <v>708</v>
      </c>
      <c r="S2761" t="s">
        <v>858</v>
      </c>
      <c r="T2761" t="s">
        <v>709</v>
      </c>
      <c r="U2761">
        <v>129902</v>
      </c>
      <c r="V2761" t="s">
        <v>6520</v>
      </c>
      <c r="W2761" t="s">
        <v>860</v>
      </c>
      <c r="X2761" t="s">
        <v>642</v>
      </c>
      <c r="Y2761" t="s">
        <v>643</v>
      </c>
      <c r="Z2761" t="s">
        <v>644</v>
      </c>
      <c r="AA2761" t="s">
        <v>645</v>
      </c>
      <c r="AB2761" t="s">
        <v>646</v>
      </c>
      <c r="AE2761">
        <v>-36.863727050000001</v>
      </c>
      <c r="AF2761">
        <v>174.70930634999999</v>
      </c>
      <c r="AG2761">
        <v>40</v>
      </c>
      <c r="AH2761">
        <v>0</v>
      </c>
      <c r="AI2761">
        <v>0</v>
      </c>
      <c r="AJ2761">
        <v>0</v>
      </c>
      <c r="AK2761">
        <v>0</v>
      </c>
      <c r="AL2761">
        <v>18</v>
      </c>
      <c r="AM2761">
        <v>28</v>
      </c>
      <c r="AN2761">
        <v>0</v>
      </c>
      <c r="AO2761">
        <v>46</v>
      </c>
      <c r="AP2761">
        <v>32</v>
      </c>
      <c r="AQ2761">
        <v>3</v>
      </c>
      <c r="AR2761">
        <v>2</v>
      </c>
      <c r="AS2761">
        <v>10</v>
      </c>
      <c r="AT2761">
        <v>8</v>
      </c>
    </row>
    <row r="2762" spans="1:46">
      <c r="A2762">
        <v>47336</v>
      </c>
      <c r="B2762" t="s">
        <v>15898</v>
      </c>
      <c r="E2762" t="s">
        <v>15899</v>
      </c>
      <c r="G2762" t="s">
        <v>3526</v>
      </c>
      <c r="H2762" t="s">
        <v>3942</v>
      </c>
      <c r="J2762" t="s">
        <v>3962</v>
      </c>
      <c r="K2762" t="s">
        <v>519</v>
      </c>
      <c r="M2762" t="s">
        <v>2287</v>
      </c>
      <c r="N2762" t="s">
        <v>571</v>
      </c>
      <c r="O2762" t="s">
        <v>3527</v>
      </c>
      <c r="P2762" t="s">
        <v>523</v>
      </c>
      <c r="Q2762" t="s">
        <v>3497</v>
      </c>
      <c r="R2762" t="s">
        <v>3338</v>
      </c>
      <c r="S2762" t="s">
        <v>3361</v>
      </c>
      <c r="T2762" t="s">
        <v>2448</v>
      </c>
      <c r="U2762">
        <v>357501</v>
      </c>
      <c r="V2762" t="s">
        <v>3528</v>
      </c>
      <c r="W2762" t="s">
        <v>3529</v>
      </c>
      <c r="X2762" t="s">
        <v>15900</v>
      </c>
      <c r="Y2762" t="s">
        <v>15901</v>
      </c>
      <c r="AA2762" t="s">
        <v>12386</v>
      </c>
      <c r="AC2762">
        <v>99041</v>
      </c>
      <c r="AD2762" t="s">
        <v>3530</v>
      </c>
      <c r="AE2762">
        <v>-45.401051520000003</v>
      </c>
      <c r="AF2762">
        <v>167.71891869999999</v>
      </c>
      <c r="AG2762">
        <v>65</v>
      </c>
      <c r="AH2762">
        <v>20</v>
      </c>
      <c r="AI2762">
        <v>4</v>
      </c>
      <c r="AJ2762">
        <v>11</v>
      </c>
      <c r="AK2762">
        <v>8</v>
      </c>
      <c r="AL2762">
        <v>13</v>
      </c>
      <c r="AM2762">
        <v>14</v>
      </c>
      <c r="AN2762">
        <v>0</v>
      </c>
      <c r="AO2762">
        <v>50</v>
      </c>
      <c r="AP2762">
        <v>37</v>
      </c>
      <c r="AQ2762">
        <v>11</v>
      </c>
      <c r="AR2762">
        <v>0</v>
      </c>
      <c r="AS2762">
        <v>7</v>
      </c>
      <c r="AT2762">
        <v>2</v>
      </c>
    </row>
    <row r="2763" spans="1:46">
      <c r="A2763">
        <v>47337</v>
      </c>
      <c r="B2763" t="s">
        <v>15902</v>
      </c>
      <c r="C2763" t="s">
        <v>15903</v>
      </c>
      <c r="E2763" t="s">
        <v>15904</v>
      </c>
      <c r="G2763" t="s">
        <v>11192</v>
      </c>
      <c r="H2763" t="s">
        <v>3942</v>
      </c>
      <c r="J2763" t="s">
        <v>3962</v>
      </c>
      <c r="K2763" t="s">
        <v>519</v>
      </c>
      <c r="M2763" t="s">
        <v>2287</v>
      </c>
      <c r="N2763" t="s">
        <v>571</v>
      </c>
      <c r="O2763" t="s">
        <v>3835</v>
      </c>
      <c r="P2763" t="s">
        <v>523</v>
      </c>
      <c r="Q2763" t="s">
        <v>3337</v>
      </c>
      <c r="R2763" t="s">
        <v>3338</v>
      </c>
      <c r="S2763" t="s">
        <v>3250</v>
      </c>
      <c r="T2763" t="s">
        <v>2448</v>
      </c>
      <c r="U2763">
        <v>347101</v>
      </c>
      <c r="V2763" t="s">
        <v>15905</v>
      </c>
      <c r="W2763" t="s">
        <v>11194</v>
      </c>
      <c r="X2763" t="s">
        <v>15906</v>
      </c>
      <c r="Y2763" t="s">
        <v>15907</v>
      </c>
      <c r="AA2763" t="s">
        <v>15908</v>
      </c>
      <c r="AB2763" t="s">
        <v>15903</v>
      </c>
      <c r="AE2763">
        <v>-44.615333509999999</v>
      </c>
      <c r="AF2763">
        <v>169.25270943000001</v>
      </c>
      <c r="AG2763">
        <v>35</v>
      </c>
      <c r="AH2763">
        <v>16</v>
      </c>
      <c r="AI2763">
        <v>0</v>
      </c>
      <c r="AJ2763">
        <v>9</v>
      </c>
      <c r="AK2763">
        <v>13</v>
      </c>
      <c r="AL2763">
        <v>14</v>
      </c>
      <c r="AM2763">
        <v>9</v>
      </c>
      <c r="AN2763">
        <v>1</v>
      </c>
      <c r="AO2763">
        <v>46</v>
      </c>
      <c r="AP2763">
        <v>42</v>
      </c>
      <c r="AQ2763">
        <v>2</v>
      </c>
      <c r="AR2763">
        <v>0</v>
      </c>
      <c r="AS2763">
        <v>4</v>
      </c>
      <c r="AT2763">
        <v>4</v>
      </c>
    </row>
    <row r="2764" spans="1:46">
      <c r="A2764">
        <v>47338</v>
      </c>
      <c r="B2764" t="s">
        <v>15909</v>
      </c>
      <c r="C2764" t="s">
        <v>15910</v>
      </c>
      <c r="E2764" t="s">
        <v>15911</v>
      </c>
      <c r="F2764" t="s">
        <v>10377</v>
      </c>
      <c r="G2764" t="s">
        <v>1974</v>
      </c>
      <c r="H2764" t="s">
        <v>3942</v>
      </c>
      <c r="J2764" t="s">
        <v>518</v>
      </c>
      <c r="K2764" t="s">
        <v>519</v>
      </c>
      <c r="M2764" t="s">
        <v>1297</v>
      </c>
      <c r="N2764" t="s">
        <v>571</v>
      </c>
      <c r="O2764" t="s">
        <v>1956</v>
      </c>
      <c r="P2764" t="s">
        <v>584</v>
      </c>
      <c r="Q2764" t="s">
        <v>1636</v>
      </c>
      <c r="R2764" t="s">
        <v>1760</v>
      </c>
      <c r="S2764" t="s">
        <v>1974</v>
      </c>
      <c r="T2764" t="s">
        <v>1485</v>
      </c>
      <c r="U2764">
        <v>231101</v>
      </c>
      <c r="V2764" t="s">
        <v>15912</v>
      </c>
      <c r="W2764" t="s">
        <v>1957</v>
      </c>
      <c r="X2764" t="s">
        <v>10400</v>
      </c>
      <c r="Y2764" t="s">
        <v>3944</v>
      </c>
      <c r="Z2764" t="s">
        <v>3945</v>
      </c>
      <c r="AA2764" t="s">
        <v>3946</v>
      </c>
      <c r="AB2764" t="s">
        <v>10401</v>
      </c>
      <c r="AE2764">
        <v>-40.336769619999998</v>
      </c>
      <c r="AF2764">
        <v>175.65677099999999</v>
      </c>
      <c r="AG2764">
        <v>100</v>
      </c>
      <c r="AH2764">
        <v>20</v>
      </c>
      <c r="AI2764">
        <v>6</v>
      </c>
      <c r="AJ2764">
        <v>17</v>
      </c>
      <c r="AK2764">
        <v>28</v>
      </c>
      <c r="AL2764">
        <v>32</v>
      </c>
      <c r="AM2764">
        <v>32</v>
      </c>
      <c r="AN2764">
        <v>3</v>
      </c>
      <c r="AO2764">
        <v>118</v>
      </c>
      <c r="AP2764">
        <v>94</v>
      </c>
      <c r="AQ2764">
        <v>22</v>
      </c>
      <c r="AR2764">
        <v>7</v>
      </c>
      <c r="AS2764">
        <v>20</v>
      </c>
      <c r="AT2764">
        <v>9</v>
      </c>
    </row>
    <row r="2765" spans="1:46">
      <c r="A2765">
        <v>47345</v>
      </c>
      <c r="B2765" t="s">
        <v>15913</v>
      </c>
      <c r="C2765" t="s">
        <v>15914</v>
      </c>
      <c r="D2765" t="s">
        <v>15915</v>
      </c>
      <c r="E2765" t="s">
        <v>15916</v>
      </c>
      <c r="F2765" t="s">
        <v>15917</v>
      </c>
      <c r="G2765" t="s">
        <v>2289</v>
      </c>
      <c r="H2765" t="s">
        <v>3942</v>
      </c>
      <c r="J2765" t="s">
        <v>518</v>
      </c>
      <c r="K2765" t="s">
        <v>519</v>
      </c>
      <c r="M2765" t="s">
        <v>2287</v>
      </c>
      <c r="N2765" t="s">
        <v>571</v>
      </c>
      <c r="O2765" t="s">
        <v>2536</v>
      </c>
      <c r="P2765" t="s">
        <v>654</v>
      </c>
      <c r="Q2765" t="s">
        <v>2319</v>
      </c>
      <c r="R2765" t="s">
        <v>2289</v>
      </c>
      <c r="S2765" t="s">
        <v>2553</v>
      </c>
      <c r="T2765" t="s">
        <v>2448</v>
      </c>
      <c r="U2765">
        <v>251700</v>
      </c>
      <c r="V2765" t="s">
        <v>15918</v>
      </c>
      <c r="W2765" t="s">
        <v>2573</v>
      </c>
      <c r="X2765" t="s">
        <v>15919</v>
      </c>
      <c r="Y2765" t="s">
        <v>6369</v>
      </c>
      <c r="Z2765" t="s">
        <v>4555</v>
      </c>
      <c r="AA2765" t="s">
        <v>4556</v>
      </c>
      <c r="AB2765" t="s">
        <v>15920</v>
      </c>
      <c r="AE2765">
        <v>-41.297262949999997</v>
      </c>
      <c r="AF2765">
        <v>174.77242458000001</v>
      </c>
      <c r="AG2765">
        <v>52</v>
      </c>
      <c r="AH2765">
        <v>13</v>
      </c>
      <c r="AI2765">
        <v>4</v>
      </c>
      <c r="AJ2765">
        <v>16</v>
      </c>
      <c r="AK2765">
        <v>19</v>
      </c>
      <c r="AL2765">
        <v>5</v>
      </c>
      <c r="AM2765">
        <v>11</v>
      </c>
      <c r="AN2765">
        <v>0</v>
      </c>
      <c r="AO2765">
        <v>55</v>
      </c>
      <c r="AP2765">
        <v>36</v>
      </c>
      <c r="AQ2765">
        <v>8</v>
      </c>
      <c r="AR2765">
        <v>1</v>
      </c>
      <c r="AS2765">
        <v>19</v>
      </c>
      <c r="AT2765">
        <v>6</v>
      </c>
    </row>
    <row r="2766" spans="1:46">
      <c r="A2766">
        <v>47348</v>
      </c>
      <c r="B2766" t="s">
        <v>15921</v>
      </c>
      <c r="C2766" t="s">
        <v>15922</v>
      </c>
      <c r="D2766" t="s">
        <v>15923</v>
      </c>
      <c r="E2766" t="s">
        <v>15924</v>
      </c>
      <c r="G2766" t="s">
        <v>1679</v>
      </c>
      <c r="H2766" t="s">
        <v>3942</v>
      </c>
      <c r="J2766" t="s">
        <v>3962</v>
      </c>
      <c r="K2766" t="s">
        <v>519</v>
      </c>
      <c r="M2766" t="s">
        <v>1297</v>
      </c>
      <c r="N2766" t="s">
        <v>557</v>
      </c>
      <c r="O2766" t="s">
        <v>1546</v>
      </c>
      <c r="P2766" t="s">
        <v>523</v>
      </c>
      <c r="Q2766" t="s">
        <v>1299</v>
      </c>
      <c r="R2766" t="s">
        <v>1472</v>
      </c>
      <c r="S2766" t="s">
        <v>1320</v>
      </c>
      <c r="T2766" t="s">
        <v>1474</v>
      </c>
      <c r="U2766">
        <v>189700</v>
      </c>
      <c r="V2766" t="s">
        <v>1680</v>
      </c>
      <c r="W2766" t="s">
        <v>1681</v>
      </c>
      <c r="X2766" t="s">
        <v>15925</v>
      </c>
      <c r="Y2766" t="s">
        <v>15924</v>
      </c>
      <c r="AA2766" t="s">
        <v>15926</v>
      </c>
      <c r="AB2766" t="s">
        <v>15927</v>
      </c>
      <c r="AC2766">
        <v>99020</v>
      </c>
      <c r="AD2766" t="s">
        <v>1550</v>
      </c>
      <c r="AE2766">
        <v>-38.985456630000002</v>
      </c>
      <c r="AF2766">
        <v>175.8151843</v>
      </c>
      <c r="AG2766">
        <v>35</v>
      </c>
      <c r="AH2766">
        <v>12</v>
      </c>
      <c r="AI2766">
        <v>0</v>
      </c>
      <c r="AJ2766">
        <v>3</v>
      </c>
      <c r="AK2766">
        <v>9</v>
      </c>
      <c r="AL2766">
        <v>6</v>
      </c>
      <c r="AM2766">
        <v>11</v>
      </c>
      <c r="AN2766">
        <v>0</v>
      </c>
      <c r="AO2766">
        <v>29</v>
      </c>
      <c r="AP2766">
        <v>21</v>
      </c>
      <c r="AQ2766">
        <v>25</v>
      </c>
      <c r="AR2766">
        <v>1</v>
      </c>
      <c r="AS2766">
        <v>1</v>
      </c>
      <c r="AT2766">
        <v>0</v>
      </c>
    </row>
    <row r="2767" spans="1:46">
      <c r="A2767">
        <v>47350</v>
      </c>
      <c r="B2767" t="s">
        <v>15928</v>
      </c>
      <c r="C2767" t="s">
        <v>15929</v>
      </c>
      <c r="D2767" t="s">
        <v>15930</v>
      </c>
      <c r="E2767" t="s">
        <v>15931</v>
      </c>
      <c r="F2767" t="s">
        <v>913</v>
      </c>
      <c r="G2767" t="s">
        <v>652</v>
      </c>
      <c r="H2767" t="s">
        <v>3942</v>
      </c>
      <c r="J2767" t="s">
        <v>3962</v>
      </c>
      <c r="K2767" t="s">
        <v>519</v>
      </c>
      <c r="M2767" t="s">
        <v>520</v>
      </c>
      <c r="N2767" t="s">
        <v>571</v>
      </c>
      <c r="O2767" t="s">
        <v>912</v>
      </c>
      <c r="P2767" t="s">
        <v>654</v>
      </c>
      <c r="Q2767" t="s">
        <v>638</v>
      </c>
      <c r="R2767" t="s">
        <v>708</v>
      </c>
      <c r="S2767" t="s">
        <v>913</v>
      </c>
      <c r="T2767" t="s">
        <v>709</v>
      </c>
      <c r="U2767">
        <v>140901</v>
      </c>
      <c r="V2767" t="s">
        <v>965</v>
      </c>
      <c r="W2767" t="s">
        <v>860</v>
      </c>
      <c r="X2767" t="s">
        <v>15932</v>
      </c>
      <c r="Y2767" t="s">
        <v>4658</v>
      </c>
      <c r="Z2767" t="s">
        <v>958</v>
      </c>
      <c r="AA2767" t="s">
        <v>4659</v>
      </c>
      <c r="AB2767" t="s">
        <v>15933</v>
      </c>
      <c r="AE2767">
        <v>-36.922855409999997</v>
      </c>
      <c r="AF2767">
        <v>174.72019008000001</v>
      </c>
      <c r="AG2767">
        <v>78</v>
      </c>
      <c r="AH2767">
        <v>18</v>
      </c>
      <c r="AI2767">
        <v>4</v>
      </c>
      <c r="AJ2767">
        <v>13</v>
      </c>
      <c r="AK2767">
        <v>19</v>
      </c>
      <c r="AL2767">
        <v>27</v>
      </c>
      <c r="AM2767">
        <v>12</v>
      </c>
      <c r="AN2767">
        <v>0</v>
      </c>
      <c r="AO2767">
        <v>75</v>
      </c>
      <c r="AP2767">
        <v>24</v>
      </c>
      <c r="AQ2767">
        <v>6</v>
      </c>
      <c r="AR2767">
        <v>7</v>
      </c>
      <c r="AS2767">
        <v>51</v>
      </c>
      <c r="AT2767">
        <v>5</v>
      </c>
    </row>
    <row r="2768" spans="1:46">
      <c r="A2768">
        <v>47352</v>
      </c>
      <c r="B2768" t="s">
        <v>15934</v>
      </c>
      <c r="C2768" t="s">
        <v>15935</v>
      </c>
      <c r="D2768" t="s">
        <v>15936</v>
      </c>
      <c r="E2768" t="s">
        <v>15937</v>
      </c>
      <c r="G2768" t="s">
        <v>1974</v>
      </c>
      <c r="H2768" t="s">
        <v>3942</v>
      </c>
      <c r="J2768" t="s">
        <v>3962</v>
      </c>
      <c r="K2768" t="s">
        <v>519</v>
      </c>
      <c r="M2768" t="s">
        <v>1297</v>
      </c>
      <c r="N2768" t="s">
        <v>571</v>
      </c>
      <c r="O2768" t="s">
        <v>1956</v>
      </c>
      <c r="P2768" t="s">
        <v>584</v>
      </c>
      <c r="Q2768" t="s">
        <v>1636</v>
      </c>
      <c r="R2768" t="s">
        <v>1760</v>
      </c>
      <c r="S2768" t="s">
        <v>1974</v>
      </c>
      <c r="T2768" t="s">
        <v>1485</v>
      </c>
      <c r="U2768">
        <v>229800</v>
      </c>
      <c r="V2768" t="s">
        <v>15938</v>
      </c>
      <c r="W2768" t="s">
        <v>1957</v>
      </c>
      <c r="X2768" t="s">
        <v>15939</v>
      </c>
      <c r="Y2768" t="s">
        <v>4097</v>
      </c>
      <c r="Z2768" t="s">
        <v>4098</v>
      </c>
      <c r="AA2768" t="s">
        <v>4099</v>
      </c>
      <c r="AB2768" t="s">
        <v>15935</v>
      </c>
      <c r="AE2768">
        <v>-40.346815589999999</v>
      </c>
      <c r="AF2768">
        <v>175.61265426</v>
      </c>
      <c r="AG2768">
        <v>94</v>
      </c>
      <c r="AH2768">
        <v>32</v>
      </c>
      <c r="AI2768">
        <v>10</v>
      </c>
      <c r="AJ2768">
        <v>23</v>
      </c>
      <c r="AK2768">
        <v>39</v>
      </c>
      <c r="AL2768">
        <v>21</v>
      </c>
      <c r="AM2768">
        <v>19</v>
      </c>
      <c r="AN2768">
        <v>0</v>
      </c>
      <c r="AO2768">
        <v>112</v>
      </c>
      <c r="AP2768">
        <v>93</v>
      </c>
      <c r="AQ2768">
        <v>19</v>
      </c>
      <c r="AR2768">
        <v>1</v>
      </c>
      <c r="AS2768">
        <v>23</v>
      </c>
      <c r="AT2768">
        <v>1</v>
      </c>
    </row>
    <row r="2769" spans="1:46">
      <c r="A2769">
        <v>47353</v>
      </c>
      <c r="B2769" t="s">
        <v>15940</v>
      </c>
      <c r="C2769" t="s">
        <v>15941</v>
      </c>
      <c r="D2769" t="s">
        <v>15942</v>
      </c>
      <c r="E2769" t="s">
        <v>15943</v>
      </c>
      <c r="G2769" t="s">
        <v>4459</v>
      </c>
      <c r="H2769" t="s">
        <v>3942</v>
      </c>
      <c r="J2769" t="s">
        <v>3962</v>
      </c>
      <c r="K2769" t="s">
        <v>519</v>
      </c>
      <c r="M2769" t="s">
        <v>520</v>
      </c>
      <c r="N2769" t="s">
        <v>571</v>
      </c>
      <c r="O2769" t="s">
        <v>653</v>
      </c>
      <c r="P2769" t="s">
        <v>584</v>
      </c>
      <c r="Q2769" t="s">
        <v>638</v>
      </c>
      <c r="R2769" t="s">
        <v>639</v>
      </c>
      <c r="S2769" t="s">
        <v>668</v>
      </c>
      <c r="T2769" t="s">
        <v>527</v>
      </c>
      <c r="U2769">
        <v>113800</v>
      </c>
      <c r="V2769" t="s">
        <v>7220</v>
      </c>
      <c r="W2769" t="s">
        <v>657</v>
      </c>
      <c r="X2769" t="s">
        <v>15944</v>
      </c>
      <c r="Y2769" t="s">
        <v>3981</v>
      </c>
      <c r="AA2769" t="s">
        <v>3982</v>
      </c>
      <c r="AB2769" t="s">
        <v>15945</v>
      </c>
      <c r="AC2769">
        <v>99095</v>
      </c>
      <c r="AD2769" t="s">
        <v>701</v>
      </c>
      <c r="AE2769">
        <v>-36.631692000000001</v>
      </c>
      <c r="AF2769">
        <v>174.66956949999999</v>
      </c>
      <c r="AG2769">
        <v>78</v>
      </c>
      <c r="AH2769">
        <v>20</v>
      </c>
      <c r="AI2769">
        <v>0</v>
      </c>
      <c r="AJ2769">
        <v>11</v>
      </c>
      <c r="AK2769">
        <v>17</v>
      </c>
      <c r="AL2769">
        <v>15</v>
      </c>
      <c r="AM2769">
        <v>18</v>
      </c>
      <c r="AN2769">
        <v>3</v>
      </c>
      <c r="AO2769">
        <v>64</v>
      </c>
      <c r="AP2769">
        <v>61</v>
      </c>
      <c r="AQ2769">
        <v>12</v>
      </c>
      <c r="AR2769">
        <v>2</v>
      </c>
      <c r="AS2769">
        <v>3</v>
      </c>
      <c r="AT2769">
        <v>6</v>
      </c>
    </row>
    <row r="2770" spans="1:46">
      <c r="A2770">
        <v>47354</v>
      </c>
      <c r="B2770" t="s">
        <v>15946</v>
      </c>
      <c r="C2770" t="s">
        <v>15947</v>
      </c>
      <c r="E2770" t="s">
        <v>15948</v>
      </c>
      <c r="G2770" t="s">
        <v>10911</v>
      </c>
      <c r="H2770" t="s">
        <v>517</v>
      </c>
      <c r="J2770" t="s">
        <v>518</v>
      </c>
      <c r="K2770" t="s">
        <v>519</v>
      </c>
      <c r="M2770" t="s">
        <v>2287</v>
      </c>
      <c r="N2770" t="s">
        <v>571</v>
      </c>
      <c r="O2770" t="s">
        <v>3208</v>
      </c>
      <c r="P2770" t="s">
        <v>1262</v>
      </c>
      <c r="Q2770" t="s">
        <v>2943</v>
      </c>
      <c r="R2770" t="s">
        <v>2944</v>
      </c>
      <c r="S2770" t="s">
        <v>3179</v>
      </c>
      <c r="T2770" t="s">
        <v>2448</v>
      </c>
      <c r="U2770">
        <v>334901</v>
      </c>
      <c r="V2770" t="s">
        <v>11591</v>
      </c>
      <c r="W2770" t="s">
        <v>10914</v>
      </c>
      <c r="X2770" t="s">
        <v>2948</v>
      </c>
      <c r="Y2770" t="s">
        <v>2949</v>
      </c>
      <c r="Z2770" t="s">
        <v>2950</v>
      </c>
      <c r="AA2770" t="s">
        <v>2951</v>
      </c>
      <c r="AB2770" t="s">
        <v>2952</v>
      </c>
      <c r="AC2770">
        <v>99206</v>
      </c>
      <c r="AD2770" t="s">
        <v>3211</v>
      </c>
      <c r="AE2770">
        <v>-43.604863700000003</v>
      </c>
      <c r="AF2770">
        <v>172.35593460000001</v>
      </c>
      <c r="AG2770">
        <v>40</v>
      </c>
      <c r="AH2770">
        <v>0</v>
      </c>
      <c r="AI2770">
        <v>0</v>
      </c>
      <c r="AJ2770">
        <v>0</v>
      </c>
      <c r="AK2770">
        <v>2</v>
      </c>
      <c r="AL2770">
        <v>27</v>
      </c>
      <c r="AM2770">
        <v>21</v>
      </c>
      <c r="AN2770">
        <v>2</v>
      </c>
      <c r="AO2770">
        <v>52</v>
      </c>
      <c r="AP2770">
        <v>43</v>
      </c>
      <c r="AQ2770">
        <v>8</v>
      </c>
      <c r="AR2770">
        <v>3</v>
      </c>
      <c r="AS2770">
        <v>8</v>
      </c>
      <c r="AT2770">
        <v>1</v>
      </c>
    </row>
    <row r="2771" spans="1:46">
      <c r="A2771">
        <v>47356</v>
      </c>
      <c r="B2771" t="s">
        <v>15949</v>
      </c>
      <c r="C2771" t="s">
        <v>15950</v>
      </c>
      <c r="D2771" t="s">
        <v>15951</v>
      </c>
      <c r="E2771" t="s">
        <v>15952</v>
      </c>
      <c r="G2771" t="s">
        <v>15953</v>
      </c>
      <c r="H2771" t="s">
        <v>517</v>
      </c>
      <c r="J2771" t="s">
        <v>518</v>
      </c>
      <c r="K2771" t="s">
        <v>519</v>
      </c>
      <c r="M2771" t="s">
        <v>2287</v>
      </c>
      <c r="N2771" t="s">
        <v>571</v>
      </c>
      <c r="O2771" t="s">
        <v>3284</v>
      </c>
      <c r="P2771" t="s">
        <v>540</v>
      </c>
      <c r="Q2771" t="s">
        <v>2943</v>
      </c>
      <c r="R2771" t="s">
        <v>2944</v>
      </c>
      <c r="S2771" t="s">
        <v>3250</v>
      </c>
      <c r="T2771" t="s">
        <v>2448</v>
      </c>
      <c r="U2771">
        <v>341501</v>
      </c>
      <c r="V2771" t="s">
        <v>15954</v>
      </c>
      <c r="W2771" t="s">
        <v>15955</v>
      </c>
      <c r="X2771" t="s">
        <v>3264</v>
      </c>
      <c r="Y2771" t="s">
        <v>3265</v>
      </c>
      <c r="AA2771" t="s">
        <v>3266</v>
      </c>
      <c r="AB2771" t="s">
        <v>3267</v>
      </c>
      <c r="AC2771">
        <v>99143</v>
      </c>
      <c r="AD2771" t="s">
        <v>3286</v>
      </c>
      <c r="AE2771">
        <v>-44.005379670000004</v>
      </c>
      <c r="AF2771">
        <v>170.4754045</v>
      </c>
      <c r="AG2771">
        <v>20</v>
      </c>
      <c r="AH2771">
        <v>0</v>
      </c>
      <c r="AI2771">
        <v>0</v>
      </c>
      <c r="AJ2771">
        <v>0</v>
      </c>
      <c r="AK2771">
        <v>6</v>
      </c>
      <c r="AL2771">
        <v>3</v>
      </c>
      <c r="AM2771">
        <v>11</v>
      </c>
      <c r="AN2771">
        <v>0</v>
      </c>
      <c r="AO2771">
        <v>20</v>
      </c>
      <c r="AP2771">
        <v>15</v>
      </c>
      <c r="AQ2771">
        <v>0</v>
      </c>
      <c r="AR2771">
        <v>0</v>
      </c>
      <c r="AS2771">
        <v>7</v>
      </c>
      <c r="AT2771">
        <v>1</v>
      </c>
    </row>
    <row r="2772" spans="1:46">
      <c r="A2772">
        <v>47357</v>
      </c>
      <c r="B2772" t="s">
        <v>15956</v>
      </c>
      <c r="C2772" t="s">
        <v>15957</v>
      </c>
      <c r="D2772" t="s">
        <v>15958</v>
      </c>
      <c r="E2772" t="s">
        <v>15959</v>
      </c>
      <c r="F2772" t="s">
        <v>8591</v>
      </c>
      <c r="G2772" t="s">
        <v>1296</v>
      </c>
      <c r="H2772" t="s">
        <v>3942</v>
      </c>
      <c r="J2772" t="s">
        <v>3962</v>
      </c>
      <c r="K2772" t="s">
        <v>519</v>
      </c>
      <c r="M2772" t="s">
        <v>1297</v>
      </c>
      <c r="N2772" t="s">
        <v>571</v>
      </c>
      <c r="O2772" t="s">
        <v>1298</v>
      </c>
      <c r="P2772" t="s">
        <v>654</v>
      </c>
      <c r="Q2772" t="s">
        <v>1299</v>
      </c>
      <c r="R2772" t="s">
        <v>1300</v>
      </c>
      <c r="S2772" t="s">
        <v>1300</v>
      </c>
      <c r="T2772" t="s">
        <v>1235</v>
      </c>
      <c r="U2772">
        <v>175302</v>
      </c>
      <c r="V2772" t="s">
        <v>13261</v>
      </c>
      <c r="W2772" t="s">
        <v>1314</v>
      </c>
      <c r="X2772" t="s">
        <v>15960</v>
      </c>
      <c r="Y2772" t="s">
        <v>15959</v>
      </c>
      <c r="Z2772" t="s">
        <v>9495</v>
      </c>
      <c r="AA2772" t="s">
        <v>8511</v>
      </c>
      <c r="AB2772" t="s">
        <v>15961</v>
      </c>
      <c r="AC2772">
        <v>99132</v>
      </c>
      <c r="AD2772" t="s">
        <v>8513</v>
      </c>
      <c r="AE2772">
        <v>-37.719405440000003</v>
      </c>
      <c r="AF2772">
        <v>175.24133047000001</v>
      </c>
      <c r="AG2772">
        <v>80</v>
      </c>
      <c r="AH2772">
        <v>20</v>
      </c>
      <c r="AI2772">
        <v>3</v>
      </c>
      <c r="AJ2772">
        <v>15</v>
      </c>
      <c r="AK2772">
        <v>23</v>
      </c>
      <c r="AL2772">
        <v>26</v>
      </c>
      <c r="AM2772">
        <v>17</v>
      </c>
      <c r="AN2772">
        <v>3</v>
      </c>
      <c r="AO2772">
        <v>87</v>
      </c>
      <c r="AP2772">
        <v>57</v>
      </c>
      <c r="AQ2772">
        <v>7</v>
      </c>
      <c r="AR2772">
        <v>1</v>
      </c>
      <c r="AS2772">
        <v>29</v>
      </c>
      <c r="AT2772">
        <v>7</v>
      </c>
    </row>
    <row r="2773" spans="1:46">
      <c r="A2773">
        <v>47358</v>
      </c>
      <c r="B2773" t="s">
        <v>12726</v>
      </c>
      <c r="C2773" t="s">
        <v>15882</v>
      </c>
      <c r="E2773" t="s">
        <v>15962</v>
      </c>
      <c r="F2773" t="s">
        <v>15222</v>
      </c>
      <c r="G2773" t="s">
        <v>652</v>
      </c>
      <c r="H2773" t="s">
        <v>4716</v>
      </c>
      <c r="J2773" t="s">
        <v>3962</v>
      </c>
      <c r="K2773" t="s">
        <v>519</v>
      </c>
      <c r="M2773" t="s">
        <v>520</v>
      </c>
      <c r="N2773" t="s">
        <v>571</v>
      </c>
      <c r="O2773" t="s">
        <v>857</v>
      </c>
      <c r="P2773" t="s">
        <v>654</v>
      </c>
      <c r="Q2773" t="s">
        <v>638</v>
      </c>
      <c r="R2773" t="s">
        <v>708</v>
      </c>
      <c r="S2773" t="s">
        <v>858</v>
      </c>
      <c r="T2773" t="s">
        <v>709</v>
      </c>
      <c r="U2773">
        <v>136900</v>
      </c>
      <c r="V2773" t="s">
        <v>5822</v>
      </c>
      <c r="W2773" t="s">
        <v>860</v>
      </c>
      <c r="X2773" t="s">
        <v>15963</v>
      </c>
      <c r="Y2773" t="s">
        <v>9026</v>
      </c>
      <c r="Z2773" t="s">
        <v>2427</v>
      </c>
      <c r="AA2773" t="s">
        <v>9029</v>
      </c>
      <c r="AE2773">
        <v>-36.871565699999998</v>
      </c>
      <c r="AF2773">
        <v>174.75218863000001</v>
      </c>
      <c r="AG2773">
        <v>50</v>
      </c>
      <c r="AH2773">
        <v>50</v>
      </c>
      <c r="AI2773">
        <v>2</v>
      </c>
      <c r="AJ2773">
        <v>10</v>
      </c>
      <c r="AK2773">
        <v>7</v>
      </c>
      <c r="AL2773">
        <v>11</v>
      </c>
      <c r="AM2773">
        <v>9</v>
      </c>
      <c r="AN2773">
        <v>0</v>
      </c>
      <c r="AO2773">
        <v>39</v>
      </c>
      <c r="AP2773">
        <v>1</v>
      </c>
      <c r="AQ2773">
        <v>0</v>
      </c>
      <c r="AR2773">
        <v>0</v>
      </c>
      <c r="AS2773">
        <v>39</v>
      </c>
      <c r="AT2773">
        <v>0</v>
      </c>
    </row>
    <row r="2774" spans="1:46">
      <c r="A2774">
        <v>47360</v>
      </c>
      <c r="B2774" t="s">
        <v>15964</v>
      </c>
      <c r="C2774" t="s">
        <v>15965</v>
      </c>
      <c r="D2774" t="s">
        <v>15966</v>
      </c>
      <c r="E2774" t="s">
        <v>15967</v>
      </c>
      <c r="G2774" t="s">
        <v>15968</v>
      </c>
      <c r="H2774" t="s">
        <v>517</v>
      </c>
      <c r="J2774" t="s">
        <v>518</v>
      </c>
      <c r="K2774" t="s">
        <v>519</v>
      </c>
      <c r="M2774" t="s">
        <v>1297</v>
      </c>
      <c r="N2774" t="s">
        <v>4519</v>
      </c>
      <c r="O2774" t="s">
        <v>1988</v>
      </c>
      <c r="P2774" t="s">
        <v>540</v>
      </c>
      <c r="Q2774" t="s">
        <v>1636</v>
      </c>
      <c r="R2774" t="s">
        <v>1760</v>
      </c>
      <c r="S2774" t="s">
        <v>1637</v>
      </c>
      <c r="T2774" t="s">
        <v>1485</v>
      </c>
      <c r="U2774">
        <v>227100</v>
      </c>
      <c r="V2774" t="s">
        <v>15969</v>
      </c>
      <c r="W2774" t="s">
        <v>12225</v>
      </c>
      <c r="X2774" t="s">
        <v>1889</v>
      </c>
      <c r="Y2774" t="s">
        <v>1890</v>
      </c>
      <c r="AA2774" t="s">
        <v>1891</v>
      </c>
      <c r="AB2774" t="s">
        <v>1892</v>
      </c>
      <c r="AC2774">
        <v>99134</v>
      </c>
      <c r="AD2774" t="s">
        <v>1991</v>
      </c>
      <c r="AE2774">
        <v>-40.057823470000002</v>
      </c>
      <c r="AF2774">
        <v>175.77234769</v>
      </c>
      <c r="AG2774">
        <v>20</v>
      </c>
      <c r="AH2774">
        <v>0</v>
      </c>
      <c r="AI2774">
        <v>0</v>
      </c>
      <c r="AJ2774">
        <v>0</v>
      </c>
      <c r="AK2774">
        <v>9</v>
      </c>
      <c r="AL2774">
        <v>6</v>
      </c>
      <c r="AM2774">
        <v>6</v>
      </c>
      <c r="AN2774">
        <v>0</v>
      </c>
      <c r="AO2774">
        <v>21</v>
      </c>
      <c r="AP2774">
        <v>19</v>
      </c>
      <c r="AQ2774">
        <v>7</v>
      </c>
      <c r="AR2774">
        <v>0</v>
      </c>
      <c r="AS2774">
        <v>0</v>
      </c>
      <c r="AT2774">
        <v>0</v>
      </c>
    </row>
    <row r="2775" spans="1:46">
      <c r="A2775">
        <v>47361</v>
      </c>
      <c r="B2775" t="s">
        <v>15970</v>
      </c>
      <c r="C2775" t="s">
        <v>15971</v>
      </c>
      <c r="D2775" t="s">
        <v>15972</v>
      </c>
      <c r="E2775" t="s">
        <v>15973</v>
      </c>
      <c r="G2775" t="s">
        <v>3187</v>
      </c>
      <c r="H2775" t="s">
        <v>3942</v>
      </c>
      <c r="J2775" t="s">
        <v>518</v>
      </c>
      <c r="K2775" t="s">
        <v>519</v>
      </c>
      <c r="M2775" t="s">
        <v>2287</v>
      </c>
      <c r="N2775" t="s">
        <v>571</v>
      </c>
      <c r="O2775" t="s">
        <v>2964</v>
      </c>
      <c r="P2775" t="s">
        <v>1262</v>
      </c>
      <c r="Q2775" t="s">
        <v>2943</v>
      </c>
      <c r="R2775" t="s">
        <v>2944</v>
      </c>
      <c r="S2775" t="s">
        <v>2965</v>
      </c>
      <c r="T2775" t="s">
        <v>2448</v>
      </c>
      <c r="U2775">
        <v>315800</v>
      </c>
      <c r="V2775" t="s">
        <v>15974</v>
      </c>
      <c r="W2775" t="s">
        <v>3189</v>
      </c>
      <c r="X2775" t="s">
        <v>10801</v>
      </c>
      <c r="Y2775" t="s">
        <v>3944</v>
      </c>
      <c r="Z2775" t="s">
        <v>3945</v>
      </c>
      <c r="AA2775" t="s">
        <v>3946</v>
      </c>
      <c r="AC2775">
        <v>99061</v>
      </c>
      <c r="AD2775" t="s">
        <v>3190</v>
      </c>
      <c r="AE2775">
        <v>-43.384580679999999</v>
      </c>
      <c r="AF2775">
        <v>172.63882290000001</v>
      </c>
      <c r="AG2775">
        <v>75</v>
      </c>
      <c r="AH2775">
        <v>20</v>
      </c>
      <c r="AI2775">
        <v>2</v>
      </c>
      <c r="AJ2775">
        <v>16</v>
      </c>
      <c r="AK2775">
        <v>17</v>
      </c>
      <c r="AL2775">
        <v>17</v>
      </c>
      <c r="AM2775">
        <v>21</v>
      </c>
      <c r="AN2775">
        <v>0</v>
      </c>
      <c r="AO2775">
        <v>73</v>
      </c>
      <c r="AP2775">
        <v>52</v>
      </c>
      <c r="AQ2775">
        <v>14</v>
      </c>
      <c r="AR2775">
        <v>4</v>
      </c>
      <c r="AS2775">
        <v>17</v>
      </c>
      <c r="AT2775">
        <v>9</v>
      </c>
    </row>
    <row r="2776" spans="1:46">
      <c r="A2776">
        <v>47363</v>
      </c>
      <c r="B2776" t="s">
        <v>15975</v>
      </c>
      <c r="C2776" t="s">
        <v>15976</v>
      </c>
      <c r="D2776" t="s">
        <v>15977</v>
      </c>
      <c r="E2776" t="s">
        <v>15978</v>
      </c>
      <c r="F2776" t="s">
        <v>847</v>
      </c>
      <c r="G2776" t="s">
        <v>652</v>
      </c>
      <c r="H2776" t="s">
        <v>3942</v>
      </c>
      <c r="J2776" t="s">
        <v>3962</v>
      </c>
      <c r="K2776" t="s">
        <v>519</v>
      </c>
      <c r="M2776" t="s">
        <v>520</v>
      </c>
      <c r="N2776" t="s">
        <v>521</v>
      </c>
      <c r="O2776" t="s">
        <v>848</v>
      </c>
      <c r="P2776" t="s">
        <v>654</v>
      </c>
      <c r="Q2776" t="s">
        <v>638</v>
      </c>
      <c r="R2776" t="s">
        <v>729</v>
      </c>
      <c r="S2776" t="s">
        <v>849</v>
      </c>
      <c r="T2776" t="s">
        <v>709</v>
      </c>
      <c r="U2776">
        <v>149400</v>
      </c>
      <c r="V2776" t="s">
        <v>6587</v>
      </c>
      <c r="W2776" t="s">
        <v>732</v>
      </c>
      <c r="X2776" t="s">
        <v>12646</v>
      </c>
      <c r="Y2776" t="s">
        <v>12647</v>
      </c>
      <c r="Z2776" t="s">
        <v>836</v>
      </c>
      <c r="AA2776" t="s">
        <v>4282</v>
      </c>
      <c r="AB2776" t="s">
        <v>12648</v>
      </c>
      <c r="AE2776">
        <v>-36.953735940000001</v>
      </c>
      <c r="AF2776">
        <v>174.81405530999999</v>
      </c>
      <c r="AG2776">
        <v>120</v>
      </c>
      <c r="AH2776">
        <v>20</v>
      </c>
      <c r="AI2776">
        <v>0</v>
      </c>
      <c r="AJ2776">
        <v>9</v>
      </c>
      <c r="AK2776">
        <v>34</v>
      </c>
      <c r="AL2776">
        <v>38</v>
      </c>
      <c r="AM2776">
        <v>40</v>
      </c>
      <c r="AN2776">
        <v>3</v>
      </c>
      <c r="AO2776">
        <v>124</v>
      </c>
      <c r="AP2776">
        <v>3</v>
      </c>
      <c r="AQ2776">
        <v>42</v>
      </c>
      <c r="AR2776">
        <v>92</v>
      </c>
      <c r="AS2776">
        <v>13</v>
      </c>
      <c r="AT2776">
        <v>0</v>
      </c>
    </row>
    <row r="2777" spans="1:46">
      <c r="A2777">
        <v>47366</v>
      </c>
      <c r="B2777" t="s">
        <v>15979</v>
      </c>
      <c r="C2777" t="s">
        <v>15980</v>
      </c>
      <c r="D2777" t="s">
        <v>15981</v>
      </c>
      <c r="E2777" t="s">
        <v>15982</v>
      </c>
      <c r="F2777" t="s">
        <v>2957</v>
      </c>
      <c r="G2777" t="s">
        <v>2941</v>
      </c>
      <c r="H2777" t="s">
        <v>3942</v>
      </c>
      <c r="J2777" t="s">
        <v>3962</v>
      </c>
      <c r="K2777" t="s">
        <v>519</v>
      </c>
      <c r="M2777" t="s">
        <v>2287</v>
      </c>
      <c r="N2777" t="s">
        <v>557</v>
      </c>
      <c r="O2777" t="s">
        <v>2942</v>
      </c>
      <c r="P2777" t="s">
        <v>654</v>
      </c>
      <c r="Q2777" t="s">
        <v>2943</v>
      </c>
      <c r="R2777" t="s">
        <v>2944</v>
      </c>
      <c r="S2777" t="s">
        <v>2957</v>
      </c>
      <c r="T2777" t="s">
        <v>2448</v>
      </c>
      <c r="U2777">
        <v>327000</v>
      </c>
      <c r="V2777" t="s">
        <v>15983</v>
      </c>
      <c r="W2777" t="s">
        <v>2443</v>
      </c>
      <c r="X2777" t="s">
        <v>12077</v>
      </c>
      <c r="Y2777" t="s">
        <v>4097</v>
      </c>
      <c r="Z2777" t="s">
        <v>4098</v>
      </c>
      <c r="AA2777" t="s">
        <v>4099</v>
      </c>
      <c r="AB2777" t="s">
        <v>10807</v>
      </c>
      <c r="AE2777">
        <v>-43.528570709999997</v>
      </c>
      <c r="AF2777">
        <v>172.64436850000001</v>
      </c>
      <c r="AG2777">
        <v>103</v>
      </c>
      <c r="AH2777">
        <v>24</v>
      </c>
      <c r="AI2777">
        <v>3</v>
      </c>
      <c r="AJ2777">
        <v>20</v>
      </c>
      <c r="AK2777">
        <v>20</v>
      </c>
      <c r="AL2777">
        <v>23</v>
      </c>
      <c r="AM2777">
        <v>35</v>
      </c>
      <c r="AN2777">
        <v>3</v>
      </c>
      <c r="AO2777">
        <v>104</v>
      </c>
      <c r="AP2777">
        <v>59</v>
      </c>
      <c r="AQ2777">
        <v>16</v>
      </c>
      <c r="AR2777">
        <v>5</v>
      </c>
      <c r="AS2777">
        <v>41</v>
      </c>
      <c r="AT2777">
        <v>9</v>
      </c>
    </row>
    <row r="2778" spans="1:46">
      <c r="A2778">
        <v>47370</v>
      </c>
      <c r="B2778" t="s">
        <v>15984</v>
      </c>
      <c r="C2778" t="s">
        <v>15985</v>
      </c>
      <c r="D2778" t="s">
        <v>15986</v>
      </c>
      <c r="E2778" t="s">
        <v>15987</v>
      </c>
      <c r="F2778" t="s">
        <v>803</v>
      </c>
      <c r="G2778" t="s">
        <v>652</v>
      </c>
      <c r="H2778" t="s">
        <v>3942</v>
      </c>
      <c r="J2778" t="s">
        <v>3962</v>
      </c>
      <c r="K2778" t="s">
        <v>519</v>
      </c>
      <c r="M2778" t="s">
        <v>520</v>
      </c>
      <c r="N2778" t="s">
        <v>571</v>
      </c>
      <c r="O2778" t="s">
        <v>829</v>
      </c>
      <c r="P2778" t="s">
        <v>654</v>
      </c>
      <c r="Q2778" t="s">
        <v>638</v>
      </c>
      <c r="R2778" t="s">
        <v>708</v>
      </c>
      <c r="S2778" t="s">
        <v>805</v>
      </c>
      <c r="T2778" t="s">
        <v>709</v>
      </c>
      <c r="U2778">
        <v>143301</v>
      </c>
      <c r="V2778" t="s">
        <v>4232</v>
      </c>
      <c r="W2778" t="s">
        <v>807</v>
      </c>
      <c r="X2778" t="s">
        <v>7346</v>
      </c>
      <c r="Y2778" t="s">
        <v>15988</v>
      </c>
      <c r="Z2778" t="s">
        <v>821</v>
      </c>
      <c r="AA2778" t="s">
        <v>4069</v>
      </c>
      <c r="AE2778">
        <v>-36.895980199999997</v>
      </c>
      <c r="AF2778">
        <v>174.8050557</v>
      </c>
      <c r="AG2778">
        <v>30</v>
      </c>
      <c r="AH2778">
        <v>10</v>
      </c>
      <c r="AI2778">
        <v>2</v>
      </c>
      <c r="AJ2778">
        <v>7</v>
      </c>
      <c r="AK2778">
        <v>8</v>
      </c>
      <c r="AL2778">
        <v>8</v>
      </c>
      <c r="AM2778">
        <v>4</v>
      </c>
      <c r="AN2778">
        <v>0</v>
      </c>
      <c r="AO2778">
        <v>29</v>
      </c>
      <c r="AP2778">
        <v>21</v>
      </c>
      <c r="AQ2778">
        <v>2</v>
      </c>
      <c r="AR2778">
        <v>1</v>
      </c>
      <c r="AS2778">
        <v>11</v>
      </c>
      <c r="AT2778">
        <v>3</v>
      </c>
    </row>
    <row r="2779" spans="1:46">
      <c r="A2779">
        <v>47372</v>
      </c>
      <c r="B2779" t="s">
        <v>15989</v>
      </c>
      <c r="C2779" t="s">
        <v>15990</v>
      </c>
      <c r="E2779" t="s">
        <v>15991</v>
      </c>
      <c r="F2779" t="s">
        <v>3125</v>
      </c>
      <c r="G2779" t="s">
        <v>2941</v>
      </c>
      <c r="H2779" t="s">
        <v>3942</v>
      </c>
      <c r="J2779" t="s">
        <v>518</v>
      </c>
      <c r="K2779" t="s">
        <v>519</v>
      </c>
      <c r="M2779" t="s">
        <v>2287</v>
      </c>
      <c r="N2779" t="s">
        <v>521</v>
      </c>
      <c r="O2779" t="s">
        <v>2942</v>
      </c>
      <c r="P2779" t="s">
        <v>654</v>
      </c>
      <c r="Q2779" t="s">
        <v>2943</v>
      </c>
      <c r="R2779" t="s">
        <v>2944</v>
      </c>
      <c r="S2779" t="s">
        <v>2973</v>
      </c>
      <c r="T2779" t="s">
        <v>2448</v>
      </c>
      <c r="U2779">
        <v>329800</v>
      </c>
      <c r="V2779" t="s">
        <v>15992</v>
      </c>
      <c r="W2779" t="s">
        <v>2993</v>
      </c>
      <c r="X2779" t="s">
        <v>15993</v>
      </c>
      <c r="Y2779" t="s">
        <v>15994</v>
      </c>
      <c r="Z2779" t="s">
        <v>3124</v>
      </c>
      <c r="AA2779" t="s">
        <v>15995</v>
      </c>
      <c r="AB2779" t="s">
        <v>15990</v>
      </c>
      <c r="AC2779">
        <v>99175</v>
      </c>
      <c r="AD2779" t="s">
        <v>3071</v>
      </c>
      <c r="AE2779">
        <v>-43.517527260000001</v>
      </c>
      <c r="AF2779">
        <v>172.70394739</v>
      </c>
      <c r="AG2779">
        <v>28</v>
      </c>
      <c r="AH2779">
        <v>6</v>
      </c>
      <c r="AI2779">
        <v>0</v>
      </c>
      <c r="AJ2779">
        <v>2</v>
      </c>
      <c r="AK2779">
        <v>5</v>
      </c>
      <c r="AL2779">
        <v>10</v>
      </c>
      <c r="AM2779">
        <v>9</v>
      </c>
      <c r="AN2779">
        <v>0</v>
      </c>
      <c r="AO2779">
        <v>26</v>
      </c>
      <c r="AP2779">
        <v>11</v>
      </c>
      <c r="AQ2779">
        <v>15</v>
      </c>
      <c r="AR2779">
        <v>6</v>
      </c>
      <c r="AS2779">
        <v>1</v>
      </c>
      <c r="AT2779">
        <v>0</v>
      </c>
    </row>
    <row r="2780" spans="1:46">
      <c r="A2780">
        <v>47373</v>
      </c>
      <c r="B2780" t="s">
        <v>15996</v>
      </c>
      <c r="C2780" t="s">
        <v>15997</v>
      </c>
      <c r="D2780" t="s">
        <v>15998</v>
      </c>
      <c r="E2780" t="s">
        <v>15999</v>
      </c>
      <c r="F2780" t="s">
        <v>4929</v>
      </c>
      <c r="G2780" t="s">
        <v>652</v>
      </c>
      <c r="H2780" t="s">
        <v>3942</v>
      </c>
      <c r="J2780" t="s">
        <v>3962</v>
      </c>
      <c r="K2780" t="s">
        <v>519</v>
      </c>
      <c r="M2780" t="s">
        <v>520</v>
      </c>
      <c r="N2780" t="s">
        <v>571</v>
      </c>
      <c r="O2780" t="s">
        <v>813</v>
      </c>
      <c r="P2780" t="s">
        <v>654</v>
      </c>
      <c r="Q2780" t="s">
        <v>638</v>
      </c>
      <c r="R2780" t="s">
        <v>639</v>
      </c>
      <c r="S2780" t="s">
        <v>640</v>
      </c>
      <c r="T2780" t="s">
        <v>527</v>
      </c>
      <c r="U2780">
        <v>118800</v>
      </c>
      <c r="V2780" t="s">
        <v>14684</v>
      </c>
      <c r="W2780" t="s">
        <v>815</v>
      </c>
      <c r="X2780" t="s">
        <v>15348</v>
      </c>
      <c r="Y2780" t="s">
        <v>12191</v>
      </c>
      <c r="Z2780" t="s">
        <v>12192</v>
      </c>
      <c r="AA2780" t="s">
        <v>12193</v>
      </c>
      <c r="AB2780" t="s">
        <v>15349</v>
      </c>
      <c r="AE2780">
        <v>-36.80810125</v>
      </c>
      <c r="AF2780">
        <v>174.60165169999999</v>
      </c>
      <c r="AG2780">
        <v>125</v>
      </c>
      <c r="AH2780">
        <v>40</v>
      </c>
      <c r="AI2780">
        <v>9</v>
      </c>
      <c r="AJ2780">
        <v>23</v>
      </c>
      <c r="AK2780">
        <v>26</v>
      </c>
      <c r="AL2780">
        <v>33</v>
      </c>
      <c r="AM2780">
        <v>19</v>
      </c>
      <c r="AN2780">
        <v>0</v>
      </c>
      <c r="AO2780">
        <v>110</v>
      </c>
      <c r="AP2780">
        <v>84</v>
      </c>
      <c r="AQ2780">
        <v>16</v>
      </c>
      <c r="AR2780">
        <v>15</v>
      </c>
      <c r="AS2780">
        <v>24</v>
      </c>
      <c r="AT2780">
        <v>6</v>
      </c>
    </row>
    <row r="2781" spans="1:46">
      <c r="A2781">
        <v>47374</v>
      </c>
      <c r="B2781" t="s">
        <v>16000</v>
      </c>
      <c r="C2781" t="s">
        <v>16001</v>
      </c>
      <c r="D2781" t="s">
        <v>16002</v>
      </c>
      <c r="E2781" t="s">
        <v>16003</v>
      </c>
      <c r="G2781" t="s">
        <v>3926</v>
      </c>
      <c r="H2781" t="s">
        <v>3942</v>
      </c>
      <c r="J2781" t="s">
        <v>3962</v>
      </c>
      <c r="K2781" t="s">
        <v>519</v>
      </c>
      <c r="M2781" t="s">
        <v>2287</v>
      </c>
      <c r="N2781" t="s">
        <v>571</v>
      </c>
      <c r="O2781" t="s">
        <v>3835</v>
      </c>
      <c r="P2781" t="s">
        <v>1262</v>
      </c>
      <c r="Q2781" t="s">
        <v>3337</v>
      </c>
      <c r="R2781" t="s">
        <v>3338</v>
      </c>
      <c r="S2781" t="s">
        <v>3361</v>
      </c>
      <c r="T2781" t="s">
        <v>2448</v>
      </c>
      <c r="U2781">
        <v>348400</v>
      </c>
      <c r="V2781" t="s">
        <v>1345</v>
      </c>
      <c r="W2781" t="s">
        <v>3837</v>
      </c>
      <c r="X2781" t="s">
        <v>16004</v>
      </c>
      <c r="Y2781" t="s">
        <v>16005</v>
      </c>
      <c r="Z2781" t="s">
        <v>16006</v>
      </c>
      <c r="AA2781" t="s">
        <v>16007</v>
      </c>
      <c r="AB2781" t="s">
        <v>16001</v>
      </c>
      <c r="AE2781">
        <v>-45.025804770000001</v>
      </c>
      <c r="AF2781">
        <v>168.75179130000001</v>
      </c>
      <c r="AG2781">
        <v>76</v>
      </c>
      <c r="AH2781">
        <v>16</v>
      </c>
      <c r="AI2781">
        <v>0</v>
      </c>
      <c r="AJ2781">
        <v>10</v>
      </c>
      <c r="AK2781">
        <v>21</v>
      </c>
      <c r="AL2781">
        <v>23</v>
      </c>
      <c r="AM2781">
        <v>21</v>
      </c>
      <c r="AN2781">
        <v>1</v>
      </c>
      <c r="AO2781">
        <v>76</v>
      </c>
      <c r="AP2781">
        <v>64</v>
      </c>
      <c r="AQ2781">
        <v>5</v>
      </c>
      <c r="AR2781">
        <v>0</v>
      </c>
      <c r="AS2781">
        <v>9</v>
      </c>
      <c r="AT2781">
        <v>4</v>
      </c>
    </row>
    <row r="2782" spans="1:46">
      <c r="A2782">
        <v>47378</v>
      </c>
      <c r="B2782" t="s">
        <v>16008</v>
      </c>
      <c r="D2782" t="s">
        <v>8762</v>
      </c>
      <c r="E2782" t="s">
        <v>8763</v>
      </c>
      <c r="F2782" t="s">
        <v>1313</v>
      </c>
      <c r="G2782" t="s">
        <v>1296</v>
      </c>
      <c r="H2782" t="s">
        <v>4716</v>
      </c>
      <c r="J2782" t="s">
        <v>3962</v>
      </c>
      <c r="K2782" t="s">
        <v>519</v>
      </c>
      <c r="M2782" t="s">
        <v>1297</v>
      </c>
      <c r="N2782" t="s">
        <v>557</v>
      </c>
      <c r="O2782" t="s">
        <v>1298</v>
      </c>
      <c r="P2782" t="s">
        <v>654</v>
      </c>
      <c r="Q2782" t="s">
        <v>1299</v>
      </c>
      <c r="R2782" t="s">
        <v>1300</v>
      </c>
      <c r="S2782" t="s">
        <v>1312</v>
      </c>
      <c r="T2782" t="s">
        <v>1235</v>
      </c>
      <c r="U2782">
        <v>177300</v>
      </c>
      <c r="V2782" t="s">
        <v>1313</v>
      </c>
      <c r="W2782" t="s">
        <v>1314</v>
      </c>
      <c r="X2782" t="s">
        <v>13699</v>
      </c>
      <c r="Y2782" t="s">
        <v>8763</v>
      </c>
      <c r="Z2782" t="s">
        <v>1313</v>
      </c>
      <c r="AA2782" t="s">
        <v>8511</v>
      </c>
      <c r="AC2782">
        <v>99070</v>
      </c>
      <c r="AD2782" t="s">
        <v>1444</v>
      </c>
      <c r="AE2782">
        <v>-37.749588889999998</v>
      </c>
      <c r="AF2782">
        <v>175.27362744000001</v>
      </c>
      <c r="AG2782">
        <v>80</v>
      </c>
      <c r="AH2782">
        <v>80</v>
      </c>
      <c r="AI2782">
        <v>1</v>
      </c>
      <c r="AJ2782">
        <v>13</v>
      </c>
      <c r="AK2782">
        <v>10</v>
      </c>
      <c r="AL2782">
        <v>4</v>
      </c>
      <c r="AM2782">
        <v>8</v>
      </c>
      <c r="AN2782">
        <v>5</v>
      </c>
      <c r="AO2782">
        <v>41</v>
      </c>
      <c r="AP2782">
        <v>7</v>
      </c>
      <c r="AQ2782">
        <v>2</v>
      </c>
      <c r="AR2782">
        <v>0</v>
      </c>
      <c r="AS2782">
        <v>12</v>
      </c>
      <c r="AT2782">
        <v>25</v>
      </c>
    </row>
    <row r="2783" spans="1:46">
      <c r="A2783">
        <v>47379</v>
      </c>
      <c r="B2783" t="s">
        <v>16009</v>
      </c>
      <c r="C2783" t="s">
        <v>16010</v>
      </c>
      <c r="D2783" t="s">
        <v>16011</v>
      </c>
      <c r="E2783" t="s">
        <v>16012</v>
      </c>
      <c r="G2783" t="s">
        <v>675</v>
      </c>
      <c r="H2783" t="s">
        <v>3942</v>
      </c>
      <c r="J2783" t="s">
        <v>3962</v>
      </c>
      <c r="K2783" t="s">
        <v>519</v>
      </c>
      <c r="M2783" t="s">
        <v>520</v>
      </c>
      <c r="N2783" t="s">
        <v>571</v>
      </c>
      <c r="O2783" t="s">
        <v>637</v>
      </c>
      <c r="P2783" t="s">
        <v>523</v>
      </c>
      <c r="Q2783" t="s">
        <v>638</v>
      </c>
      <c r="R2783" t="s">
        <v>639</v>
      </c>
      <c r="S2783" t="s">
        <v>640</v>
      </c>
      <c r="T2783" t="s">
        <v>527</v>
      </c>
      <c r="U2783">
        <v>111100</v>
      </c>
      <c r="V2783" t="s">
        <v>676</v>
      </c>
      <c r="W2783" t="s">
        <v>641</v>
      </c>
      <c r="X2783" t="s">
        <v>16013</v>
      </c>
      <c r="Y2783" t="s">
        <v>16012</v>
      </c>
      <c r="AA2783" t="s">
        <v>15020</v>
      </c>
      <c r="AC2783">
        <v>99122</v>
      </c>
      <c r="AD2783" t="s">
        <v>4085</v>
      </c>
      <c r="AE2783">
        <v>-36.406983609999997</v>
      </c>
      <c r="AF2783">
        <v>174.65187320000001</v>
      </c>
      <c r="AG2783">
        <v>98</v>
      </c>
      <c r="AH2783">
        <v>18</v>
      </c>
      <c r="AI2783">
        <v>6</v>
      </c>
      <c r="AJ2783">
        <v>16</v>
      </c>
      <c r="AK2783">
        <v>23</v>
      </c>
      <c r="AL2783">
        <v>24</v>
      </c>
      <c r="AM2783">
        <v>30</v>
      </c>
      <c r="AN2783">
        <v>0</v>
      </c>
      <c r="AO2783">
        <v>99</v>
      </c>
      <c r="AP2783">
        <v>94</v>
      </c>
      <c r="AQ2783">
        <v>12</v>
      </c>
      <c r="AR2783">
        <v>1</v>
      </c>
      <c r="AS2783">
        <v>7</v>
      </c>
      <c r="AT2783">
        <v>1</v>
      </c>
    </row>
    <row r="2784" spans="1:46">
      <c r="A2784">
        <v>47380</v>
      </c>
      <c r="B2784" t="s">
        <v>16014</v>
      </c>
      <c r="C2784" t="s">
        <v>16015</v>
      </c>
      <c r="D2784" t="s">
        <v>16016</v>
      </c>
      <c r="E2784" t="s">
        <v>16017</v>
      </c>
      <c r="F2784" t="s">
        <v>8255</v>
      </c>
      <c r="G2784" t="s">
        <v>652</v>
      </c>
      <c r="H2784" t="s">
        <v>3942</v>
      </c>
      <c r="J2784" t="s">
        <v>3962</v>
      </c>
      <c r="K2784" t="s">
        <v>519</v>
      </c>
      <c r="M2784" t="s">
        <v>520</v>
      </c>
      <c r="N2784" t="s">
        <v>571</v>
      </c>
      <c r="O2784" t="s">
        <v>1168</v>
      </c>
      <c r="P2784" t="s">
        <v>654</v>
      </c>
      <c r="Q2784" t="s">
        <v>638</v>
      </c>
      <c r="R2784" t="s">
        <v>639</v>
      </c>
      <c r="S2784" t="s">
        <v>655</v>
      </c>
      <c r="T2784" t="s">
        <v>527</v>
      </c>
      <c r="U2784">
        <v>118600</v>
      </c>
      <c r="V2784" t="s">
        <v>4012</v>
      </c>
      <c r="W2784" t="s">
        <v>657</v>
      </c>
      <c r="X2784" t="s">
        <v>16018</v>
      </c>
      <c r="Y2784" t="s">
        <v>16019</v>
      </c>
      <c r="Z2784" t="s">
        <v>6385</v>
      </c>
      <c r="AA2784" t="s">
        <v>6388</v>
      </c>
      <c r="AC2784">
        <v>99000</v>
      </c>
      <c r="AD2784" t="s">
        <v>684</v>
      </c>
      <c r="AE2784">
        <v>-36.738195849999997</v>
      </c>
      <c r="AF2784">
        <v>174.7272323</v>
      </c>
      <c r="AG2784">
        <v>125</v>
      </c>
      <c r="AH2784">
        <v>25</v>
      </c>
      <c r="AI2784">
        <v>3</v>
      </c>
      <c r="AJ2784">
        <v>12</v>
      </c>
      <c r="AK2784">
        <v>18</v>
      </c>
      <c r="AL2784">
        <v>22</v>
      </c>
      <c r="AM2784">
        <v>23</v>
      </c>
      <c r="AN2784">
        <v>2</v>
      </c>
      <c r="AO2784">
        <v>80</v>
      </c>
      <c r="AP2784">
        <v>47</v>
      </c>
      <c r="AQ2784">
        <v>8</v>
      </c>
      <c r="AR2784">
        <v>2</v>
      </c>
      <c r="AS2784">
        <v>36</v>
      </c>
      <c r="AT2784">
        <v>2</v>
      </c>
    </row>
    <row r="2785" spans="1:46">
      <c r="A2785">
        <v>47386</v>
      </c>
      <c r="B2785" t="s">
        <v>16020</v>
      </c>
      <c r="C2785" t="s">
        <v>16021</v>
      </c>
      <c r="E2785" t="s">
        <v>16022</v>
      </c>
      <c r="F2785" t="s">
        <v>2882</v>
      </c>
      <c r="G2785" t="s">
        <v>2853</v>
      </c>
      <c r="H2785" t="s">
        <v>3942</v>
      </c>
      <c r="J2785" t="s">
        <v>3962</v>
      </c>
      <c r="K2785" t="s">
        <v>519</v>
      </c>
      <c r="M2785" t="s">
        <v>2287</v>
      </c>
      <c r="N2785" t="s">
        <v>571</v>
      </c>
      <c r="O2785" t="s">
        <v>2868</v>
      </c>
      <c r="P2785" t="s">
        <v>1262</v>
      </c>
      <c r="Q2785" t="s">
        <v>2869</v>
      </c>
      <c r="R2785" t="s">
        <v>2824</v>
      </c>
      <c r="S2785" t="s">
        <v>2853</v>
      </c>
      <c r="T2785" t="s">
        <v>2448</v>
      </c>
      <c r="U2785">
        <v>303300</v>
      </c>
      <c r="V2785" t="s">
        <v>11824</v>
      </c>
      <c r="W2785" t="s">
        <v>2884</v>
      </c>
      <c r="X2785" t="s">
        <v>16023</v>
      </c>
      <c r="Y2785" t="s">
        <v>16024</v>
      </c>
      <c r="Z2785" t="s">
        <v>2882</v>
      </c>
      <c r="AA2785" t="s">
        <v>12824</v>
      </c>
      <c r="AB2785" t="s">
        <v>16021</v>
      </c>
      <c r="AE2785">
        <v>-41.343207059999997</v>
      </c>
      <c r="AF2785">
        <v>173.19801687</v>
      </c>
      <c r="AG2785">
        <v>36</v>
      </c>
      <c r="AH2785">
        <v>13</v>
      </c>
      <c r="AI2785">
        <v>3</v>
      </c>
      <c r="AJ2785">
        <v>10</v>
      </c>
      <c r="AK2785">
        <v>14</v>
      </c>
      <c r="AL2785">
        <v>16</v>
      </c>
      <c r="AM2785">
        <v>9</v>
      </c>
      <c r="AN2785">
        <v>0</v>
      </c>
      <c r="AO2785">
        <v>52</v>
      </c>
      <c r="AP2785">
        <v>48</v>
      </c>
      <c r="AQ2785">
        <v>11</v>
      </c>
      <c r="AR2785">
        <v>0</v>
      </c>
      <c r="AS2785">
        <v>1</v>
      </c>
      <c r="AT2785">
        <v>0</v>
      </c>
    </row>
    <row r="2786" spans="1:46">
      <c r="A2786">
        <v>47389</v>
      </c>
      <c r="B2786" t="s">
        <v>16025</v>
      </c>
      <c r="E2786" t="s">
        <v>3989</v>
      </c>
      <c r="F2786" t="s">
        <v>3990</v>
      </c>
      <c r="G2786" t="s">
        <v>652</v>
      </c>
      <c r="H2786" t="s">
        <v>4716</v>
      </c>
      <c r="J2786" t="s">
        <v>3962</v>
      </c>
      <c r="K2786" t="s">
        <v>519</v>
      </c>
      <c r="M2786" t="s">
        <v>520</v>
      </c>
      <c r="N2786" t="s">
        <v>557</v>
      </c>
      <c r="O2786" t="s">
        <v>707</v>
      </c>
      <c r="P2786" t="s">
        <v>654</v>
      </c>
      <c r="Q2786" t="s">
        <v>638</v>
      </c>
      <c r="R2786" t="s">
        <v>708</v>
      </c>
      <c r="S2786" t="s">
        <v>778</v>
      </c>
      <c r="T2786" t="s">
        <v>709</v>
      </c>
      <c r="U2786">
        <v>156101</v>
      </c>
      <c r="V2786" t="s">
        <v>4805</v>
      </c>
      <c r="W2786" t="s">
        <v>711</v>
      </c>
      <c r="X2786" t="s">
        <v>4806</v>
      </c>
      <c r="Y2786" t="s">
        <v>3989</v>
      </c>
      <c r="Z2786" t="s">
        <v>3990</v>
      </c>
      <c r="AA2786" t="s">
        <v>3991</v>
      </c>
      <c r="AE2786">
        <v>-36.947806</v>
      </c>
      <c r="AF2786">
        <v>174.91462372000001</v>
      </c>
      <c r="AG2786">
        <v>50</v>
      </c>
      <c r="AH2786">
        <v>50</v>
      </c>
      <c r="AI2786">
        <v>9</v>
      </c>
      <c r="AJ2786">
        <v>13</v>
      </c>
      <c r="AK2786">
        <v>15</v>
      </c>
      <c r="AL2786">
        <v>18</v>
      </c>
      <c r="AM2786">
        <v>10</v>
      </c>
      <c r="AN2786">
        <v>6</v>
      </c>
      <c r="AO2786">
        <v>71</v>
      </c>
      <c r="AP2786">
        <v>0</v>
      </c>
      <c r="AQ2786">
        <v>0</v>
      </c>
      <c r="AR2786">
        <v>39</v>
      </c>
      <c r="AS2786">
        <v>32</v>
      </c>
      <c r="AT2786">
        <v>1</v>
      </c>
    </row>
    <row r="2787" spans="1:46">
      <c r="A2787">
        <v>47393</v>
      </c>
      <c r="B2787" t="s">
        <v>16026</v>
      </c>
      <c r="C2787" t="s">
        <v>16027</v>
      </c>
      <c r="E2787" t="s">
        <v>16028</v>
      </c>
      <c r="F2787" t="s">
        <v>3770</v>
      </c>
      <c r="G2787" t="s">
        <v>1598</v>
      </c>
      <c r="H2787" t="s">
        <v>3942</v>
      </c>
      <c r="J2787" t="s">
        <v>3962</v>
      </c>
      <c r="K2787" t="s">
        <v>519</v>
      </c>
      <c r="M2787" t="s">
        <v>1297</v>
      </c>
      <c r="N2787" t="s">
        <v>571</v>
      </c>
      <c r="O2787" t="s">
        <v>1698</v>
      </c>
      <c r="P2787" t="s">
        <v>654</v>
      </c>
      <c r="Q2787" t="s">
        <v>1471</v>
      </c>
      <c r="R2787" t="s">
        <v>1472</v>
      </c>
      <c r="S2787" t="s">
        <v>1699</v>
      </c>
      <c r="T2787" t="s">
        <v>1474</v>
      </c>
      <c r="U2787">
        <v>197300</v>
      </c>
      <c r="V2787" t="s">
        <v>3771</v>
      </c>
      <c r="W2787" t="s">
        <v>3772</v>
      </c>
      <c r="X2787" t="s">
        <v>16029</v>
      </c>
      <c r="Y2787" t="s">
        <v>16030</v>
      </c>
      <c r="Z2787" t="s">
        <v>8402</v>
      </c>
      <c r="AA2787" t="s">
        <v>16031</v>
      </c>
      <c r="AE2787">
        <v>-37.71532869</v>
      </c>
      <c r="AF2787">
        <v>176.30689709999999</v>
      </c>
      <c r="AG2787">
        <v>125</v>
      </c>
      <c r="AH2787">
        <v>34</v>
      </c>
      <c r="AI2787">
        <v>3</v>
      </c>
      <c r="AJ2787">
        <v>29</v>
      </c>
      <c r="AK2787">
        <v>32</v>
      </c>
      <c r="AL2787">
        <v>36</v>
      </c>
      <c r="AM2787">
        <v>35</v>
      </c>
      <c r="AN2787">
        <v>2</v>
      </c>
      <c r="AO2787">
        <v>137</v>
      </c>
      <c r="AP2787">
        <v>118</v>
      </c>
      <c r="AQ2787">
        <v>26</v>
      </c>
      <c r="AR2787">
        <v>6</v>
      </c>
      <c r="AS2787">
        <v>12</v>
      </c>
      <c r="AT2787">
        <v>6</v>
      </c>
    </row>
    <row r="2788" spans="1:46">
      <c r="A2788">
        <v>47394</v>
      </c>
      <c r="B2788" t="s">
        <v>16032</v>
      </c>
      <c r="E2788" t="s">
        <v>16033</v>
      </c>
      <c r="F2788" t="s">
        <v>1234</v>
      </c>
      <c r="G2788" t="s">
        <v>652</v>
      </c>
      <c r="H2788" t="s">
        <v>3942</v>
      </c>
      <c r="J2788" t="s">
        <v>3962</v>
      </c>
      <c r="K2788" t="s">
        <v>519</v>
      </c>
      <c r="M2788" t="s">
        <v>520</v>
      </c>
      <c r="N2788" t="s">
        <v>571</v>
      </c>
      <c r="O2788" t="s">
        <v>1268</v>
      </c>
      <c r="P2788" t="s">
        <v>654</v>
      </c>
      <c r="Q2788" t="s">
        <v>638</v>
      </c>
      <c r="R2788" t="s">
        <v>729</v>
      </c>
      <c r="S2788" t="s">
        <v>1234</v>
      </c>
      <c r="T2788" t="s">
        <v>1235</v>
      </c>
      <c r="U2788">
        <v>163700</v>
      </c>
      <c r="V2788" t="s">
        <v>7596</v>
      </c>
      <c r="W2788" t="s">
        <v>1219</v>
      </c>
      <c r="X2788" t="s">
        <v>4633</v>
      </c>
      <c r="Y2788" t="s">
        <v>11995</v>
      </c>
      <c r="Z2788" t="s">
        <v>770</v>
      </c>
      <c r="AA2788" t="s">
        <v>11996</v>
      </c>
      <c r="AB2788" t="s">
        <v>4636</v>
      </c>
      <c r="AE2788">
        <v>-36.97624201</v>
      </c>
      <c r="AF2788">
        <v>174.86721919999999</v>
      </c>
      <c r="AG2788">
        <v>60</v>
      </c>
      <c r="AH2788">
        <v>15</v>
      </c>
      <c r="AI2788">
        <v>4</v>
      </c>
      <c r="AJ2788">
        <v>12</v>
      </c>
      <c r="AK2788">
        <v>9</v>
      </c>
      <c r="AL2788">
        <v>13</v>
      </c>
      <c r="AM2788">
        <v>13</v>
      </c>
      <c r="AN2788">
        <v>0</v>
      </c>
      <c r="AO2788">
        <v>51</v>
      </c>
      <c r="AP2788">
        <v>11</v>
      </c>
      <c r="AQ2788">
        <v>5</v>
      </c>
      <c r="AR2788">
        <v>11</v>
      </c>
      <c r="AS2788">
        <v>33</v>
      </c>
      <c r="AT2788">
        <v>3</v>
      </c>
    </row>
    <row r="2789" spans="1:46">
      <c r="A2789">
        <v>47395</v>
      </c>
      <c r="B2789" t="s">
        <v>16034</v>
      </c>
      <c r="C2789" t="s">
        <v>16035</v>
      </c>
      <c r="D2789" t="s">
        <v>16036</v>
      </c>
      <c r="E2789" t="s">
        <v>16037</v>
      </c>
      <c r="G2789" t="s">
        <v>1538</v>
      </c>
      <c r="H2789" t="s">
        <v>3942</v>
      </c>
      <c r="J2789" t="s">
        <v>3962</v>
      </c>
      <c r="K2789" t="s">
        <v>519</v>
      </c>
      <c r="M2789" t="s">
        <v>1297</v>
      </c>
      <c r="N2789" t="s">
        <v>571</v>
      </c>
      <c r="O2789" t="s">
        <v>1319</v>
      </c>
      <c r="P2789" t="s">
        <v>1262</v>
      </c>
      <c r="Q2789" t="s">
        <v>1299</v>
      </c>
      <c r="R2789" t="s">
        <v>1300</v>
      </c>
      <c r="S2789" t="s">
        <v>1417</v>
      </c>
      <c r="T2789" t="s">
        <v>1235</v>
      </c>
      <c r="U2789">
        <v>184100</v>
      </c>
      <c r="V2789" t="s">
        <v>9353</v>
      </c>
      <c r="W2789" t="s">
        <v>1540</v>
      </c>
      <c r="X2789" t="s">
        <v>16038</v>
      </c>
      <c r="Y2789" t="s">
        <v>16039</v>
      </c>
      <c r="AA2789" t="s">
        <v>9281</v>
      </c>
      <c r="AB2789" t="s">
        <v>16035</v>
      </c>
      <c r="AE2789">
        <v>-38.010114829999999</v>
      </c>
      <c r="AF2789">
        <v>175.3225166</v>
      </c>
      <c r="AG2789">
        <v>40</v>
      </c>
      <c r="AH2789">
        <v>13</v>
      </c>
      <c r="AI2789">
        <v>1</v>
      </c>
      <c r="AJ2789">
        <v>5</v>
      </c>
      <c r="AK2789">
        <v>8</v>
      </c>
      <c r="AL2789">
        <v>7</v>
      </c>
      <c r="AM2789">
        <v>3</v>
      </c>
      <c r="AN2789">
        <v>0</v>
      </c>
      <c r="AO2789">
        <v>24</v>
      </c>
      <c r="AP2789">
        <v>21</v>
      </c>
      <c r="AQ2789">
        <v>6</v>
      </c>
      <c r="AR2789">
        <v>0</v>
      </c>
      <c r="AS2789">
        <v>1</v>
      </c>
      <c r="AT2789">
        <v>2</v>
      </c>
    </row>
    <row r="2790" spans="1:46">
      <c r="A2790">
        <v>47396</v>
      </c>
      <c r="B2790" t="s">
        <v>16040</v>
      </c>
      <c r="C2790" t="s">
        <v>16041</v>
      </c>
      <c r="D2790" t="s">
        <v>16042</v>
      </c>
      <c r="E2790" t="s">
        <v>16043</v>
      </c>
      <c r="G2790" t="s">
        <v>3673</v>
      </c>
      <c r="H2790" t="s">
        <v>3942</v>
      </c>
      <c r="J2790" t="s">
        <v>3962</v>
      </c>
      <c r="K2790" t="s">
        <v>519</v>
      </c>
      <c r="M2790" t="s">
        <v>520</v>
      </c>
      <c r="N2790" t="s">
        <v>571</v>
      </c>
      <c r="O2790" t="s">
        <v>522</v>
      </c>
      <c r="P2790" t="s">
        <v>572</v>
      </c>
      <c r="Q2790" t="s">
        <v>524</v>
      </c>
      <c r="R2790" t="s">
        <v>525</v>
      </c>
      <c r="S2790" t="s">
        <v>526</v>
      </c>
      <c r="T2790" t="s">
        <v>527</v>
      </c>
      <c r="U2790">
        <v>102501</v>
      </c>
      <c r="V2790" t="s">
        <v>16044</v>
      </c>
      <c r="W2790" t="s">
        <v>558</v>
      </c>
      <c r="X2790" t="s">
        <v>16045</v>
      </c>
      <c r="Y2790" t="s">
        <v>16046</v>
      </c>
      <c r="AA2790" t="s">
        <v>16047</v>
      </c>
      <c r="AB2790" t="s">
        <v>16041</v>
      </c>
      <c r="AE2790">
        <v>-35.208121490000003</v>
      </c>
      <c r="AF2790">
        <v>173.92638183</v>
      </c>
      <c r="AG2790">
        <v>40</v>
      </c>
      <c r="AH2790">
        <v>10</v>
      </c>
      <c r="AI2790">
        <v>0</v>
      </c>
      <c r="AJ2790">
        <v>10</v>
      </c>
      <c r="AK2790">
        <v>9</v>
      </c>
      <c r="AL2790">
        <v>14</v>
      </c>
      <c r="AM2790">
        <v>11</v>
      </c>
      <c r="AN2790">
        <v>1</v>
      </c>
      <c r="AO2790">
        <v>45</v>
      </c>
      <c r="AP2790">
        <v>37</v>
      </c>
      <c r="AQ2790">
        <v>25</v>
      </c>
      <c r="AR2790">
        <v>8</v>
      </c>
      <c r="AS2790">
        <v>1</v>
      </c>
      <c r="AT2790">
        <v>0</v>
      </c>
    </row>
    <row r="2791" spans="1:46">
      <c r="A2791">
        <v>47397</v>
      </c>
      <c r="B2791" t="s">
        <v>16048</v>
      </c>
      <c r="C2791" t="s">
        <v>16049</v>
      </c>
      <c r="E2791" t="s">
        <v>16050</v>
      </c>
      <c r="F2791" t="s">
        <v>13150</v>
      </c>
      <c r="G2791" t="s">
        <v>1598</v>
      </c>
      <c r="H2791" t="s">
        <v>3942</v>
      </c>
      <c r="J2791" t="s">
        <v>3962</v>
      </c>
      <c r="K2791" t="s">
        <v>519</v>
      </c>
      <c r="M2791" t="s">
        <v>1297</v>
      </c>
      <c r="N2791" t="s">
        <v>571</v>
      </c>
      <c r="O2791" t="s">
        <v>1698</v>
      </c>
      <c r="P2791" t="s">
        <v>654</v>
      </c>
      <c r="Q2791" t="s">
        <v>1471</v>
      </c>
      <c r="R2791" t="s">
        <v>1472</v>
      </c>
      <c r="S2791" t="s">
        <v>1598</v>
      </c>
      <c r="T2791" t="s">
        <v>1474</v>
      </c>
      <c r="U2791">
        <v>195101</v>
      </c>
      <c r="V2791" t="s">
        <v>16051</v>
      </c>
      <c r="W2791" t="s">
        <v>1717</v>
      </c>
      <c r="X2791" t="s">
        <v>16052</v>
      </c>
      <c r="Y2791" t="s">
        <v>16053</v>
      </c>
      <c r="Z2791" t="s">
        <v>9820</v>
      </c>
      <c r="AA2791" t="s">
        <v>8404</v>
      </c>
      <c r="AC2791">
        <v>99085</v>
      </c>
      <c r="AD2791" t="s">
        <v>1718</v>
      </c>
      <c r="AE2791">
        <v>-37.751350909999999</v>
      </c>
      <c r="AF2791">
        <v>176.1051813</v>
      </c>
      <c r="AG2791">
        <v>72</v>
      </c>
      <c r="AH2791">
        <v>19</v>
      </c>
      <c r="AI2791">
        <v>1</v>
      </c>
      <c r="AJ2791">
        <v>15</v>
      </c>
      <c r="AK2791">
        <v>22</v>
      </c>
      <c r="AL2791">
        <v>18</v>
      </c>
      <c r="AM2791">
        <v>21</v>
      </c>
      <c r="AN2791">
        <v>0</v>
      </c>
      <c r="AO2791">
        <v>77</v>
      </c>
      <c r="AP2791">
        <v>71</v>
      </c>
      <c r="AQ2791">
        <v>7</v>
      </c>
      <c r="AR2791">
        <v>3</v>
      </c>
      <c r="AS2791">
        <v>9</v>
      </c>
      <c r="AT2791">
        <v>3</v>
      </c>
    </row>
    <row r="2792" spans="1:46">
      <c r="A2792">
        <v>47399</v>
      </c>
      <c r="B2792" t="s">
        <v>16054</v>
      </c>
      <c r="C2792" t="s">
        <v>16055</v>
      </c>
      <c r="E2792" t="s">
        <v>16056</v>
      </c>
      <c r="G2792" t="s">
        <v>1742</v>
      </c>
      <c r="H2792" t="s">
        <v>8824</v>
      </c>
      <c r="I2792" t="s">
        <v>4951</v>
      </c>
      <c r="J2792" t="s">
        <v>3962</v>
      </c>
      <c r="K2792" t="s">
        <v>519</v>
      </c>
      <c r="M2792" t="s">
        <v>1297</v>
      </c>
      <c r="N2792" t="s">
        <v>557</v>
      </c>
      <c r="O2792" t="s">
        <v>1743</v>
      </c>
      <c r="P2792" t="s">
        <v>572</v>
      </c>
      <c r="Q2792" t="s">
        <v>1471</v>
      </c>
      <c r="R2792" t="s">
        <v>1472</v>
      </c>
      <c r="S2792" t="s">
        <v>1473</v>
      </c>
      <c r="T2792" t="s">
        <v>1474</v>
      </c>
      <c r="U2792">
        <v>192000</v>
      </c>
      <c r="V2792" t="s">
        <v>10722</v>
      </c>
      <c r="W2792" t="s">
        <v>1745</v>
      </c>
      <c r="X2792" t="s">
        <v>16057</v>
      </c>
      <c r="Y2792" t="s">
        <v>16058</v>
      </c>
      <c r="AA2792" t="s">
        <v>8908</v>
      </c>
      <c r="AB2792" t="s">
        <v>16059</v>
      </c>
      <c r="AC2792">
        <v>99086</v>
      </c>
      <c r="AD2792" t="s">
        <v>1746</v>
      </c>
      <c r="AE2792">
        <v>-37.802077439999998</v>
      </c>
      <c r="AF2792">
        <v>176.37435439999999</v>
      </c>
      <c r="AG2792">
        <v>30</v>
      </c>
      <c r="AH2792">
        <v>10</v>
      </c>
      <c r="AI2792">
        <v>0</v>
      </c>
      <c r="AJ2792">
        <v>4</v>
      </c>
      <c r="AK2792">
        <v>10</v>
      </c>
      <c r="AL2792">
        <v>8</v>
      </c>
      <c r="AM2792">
        <v>8</v>
      </c>
      <c r="AN2792">
        <v>0</v>
      </c>
      <c r="AO2792">
        <v>30</v>
      </c>
      <c r="AP2792">
        <v>18</v>
      </c>
      <c r="AQ2792">
        <v>23</v>
      </c>
      <c r="AR2792">
        <v>0</v>
      </c>
      <c r="AS2792">
        <v>1</v>
      </c>
      <c r="AT2792">
        <v>0</v>
      </c>
    </row>
    <row r="2793" spans="1:46">
      <c r="A2793">
        <v>47400</v>
      </c>
      <c r="B2793" t="s">
        <v>16060</v>
      </c>
      <c r="C2793" t="s">
        <v>16061</v>
      </c>
      <c r="E2793" t="s">
        <v>16062</v>
      </c>
      <c r="F2793" t="s">
        <v>16063</v>
      </c>
      <c r="G2793" t="s">
        <v>1598</v>
      </c>
      <c r="H2793" t="s">
        <v>3942</v>
      </c>
      <c r="J2793" t="s">
        <v>3962</v>
      </c>
      <c r="K2793" t="s">
        <v>519</v>
      </c>
      <c r="M2793" t="s">
        <v>1297</v>
      </c>
      <c r="N2793" t="s">
        <v>571</v>
      </c>
      <c r="O2793" t="s">
        <v>1698</v>
      </c>
      <c r="P2793" t="s">
        <v>654</v>
      </c>
      <c r="Q2793" t="s">
        <v>1471</v>
      </c>
      <c r="R2793" t="s">
        <v>1472</v>
      </c>
      <c r="S2793" t="s">
        <v>1598</v>
      </c>
      <c r="T2793" t="s">
        <v>1474</v>
      </c>
      <c r="U2793">
        <v>194300</v>
      </c>
      <c r="V2793" t="s">
        <v>1723</v>
      </c>
      <c r="W2793" t="s">
        <v>1724</v>
      </c>
      <c r="X2793" t="s">
        <v>16064</v>
      </c>
      <c r="Y2793" t="s">
        <v>16062</v>
      </c>
      <c r="AA2793" t="s">
        <v>11171</v>
      </c>
      <c r="AB2793" t="s">
        <v>16061</v>
      </c>
      <c r="AC2793">
        <v>99064</v>
      </c>
      <c r="AD2793" t="s">
        <v>1702</v>
      </c>
      <c r="AE2793">
        <v>-37.658598230000003</v>
      </c>
      <c r="AF2793">
        <v>176.20579731999999</v>
      </c>
      <c r="AG2793">
        <v>40</v>
      </c>
      <c r="AH2793">
        <v>0</v>
      </c>
      <c r="AI2793">
        <v>0</v>
      </c>
      <c r="AJ2793">
        <v>0</v>
      </c>
      <c r="AK2793">
        <v>9</v>
      </c>
      <c r="AL2793">
        <v>18</v>
      </c>
      <c r="AM2793">
        <v>19</v>
      </c>
      <c r="AN2793">
        <v>1</v>
      </c>
      <c r="AO2793">
        <v>47</v>
      </c>
      <c r="AP2793">
        <v>47</v>
      </c>
      <c r="AQ2793">
        <v>3</v>
      </c>
      <c r="AR2793">
        <v>2</v>
      </c>
      <c r="AS2793">
        <v>0</v>
      </c>
      <c r="AT2793">
        <v>1</v>
      </c>
    </row>
    <row r="2794" spans="1:46">
      <c r="A2794">
        <v>47402</v>
      </c>
      <c r="B2794" t="s">
        <v>16065</v>
      </c>
      <c r="C2794" t="s">
        <v>16066</v>
      </c>
      <c r="D2794" t="s">
        <v>16067</v>
      </c>
      <c r="E2794" t="s">
        <v>16068</v>
      </c>
      <c r="G2794" t="s">
        <v>1842</v>
      </c>
      <c r="H2794" t="s">
        <v>3942</v>
      </c>
      <c r="J2794" t="s">
        <v>3962</v>
      </c>
      <c r="K2794" t="s">
        <v>519</v>
      </c>
      <c r="M2794" t="s">
        <v>1297</v>
      </c>
      <c r="N2794" t="s">
        <v>521</v>
      </c>
      <c r="O2794" t="s">
        <v>1887</v>
      </c>
      <c r="P2794" t="s">
        <v>584</v>
      </c>
      <c r="Q2794" t="s">
        <v>1636</v>
      </c>
      <c r="R2794" t="s">
        <v>1760</v>
      </c>
      <c r="S2794" t="s">
        <v>1842</v>
      </c>
      <c r="T2794" t="s">
        <v>1485</v>
      </c>
      <c r="U2794">
        <v>225400</v>
      </c>
      <c r="V2794" t="s">
        <v>16069</v>
      </c>
      <c r="W2794" t="s">
        <v>1652</v>
      </c>
      <c r="X2794" t="s">
        <v>16070</v>
      </c>
      <c r="Y2794" t="s">
        <v>16071</v>
      </c>
      <c r="Z2794" t="s">
        <v>6601</v>
      </c>
      <c r="AA2794" t="s">
        <v>4391</v>
      </c>
      <c r="AB2794" t="s">
        <v>16072</v>
      </c>
      <c r="AE2794">
        <v>-39.926955479999997</v>
      </c>
      <c r="AF2794">
        <v>175.04630121</v>
      </c>
      <c r="AG2794">
        <v>42</v>
      </c>
      <c r="AH2794">
        <v>0</v>
      </c>
      <c r="AI2794">
        <v>0</v>
      </c>
      <c r="AJ2794">
        <v>0</v>
      </c>
      <c r="AK2794">
        <v>9</v>
      </c>
      <c r="AL2794">
        <v>7</v>
      </c>
      <c r="AM2794">
        <v>12</v>
      </c>
      <c r="AN2794">
        <v>1</v>
      </c>
      <c r="AO2794">
        <v>29</v>
      </c>
      <c r="AP2794">
        <v>18</v>
      </c>
      <c r="AQ2794">
        <v>7</v>
      </c>
      <c r="AR2794">
        <v>1</v>
      </c>
      <c r="AS2794">
        <v>10</v>
      </c>
      <c r="AT2794">
        <v>0</v>
      </c>
    </row>
    <row r="2795" spans="1:46">
      <c r="A2795">
        <v>47403</v>
      </c>
      <c r="B2795" t="s">
        <v>16073</v>
      </c>
      <c r="C2795" t="s">
        <v>16074</v>
      </c>
      <c r="D2795" t="s">
        <v>14117</v>
      </c>
      <c r="E2795" t="s">
        <v>16075</v>
      </c>
      <c r="F2795" t="s">
        <v>11775</v>
      </c>
      <c r="G2795" t="s">
        <v>2427</v>
      </c>
      <c r="H2795" t="s">
        <v>3942</v>
      </c>
      <c r="J2795" t="s">
        <v>3962</v>
      </c>
      <c r="K2795" t="s">
        <v>519</v>
      </c>
      <c r="M2795" t="s">
        <v>2287</v>
      </c>
      <c r="N2795" t="s">
        <v>571</v>
      </c>
      <c r="O2795" t="s">
        <v>2428</v>
      </c>
      <c r="P2795" t="s">
        <v>654</v>
      </c>
      <c r="Q2795" t="s">
        <v>2319</v>
      </c>
      <c r="R2795" t="s">
        <v>2289</v>
      </c>
      <c r="S2795" t="s">
        <v>2429</v>
      </c>
      <c r="T2795" t="s">
        <v>2448</v>
      </c>
      <c r="U2795">
        <v>244200</v>
      </c>
      <c r="V2795" t="s">
        <v>2511</v>
      </c>
      <c r="W2795" t="s">
        <v>2443</v>
      </c>
      <c r="X2795" t="s">
        <v>11535</v>
      </c>
      <c r="Y2795" t="s">
        <v>14119</v>
      </c>
      <c r="Z2795" t="s">
        <v>821</v>
      </c>
      <c r="AA2795" t="s">
        <v>4069</v>
      </c>
      <c r="AB2795" t="s">
        <v>11537</v>
      </c>
      <c r="AE2795">
        <v>-41.203201960000001</v>
      </c>
      <c r="AF2795">
        <v>174.91270736999999</v>
      </c>
      <c r="AG2795">
        <v>53</v>
      </c>
      <c r="AH2795">
        <v>28</v>
      </c>
      <c r="AI2795">
        <v>2</v>
      </c>
      <c r="AJ2795">
        <v>16</v>
      </c>
      <c r="AK2795">
        <v>18</v>
      </c>
      <c r="AL2795">
        <v>14</v>
      </c>
      <c r="AM2795">
        <v>8</v>
      </c>
      <c r="AN2795">
        <v>0</v>
      </c>
      <c r="AO2795">
        <v>58</v>
      </c>
      <c r="AP2795">
        <v>51</v>
      </c>
      <c r="AQ2795">
        <v>10</v>
      </c>
      <c r="AR2795">
        <v>4</v>
      </c>
      <c r="AS2795">
        <v>6</v>
      </c>
      <c r="AT2795">
        <v>4</v>
      </c>
    </row>
    <row r="2796" spans="1:46">
      <c r="A2796">
        <v>47404</v>
      </c>
      <c r="B2796" t="s">
        <v>16076</v>
      </c>
      <c r="C2796" t="s">
        <v>14158</v>
      </c>
      <c r="D2796" t="s">
        <v>15858</v>
      </c>
      <c r="E2796" t="s">
        <v>14156</v>
      </c>
      <c r="G2796" t="s">
        <v>2216</v>
      </c>
      <c r="H2796" t="s">
        <v>4716</v>
      </c>
      <c r="J2796" t="s">
        <v>3962</v>
      </c>
      <c r="K2796" t="s">
        <v>519</v>
      </c>
      <c r="M2796" t="s">
        <v>1297</v>
      </c>
      <c r="N2796" t="s">
        <v>571</v>
      </c>
      <c r="O2796" t="s">
        <v>2198</v>
      </c>
      <c r="P2796" t="s">
        <v>1262</v>
      </c>
      <c r="Q2796" t="s">
        <v>2118</v>
      </c>
      <c r="R2796" t="s">
        <v>1300</v>
      </c>
      <c r="S2796" t="s">
        <v>2199</v>
      </c>
      <c r="T2796" t="s">
        <v>2085</v>
      </c>
      <c r="U2796">
        <v>211600</v>
      </c>
      <c r="V2796" t="s">
        <v>8721</v>
      </c>
      <c r="W2796" t="s">
        <v>2200</v>
      </c>
      <c r="X2796" t="s">
        <v>16077</v>
      </c>
      <c r="Y2796" t="s">
        <v>8723</v>
      </c>
      <c r="Z2796" t="s">
        <v>2216</v>
      </c>
      <c r="AA2796" t="s">
        <v>8724</v>
      </c>
      <c r="AB2796" t="s">
        <v>14158</v>
      </c>
      <c r="AE2796">
        <v>-39.668068120000001</v>
      </c>
      <c r="AF2796">
        <v>176.8779006</v>
      </c>
      <c r="AG2796">
        <v>50</v>
      </c>
      <c r="AH2796">
        <v>50</v>
      </c>
      <c r="AI2796">
        <v>1</v>
      </c>
      <c r="AJ2796">
        <v>5</v>
      </c>
      <c r="AK2796">
        <v>4</v>
      </c>
      <c r="AL2796">
        <v>10</v>
      </c>
      <c r="AM2796">
        <v>10</v>
      </c>
      <c r="AN2796">
        <v>4</v>
      </c>
      <c r="AO2796">
        <v>34</v>
      </c>
      <c r="AP2796">
        <v>16</v>
      </c>
      <c r="AQ2796">
        <v>26</v>
      </c>
      <c r="AR2796">
        <v>3</v>
      </c>
      <c r="AS2796">
        <v>3</v>
      </c>
      <c r="AT2796">
        <v>0</v>
      </c>
    </row>
    <row r="2797" spans="1:46">
      <c r="A2797">
        <v>47405</v>
      </c>
      <c r="B2797" t="s">
        <v>16078</v>
      </c>
      <c r="D2797" t="s">
        <v>16079</v>
      </c>
      <c r="E2797" t="s">
        <v>16080</v>
      </c>
      <c r="G2797" t="s">
        <v>516</v>
      </c>
      <c r="H2797" t="s">
        <v>4716</v>
      </c>
      <c r="J2797" t="s">
        <v>3962</v>
      </c>
      <c r="K2797" t="s">
        <v>519</v>
      </c>
      <c r="M2797" t="s">
        <v>520</v>
      </c>
      <c r="N2797" t="s">
        <v>521</v>
      </c>
      <c r="O2797" t="s">
        <v>522</v>
      </c>
      <c r="P2797" t="s">
        <v>523</v>
      </c>
      <c r="Q2797" t="s">
        <v>524</v>
      </c>
      <c r="R2797" t="s">
        <v>525</v>
      </c>
      <c r="S2797" t="s">
        <v>526</v>
      </c>
      <c r="T2797" t="s">
        <v>527</v>
      </c>
      <c r="U2797">
        <v>100700</v>
      </c>
      <c r="V2797" t="s">
        <v>546</v>
      </c>
      <c r="W2797" t="s">
        <v>529</v>
      </c>
      <c r="X2797" t="s">
        <v>16081</v>
      </c>
      <c r="Y2797" t="s">
        <v>16080</v>
      </c>
      <c r="AA2797" t="s">
        <v>5383</v>
      </c>
      <c r="AE2797">
        <v>-35.117500229999997</v>
      </c>
      <c r="AF2797">
        <v>173.27559833999999</v>
      </c>
      <c r="AG2797">
        <v>50</v>
      </c>
      <c r="AH2797">
        <v>50</v>
      </c>
      <c r="AI2797">
        <v>0</v>
      </c>
      <c r="AJ2797">
        <v>1</v>
      </c>
      <c r="AK2797">
        <v>7</v>
      </c>
      <c r="AL2797">
        <v>4</v>
      </c>
      <c r="AM2797">
        <v>8</v>
      </c>
      <c r="AN2797">
        <v>0</v>
      </c>
      <c r="AO2797">
        <v>20</v>
      </c>
      <c r="AP2797">
        <v>4</v>
      </c>
      <c r="AQ2797">
        <v>19</v>
      </c>
      <c r="AR2797">
        <v>1</v>
      </c>
      <c r="AS2797">
        <v>0</v>
      </c>
      <c r="AT2797">
        <v>0</v>
      </c>
    </row>
    <row r="2798" spans="1:46">
      <c r="A2798">
        <v>47407</v>
      </c>
      <c r="B2798" t="s">
        <v>16082</v>
      </c>
      <c r="C2798" t="s">
        <v>16083</v>
      </c>
      <c r="D2798" t="s">
        <v>16084</v>
      </c>
      <c r="E2798" t="s">
        <v>16085</v>
      </c>
      <c r="F2798" t="s">
        <v>913</v>
      </c>
      <c r="G2798" t="s">
        <v>652</v>
      </c>
      <c r="H2798" t="s">
        <v>3942</v>
      </c>
      <c r="J2798" t="s">
        <v>518</v>
      </c>
      <c r="K2798" t="s">
        <v>519</v>
      </c>
      <c r="M2798" t="s">
        <v>520</v>
      </c>
      <c r="N2798" t="s">
        <v>557</v>
      </c>
      <c r="O2798" t="s">
        <v>912</v>
      </c>
      <c r="P2798" t="s">
        <v>654</v>
      </c>
      <c r="Q2798" t="s">
        <v>638</v>
      </c>
      <c r="R2798" t="s">
        <v>708</v>
      </c>
      <c r="S2798" t="s">
        <v>913</v>
      </c>
      <c r="T2798" t="s">
        <v>709</v>
      </c>
      <c r="U2798">
        <v>140400</v>
      </c>
      <c r="V2798" t="s">
        <v>16086</v>
      </c>
      <c r="W2798" t="s">
        <v>860</v>
      </c>
      <c r="X2798" t="s">
        <v>13750</v>
      </c>
      <c r="Y2798" t="s">
        <v>13751</v>
      </c>
      <c r="Z2798" t="s">
        <v>4690</v>
      </c>
      <c r="AA2798" t="s">
        <v>4691</v>
      </c>
      <c r="AB2798" t="s">
        <v>13747</v>
      </c>
      <c r="AC2798">
        <v>99032</v>
      </c>
      <c r="AD2798" t="s">
        <v>6090</v>
      </c>
      <c r="AE2798">
        <v>-36.908039969999997</v>
      </c>
      <c r="AF2798">
        <v>174.73894977</v>
      </c>
      <c r="AG2798">
        <v>53</v>
      </c>
      <c r="AH2798">
        <v>14</v>
      </c>
      <c r="AI2798">
        <v>0</v>
      </c>
      <c r="AJ2798">
        <v>10</v>
      </c>
      <c r="AK2798">
        <v>15</v>
      </c>
      <c r="AL2798">
        <v>22</v>
      </c>
      <c r="AM2798">
        <v>12</v>
      </c>
      <c r="AN2798">
        <v>1</v>
      </c>
      <c r="AO2798">
        <v>60</v>
      </c>
      <c r="AP2798">
        <v>8</v>
      </c>
      <c r="AQ2798">
        <v>0</v>
      </c>
      <c r="AR2798">
        <v>5</v>
      </c>
      <c r="AS2798">
        <v>39</v>
      </c>
      <c r="AT2798">
        <v>13</v>
      </c>
    </row>
    <row r="2799" spans="1:46">
      <c r="A2799">
        <v>47411</v>
      </c>
      <c r="B2799" t="s">
        <v>16087</v>
      </c>
      <c r="C2799" t="s">
        <v>16088</v>
      </c>
      <c r="D2799" t="s">
        <v>16089</v>
      </c>
      <c r="E2799" t="s">
        <v>16090</v>
      </c>
      <c r="F2799" t="s">
        <v>913</v>
      </c>
      <c r="G2799" t="s">
        <v>652</v>
      </c>
      <c r="H2799" t="s">
        <v>3942</v>
      </c>
      <c r="J2799" t="s">
        <v>3962</v>
      </c>
      <c r="K2799" t="s">
        <v>519</v>
      </c>
      <c r="M2799" t="s">
        <v>520</v>
      </c>
      <c r="N2799" t="s">
        <v>571</v>
      </c>
      <c r="O2799" t="s">
        <v>912</v>
      </c>
      <c r="P2799" t="s">
        <v>654</v>
      </c>
      <c r="Q2799" t="s">
        <v>638</v>
      </c>
      <c r="R2799" t="s">
        <v>708</v>
      </c>
      <c r="S2799" t="s">
        <v>913</v>
      </c>
      <c r="T2799" t="s">
        <v>709</v>
      </c>
      <c r="U2799">
        <v>139700</v>
      </c>
      <c r="V2799" t="s">
        <v>1024</v>
      </c>
      <c r="W2799" t="s">
        <v>860</v>
      </c>
      <c r="X2799" t="s">
        <v>16091</v>
      </c>
      <c r="Y2799" t="s">
        <v>16092</v>
      </c>
      <c r="Z2799" t="s">
        <v>4690</v>
      </c>
      <c r="AA2799" t="s">
        <v>4691</v>
      </c>
      <c r="AB2799" t="s">
        <v>16088</v>
      </c>
      <c r="AE2799">
        <v>-36.896629070000003</v>
      </c>
      <c r="AF2799">
        <v>174.74411857000001</v>
      </c>
      <c r="AG2799">
        <v>36</v>
      </c>
      <c r="AH2799">
        <v>0</v>
      </c>
      <c r="AI2799">
        <v>0</v>
      </c>
      <c r="AJ2799">
        <v>0</v>
      </c>
      <c r="AK2799">
        <v>4</v>
      </c>
      <c r="AL2799">
        <v>11</v>
      </c>
      <c r="AM2799">
        <v>16</v>
      </c>
      <c r="AN2799">
        <v>0</v>
      </c>
      <c r="AO2799">
        <v>31</v>
      </c>
      <c r="AP2799">
        <v>4</v>
      </c>
      <c r="AQ2799">
        <v>2</v>
      </c>
      <c r="AR2799">
        <v>3</v>
      </c>
      <c r="AS2799">
        <v>23</v>
      </c>
      <c r="AT2799">
        <v>1</v>
      </c>
    </row>
    <row r="2800" spans="1:46">
      <c r="A2800">
        <v>47412</v>
      </c>
      <c r="B2800" t="s">
        <v>16093</v>
      </c>
      <c r="C2800" t="s">
        <v>16094</v>
      </c>
      <c r="D2800" t="s">
        <v>16095</v>
      </c>
      <c r="E2800" t="s">
        <v>16096</v>
      </c>
      <c r="F2800" t="s">
        <v>1379</v>
      </c>
      <c r="G2800" t="s">
        <v>1318</v>
      </c>
      <c r="H2800" t="s">
        <v>3942</v>
      </c>
      <c r="J2800" t="s">
        <v>3962</v>
      </c>
      <c r="K2800" t="s">
        <v>519</v>
      </c>
      <c r="M2800" t="s">
        <v>1297</v>
      </c>
      <c r="N2800" t="s">
        <v>571</v>
      </c>
      <c r="O2800" t="s">
        <v>1319</v>
      </c>
      <c r="P2800" t="s">
        <v>1262</v>
      </c>
      <c r="Q2800" t="s">
        <v>1299</v>
      </c>
      <c r="R2800" t="s">
        <v>1300</v>
      </c>
      <c r="S2800" t="s">
        <v>1320</v>
      </c>
      <c r="T2800" t="s">
        <v>1235</v>
      </c>
      <c r="U2800">
        <v>183701</v>
      </c>
      <c r="V2800" t="s">
        <v>16097</v>
      </c>
      <c r="W2800" t="s">
        <v>1322</v>
      </c>
      <c r="X2800" t="s">
        <v>16098</v>
      </c>
      <c r="Y2800" t="s">
        <v>16099</v>
      </c>
      <c r="Z2800" t="s">
        <v>1366</v>
      </c>
      <c r="AA2800" t="s">
        <v>9252</v>
      </c>
      <c r="AB2800" t="s">
        <v>16094</v>
      </c>
      <c r="AC2800">
        <v>99034</v>
      </c>
      <c r="AD2800" t="s">
        <v>8503</v>
      </c>
      <c r="AE2800">
        <v>-37.916984100000001</v>
      </c>
      <c r="AF2800">
        <v>175.47171114</v>
      </c>
      <c r="AG2800">
        <v>50</v>
      </c>
      <c r="AH2800">
        <v>20</v>
      </c>
      <c r="AI2800">
        <v>3</v>
      </c>
      <c r="AJ2800">
        <v>13</v>
      </c>
      <c r="AK2800">
        <v>25</v>
      </c>
      <c r="AL2800">
        <v>7</v>
      </c>
      <c r="AM2800">
        <v>0</v>
      </c>
      <c r="AN2800">
        <v>0</v>
      </c>
      <c r="AO2800">
        <v>48</v>
      </c>
      <c r="AP2800">
        <v>45</v>
      </c>
      <c r="AQ2800">
        <v>7</v>
      </c>
      <c r="AR2800">
        <v>1</v>
      </c>
      <c r="AS2800">
        <v>2</v>
      </c>
      <c r="AT2800">
        <v>2</v>
      </c>
    </row>
    <row r="2801" spans="1:46">
      <c r="A2801">
        <v>47413</v>
      </c>
      <c r="B2801" t="s">
        <v>16100</v>
      </c>
      <c r="C2801" t="s">
        <v>16101</v>
      </c>
      <c r="E2801" t="s">
        <v>16102</v>
      </c>
      <c r="F2801" t="s">
        <v>13150</v>
      </c>
      <c r="G2801" t="s">
        <v>1598</v>
      </c>
      <c r="H2801" t="s">
        <v>3942</v>
      </c>
      <c r="J2801" t="s">
        <v>3962</v>
      </c>
      <c r="K2801" t="s">
        <v>519</v>
      </c>
      <c r="M2801" t="s">
        <v>1297</v>
      </c>
      <c r="N2801" t="s">
        <v>571</v>
      </c>
      <c r="O2801" t="s">
        <v>1698</v>
      </c>
      <c r="P2801" t="s">
        <v>654</v>
      </c>
      <c r="Q2801" t="s">
        <v>1471</v>
      </c>
      <c r="R2801" t="s">
        <v>1472</v>
      </c>
      <c r="S2801" t="s">
        <v>1699</v>
      </c>
      <c r="T2801" t="s">
        <v>1474</v>
      </c>
      <c r="U2801">
        <v>191502</v>
      </c>
      <c r="V2801" t="s">
        <v>16103</v>
      </c>
      <c r="W2801" t="s">
        <v>1717</v>
      </c>
      <c r="X2801" t="s">
        <v>16104</v>
      </c>
      <c r="Y2801" t="s">
        <v>16102</v>
      </c>
      <c r="Z2801" t="s">
        <v>13150</v>
      </c>
      <c r="AA2801" t="s">
        <v>13891</v>
      </c>
      <c r="AB2801" t="s">
        <v>16105</v>
      </c>
      <c r="AC2801">
        <v>99085</v>
      </c>
      <c r="AD2801" t="s">
        <v>1718</v>
      </c>
      <c r="AE2801">
        <v>-37.773693710000003</v>
      </c>
      <c r="AF2801">
        <v>176.11555573999999</v>
      </c>
      <c r="AG2801">
        <v>70</v>
      </c>
      <c r="AH2801">
        <v>10</v>
      </c>
      <c r="AI2801">
        <v>0</v>
      </c>
      <c r="AJ2801">
        <v>8</v>
      </c>
      <c r="AK2801">
        <v>10</v>
      </c>
      <c r="AL2801">
        <v>17</v>
      </c>
      <c r="AM2801">
        <v>15</v>
      </c>
      <c r="AN2801">
        <v>1</v>
      </c>
      <c r="AO2801">
        <v>51</v>
      </c>
      <c r="AP2801">
        <v>40</v>
      </c>
      <c r="AQ2801">
        <v>9</v>
      </c>
      <c r="AR2801">
        <v>1</v>
      </c>
      <c r="AS2801">
        <v>10</v>
      </c>
      <c r="AT2801">
        <v>7</v>
      </c>
    </row>
    <row r="2802" spans="1:46">
      <c r="A2802">
        <v>47414</v>
      </c>
      <c r="B2802" t="s">
        <v>16106</v>
      </c>
      <c r="C2802" t="s">
        <v>16107</v>
      </c>
      <c r="D2802" t="s">
        <v>16108</v>
      </c>
      <c r="E2802" t="s">
        <v>16109</v>
      </c>
      <c r="G2802" t="s">
        <v>8261</v>
      </c>
      <c r="H2802" t="s">
        <v>3942</v>
      </c>
      <c r="J2802" t="s">
        <v>3962</v>
      </c>
      <c r="K2802" t="s">
        <v>519</v>
      </c>
      <c r="M2802" t="s">
        <v>520</v>
      </c>
      <c r="N2802" t="s">
        <v>571</v>
      </c>
      <c r="O2802" t="s">
        <v>637</v>
      </c>
      <c r="P2802" t="s">
        <v>523</v>
      </c>
      <c r="Q2802" t="s">
        <v>638</v>
      </c>
      <c r="R2802" t="s">
        <v>639</v>
      </c>
      <c r="S2802" t="s">
        <v>640</v>
      </c>
      <c r="T2802" t="s">
        <v>527</v>
      </c>
      <c r="U2802">
        <v>115001</v>
      </c>
      <c r="V2802" t="s">
        <v>6664</v>
      </c>
      <c r="W2802" t="s">
        <v>641</v>
      </c>
      <c r="X2802" t="s">
        <v>16110</v>
      </c>
      <c r="Y2802" t="s">
        <v>16111</v>
      </c>
      <c r="Z2802" t="s">
        <v>4132</v>
      </c>
      <c r="AA2802" t="s">
        <v>6872</v>
      </c>
      <c r="AB2802" t="s">
        <v>16107</v>
      </c>
      <c r="AE2802">
        <v>-36.771127290000003</v>
      </c>
      <c r="AF2802">
        <v>174.53886914</v>
      </c>
      <c r="AG2802">
        <v>68</v>
      </c>
      <c r="AH2802">
        <v>20</v>
      </c>
      <c r="AI2802">
        <v>2</v>
      </c>
      <c r="AJ2802">
        <v>12</v>
      </c>
      <c r="AK2802">
        <v>13</v>
      </c>
      <c r="AL2802">
        <v>17</v>
      </c>
      <c r="AM2802">
        <v>18</v>
      </c>
      <c r="AN2802">
        <v>2</v>
      </c>
      <c r="AO2802">
        <v>64</v>
      </c>
      <c r="AP2802">
        <v>55</v>
      </c>
      <c r="AQ2802">
        <v>2</v>
      </c>
      <c r="AR2802">
        <v>3</v>
      </c>
      <c r="AS2802">
        <v>15</v>
      </c>
      <c r="AT2802">
        <v>0</v>
      </c>
    </row>
    <row r="2803" spans="1:46">
      <c r="A2803">
        <v>47415</v>
      </c>
      <c r="B2803" t="s">
        <v>16112</v>
      </c>
      <c r="C2803" t="s">
        <v>16113</v>
      </c>
      <c r="D2803" t="s">
        <v>13076</v>
      </c>
      <c r="E2803" t="s">
        <v>16114</v>
      </c>
      <c r="F2803" t="s">
        <v>945</v>
      </c>
      <c r="G2803" t="s">
        <v>652</v>
      </c>
      <c r="H2803" t="s">
        <v>3942</v>
      </c>
      <c r="I2803" t="s">
        <v>4165</v>
      </c>
      <c r="J2803" t="s">
        <v>518</v>
      </c>
      <c r="K2803" t="s">
        <v>519</v>
      </c>
      <c r="M2803" t="s">
        <v>520</v>
      </c>
      <c r="N2803" t="s">
        <v>521</v>
      </c>
      <c r="O2803" t="s">
        <v>848</v>
      </c>
      <c r="P2803" t="s">
        <v>654</v>
      </c>
      <c r="Q2803" t="s">
        <v>638</v>
      </c>
      <c r="R2803" t="s">
        <v>729</v>
      </c>
      <c r="S2803" t="s">
        <v>849</v>
      </c>
      <c r="T2803" t="s">
        <v>709</v>
      </c>
      <c r="U2803">
        <v>153200</v>
      </c>
      <c r="V2803" t="s">
        <v>12670</v>
      </c>
      <c r="W2803" t="s">
        <v>732</v>
      </c>
      <c r="X2803" t="s">
        <v>13078</v>
      </c>
      <c r="Y2803" t="s">
        <v>13079</v>
      </c>
      <c r="Z2803" t="s">
        <v>945</v>
      </c>
      <c r="AA2803" t="s">
        <v>4612</v>
      </c>
      <c r="AB2803" t="s">
        <v>13080</v>
      </c>
      <c r="AE2803">
        <v>-36.972669500000002</v>
      </c>
      <c r="AF2803">
        <v>174.82481854</v>
      </c>
      <c r="AG2803">
        <v>50</v>
      </c>
      <c r="AH2803">
        <v>15</v>
      </c>
      <c r="AI2803">
        <v>1</v>
      </c>
      <c r="AJ2803">
        <v>11</v>
      </c>
      <c r="AK2803">
        <v>7</v>
      </c>
      <c r="AL2803">
        <v>12</v>
      </c>
      <c r="AM2803">
        <v>6</v>
      </c>
      <c r="AN2803">
        <v>1</v>
      </c>
      <c r="AO2803">
        <v>38</v>
      </c>
      <c r="AP2803">
        <v>2</v>
      </c>
      <c r="AQ2803">
        <v>1</v>
      </c>
      <c r="AR2803">
        <v>37</v>
      </c>
      <c r="AS2803">
        <v>2</v>
      </c>
      <c r="AT2803">
        <v>0</v>
      </c>
    </row>
    <row r="2804" spans="1:46">
      <c r="A2804">
        <v>47416</v>
      </c>
      <c r="B2804" t="s">
        <v>16115</v>
      </c>
      <c r="C2804" t="s">
        <v>16116</v>
      </c>
      <c r="D2804" t="s">
        <v>16117</v>
      </c>
      <c r="E2804" t="s">
        <v>16118</v>
      </c>
      <c r="F2804" t="s">
        <v>919</v>
      </c>
      <c r="G2804" t="s">
        <v>652</v>
      </c>
      <c r="H2804" t="s">
        <v>3942</v>
      </c>
      <c r="J2804" t="s">
        <v>3962</v>
      </c>
      <c r="K2804" t="s">
        <v>519</v>
      </c>
      <c r="M2804" t="s">
        <v>520</v>
      </c>
      <c r="N2804" t="s">
        <v>571</v>
      </c>
      <c r="O2804" t="s">
        <v>1168</v>
      </c>
      <c r="P2804" t="s">
        <v>654</v>
      </c>
      <c r="Q2804" t="s">
        <v>638</v>
      </c>
      <c r="R2804" t="s">
        <v>639</v>
      </c>
      <c r="S2804" t="s">
        <v>739</v>
      </c>
      <c r="T2804" t="s">
        <v>527</v>
      </c>
      <c r="U2804">
        <v>119201</v>
      </c>
      <c r="V2804" t="s">
        <v>919</v>
      </c>
      <c r="W2804" t="s">
        <v>657</v>
      </c>
      <c r="X2804" t="s">
        <v>15348</v>
      </c>
      <c r="Y2804" t="s">
        <v>12191</v>
      </c>
      <c r="Z2804" t="s">
        <v>12192</v>
      </c>
      <c r="AA2804" t="s">
        <v>12193</v>
      </c>
      <c r="AB2804" t="s">
        <v>15349</v>
      </c>
      <c r="AE2804">
        <v>-36.806789850000001</v>
      </c>
      <c r="AF2804">
        <v>174.63564289999999</v>
      </c>
      <c r="AG2804">
        <v>125</v>
      </c>
      <c r="AH2804">
        <v>40</v>
      </c>
      <c r="AI2804">
        <v>6</v>
      </c>
      <c r="AJ2804">
        <v>19</v>
      </c>
      <c r="AK2804">
        <v>34</v>
      </c>
      <c r="AL2804">
        <v>24</v>
      </c>
      <c r="AM2804">
        <v>31</v>
      </c>
      <c r="AN2804">
        <v>0</v>
      </c>
      <c r="AO2804">
        <v>114</v>
      </c>
      <c r="AP2804">
        <v>75</v>
      </c>
      <c r="AQ2804">
        <v>8</v>
      </c>
      <c r="AR2804">
        <v>2</v>
      </c>
      <c r="AS2804">
        <v>39</v>
      </c>
      <c r="AT2804">
        <v>4</v>
      </c>
    </row>
    <row r="2805" spans="1:46">
      <c r="A2805">
        <v>47417</v>
      </c>
      <c r="B2805" t="s">
        <v>16119</v>
      </c>
      <c r="C2805" t="s">
        <v>16120</v>
      </c>
      <c r="D2805" t="s">
        <v>12720</v>
      </c>
      <c r="E2805" t="s">
        <v>16121</v>
      </c>
      <c r="F2805" t="s">
        <v>2676</v>
      </c>
      <c r="G2805" t="s">
        <v>2674</v>
      </c>
      <c r="H2805" t="s">
        <v>3942</v>
      </c>
      <c r="I2805" t="s">
        <v>3953</v>
      </c>
      <c r="J2805" t="s">
        <v>3962</v>
      </c>
      <c r="K2805" t="s">
        <v>519</v>
      </c>
      <c r="M2805" t="s">
        <v>2287</v>
      </c>
      <c r="N2805" t="s">
        <v>571</v>
      </c>
      <c r="O2805" t="s">
        <v>2675</v>
      </c>
      <c r="P2805" t="s">
        <v>1262</v>
      </c>
      <c r="Q2805" t="s">
        <v>2319</v>
      </c>
      <c r="R2805" t="s">
        <v>2289</v>
      </c>
      <c r="S2805" t="s">
        <v>2067</v>
      </c>
      <c r="T2805" t="s">
        <v>1485</v>
      </c>
      <c r="U2805">
        <v>237800</v>
      </c>
      <c r="V2805" t="s">
        <v>2676</v>
      </c>
      <c r="W2805" t="s">
        <v>2677</v>
      </c>
      <c r="X2805" t="s">
        <v>16122</v>
      </c>
      <c r="Y2805" t="s">
        <v>12723</v>
      </c>
      <c r="AA2805" t="s">
        <v>12298</v>
      </c>
      <c r="AB2805" t="s">
        <v>16123</v>
      </c>
      <c r="AE2805">
        <v>-40.911190490000003</v>
      </c>
      <c r="AF2805">
        <v>175.01128575999999</v>
      </c>
      <c r="AG2805">
        <v>65</v>
      </c>
      <c r="AH2805">
        <v>30</v>
      </c>
      <c r="AI2805">
        <v>5</v>
      </c>
      <c r="AJ2805">
        <v>14</v>
      </c>
      <c r="AK2805">
        <v>20</v>
      </c>
      <c r="AL2805">
        <v>16</v>
      </c>
      <c r="AM2805">
        <v>11</v>
      </c>
      <c r="AN2805">
        <v>1</v>
      </c>
      <c r="AO2805">
        <v>67</v>
      </c>
      <c r="AP2805">
        <v>56</v>
      </c>
      <c r="AQ2805">
        <v>23</v>
      </c>
      <c r="AR2805">
        <v>6</v>
      </c>
      <c r="AS2805">
        <v>4</v>
      </c>
      <c r="AT2805">
        <v>0</v>
      </c>
    </row>
    <row r="2806" spans="1:46">
      <c r="A2806">
        <v>47418</v>
      </c>
      <c r="B2806" t="s">
        <v>16124</v>
      </c>
      <c r="C2806" t="s">
        <v>16125</v>
      </c>
      <c r="D2806" t="s">
        <v>16126</v>
      </c>
      <c r="E2806" t="s">
        <v>16127</v>
      </c>
      <c r="F2806" t="s">
        <v>11775</v>
      </c>
      <c r="G2806" t="s">
        <v>2427</v>
      </c>
      <c r="H2806" t="s">
        <v>3942</v>
      </c>
      <c r="J2806" t="s">
        <v>518</v>
      </c>
      <c r="K2806" t="s">
        <v>519</v>
      </c>
      <c r="M2806" t="s">
        <v>2287</v>
      </c>
      <c r="N2806" t="s">
        <v>571</v>
      </c>
      <c r="O2806" t="s">
        <v>2428</v>
      </c>
      <c r="P2806" t="s">
        <v>654</v>
      </c>
      <c r="Q2806" t="s">
        <v>2319</v>
      </c>
      <c r="R2806" t="s">
        <v>2289</v>
      </c>
      <c r="S2806" t="s">
        <v>2429</v>
      </c>
      <c r="T2806" t="s">
        <v>2448</v>
      </c>
      <c r="U2806">
        <v>244200</v>
      </c>
      <c r="V2806" t="s">
        <v>2511</v>
      </c>
      <c r="W2806" t="s">
        <v>2443</v>
      </c>
      <c r="X2806" t="s">
        <v>10434</v>
      </c>
      <c r="Y2806" t="s">
        <v>3944</v>
      </c>
      <c r="Z2806" t="s">
        <v>3945</v>
      </c>
      <c r="AA2806" t="s">
        <v>3946</v>
      </c>
      <c r="AE2806">
        <v>-41.203992509999999</v>
      </c>
      <c r="AF2806">
        <v>174.91210187999999</v>
      </c>
      <c r="AG2806">
        <v>98</v>
      </c>
      <c r="AH2806">
        <v>25</v>
      </c>
      <c r="AI2806">
        <v>4</v>
      </c>
      <c r="AJ2806">
        <v>22</v>
      </c>
      <c r="AK2806">
        <v>26</v>
      </c>
      <c r="AL2806">
        <v>27</v>
      </c>
      <c r="AM2806">
        <v>22</v>
      </c>
      <c r="AN2806">
        <v>0</v>
      </c>
      <c r="AO2806">
        <v>101</v>
      </c>
      <c r="AP2806">
        <v>51</v>
      </c>
      <c r="AQ2806">
        <v>12</v>
      </c>
      <c r="AR2806">
        <v>8</v>
      </c>
      <c r="AS2806">
        <v>47</v>
      </c>
      <c r="AT2806">
        <v>9</v>
      </c>
    </row>
    <row r="2807" spans="1:46">
      <c r="A2807">
        <v>47419</v>
      </c>
      <c r="B2807" t="s">
        <v>16128</v>
      </c>
      <c r="C2807" t="s">
        <v>16129</v>
      </c>
      <c r="E2807" t="s">
        <v>16130</v>
      </c>
      <c r="F2807" t="s">
        <v>3426</v>
      </c>
      <c r="G2807" t="s">
        <v>3382</v>
      </c>
      <c r="H2807" t="s">
        <v>3942</v>
      </c>
      <c r="I2807" t="s">
        <v>5772</v>
      </c>
      <c r="J2807" t="s">
        <v>518</v>
      </c>
      <c r="K2807" t="s">
        <v>519</v>
      </c>
      <c r="M2807" t="s">
        <v>2287</v>
      </c>
      <c r="N2807" t="s">
        <v>571</v>
      </c>
      <c r="O2807" t="s">
        <v>3383</v>
      </c>
      <c r="P2807" t="s">
        <v>654</v>
      </c>
      <c r="Q2807" t="s">
        <v>3337</v>
      </c>
      <c r="R2807" t="s">
        <v>3338</v>
      </c>
      <c r="S2807" t="s">
        <v>3382</v>
      </c>
      <c r="T2807" t="s">
        <v>2448</v>
      </c>
      <c r="U2807">
        <v>351700</v>
      </c>
      <c r="V2807" t="s">
        <v>3427</v>
      </c>
      <c r="W2807" t="s">
        <v>1652</v>
      </c>
      <c r="X2807" t="s">
        <v>16131</v>
      </c>
      <c r="Y2807" t="s">
        <v>16130</v>
      </c>
      <c r="Z2807" t="s">
        <v>3426</v>
      </c>
      <c r="AA2807" t="s">
        <v>11560</v>
      </c>
      <c r="AE2807">
        <v>-45.848448560000001</v>
      </c>
      <c r="AF2807">
        <v>170.53186006999999</v>
      </c>
      <c r="AG2807">
        <v>10</v>
      </c>
      <c r="AH2807">
        <v>10</v>
      </c>
      <c r="AI2807">
        <v>29</v>
      </c>
      <c r="AJ2807">
        <v>0</v>
      </c>
      <c r="AK2807">
        <v>0</v>
      </c>
      <c r="AL2807">
        <v>0</v>
      </c>
      <c r="AM2807">
        <v>0</v>
      </c>
      <c r="AN2807">
        <v>0</v>
      </c>
      <c r="AO2807">
        <v>29</v>
      </c>
      <c r="AP2807">
        <v>26</v>
      </c>
      <c r="AQ2807">
        <v>2</v>
      </c>
      <c r="AR2807">
        <v>0</v>
      </c>
      <c r="AS2807">
        <v>4</v>
      </c>
      <c r="AT2807">
        <v>1</v>
      </c>
    </row>
    <row r="2808" spans="1:46">
      <c r="A2808">
        <v>47421</v>
      </c>
      <c r="B2808" t="s">
        <v>16132</v>
      </c>
      <c r="C2808" t="s">
        <v>16133</v>
      </c>
      <c r="D2808" t="s">
        <v>16134</v>
      </c>
      <c r="E2808" t="s">
        <v>16135</v>
      </c>
      <c r="G2808" t="s">
        <v>2941</v>
      </c>
      <c r="H2808" t="s">
        <v>3942</v>
      </c>
      <c r="J2808" t="s">
        <v>3962</v>
      </c>
      <c r="K2808" t="s">
        <v>519</v>
      </c>
      <c r="M2808" t="s">
        <v>2287</v>
      </c>
      <c r="N2808" t="s">
        <v>571</v>
      </c>
      <c r="O2808" t="s">
        <v>2942</v>
      </c>
      <c r="P2808" t="s">
        <v>654</v>
      </c>
      <c r="Q2808" t="s">
        <v>2943</v>
      </c>
      <c r="R2808" t="s">
        <v>2944</v>
      </c>
      <c r="S2808" t="s">
        <v>3019</v>
      </c>
      <c r="T2808" t="s">
        <v>2448</v>
      </c>
      <c r="U2808">
        <v>325400</v>
      </c>
      <c r="V2808" t="s">
        <v>12202</v>
      </c>
      <c r="W2808" t="s">
        <v>3196</v>
      </c>
      <c r="X2808" t="s">
        <v>10806</v>
      </c>
      <c r="Y2808" t="s">
        <v>4097</v>
      </c>
      <c r="Z2808" t="s">
        <v>4098</v>
      </c>
      <c r="AA2808" t="s">
        <v>4099</v>
      </c>
      <c r="AB2808" t="s">
        <v>10807</v>
      </c>
      <c r="AC2808">
        <v>99177</v>
      </c>
      <c r="AD2808" t="s">
        <v>2959</v>
      </c>
      <c r="AE2808">
        <v>-43.562019239999998</v>
      </c>
      <c r="AF2808">
        <v>172.57973505999999</v>
      </c>
      <c r="AG2808">
        <v>104</v>
      </c>
      <c r="AH2808">
        <v>24</v>
      </c>
      <c r="AI2808">
        <v>3</v>
      </c>
      <c r="AJ2808">
        <v>24</v>
      </c>
      <c r="AK2808">
        <v>25</v>
      </c>
      <c r="AL2808">
        <v>22</v>
      </c>
      <c r="AM2808">
        <v>30</v>
      </c>
      <c r="AN2808">
        <v>5</v>
      </c>
      <c r="AO2808">
        <v>109</v>
      </c>
      <c r="AP2808">
        <v>65</v>
      </c>
      <c r="AQ2808">
        <v>18</v>
      </c>
      <c r="AR2808">
        <v>4</v>
      </c>
      <c r="AS2808">
        <v>48</v>
      </c>
      <c r="AT2808">
        <v>5</v>
      </c>
    </row>
    <row r="2809" spans="1:46">
      <c r="A2809">
        <v>47422</v>
      </c>
      <c r="B2809" t="s">
        <v>16136</v>
      </c>
      <c r="C2809" t="s">
        <v>16137</v>
      </c>
      <c r="E2809" t="s">
        <v>16138</v>
      </c>
      <c r="G2809" t="s">
        <v>4509</v>
      </c>
      <c r="H2809" t="s">
        <v>3942</v>
      </c>
      <c r="J2809" t="s">
        <v>3962</v>
      </c>
      <c r="K2809" t="s">
        <v>519</v>
      </c>
      <c r="M2809" t="s">
        <v>520</v>
      </c>
      <c r="N2809" t="s">
        <v>571</v>
      </c>
      <c r="O2809" t="s">
        <v>653</v>
      </c>
      <c r="P2809" t="s">
        <v>584</v>
      </c>
      <c r="Q2809" t="s">
        <v>638</v>
      </c>
      <c r="R2809" t="s">
        <v>639</v>
      </c>
      <c r="S2809" t="s">
        <v>668</v>
      </c>
      <c r="T2809" t="s">
        <v>527</v>
      </c>
      <c r="U2809">
        <v>113800</v>
      </c>
      <c r="V2809" t="s">
        <v>7220</v>
      </c>
      <c r="W2809" t="s">
        <v>657</v>
      </c>
      <c r="X2809" t="s">
        <v>13526</v>
      </c>
      <c r="Y2809" t="s">
        <v>16139</v>
      </c>
      <c r="AA2809" t="s">
        <v>13528</v>
      </c>
      <c r="AB2809" t="s">
        <v>13529</v>
      </c>
      <c r="AE2809">
        <v>-36.633401800000001</v>
      </c>
      <c r="AF2809">
        <v>174.66350790000001</v>
      </c>
      <c r="AG2809">
        <v>53</v>
      </c>
      <c r="AH2809">
        <v>12</v>
      </c>
      <c r="AI2809">
        <v>2</v>
      </c>
      <c r="AJ2809">
        <v>13</v>
      </c>
      <c r="AK2809">
        <v>20</v>
      </c>
      <c r="AL2809">
        <v>14</v>
      </c>
      <c r="AM2809">
        <v>11</v>
      </c>
      <c r="AN2809">
        <v>0</v>
      </c>
      <c r="AO2809">
        <v>60</v>
      </c>
      <c r="AP2809">
        <v>45</v>
      </c>
      <c r="AQ2809">
        <v>12</v>
      </c>
      <c r="AR2809">
        <v>1</v>
      </c>
      <c r="AS2809">
        <v>15</v>
      </c>
      <c r="AT2809">
        <v>3</v>
      </c>
    </row>
    <row r="2810" spans="1:46">
      <c r="A2810">
        <v>47424</v>
      </c>
      <c r="B2810" t="s">
        <v>16140</v>
      </c>
      <c r="C2810" t="s">
        <v>16141</v>
      </c>
      <c r="D2810" t="s">
        <v>16142</v>
      </c>
      <c r="E2810" t="s">
        <v>16143</v>
      </c>
      <c r="F2810" t="s">
        <v>1427</v>
      </c>
      <c r="G2810" t="s">
        <v>1296</v>
      </c>
      <c r="H2810" t="s">
        <v>3942</v>
      </c>
      <c r="J2810" t="s">
        <v>3962</v>
      </c>
      <c r="K2810" t="s">
        <v>519</v>
      </c>
      <c r="M2810" t="s">
        <v>1297</v>
      </c>
      <c r="N2810" t="s">
        <v>571</v>
      </c>
      <c r="O2810" t="s">
        <v>1298</v>
      </c>
      <c r="P2810" t="s">
        <v>654</v>
      </c>
      <c r="Q2810" t="s">
        <v>1299</v>
      </c>
      <c r="R2810" t="s">
        <v>1300</v>
      </c>
      <c r="S2810" t="s">
        <v>1301</v>
      </c>
      <c r="T2810" t="s">
        <v>1235</v>
      </c>
      <c r="U2810">
        <v>181101</v>
      </c>
      <c r="V2810" t="s">
        <v>8414</v>
      </c>
      <c r="W2810" t="s">
        <v>1303</v>
      </c>
      <c r="X2810" t="s">
        <v>16144</v>
      </c>
      <c r="Y2810" t="s">
        <v>16143</v>
      </c>
      <c r="Z2810" t="s">
        <v>1427</v>
      </c>
      <c r="AA2810" t="s">
        <v>14103</v>
      </c>
      <c r="AB2810" t="s">
        <v>16141</v>
      </c>
      <c r="AE2810">
        <v>-37.824154800000002</v>
      </c>
      <c r="AF2810">
        <v>175.29611449999999</v>
      </c>
      <c r="AG2810">
        <v>13</v>
      </c>
      <c r="AH2810">
        <v>10</v>
      </c>
      <c r="AI2810">
        <v>0</v>
      </c>
      <c r="AJ2810">
        <v>4</v>
      </c>
      <c r="AK2810">
        <v>3</v>
      </c>
      <c r="AL2810">
        <v>4</v>
      </c>
      <c r="AM2810">
        <v>0</v>
      </c>
      <c r="AN2810">
        <v>0</v>
      </c>
      <c r="AO2810">
        <v>11</v>
      </c>
      <c r="AP2810">
        <v>1</v>
      </c>
      <c r="AQ2810">
        <v>2</v>
      </c>
      <c r="AR2810">
        <v>0</v>
      </c>
      <c r="AS2810">
        <v>9</v>
      </c>
      <c r="AT2810">
        <v>0</v>
      </c>
    </row>
    <row r="2811" spans="1:46">
      <c r="A2811">
        <v>47425</v>
      </c>
      <c r="B2811" t="s">
        <v>16145</v>
      </c>
      <c r="C2811" t="s">
        <v>11819</v>
      </c>
      <c r="D2811" t="s">
        <v>16146</v>
      </c>
      <c r="E2811" t="s">
        <v>3989</v>
      </c>
      <c r="F2811" t="s">
        <v>16147</v>
      </c>
      <c r="G2811" t="s">
        <v>652</v>
      </c>
      <c r="H2811" t="s">
        <v>4716</v>
      </c>
      <c r="J2811" t="s">
        <v>3962</v>
      </c>
      <c r="K2811" t="s">
        <v>519</v>
      </c>
      <c r="M2811" t="s">
        <v>520</v>
      </c>
      <c r="N2811" t="s">
        <v>557</v>
      </c>
      <c r="O2811" t="s">
        <v>707</v>
      </c>
      <c r="P2811" t="s">
        <v>654</v>
      </c>
      <c r="Q2811" t="s">
        <v>638</v>
      </c>
      <c r="R2811" t="s">
        <v>708</v>
      </c>
      <c r="S2811" t="s">
        <v>778</v>
      </c>
      <c r="T2811" t="s">
        <v>709</v>
      </c>
      <c r="U2811">
        <v>156101</v>
      </c>
      <c r="V2811" t="s">
        <v>4805</v>
      </c>
      <c r="W2811" t="s">
        <v>711</v>
      </c>
      <c r="X2811" t="s">
        <v>4806</v>
      </c>
      <c r="Y2811" t="s">
        <v>3989</v>
      </c>
      <c r="Z2811" t="s">
        <v>3990</v>
      </c>
      <c r="AA2811" t="s">
        <v>3991</v>
      </c>
      <c r="AE2811">
        <v>-36.947803219999997</v>
      </c>
      <c r="AF2811">
        <v>174.91457252999999</v>
      </c>
      <c r="AG2811">
        <v>50</v>
      </c>
      <c r="AH2811">
        <v>50</v>
      </c>
      <c r="AI2811">
        <v>10</v>
      </c>
      <c r="AJ2811">
        <v>13</v>
      </c>
      <c r="AK2811">
        <v>11</v>
      </c>
      <c r="AL2811">
        <v>5</v>
      </c>
      <c r="AM2811">
        <v>10</v>
      </c>
      <c r="AN2811">
        <v>1</v>
      </c>
      <c r="AO2811">
        <v>50</v>
      </c>
      <c r="AP2811">
        <v>0</v>
      </c>
      <c r="AQ2811">
        <v>0</v>
      </c>
      <c r="AR2811">
        <v>10</v>
      </c>
      <c r="AS2811">
        <v>40</v>
      </c>
      <c r="AT2811">
        <v>0</v>
      </c>
    </row>
    <row r="2812" spans="1:46">
      <c r="A2812">
        <v>47428</v>
      </c>
      <c r="B2812" t="s">
        <v>16148</v>
      </c>
      <c r="C2812" t="s">
        <v>16149</v>
      </c>
      <c r="E2812" t="s">
        <v>16150</v>
      </c>
      <c r="F2812" t="s">
        <v>2122</v>
      </c>
      <c r="G2812" t="s">
        <v>2119</v>
      </c>
      <c r="H2812" t="s">
        <v>3942</v>
      </c>
      <c r="J2812" t="s">
        <v>3962</v>
      </c>
      <c r="K2812" t="s">
        <v>519</v>
      </c>
      <c r="M2812" t="s">
        <v>1297</v>
      </c>
      <c r="N2812" t="s">
        <v>571</v>
      </c>
      <c r="O2812" t="s">
        <v>2131</v>
      </c>
      <c r="P2812" t="s">
        <v>584</v>
      </c>
      <c r="Q2812" t="s">
        <v>2118</v>
      </c>
      <c r="R2812" t="s">
        <v>2084</v>
      </c>
      <c r="S2812" t="s">
        <v>2119</v>
      </c>
      <c r="T2812" t="s">
        <v>2085</v>
      </c>
      <c r="U2812">
        <v>214500</v>
      </c>
      <c r="V2812" t="s">
        <v>3630</v>
      </c>
      <c r="W2812" t="s">
        <v>2132</v>
      </c>
      <c r="X2812" t="s">
        <v>16151</v>
      </c>
      <c r="Y2812" t="s">
        <v>16152</v>
      </c>
      <c r="Z2812" t="s">
        <v>828</v>
      </c>
      <c r="AA2812" t="s">
        <v>6880</v>
      </c>
      <c r="AB2812" t="s">
        <v>16153</v>
      </c>
      <c r="AE2812">
        <v>-39.496897269999998</v>
      </c>
      <c r="AF2812">
        <v>176.90678568999999</v>
      </c>
      <c r="AG2812">
        <v>75</v>
      </c>
      <c r="AH2812">
        <v>20</v>
      </c>
      <c r="AI2812">
        <v>3</v>
      </c>
      <c r="AJ2812">
        <v>17</v>
      </c>
      <c r="AK2812">
        <v>22</v>
      </c>
      <c r="AL2812">
        <v>15</v>
      </c>
      <c r="AM2812">
        <v>19</v>
      </c>
      <c r="AN2812">
        <v>0</v>
      </c>
      <c r="AO2812">
        <v>76</v>
      </c>
      <c r="AP2812">
        <v>53</v>
      </c>
      <c r="AQ2812">
        <v>26</v>
      </c>
      <c r="AR2812">
        <v>5</v>
      </c>
      <c r="AS2812">
        <v>13</v>
      </c>
      <c r="AT2812">
        <v>8</v>
      </c>
    </row>
    <row r="2813" spans="1:46">
      <c r="A2813">
        <v>47430</v>
      </c>
      <c r="B2813" t="s">
        <v>16154</v>
      </c>
      <c r="C2813" t="s">
        <v>16155</v>
      </c>
      <c r="D2813" t="s">
        <v>16156</v>
      </c>
      <c r="E2813" t="s">
        <v>16157</v>
      </c>
      <c r="G2813" t="s">
        <v>9791</v>
      </c>
      <c r="H2813" t="s">
        <v>4716</v>
      </c>
      <c r="J2813" t="s">
        <v>3962</v>
      </c>
      <c r="K2813" t="s">
        <v>519</v>
      </c>
      <c r="M2813" t="s">
        <v>1297</v>
      </c>
      <c r="N2813" t="s">
        <v>571</v>
      </c>
      <c r="O2813" t="s">
        <v>1470</v>
      </c>
      <c r="P2813" t="s">
        <v>523</v>
      </c>
      <c r="Q2813" t="s">
        <v>1471</v>
      </c>
      <c r="R2813" t="s">
        <v>1472</v>
      </c>
      <c r="S2813" t="s">
        <v>1473</v>
      </c>
      <c r="T2813" t="s">
        <v>1474</v>
      </c>
      <c r="U2813">
        <v>203200</v>
      </c>
      <c r="V2813" t="s">
        <v>9792</v>
      </c>
      <c r="W2813" t="s">
        <v>1476</v>
      </c>
      <c r="X2813" t="s">
        <v>16158</v>
      </c>
      <c r="Y2813" t="s">
        <v>16157</v>
      </c>
      <c r="AA2813" t="s">
        <v>16159</v>
      </c>
      <c r="AC2813">
        <v>99016</v>
      </c>
      <c r="AD2813" t="s">
        <v>1479</v>
      </c>
      <c r="AE2813">
        <v>-37.958266680000001</v>
      </c>
      <c r="AF2813">
        <v>177.02367910000001</v>
      </c>
      <c r="AG2813">
        <v>60</v>
      </c>
      <c r="AH2813">
        <v>60</v>
      </c>
      <c r="AI2813">
        <v>2</v>
      </c>
      <c r="AJ2813">
        <v>7</v>
      </c>
      <c r="AK2813">
        <v>12</v>
      </c>
      <c r="AL2813">
        <v>9</v>
      </c>
      <c r="AM2813">
        <v>10</v>
      </c>
      <c r="AN2813">
        <v>2</v>
      </c>
      <c r="AO2813">
        <v>42</v>
      </c>
      <c r="AP2813">
        <v>36</v>
      </c>
      <c r="AQ2813">
        <v>20</v>
      </c>
      <c r="AR2813">
        <v>2</v>
      </c>
      <c r="AS2813">
        <v>1</v>
      </c>
      <c r="AT2813">
        <v>0</v>
      </c>
    </row>
    <row r="2814" spans="1:46">
      <c r="A2814">
        <v>47432</v>
      </c>
      <c r="B2814" t="s">
        <v>16160</v>
      </c>
      <c r="E2814" t="s">
        <v>16161</v>
      </c>
      <c r="G2814" t="s">
        <v>1521</v>
      </c>
      <c r="H2814" t="s">
        <v>3942</v>
      </c>
      <c r="J2814" t="s">
        <v>518</v>
      </c>
      <c r="K2814" t="s">
        <v>519</v>
      </c>
      <c r="M2814" t="s">
        <v>1297</v>
      </c>
      <c r="N2814" t="s">
        <v>521</v>
      </c>
      <c r="O2814" t="s">
        <v>1522</v>
      </c>
      <c r="P2814" t="s">
        <v>584</v>
      </c>
      <c r="Q2814" t="s">
        <v>1471</v>
      </c>
      <c r="R2814" t="s">
        <v>1472</v>
      </c>
      <c r="S2814" t="s">
        <v>1521</v>
      </c>
      <c r="T2814" t="s">
        <v>1474</v>
      </c>
      <c r="U2814">
        <v>200100</v>
      </c>
      <c r="V2814" t="s">
        <v>8491</v>
      </c>
      <c r="W2814" t="s">
        <v>1523</v>
      </c>
      <c r="X2814" t="s">
        <v>16162</v>
      </c>
      <c r="Y2814" t="s">
        <v>11369</v>
      </c>
      <c r="Z2814" t="s">
        <v>16163</v>
      </c>
      <c r="AA2814" t="s">
        <v>16164</v>
      </c>
      <c r="AC2814">
        <v>99019</v>
      </c>
      <c r="AD2814" t="s">
        <v>1565</v>
      </c>
      <c r="AE2814">
        <v>-38.1335598</v>
      </c>
      <c r="AF2814">
        <v>176.24717684000001</v>
      </c>
      <c r="AG2814">
        <v>36</v>
      </c>
      <c r="AH2814">
        <v>5</v>
      </c>
      <c r="AI2814">
        <v>0</v>
      </c>
      <c r="AJ2814">
        <v>0</v>
      </c>
      <c r="AK2814">
        <v>2</v>
      </c>
      <c r="AL2814">
        <v>17</v>
      </c>
      <c r="AM2814">
        <v>11</v>
      </c>
      <c r="AN2814">
        <v>1</v>
      </c>
      <c r="AO2814">
        <v>31</v>
      </c>
      <c r="AP2814">
        <v>7</v>
      </c>
      <c r="AQ2814">
        <v>30</v>
      </c>
      <c r="AR2814">
        <v>3</v>
      </c>
      <c r="AS2814">
        <v>1</v>
      </c>
      <c r="AT2814">
        <v>0</v>
      </c>
    </row>
    <row r="2815" spans="1:46">
      <c r="A2815">
        <v>47434</v>
      </c>
      <c r="B2815" t="s">
        <v>16165</v>
      </c>
      <c r="C2815" t="s">
        <v>16166</v>
      </c>
      <c r="D2815" t="s">
        <v>16167</v>
      </c>
      <c r="E2815" t="s">
        <v>16168</v>
      </c>
      <c r="G2815" t="s">
        <v>12605</v>
      </c>
      <c r="H2815" t="s">
        <v>3942</v>
      </c>
      <c r="J2815" t="s">
        <v>3962</v>
      </c>
      <c r="K2815" t="s">
        <v>519</v>
      </c>
      <c r="M2815" t="s">
        <v>2287</v>
      </c>
      <c r="N2815" t="s">
        <v>571</v>
      </c>
      <c r="O2815" t="s">
        <v>3208</v>
      </c>
      <c r="P2815" t="s">
        <v>523</v>
      </c>
      <c r="Q2815" t="s">
        <v>2943</v>
      </c>
      <c r="R2815" t="s">
        <v>2944</v>
      </c>
      <c r="S2815" t="s">
        <v>3179</v>
      </c>
      <c r="T2815" t="s">
        <v>2448</v>
      </c>
      <c r="U2815">
        <v>334601</v>
      </c>
      <c r="V2815" t="s">
        <v>12605</v>
      </c>
      <c r="W2815" t="s">
        <v>12606</v>
      </c>
      <c r="X2815" t="s">
        <v>11071</v>
      </c>
      <c r="Y2815" t="s">
        <v>11072</v>
      </c>
      <c r="AA2815" t="s">
        <v>11073</v>
      </c>
      <c r="AC2815">
        <v>99206</v>
      </c>
      <c r="AD2815" t="s">
        <v>3211</v>
      </c>
      <c r="AE2815">
        <v>-43.526425949999997</v>
      </c>
      <c r="AF2815">
        <v>172.374168</v>
      </c>
      <c r="AG2815">
        <v>75</v>
      </c>
      <c r="AH2815">
        <v>25</v>
      </c>
      <c r="AI2815">
        <v>2</v>
      </c>
      <c r="AJ2815">
        <v>15</v>
      </c>
      <c r="AK2815">
        <v>22</v>
      </c>
      <c r="AL2815">
        <v>18</v>
      </c>
      <c r="AM2815">
        <v>29</v>
      </c>
      <c r="AN2815">
        <v>3</v>
      </c>
      <c r="AO2815">
        <v>89</v>
      </c>
      <c r="AP2815">
        <v>86</v>
      </c>
      <c r="AQ2815">
        <v>4</v>
      </c>
      <c r="AR2815">
        <v>1</v>
      </c>
      <c r="AS2815">
        <v>1</v>
      </c>
      <c r="AT2815">
        <v>4</v>
      </c>
    </row>
    <row r="2816" spans="1:46">
      <c r="A2816">
        <v>47435</v>
      </c>
      <c r="B2816" t="s">
        <v>16169</v>
      </c>
      <c r="C2816" t="s">
        <v>16170</v>
      </c>
      <c r="D2816" t="s">
        <v>16171</v>
      </c>
      <c r="E2816" t="s">
        <v>16172</v>
      </c>
      <c r="F2816" t="s">
        <v>919</v>
      </c>
      <c r="G2816" t="s">
        <v>652</v>
      </c>
      <c r="H2816" t="s">
        <v>3942</v>
      </c>
      <c r="J2816" t="s">
        <v>3962</v>
      </c>
      <c r="K2816" t="s">
        <v>519</v>
      </c>
      <c r="M2816" t="s">
        <v>520</v>
      </c>
      <c r="N2816" t="s">
        <v>571</v>
      </c>
      <c r="O2816" t="s">
        <v>1168</v>
      </c>
      <c r="P2816" t="s">
        <v>654</v>
      </c>
      <c r="Q2816" t="s">
        <v>638</v>
      </c>
      <c r="R2816" t="s">
        <v>639</v>
      </c>
      <c r="S2816" t="s">
        <v>739</v>
      </c>
      <c r="T2816" t="s">
        <v>527</v>
      </c>
      <c r="U2816">
        <v>119201</v>
      </c>
      <c r="V2816" t="s">
        <v>919</v>
      </c>
      <c r="W2816" t="s">
        <v>657</v>
      </c>
      <c r="X2816" t="s">
        <v>16173</v>
      </c>
      <c r="Y2816" t="s">
        <v>3981</v>
      </c>
      <c r="AA2816" t="s">
        <v>3982</v>
      </c>
      <c r="AB2816" t="s">
        <v>16170</v>
      </c>
      <c r="AE2816">
        <v>-36.806024649999998</v>
      </c>
      <c r="AF2816">
        <v>174.63523090000001</v>
      </c>
      <c r="AG2816">
        <v>120</v>
      </c>
      <c r="AH2816">
        <v>39</v>
      </c>
      <c r="AI2816">
        <v>5</v>
      </c>
      <c r="AJ2816">
        <v>27</v>
      </c>
      <c r="AK2816">
        <v>30</v>
      </c>
      <c r="AL2816">
        <v>27</v>
      </c>
      <c r="AM2816">
        <v>23</v>
      </c>
      <c r="AN2816">
        <v>0</v>
      </c>
      <c r="AO2816">
        <v>112</v>
      </c>
      <c r="AP2816">
        <v>48</v>
      </c>
      <c r="AQ2816">
        <v>8</v>
      </c>
      <c r="AR2816">
        <v>11</v>
      </c>
      <c r="AS2816">
        <v>56</v>
      </c>
      <c r="AT2816">
        <v>14</v>
      </c>
    </row>
    <row r="2817" spans="1:46">
      <c r="A2817">
        <v>47437</v>
      </c>
      <c r="B2817" t="s">
        <v>16174</v>
      </c>
      <c r="D2817" t="s">
        <v>16175</v>
      </c>
      <c r="E2817" t="s">
        <v>16176</v>
      </c>
      <c r="F2817" t="s">
        <v>1234</v>
      </c>
      <c r="G2817" t="s">
        <v>652</v>
      </c>
      <c r="H2817" t="s">
        <v>3942</v>
      </c>
      <c r="J2817" t="s">
        <v>3962</v>
      </c>
      <c r="K2817" t="s">
        <v>519</v>
      </c>
      <c r="M2817" t="s">
        <v>520</v>
      </c>
      <c r="N2817" t="s">
        <v>557</v>
      </c>
      <c r="O2817" t="s">
        <v>1268</v>
      </c>
      <c r="P2817" t="s">
        <v>654</v>
      </c>
      <c r="Q2817" t="s">
        <v>638</v>
      </c>
      <c r="R2817" t="s">
        <v>729</v>
      </c>
      <c r="S2817" t="s">
        <v>1234</v>
      </c>
      <c r="T2817" t="s">
        <v>1235</v>
      </c>
      <c r="U2817">
        <v>164001</v>
      </c>
      <c r="V2817" t="s">
        <v>12349</v>
      </c>
      <c r="W2817" t="s">
        <v>1219</v>
      </c>
      <c r="X2817" t="s">
        <v>4633</v>
      </c>
      <c r="Y2817" t="s">
        <v>11995</v>
      </c>
      <c r="Z2817" t="s">
        <v>770</v>
      </c>
      <c r="AA2817" t="s">
        <v>11996</v>
      </c>
      <c r="AB2817" t="s">
        <v>4636</v>
      </c>
      <c r="AE2817">
        <v>-37.073158069999998</v>
      </c>
      <c r="AF2817">
        <v>174.94303138999999</v>
      </c>
      <c r="AG2817">
        <v>85</v>
      </c>
      <c r="AH2817">
        <v>20</v>
      </c>
      <c r="AI2817">
        <v>4</v>
      </c>
      <c r="AJ2817">
        <v>10</v>
      </c>
      <c r="AK2817">
        <v>22</v>
      </c>
      <c r="AL2817">
        <v>24</v>
      </c>
      <c r="AM2817">
        <v>25</v>
      </c>
      <c r="AN2817">
        <v>4</v>
      </c>
      <c r="AO2817">
        <v>89</v>
      </c>
      <c r="AP2817">
        <v>19</v>
      </c>
      <c r="AQ2817">
        <v>19</v>
      </c>
      <c r="AR2817">
        <v>18</v>
      </c>
      <c r="AS2817">
        <v>50</v>
      </c>
      <c r="AT2817">
        <v>8</v>
      </c>
    </row>
    <row r="2818" spans="1:46">
      <c r="A2818">
        <v>47440</v>
      </c>
      <c r="B2818" t="s">
        <v>16177</v>
      </c>
      <c r="D2818" t="s">
        <v>16178</v>
      </c>
      <c r="E2818" t="s">
        <v>16179</v>
      </c>
      <c r="F2818" t="s">
        <v>1234</v>
      </c>
      <c r="G2818" t="s">
        <v>652</v>
      </c>
      <c r="H2818" t="s">
        <v>3942</v>
      </c>
      <c r="J2818" t="s">
        <v>3962</v>
      </c>
      <c r="K2818" t="s">
        <v>519</v>
      </c>
      <c r="M2818" t="s">
        <v>520</v>
      </c>
      <c r="N2818" t="s">
        <v>521</v>
      </c>
      <c r="O2818" t="s">
        <v>1268</v>
      </c>
      <c r="P2818" t="s">
        <v>654</v>
      </c>
      <c r="Q2818" t="s">
        <v>638</v>
      </c>
      <c r="R2818" t="s">
        <v>729</v>
      </c>
      <c r="S2818" t="s">
        <v>1234</v>
      </c>
      <c r="T2818" t="s">
        <v>1235</v>
      </c>
      <c r="U2818">
        <v>163502</v>
      </c>
      <c r="V2818" t="s">
        <v>7498</v>
      </c>
      <c r="W2818" t="s">
        <v>1219</v>
      </c>
      <c r="X2818" t="s">
        <v>16180</v>
      </c>
      <c r="Y2818" t="s">
        <v>16181</v>
      </c>
      <c r="Z2818" t="s">
        <v>5104</v>
      </c>
      <c r="AA2818" t="s">
        <v>5000</v>
      </c>
      <c r="AC2818">
        <v>99152</v>
      </c>
      <c r="AD2818" t="s">
        <v>1270</v>
      </c>
      <c r="AE2818">
        <v>-37.060616449999998</v>
      </c>
      <c r="AF2818">
        <v>174.96670112000001</v>
      </c>
      <c r="AG2818">
        <v>70</v>
      </c>
      <c r="AH2818">
        <v>10</v>
      </c>
      <c r="AI2818">
        <v>0</v>
      </c>
      <c r="AJ2818">
        <v>9</v>
      </c>
      <c r="AK2818">
        <v>13</v>
      </c>
      <c r="AL2818">
        <v>28</v>
      </c>
      <c r="AM2818">
        <v>16</v>
      </c>
      <c r="AN2818">
        <v>1</v>
      </c>
      <c r="AO2818">
        <v>67</v>
      </c>
      <c r="AP2818">
        <v>5</v>
      </c>
      <c r="AQ2818">
        <v>9</v>
      </c>
      <c r="AR2818">
        <v>10</v>
      </c>
      <c r="AS2818">
        <v>52</v>
      </c>
      <c r="AT2818">
        <v>0</v>
      </c>
    </row>
    <row r="2819" spans="1:46">
      <c r="A2819">
        <v>47441</v>
      </c>
      <c r="B2819" t="s">
        <v>16182</v>
      </c>
      <c r="C2819" t="s">
        <v>8761</v>
      </c>
      <c r="D2819" t="s">
        <v>8762</v>
      </c>
      <c r="E2819" t="s">
        <v>8763</v>
      </c>
      <c r="F2819" t="s">
        <v>1313</v>
      </c>
      <c r="G2819" t="s">
        <v>1296</v>
      </c>
      <c r="H2819" t="s">
        <v>4716</v>
      </c>
      <c r="J2819" t="s">
        <v>3962</v>
      </c>
      <c r="K2819" t="s">
        <v>519</v>
      </c>
      <c r="M2819" t="s">
        <v>1297</v>
      </c>
      <c r="N2819" t="s">
        <v>557</v>
      </c>
      <c r="O2819" t="s">
        <v>1298</v>
      </c>
      <c r="P2819" t="s">
        <v>654</v>
      </c>
      <c r="Q2819" t="s">
        <v>1299</v>
      </c>
      <c r="R2819" t="s">
        <v>1760</v>
      </c>
      <c r="S2819" t="s">
        <v>1312</v>
      </c>
      <c r="T2819" t="s">
        <v>1235</v>
      </c>
      <c r="U2819">
        <v>177300</v>
      </c>
      <c r="V2819" t="s">
        <v>1313</v>
      </c>
      <c r="W2819" t="s">
        <v>1314</v>
      </c>
      <c r="X2819" t="s">
        <v>8764</v>
      </c>
      <c r="Y2819" t="s">
        <v>8763</v>
      </c>
      <c r="Z2819" t="s">
        <v>1313</v>
      </c>
      <c r="AA2819" t="s">
        <v>8511</v>
      </c>
      <c r="AB2819" t="s">
        <v>8761</v>
      </c>
      <c r="AE2819">
        <v>-37.749582940000003</v>
      </c>
      <c r="AF2819">
        <v>175.27368405999999</v>
      </c>
      <c r="AG2819">
        <v>80</v>
      </c>
      <c r="AH2819">
        <v>80</v>
      </c>
      <c r="AI2819">
        <v>1</v>
      </c>
      <c r="AJ2819">
        <v>10</v>
      </c>
      <c r="AK2819">
        <v>15</v>
      </c>
      <c r="AL2819">
        <v>8</v>
      </c>
      <c r="AM2819">
        <v>6</v>
      </c>
      <c r="AN2819">
        <v>1</v>
      </c>
      <c r="AO2819">
        <v>41</v>
      </c>
      <c r="AP2819">
        <v>28</v>
      </c>
      <c r="AQ2819">
        <v>23</v>
      </c>
      <c r="AR2819">
        <v>4</v>
      </c>
      <c r="AS2819">
        <v>3</v>
      </c>
      <c r="AT2819">
        <v>0</v>
      </c>
    </row>
    <row r="2820" spans="1:46">
      <c r="A2820">
        <v>47443</v>
      </c>
      <c r="B2820" t="s">
        <v>16183</v>
      </c>
      <c r="C2820" t="s">
        <v>16184</v>
      </c>
      <c r="D2820" t="s">
        <v>5724</v>
      </c>
      <c r="E2820" t="s">
        <v>16185</v>
      </c>
      <c r="F2820" t="s">
        <v>4031</v>
      </c>
      <c r="G2820" t="s">
        <v>652</v>
      </c>
      <c r="H2820" t="s">
        <v>3942</v>
      </c>
      <c r="J2820" t="s">
        <v>518</v>
      </c>
      <c r="K2820" t="s">
        <v>519</v>
      </c>
      <c r="M2820" t="s">
        <v>520</v>
      </c>
      <c r="N2820" t="s">
        <v>571</v>
      </c>
      <c r="O2820" t="s">
        <v>957</v>
      </c>
      <c r="P2820" t="s">
        <v>654</v>
      </c>
      <c r="Q2820" t="s">
        <v>638</v>
      </c>
      <c r="R2820" t="s">
        <v>708</v>
      </c>
      <c r="S2820" t="s">
        <v>958</v>
      </c>
      <c r="T2820" t="s">
        <v>709</v>
      </c>
      <c r="U2820">
        <v>136100</v>
      </c>
      <c r="V2820" t="s">
        <v>4031</v>
      </c>
      <c r="W2820" t="s">
        <v>824</v>
      </c>
      <c r="X2820" t="s">
        <v>5727</v>
      </c>
      <c r="Y2820" t="s">
        <v>5728</v>
      </c>
      <c r="AA2820" t="s">
        <v>4659</v>
      </c>
      <c r="AE2820">
        <v>-36.862356720000001</v>
      </c>
      <c r="AF2820">
        <v>174.76856448999999</v>
      </c>
      <c r="AG2820">
        <v>90</v>
      </c>
      <c r="AH2820">
        <v>30</v>
      </c>
      <c r="AI2820">
        <v>6</v>
      </c>
      <c r="AJ2820">
        <v>23</v>
      </c>
      <c r="AK2820">
        <v>27</v>
      </c>
      <c r="AL2820">
        <v>24</v>
      </c>
      <c r="AM2820">
        <v>19</v>
      </c>
      <c r="AN2820">
        <v>0</v>
      </c>
      <c r="AO2820">
        <v>99</v>
      </c>
      <c r="AP2820">
        <v>46</v>
      </c>
      <c r="AQ2820">
        <v>6</v>
      </c>
      <c r="AR2820">
        <v>4</v>
      </c>
      <c r="AS2820">
        <v>49</v>
      </c>
      <c r="AT2820">
        <v>13</v>
      </c>
    </row>
    <row r="2821" spans="1:46">
      <c r="A2821">
        <v>47444</v>
      </c>
      <c r="B2821" t="s">
        <v>16186</v>
      </c>
      <c r="C2821" t="s">
        <v>16187</v>
      </c>
      <c r="D2821" t="s">
        <v>16188</v>
      </c>
      <c r="E2821" t="s">
        <v>16189</v>
      </c>
      <c r="F2821" t="s">
        <v>5104</v>
      </c>
      <c r="G2821" t="s">
        <v>652</v>
      </c>
      <c r="H2821" t="s">
        <v>3942</v>
      </c>
      <c r="J2821" t="s">
        <v>3962</v>
      </c>
      <c r="K2821" t="s">
        <v>519</v>
      </c>
      <c r="M2821" t="s">
        <v>520</v>
      </c>
      <c r="N2821" t="s">
        <v>571</v>
      </c>
      <c r="O2821" t="s">
        <v>707</v>
      </c>
      <c r="P2821" t="s">
        <v>654</v>
      </c>
      <c r="Q2821" t="s">
        <v>638</v>
      </c>
      <c r="R2821" t="s">
        <v>729</v>
      </c>
      <c r="S2821" t="s">
        <v>778</v>
      </c>
      <c r="T2821" t="s">
        <v>709</v>
      </c>
      <c r="U2821">
        <v>158002</v>
      </c>
      <c r="V2821" t="s">
        <v>16190</v>
      </c>
      <c r="W2821" t="s">
        <v>711</v>
      </c>
      <c r="X2821" t="s">
        <v>16191</v>
      </c>
      <c r="Y2821" t="s">
        <v>16189</v>
      </c>
      <c r="Z2821" t="s">
        <v>5104</v>
      </c>
      <c r="AA2821" t="s">
        <v>5000</v>
      </c>
      <c r="AE2821">
        <v>-36.982735419999997</v>
      </c>
      <c r="AF2821">
        <v>174.9085006</v>
      </c>
      <c r="AG2821">
        <v>73</v>
      </c>
      <c r="AH2821">
        <v>22</v>
      </c>
      <c r="AI2821">
        <v>3</v>
      </c>
      <c r="AJ2821">
        <v>13</v>
      </c>
      <c r="AK2821">
        <v>23</v>
      </c>
      <c r="AL2821">
        <v>18</v>
      </c>
      <c r="AM2821">
        <v>26</v>
      </c>
      <c r="AN2821">
        <v>2</v>
      </c>
      <c r="AO2821">
        <v>85</v>
      </c>
      <c r="AP2821">
        <v>17</v>
      </c>
      <c r="AQ2821">
        <v>5</v>
      </c>
      <c r="AR2821">
        <v>18</v>
      </c>
      <c r="AS2821">
        <v>69</v>
      </c>
      <c r="AT2821">
        <v>2</v>
      </c>
    </row>
    <row r="2822" spans="1:46">
      <c r="A2822">
        <v>47445</v>
      </c>
      <c r="B2822" t="s">
        <v>16192</v>
      </c>
      <c r="C2822" t="s">
        <v>15419</v>
      </c>
      <c r="D2822" t="s">
        <v>15420</v>
      </c>
      <c r="E2822" t="s">
        <v>15421</v>
      </c>
      <c r="F2822" t="s">
        <v>3990</v>
      </c>
      <c r="G2822" t="s">
        <v>652</v>
      </c>
      <c r="H2822" t="s">
        <v>4716</v>
      </c>
      <c r="J2822" t="s">
        <v>3962</v>
      </c>
      <c r="K2822" t="s">
        <v>519</v>
      </c>
      <c r="M2822" t="s">
        <v>520</v>
      </c>
      <c r="N2822" t="s">
        <v>521</v>
      </c>
      <c r="O2822" t="s">
        <v>707</v>
      </c>
      <c r="P2822" t="s">
        <v>654</v>
      </c>
      <c r="Q2822" t="s">
        <v>638</v>
      </c>
      <c r="R2822" t="s">
        <v>729</v>
      </c>
      <c r="S2822" t="s">
        <v>778</v>
      </c>
      <c r="T2822" t="s">
        <v>709</v>
      </c>
      <c r="U2822">
        <v>152300</v>
      </c>
      <c r="V2822" t="s">
        <v>3990</v>
      </c>
      <c r="W2822" t="s">
        <v>711</v>
      </c>
      <c r="X2822" t="s">
        <v>15422</v>
      </c>
      <c r="Y2822" t="s">
        <v>15423</v>
      </c>
      <c r="Z2822" t="s">
        <v>778</v>
      </c>
      <c r="AA2822" t="s">
        <v>11818</v>
      </c>
      <c r="AE2822">
        <v>-36.937122799999997</v>
      </c>
      <c r="AF2822">
        <v>174.90269910000001</v>
      </c>
      <c r="AG2822">
        <v>80</v>
      </c>
      <c r="AH2822">
        <v>80</v>
      </c>
      <c r="AI2822">
        <v>10</v>
      </c>
      <c r="AJ2822">
        <v>14</v>
      </c>
      <c r="AK2822">
        <v>19</v>
      </c>
      <c r="AL2822">
        <v>18</v>
      </c>
      <c r="AM2822">
        <v>5</v>
      </c>
      <c r="AN2822">
        <v>5</v>
      </c>
      <c r="AO2822">
        <v>71</v>
      </c>
      <c r="AP2822">
        <v>0</v>
      </c>
      <c r="AQ2822">
        <v>0</v>
      </c>
      <c r="AR2822">
        <v>71</v>
      </c>
      <c r="AS2822">
        <v>1</v>
      </c>
      <c r="AT2822">
        <v>0</v>
      </c>
    </row>
    <row r="2823" spans="1:46">
      <c r="A2823">
        <v>47447</v>
      </c>
      <c r="B2823" t="s">
        <v>16193</v>
      </c>
      <c r="C2823" t="s">
        <v>16194</v>
      </c>
      <c r="D2823" t="s">
        <v>16195</v>
      </c>
      <c r="E2823" t="s">
        <v>16196</v>
      </c>
      <c r="F2823" t="s">
        <v>4921</v>
      </c>
      <c r="G2823" t="s">
        <v>652</v>
      </c>
      <c r="H2823" t="s">
        <v>3942</v>
      </c>
      <c r="J2823" t="s">
        <v>3962</v>
      </c>
      <c r="K2823" t="s">
        <v>519</v>
      </c>
      <c r="M2823" t="s">
        <v>520</v>
      </c>
      <c r="N2823" t="s">
        <v>571</v>
      </c>
      <c r="O2823" t="s">
        <v>957</v>
      </c>
      <c r="P2823" t="s">
        <v>654</v>
      </c>
      <c r="Q2823" t="s">
        <v>638</v>
      </c>
      <c r="R2823" t="s">
        <v>708</v>
      </c>
      <c r="S2823" t="s">
        <v>958</v>
      </c>
      <c r="T2823" t="s">
        <v>709</v>
      </c>
      <c r="U2823">
        <v>132400</v>
      </c>
      <c r="V2823" t="s">
        <v>16197</v>
      </c>
      <c r="W2823" t="s">
        <v>959</v>
      </c>
      <c r="X2823" t="s">
        <v>16198</v>
      </c>
      <c r="Y2823" t="s">
        <v>16199</v>
      </c>
      <c r="Z2823" t="s">
        <v>8010</v>
      </c>
      <c r="AA2823" t="s">
        <v>4247</v>
      </c>
      <c r="AE2823">
        <v>-36.852390159999999</v>
      </c>
      <c r="AF2823">
        <v>174.75771080000001</v>
      </c>
      <c r="AG2823">
        <v>64</v>
      </c>
      <c r="AH2823">
        <v>12</v>
      </c>
      <c r="AI2823">
        <v>1</v>
      </c>
      <c r="AJ2823">
        <v>3</v>
      </c>
      <c r="AK2823">
        <v>10</v>
      </c>
      <c r="AL2823">
        <v>12</v>
      </c>
      <c r="AM2823">
        <v>18</v>
      </c>
      <c r="AN2823">
        <v>1</v>
      </c>
      <c r="AO2823">
        <v>45</v>
      </c>
      <c r="AP2823">
        <v>6</v>
      </c>
      <c r="AQ2823">
        <v>0</v>
      </c>
      <c r="AR2823">
        <v>0</v>
      </c>
      <c r="AS2823">
        <v>37</v>
      </c>
      <c r="AT2823">
        <v>5</v>
      </c>
    </row>
    <row r="2824" spans="1:46">
      <c r="A2824">
        <v>47448</v>
      </c>
      <c r="B2824" t="s">
        <v>16200</v>
      </c>
      <c r="C2824" t="s">
        <v>7263</v>
      </c>
      <c r="D2824" t="s">
        <v>16201</v>
      </c>
      <c r="E2824" t="s">
        <v>16202</v>
      </c>
      <c r="F2824" t="s">
        <v>1234</v>
      </c>
      <c r="G2824" t="s">
        <v>652</v>
      </c>
      <c r="H2824" t="s">
        <v>3942</v>
      </c>
      <c r="J2824" t="s">
        <v>3962</v>
      </c>
      <c r="K2824" t="s">
        <v>519</v>
      </c>
      <c r="M2824" t="s">
        <v>520</v>
      </c>
      <c r="N2824" t="s">
        <v>571</v>
      </c>
      <c r="O2824" t="s">
        <v>1268</v>
      </c>
      <c r="P2824" t="s">
        <v>654</v>
      </c>
      <c r="Q2824" t="s">
        <v>638</v>
      </c>
      <c r="R2824" t="s">
        <v>729</v>
      </c>
      <c r="S2824" t="s">
        <v>1234</v>
      </c>
      <c r="T2824" t="s">
        <v>1235</v>
      </c>
      <c r="U2824">
        <v>163302</v>
      </c>
      <c r="V2824" t="s">
        <v>16203</v>
      </c>
      <c r="W2824" t="s">
        <v>1219</v>
      </c>
      <c r="X2824" t="s">
        <v>16204</v>
      </c>
      <c r="Y2824" t="s">
        <v>4658</v>
      </c>
      <c r="Z2824" t="s">
        <v>958</v>
      </c>
      <c r="AA2824" t="s">
        <v>4659</v>
      </c>
      <c r="AE2824">
        <v>-37.053169080000004</v>
      </c>
      <c r="AF2824">
        <v>174.9667129</v>
      </c>
      <c r="AG2824">
        <v>85</v>
      </c>
      <c r="AH2824">
        <v>20</v>
      </c>
      <c r="AI2824">
        <v>4</v>
      </c>
      <c r="AJ2824">
        <v>14</v>
      </c>
      <c r="AK2824">
        <v>18</v>
      </c>
      <c r="AL2824">
        <v>19</v>
      </c>
      <c r="AM2824">
        <v>37</v>
      </c>
      <c r="AN2824">
        <v>2</v>
      </c>
      <c r="AO2824">
        <v>94</v>
      </c>
      <c r="AP2824">
        <v>30</v>
      </c>
      <c r="AQ2824">
        <v>17</v>
      </c>
      <c r="AR2824">
        <v>13</v>
      </c>
      <c r="AS2824">
        <v>55</v>
      </c>
      <c r="AT2824">
        <v>5</v>
      </c>
    </row>
    <row r="2825" spans="1:46">
      <c r="A2825">
        <v>47449</v>
      </c>
      <c r="B2825" t="s">
        <v>16205</v>
      </c>
      <c r="C2825" t="s">
        <v>6943</v>
      </c>
      <c r="D2825" t="s">
        <v>16206</v>
      </c>
      <c r="E2825" t="s">
        <v>6940</v>
      </c>
      <c r="F2825" t="s">
        <v>3706</v>
      </c>
      <c r="G2825" t="s">
        <v>652</v>
      </c>
      <c r="H2825" t="s">
        <v>3942</v>
      </c>
      <c r="J2825" t="s">
        <v>3962</v>
      </c>
      <c r="K2825" t="s">
        <v>519</v>
      </c>
      <c r="M2825" t="s">
        <v>520</v>
      </c>
      <c r="N2825" t="s">
        <v>571</v>
      </c>
      <c r="O2825" t="s">
        <v>1168</v>
      </c>
      <c r="P2825" t="s">
        <v>654</v>
      </c>
      <c r="Q2825" t="s">
        <v>638</v>
      </c>
      <c r="R2825" t="s">
        <v>639</v>
      </c>
      <c r="S2825" t="s">
        <v>655</v>
      </c>
      <c r="T2825" t="s">
        <v>527</v>
      </c>
      <c r="U2825">
        <v>117400</v>
      </c>
      <c r="V2825" t="s">
        <v>3707</v>
      </c>
      <c r="W2825" t="s">
        <v>657</v>
      </c>
      <c r="X2825" t="s">
        <v>16207</v>
      </c>
      <c r="Y2825" t="s">
        <v>6942</v>
      </c>
      <c r="Z2825" t="s">
        <v>3706</v>
      </c>
      <c r="AA2825" t="s">
        <v>6270</v>
      </c>
      <c r="AB2825" t="s">
        <v>6943</v>
      </c>
      <c r="AE2825">
        <v>-36.743623300000003</v>
      </c>
      <c r="AF2825">
        <v>174.69253900000001</v>
      </c>
      <c r="AG2825">
        <v>75</v>
      </c>
      <c r="AH2825">
        <v>25</v>
      </c>
      <c r="AI2825">
        <v>3</v>
      </c>
      <c r="AJ2825">
        <v>13</v>
      </c>
      <c r="AK2825">
        <v>27</v>
      </c>
      <c r="AL2825">
        <v>34</v>
      </c>
      <c r="AM2825">
        <v>1</v>
      </c>
      <c r="AN2825">
        <v>0</v>
      </c>
      <c r="AO2825">
        <v>78</v>
      </c>
      <c r="AP2825">
        <v>46</v>
      </c>
      <c r="AQ2825">
        <v>2</v>
      </c>
      <c r="AR2825">
        <v>2</v>
      </c>
      <c r="AS2825">
        <v>38</v>
      </c>
      <c r="AT2825">
        <v>5</v>
      </c>
    </row>
    <row r="2826" spans="1:46">
      <c r="A2826">
        <v>47453</v>
      </c>
      <c r="B2826" t="s">
        <v>16208</v>
      </c>
      <c r="C2826" t="s">
        <v>14046</v>
      </c>
      <c r="D2826" t="s">
        <v>13799</v>
      </c>
      <c r="E2826" t="s">
        <v>13800</v>
      </c>
      <c r="F2826" t="s">
        <v>4204</v>
      </c>
      <c r="G2826" t="s">
        <v>652</v>
      </c>
      <c r="H2826" t="s">
        <v>4716</v>
      </c>
      <c r="J2826" t="s">
        <v>3962</v>
      </c>
      <c r="K2826" t="s">
        <v>519</v>
      </c>
      <c r="M2826" t="s">
        <v>520</v>
      </c>
      <c r="N2826" t="s">
        <v>539</v>
      </c>
      <c r="O2826" t="s">
        <v>728</v>
      </c>
      <c r="P2826" t="s">
        <v>654</v>
      </c>
      <c r="Q2826" t="s">
        <v>638</v>
      </c>
      <c r="R2826" t="s">
        <v>708</v>
      </c>
      <c r="S2826" t="s">
        <v>1036</v>
      </c>
      <c r="T2826" t="s">
        <v>709</v>
      </c>
      <c r="U2826">
        <v>155500</v>
      </c>
      <c r="V2826" t="s">
        <v>4338</v>
      </c>
      <c r="W2826" t="s">
        <v>732</v>
      </c>
      <c r="X2826" t="s">
        <v>13801</v>
      </c>
      <c r="Y2826" t="s">
        <v>13802</v>
      </c>
      <c r="Z2826" t="s">
        <v>5104</v>
      </c>
      <c r="AA2826" t="s">
        <v>11753</v>
      </c>
      <c r="AE2826">
        <v>-36.987939349999998</v>
      </c>
      <c r="AF2826">
        <v>174.87578780000001</v>
      </c>
      <c r="AG2826">
        <v>40</v>
      </c>
      <c r="AH2826">
        <v>40</v>
      </c>
      <c r="AI2826">
        <v>4</v>
      </c>
      <c r="AJ2826">
        <v>3</v>
      </c>
      <c r="AK2826">
        <v>8</v>
      </c>
      <c r="AL2826">
        <v>5</v>
      </c>
      <c r="AM2826">
        <v>6</v>
      </c>
      <c r="AN2826">
        <v>2</v>
      </c>
      <c r="AO2826">
        <v>28</v>
      </c>
      <c r="AP2826">
        <v>0</v>
      </c>
      <c r="AQ2826">
        <v>1</v>
      </c>
      <c r="AR2826">
        <v>27</v>
      </c>
      <c r="AS2826">
        <v>1</v>
      </c>
      <c r="AT2826">
        <v>0</v>
      </c>
    </row>
    <row r="2827" spans="1:46">
      <c r="A2827">
        <v>47454</v>
      </c>
      <c r="B2827" t="s">
        <v>16209</v>
      </c>
      <c r="E2827" t="s">
        <v>16210</v>
      </c>
      <c r="G2827" t="s">
        <v>1842</v>
      </c>
      <c r="H2827" t="s">
        <v>517</v>
      </c>
      <c r="J2827" t="s">
        <v>518</v>
      </c>
      <c r="K2827" t="s">
        <v>519</v>
      </c>
      <c r="M2827" t="s">
        <v>1297</v>
      </c>
      <c r="N2827" t="s">
        <v>571</v>
      </c>
      <c r="O2827" t="s">
        <v>1887</v>
      </c>
      <c r="P2827" t="s">
        <v>584</v>
      </c>
      <c r="Q2827" t="s">
        <v>1636</v>
      </c>
      <c r="R2827" t="s">
        <v>1760</v>
      </c>
      <c r="S2827" t="s">
        <v>1842</v>
      </c>
      <c r="T2827" t="s">
        <v>1485</v>
      </c>
      <c r="U2827">
        <v>225100</v>
      </c>
      <c r="V2827" t="s">
        <v>14523</v>
      </c>
      <c r="W2827" t="s">
        <v>1652</v>
      </c>
      <c r="X2827" t="s">
        <v>1889</v>
      </c>
      <c r="Y2827" t="s">
        <v>1890</v>
      </c>
      <c r="AA2827" t="s">
        <v>1891</v>
      </c>
      <c r="AB2827" t="s">
        <v>1892</v>
      </c>
      <c r="AC2827">
        <v>99218</v>
      </c>
      <c r="AD2827" t="s">
        <v>1893</v>
      </c>
      <c r="AE2827">
        <v>-39.914298199999998</v>
      </c>
      <c r="AF2827">
        <v>175.06293278000001</v>
      </c>
      <c r="AG2827">
        <v>45</v>
      </c>
      <c r="AH2827">
        <v>15</v>
      </c>
      <c r="AI2827">
        <v>2</v>
      </c>
      <c r="AJ2827">
        <v>4</v>
      </c>
      <c r="AK2827">
        <v>7</v>
      </c>
      <c r="AL2827">
        <v>14</v>
      </c>
      <c r="AM2827">
        <v>13</v>
      </c>
      <c r="AN2827">
        <v>0</v>
      </c>
      <c r="AO2827">
        <v>40</v>
      </c>
      <c r="AP2827">
        <v>26</v>
      </c>
      <c r="AQ2827">
        <v>16</v>
      </c>
      <c r="AR2827">
        <v>4</v>
      </c>
      <c r="AS2827">
        <v>1</v>
      </c>
      <c r="AT2827">
        <v>3</v>
      </c>
    </row>
    <row r="2828" spans="1:46">
      <c r="A2828">
        <v>47456</v>
      </c>
      <c r="B2828" t="s">
        <v>16211</v>
      </c>
      <c r="C2828" t="s">
        <v>16212</v>
      </c>
      <c r="D2828" t="s">
        <v>16213</v>
      </c>
      <c r="E2828" t="s">
        <v>16214</v>
      </c>
      <c r="G2828" t="s">
        <v>652</v>
      </c>
      <c r="H2828" t="s">
        <v>3942</v>
      </c>
      <c r="J2828" t="s">
        <v>3962</v>
      </c>
      <c r="K2828" t="s">
        <v>519</v>
      </c>
      <c r="M2828" t="s">
        <v>520</v>
      </c>
      <c r="N2828" t="s">
        <v>571</v>
      </c>
      <c r="O2828" t="s">
        <v>813</v>
      </c>
      <c r="P2828" t="s">
        <v>654</v>
      </c>
      <c r="Q2828" t="s">
        <v>638</v>
      </c>
      <c r="R2828" t="s">
        <v>639</v>
      </c>
      <c r="S2828" t="s">
        <v>719</v>
      </c>
      <c r="T2828" t="s">
        <v>709</v>
      </c>
      <c r="U2828">
        <v>128901</v>
      </c>
      <c r="V2828" t="s">
        <v>13916</v>
      </c>
      <c r="W2828" t="s">
        <v>815</v>
      </c>
      <c r="X2828" t="s">
        <v>16215</v>
      </c>
      <c r="Y2828" t="s">
        <v>16216</v>
      </c>
      <c r="Z2828" t="s">
        <v>4466</v>
      </c>
      <c r="AA2828" t="s">
        <v>4985</v>
      </c>
      <c r="AC2828">
        <v>99029</v>
      </c>
      <c r="AD2828" t="s">
        <v>901</v>
      </c>
      <c r="AE2828">
        <v>-36.89513882</v>
      </c>
      <c r="AF2828">
        <v>174.64558842</v>
      </c>
      <c r="AG2828">
        <v>51</v>
      </c>
      <c r="AH2828">
        <v>15</v>
      </c>
      <c r="AI2828">
        <v>3</v>
      </c>
      <c r="AJ2828">
        <v>3</v>
      </c>
      <c r="AK2828">
        <v>8</v>
      </c>
      <c r="AL2828">
        <v>8</v>
      </c>
      <c r="AM2828">
        <v>12</v>
      </c>
      <c r="AN2828">
        <v>1</v>
      </c>
      <c r="AO2828">
        <v>35</v>
      </c>
      <c r="AP2828">
        <v>2</v>
      </c>
      <c r="AQ2828">
        <v>3</v>
      </c>
      <c r="AR2828">
        <v>5</v>
      </c>
      <c r="AS2828">
        <v>29</v>
      </c>
      <c r="AT2828">
        <v>0</v>
      </c>
    </row>
    <row r="2829" spans="1:46">
      <c r="A2829">
        <v>47457</v>
      </c>
      <c r="B2829" t="s">
        <v>16217</v>
      </c>
      <c r="C2829" t="s">
        <v>16218</v>
      </c>
      <c r="D2829" t="s">
        <v>16219</v>
      </c>
      <c r="E2829" t="s">
        <v>16220</v>
      </c>
      <c r="F2829" t="s">
        <v>5104</v>
      </c>
      <c r="G2829" t="s">
        <v>652</v>
      </c>
      <c r="H2829" t="s">
        <v>3942</v>
      </c>
      <c r="J2829" t="s">
        <v>3962</v>
      </c>
      <c r="K2829" t="s">
        <v>519</v>
      </c>
      <c r="M2829" t="s">
        <v>520</v>
      </c>
      <c r="N2829" t="s">
        <v>557</v>
      </c>
      <c r="O2829" t="s">
        <v>728</v>
      </c>
      <c r="P2829" t="s">
        <v>654</v>
      </c>
      <c r="Q2829" t="s">
        <v>638</v>
      </c>
      <c r="R2829" t="s">
        <v>729</v>
      </c>
      <c r="S2829" t="s">
        <v>778</v>
      </c>
      <c r="T2829" t="s">
        <v>709</v>
      </c>
      <c r="U2829">
        <v>156000</v>
      </c>
      <c r="V2829" t="s">
        <v>6408</v>
      </c>
      <c r="W2829" t="s">
        <v>732</v>
      </c>
      <c r="X2829" t="s">
        <v>16221</v>
      </c>
      <c r="Y2829" t="s">
        <v>3981</v>
      </c>
      <c r="AA2829" t="s">
        <v>3982</v>
      </c>
      <c r="AE2829">
        <v>-36.962718459999998</v>
      </c>
      <c r="AF2829">
        <v>174.898246</v>
      </c>
      <c r="AG2829">
        <v>150</v>
      </c>
      <c r="AH2829">
        <v>30</v>
      </c>
      <c r="AI2829">
        <v>4</v>
      </c>
      <c r="AJ2829">
        <v>18</v>
      </c>
      <c r="AK2829">
        <v>33</v>
      </c>
      <c r="AL2829">
        <v>40</v>
      </c>
      <c r="AM2829">
        <v>42</v>
      </c>
      <c r="AN2829">
        <v>2</v>
      </c>
      <c r="AO2829">
        <v>139</v>
      </c>
      <c r="AP2829">
        <v>22</v>
      </c>
      <c r="AQ2829">
        <v>17</v>
      </c>
      <c r="AR2829">
        <v>57</v>
      </c>
      <c r="AS2829">
        <v>66</v>
      </c>
      <c r="AT2829">
        <v>13</v>
      </c>
    </row>
    <row r="2830" spans="1:46">
      <c r="A2830">
        <v>47459</v>
      </c>
      <c r="B2830" t="s">
        <v>16222</v>
      </c>
      <c r="C2830" t="s">
        <v>4775</v>
      </c>
      <c r="D2830" t="s">
        <v>16223</v>
      </c>
      <c r="E2830" t="s">
        <v>16224</v>
      </c>
      <c r="F2830" t="s">
        <v>1108</v>
      </c>
      <c r="G2830" t="s">
        <v>652</v>
      </c>
      <c r="H2830" t="s">
        <v>3942</v>
      </c>
      <c r="J2830" t="s">
        <v>3962</v>
      </c>
      <c r="K2830" t="s">
        <v>519</v>
      </c>
      <c r="M2830" t="s">
        <v>520</v>
      </c>
      <c r="N2830" t="s">
        <v>727</v>
      </c>
      <c r="O2830" t="s">
        <v>829</v>
      </c>
      <c r="P2830" t="s">
        <v>654</v>
      </c>
      <c r="Q2830" t="s">
        <v>638</v>
      </c>
      <c r="R2830" t="s">
        <v>708</v>
      </c>
      <c r="S2830" t="s">
        <v>730</v>
      </c>
      <c r="T2830" t="s">
        <v>709</v>
      </c>
      <c r="U2830">
        <v>146301</v>
      </c>
      <c r="V2830" t="s">
        <v>1109</v>
      </c>
      <c r="W2830" t="s">
        <v>807</v>
      </c>
      <c r="X2830" t="s">
        <v>16225</v>
      </c>
      <c r="Y2830" t="s">
        <v>4773</v>
      </c>
      <c r="Z2830" t="s">
        <v>879</v>
      </c>
      <c r="AA2830" t="s">
        <v>4774</v>
      </c>
      <c r="AB2830" t="s">
        <v>4775</v>
      </c>
      <c r="AE2830">
        <v>-36.883001020000002</v>
      </c>
      <c r="AF2830">
        <v>174.86534354</v>
      </c>
      <c r="AG2830">
        <v>45</v>
      </c>
      <c r="AH2830">
        <v>10</v>
      </c>
      <c r="AI2830">
        <v>0</v>
      </c>
      <c r="AJ2830">
        <v>7</v>
      </c>
      <c r="AK2830">
        <v>8</v>
      </c>
      <c r="AL2830">
        <v>12</v>
      </c>
      <c r="AM2830">
        <v>13</v>
      </c>
      <c r="AN2830">
        <v>1</v>
      </c>
      <c r="AO2830">
        <v>41</v>
      </c>
      <c r="AP2830">
        <v>3</v>
      </c>
      <c r="AQ2830">
        <v>10</v>
      </c>
      <c r="AR2830">
        <v>33</v>
      </c>
      <c r="AS2830">
        <v>2</v>
      </c>
      <c r="AT2830">
        <v>1</v>
      </c>
    </row>
    <row r="2831" spans="1:46">
      <c r="A2831">
        <v>47460</v>
      </c>
      <c r="B2831" t="s">
        <v>16226</v>
      </c>
      <c r="C2831" t="s">
        <v>16227</v>
      </c>
      <c r="D2831" t="s">
        <v>16228</v>
      </c>
      <c r="E2831" t="s">
        <v>16229</v>
      </c>
      <c r="F2831" t="s">
        <v>1835</v>
      </c>
      <c r="G2831" t="s">
        <v>1757</v>
      </c>
      <c r="H2831" t="s">
        <v>3942</v>
      </c>
      <c r="J2831" t="s">
        <v>3962</v>
      </c>
      <c r="K2831" t="s">
        <v>519</v>
      </c>
      <c r="M2831" t="s">
        <v>1297</v>
      </c>
      <c r="N2831" t="s">
        <v>571</v>
      </c>
      <c r="O2831" t="s">
        <v>1758</v>
      </c>
      <c r="P2831" t="s">
        <v>584</v>
      </c>
      <c r="Q2831" t="s">
        <v>1759</v>
      </c>
      <c r="R2831" t="s">
        <v>1760</v>
      </c>
      <c r="S2831" t="s">
        <v>1757</v>
      </c>
      <c r="T2831" t="s">
        <v>1485</v>
      </c>
      <c r="U2831">
        <v>217901</v>
      </c>
      <c r="V2831" t="s">
        <v>16230</v>
      </c>
      <c r="W2831" t="s">
        <v>1762</v>
      </c>
      <c r="X2831" t="s">
        <v>13909</v>
      </c>
      <c r="Y2831" t="s">
        <v>13910</v>
      </c>
      <c r="AA2831" t="s">
        <v>12572</v>
      </c>
      <c r="AB2831" t="s">
        <v>13911</v>
      </c>
      <c r="AE2831">
        <v>-39.082719660000002</v>
      </c>
      <c r="AF2831">
        <v>174.05041514000001</v>
      </c>
      <c r="AG2831">
        <v>36</v>
      </c>
      <c r="AH2831">
        <v>20</v>
      </c>
      <c r="AI2831">
        <v>3</v>
      </c>
      <c r="AJ2831">
        <v>20</v>
      </c>
      <c r="AK2831">
        <v>0</v>
      </c>
      <c r="AL2831">
        <v>0</v>
      </c>
      <c r="AM2831">
        <v>0</v>
      </c>
      <c r="AN2831">
        <v>0</v>
      </c>
      <c r="AO2831">
        <v>23</v>
      </c>
      <c r="AP2831">
        <v>20</v>
      </c>
      <c r="AQ2831">
        <v>7</v>
      </c>
      <c r="AR2831">
        <v>1</v>
      </c>
      <c r="AS2831">
        <v>2</v>
      </c>
      <c r="AT2831">
        <v>0</v>
      </c>
    </row>
    <row r="2832" spans="1:46">
      <c r="A2832">
        <v>47466</v>
      </c>
      <c r="B2832" t="s">
        <v>16231</v>
      </c>
      <c r="C2832" t="s">
        <v>16232</v>
      </c>
      <c r="E2832" t="s">
        <v>16233</v>
      </c>
      <c r="G2832" t="s">
        <v>1245</v>
      </c>
      <c r="H2832" t="s">
        <v>3942</v>
      </c>
      <c r="I2832" t="s">
        <v>4065</v>
      </c>
      <c r="J2832" t="s">
        <v>3962</v>
      </c>
      <c r="K2832" t="s">
        <v>519</v>
      </c>
      <c r="M2832" t="s">
        <v>520</v>
      </c>
      <c r="N2832" t="s">
        <v>571</v>
      </c>
      <c r="O2832" t="s">
        <v>1233</v>
      </c>
      <c r="P2832" t="s">
        <v>523</v>
      </c>
      <c r="Q2832" t="s">
        <v>638</v>
      </c>
      <c r="R2832" t="s">
        <v>729</v>
      </c>
      <c r="S2832" t="s">
        <v>1246</v>
      </c>
      <c r="T2832" t="s">
        <v>1235</v>
      </c>
      <c r="U2832">
        <v>164800</v>
      </c>
      <c r="V2832" t="s">
        <v>1247</v>
      </c>
      <c r="W2832" t="s">
        <v>1237</v>
      </c>
      <c r="X2832" t="s">
        <v>15890</v>
      </c>
      <c r="Y2832" t="s">
        <v>16234</v>
      </c>
      <c r="AA2832" t="s">
        <v>13740</v>
      </c>
      <c r="AB2832" t="s">
        <v>16235</v>
      </c>
      <c r="AC2832">
        <v>99033</v>
      </c>
      <c r="AD2832" t="s">
        <v>1248</v>
      </c>
      <c r="AE2832">
        <v>-37.253810309999999</v>
      </c>
      <c r="AF2832">
        <v>174.73436235</v>
      </c>
      <c r="AG2832">
        <v>40</v>
      </c>
      <c r="AH2832">
        <v>10</v>
      </c>
      <c r="AI2832">
        <v>0</v>
      </c>
      <c r="AJ2832">
        <v>1</v>
      </c>
      <c r="AK2832">
        <v>1</v>
      </c>
      <c r="AL2832">
        <v>5</v>
      </c>
      <c r="AM2832">
        <v>4</v>
      </c>
      <c r="AN2832">
        <v>1</v>
      </c>
      <c r="AO2832">
        <v>12</v>
      </c>
      <c r="AP2832">
        <v>8</v>
      </c>
      <c r="AQ2832">
        <v>2</v>
      </c>
      <c r="AR2832">
        <v>1</v>
      </c>
      <c r="AS2832">
        <v>3</v>
      </c>
      <c r="AT2832">
        <v>0</v>
      </c>
    </row>
    <row r="2833" spans="1:46">
      <c r="A2833">
        <v>47473</v>
      </c>
      <c r="B2833" t="s">
        <v>16236</v>
      </c>
      <c r="C2833" t="s">
        <v>16237</v>
      </c>
      <c r="D2833" t="s">
        <v>16238</v>
      </c>
      <c r="E2833" t="s">
        <v>16239</v>
      </c>
      <c r="G2833" t="s">
        <v>16240</v>
      </c>
      <c r="H2833" t="s">
        <v>3942</v>
      </c>
      <c r="J2833" t="s">
        <v>3962</v>
      </c>
      <c r="K2833" t="s">
        <v>519</v>
      </c>
      <c r="M2833" t="s">
        <v>2287</v>
      </c>
      <c r="N2833" t="s">
        <v>557</v>
      </c>
      <c r="O2833" t="s">
        <v>3481</v>
      </c>
      <c r="P2833" t="s">
        <v>540</v>
      </c>
      <c r="Q2833" t="s">
        <v>3337</v>
      </c>
      <c r="R2833" t="s">
        <v>3338</v>
      </c>
      <c r="S2833" t="s">
        <v>3384</v>
      </c>
      <c r="T2833" t="s">
        <v>2448</v>
      </c>
      <c r="U2833">
        <v>356800</v>
      </c>
      <c r="V2833" t="s">
        <v>16241</v>
      </c>
      <c r="W2833" t="s">
        <v>16242</v>
      </c>
      <c r="X2833" t="s">
        <v>16243</v>
      </c>
      <c r="Y2833" t="s">
        <v>16239</v>
      </c>
      <c r="AA2833" t="s">
        <v>16244</v>
      </c>
      <c r="AC2833">
        <v>99080</v>
      </c>
      <c r="AD2833" t="s">
        <v>3486</v>
      </c>
      <c r="AE2833">
        <v>-46.285348620000001</v>
      </c>
      <c r="AF2833">
        <v>169.84664724999999</v>
      </c>
      <c r="AG2833">
        <v>42</v>
      </c>
      <c r="AH2833">
        <v>10</v>
      </c>
      <c r="AI2833">
        <v>1</v>
      </c>
      <c r="AJ2833">
        <v>7</v>
      </c>
      <c r="AK2833">
        <v>7</v>
      </c>
      <c r="AL2833">
        <v>11</v>
      </c>
      <c r="AM2833">
        <v>8</v>
      </c>
      <c r="AN2833">
        <v>0</v>
      </c>
      <c r="AO2833">
        <v>34</v>
      </c>
      <c r="AP2833">
        <v>32</v>
      </c>
      <c r="AQ2833">
        <v>11</v>
      </c>
      <c r="AR2833">
        <v>2</v>
      </c>
      <c r="AS2833">
        <v>2</v>
      </c>
      <c r="AT2833">
        <v>0</v>
      </c>
    </row>
    <row r="2834" spans="1:46">
      <c r="A2834">
        <v>47479</v>
      </c>
      <c r="B2834" t="s">
        <v>16245</v>
      </c>
      <c r="C2834" t="s">
        <v>16246</v>
      </c>
      <c r="D2834" t="s">
        <v>16247</v>
      </c>
      <c r="E2834" t="s">
        <v>16248</v>
      </c>
      <c r="F2834" t="s">
        <v>4204</v>
      </c>
      <c r="G2834" t="s">
        <v>652</v>
      </c>
      <c r="H2834" t="s">
        <v>3942</v>
      </c>
      <c r="J2834" t="s">
        <v>3962</v>
      </c>
      <c r="K2834" t="s">
        <v>519</v>
      </c>
      <c r="M2834" t="s">
        <v>520</v>
      </c>
      <c r="N2834" t="s">
        <v>557</v>
      </c>
      <c r="O2834" t="s">
        <v>728</v>
      </c>
      <c r="P2834" t="s">
        <v>654</v>
      </c>
      <c r="Q2834" t="s">
        <v>638</v>
      </c>
      <c r="R2834" t="s">
        <v>729</v>
      </c>
      <c r="S2834" t="s">
        <v>1036</v>
      </c>
      <c r="T2834" t="s">
        <v>709</v>
      </c>
      <c r="U2834">
        <v>155500</v>
      </c>
      <c r="V2834" t="s">
        <v>4338</v>
      </c>
      <c r="W2834" t="s">
        <v>732</v>
      </c>
      <c r="X2834" t="s">
        <v>16249</v>
      </c>
      <c r="Y2834" t="s">
        <v>16250</v>
      </c>
      <c r="Z2834" t="s">
        <v>4204</v>
      </c>
      <c r="AA2834" t="s">
        <v>4585</v>
      </c>
      <c r="AB2834" t="s">
        <v>16251</v>
      </c>
      <c r="AE2834">
        <v>-36.990333669999998</v>
      </c>
      <c r="AF2834">
        <v>174.88590521</v>
      </c>
      <c r="AG2834">
        <v>130</v>
      </c>
      <c r="AH2834">
        <v>38</v>
      </c>
      <c r="AI2834">
        <v>6</v>
      </c>
      <c r="AJ2834">
        <v>23</v>
      </c>
      <c r="AK2834">
        <v>28</v>
      </c>
      <c r="AL2834">
        <v>26</v>
      </c>
      <c r="AM2834">
        <v>25</v>
      </c>
      <c r="AN2834">
        <v>5</v>
      </c>
      <c r="AO2834">
        <v>113</v>
      </c>
      <c r="AP2834">
        <v>35</v>
      </c>
      <c r="AQ2834">
        <v>26</v>
      </c>
      <c r="AR2834">
        <v>71</v>
      </c>
      <c r="AS2834">
        <v>35</v>
      </c>
      <c r="AT2834">
        <v>13</v>
      </c>
    </row>
    <row r="2835" spans="1:46">
      <c r="A2835">
        <v>47481</v>
      </c>
      <c r="B2835" t="s">
        <v>16252</v>
      </c>
      <c r="C2835" t="s">
        <v>10643</v>
      </c>
      <c r="E2835" t="s">
        <v>16253</v>
      </c>
      <c r="F2835" t="s">
        <v>9750</v>
      </c>
      <c r="G2835" t="s">
        <v>1598</v>
      </c>
      <c r="H2835" t="s">
        <v>3942</v>
      </c>
      <c r="J2835" t="s">
        <v>3962</v>
      </c>
      <c r="K2835" t="s">
        <v>519</v>
      </c>
      <c r="M2835" t="s">
        <v>1297</v>
      </c>
      <c r="N2835" t="s">
        <v>571</v>
      </c>
      <c r="O2835" t="s">
        <v>1698</v>
      </c>
      <c r="P2835" t="s">
        <v>654</v>
      </c>
      <c r="Q2835" t="s">
        <v>1471</v>
      </c>
      <c r="R2835" t="s">
        <v>1472</v>
      </c>
      <c r="S2835" t="s">
        <v>1598</v>
      </c>
      <c r="T2835" t="s">
        <v>1474</v>
      </c>
      <c r="U2835">
        <v>194500</v>
      </c>
      <c r="V2835" t="s">
        <v>9750</v>
      </c>
      <c r="W2835" t="s">
        <v>1717</v>
      </c>
      <c r="X2835" t="s">
        <v>10646</v>
      </c>
      <c r="Y2835" t="s">
        <v>10647</v>
      </c>
      <c r="Z2835" t="s">
        <v>1715</v>
      </c>
      <c r="AA2835" t="s">
        <v>10648</v>
      </c>
      <c r="AB2835" t="s">
        <v>10649</v>
      </c>
      <c r="AC2835">
        <v>99085</v>
      </c>
      <c r="AD2835" t="s">
        <v>1718</v>
      </c>
      <c r="AE2835">
        <v>-37.744829979999999</v>
      </c>
      <c r="AF2835">
        <v>176.10125232999999</v>
      </c>
      <c r="AG2835">
        <v>97</v>
      </c>
      <c r="AH2835">
        <v>25</v>
      </c>
      <c r="AI2835">
        <v>5</v>
      </c>
      <c r="AJ2835">
        <v>13</v>
      </c>
      <c r="AK2835">
        <v>27</v>
      </c>
      <c r="AL2835">
        <v>24</v>
      </c>
      <c r="AM2835">
        <v>32</v>
      </c>
      <c r="AN2835">
        <v>4</v>
      </c>
      <c r="AO2835">
        <v>105</v>
      </c>
      <c r="AP2835">
        <v>89</v>
      </c>
      <c r="AQ2835">
        <v>28</v>
      </c>
      <c r="AR2835">
        <v>3</v>
      </c>
      <c r="AS2835">
        <v>7</v>
      </c>
      <c r="AT2835">
        <v>1</v>
      </c>
    </row>
    <row r="2836" spans="1:46">
      <c r="A2836">
        <v>47484</v>
      </c>
      <c r="B2836" t="s">
        <v>16254</v>
      </c>
      <c r="C2836" t="s">
        <v>16255</v>
      </c>
      <c r="D2836" t="s">
        <v>16256</v>
      </c>
      <c r="E2836" t="s">
        <v>16257</v>
      </c>
      <c r="G2836" t="s">
        <v>16258</v>
      </c>
      <c r="H2836" t="s">
        <v>3942</v>
      </c>
      <c r="J2836" t="s">
        <v>3962</v>
      </c>
      <c r="K2836" t="s">
        <v>519</v>
      </c>
      <c r="M2836" t="s">
        <v>2287</v>
      </c>
      <c r="N2836" t="s">
        <v>571</v>
      </c>
      <c r="O2836" t="s">
        <v>2964</v>
      </c>
      <c r="P2836" t="s">
        <v>572</v>
      </c>
      <c r="Q2836" t="s">
        <v>2943</v>
      </c>
      <c r="R2836" t="s">
        <v>2944</v>
      </c>
      <c r="S2836" t="s">
        <v>2965</v>
      </c>
      <c r="T2836" t="s">
        <v>2448</v>
      </c>
      <c r="U2836">
        <v>314801</v>
      </c>
      <c r="V2836" t="s">
        <v>16259</v>
      </c>
      <c r="W2836" t="s">
        <v>11202</v>
      </c>
      <c r="X2836" t="s">
        <v>16260</v>
      </c>
      <c r="Y2836" t="s">
        <v>16257</v>
      </c>
      <c r="Z2836" t="s">
        <v>16258</v>
      </c>
      <c r="AA2836" t="s">
        <v>16261</v>
      </c>
      <c r="AB2836" t="s">
        <v>16255</v>
      </c>
      <c r="AC2836">
        <v>99061</v>
      </c>
      <c r="AD2836" t="s">
        <v>3190</v>
      </c>
      <c r="AE2836">
        <v>-43.380008930000002</v>
      </c>
      <c r="AF2836">
        <v>172.53611380000001</v>
      </c>
      <c r="AG2836">
        <v>75</v>
      </c>
      <c r="AH2836">
        <v>15</v>
      </c>
      <c r="AI2836">
        <v>1</v>
      </c>
      <c r="AJ2836">
        <v>7</v>
      </c>
      <c r="AK2836">
        <v>17</v>
      </c>
      <c r="AL2836">
        <v>5</v>
      </c>
      <c r="AM2836">
        <v>13</v>
      </c>
      <c r="AN2836">
        <v>1</v>
      </c>
      <c r="AO2836">
        <v>44</v>
      </c>
      <c r="AP2836">
        <v>42</v>
      </c>
      <c r="AQ2836">
        <v>3</v>
      </c>
      <c r="AR2836">
        <v>0</v>
      </c>
      <c r="AS2836">
        <v>4</v>
      </c>
      <c r="AT2836">
        <v>0</v>
      </c>
    </row>
    <row r="2837" spans="1:46">
      <c r="A2837">
        <v>47485</v>
      </c>
      <c r="B2837" t="s">
        <v>16262</v>
      </c>
      <c r="C2837" t="s">
        <v>14584</v>
      </c>
      <c r="E2837" t="s">
        <v>8254</v>
      </c>
      <c r="F2837" t="s">
        <v>8255</v>
      </c>
      <c r="G2837" t="s">
        <v>652</v>
      </c>
      <c r="H2837" t="s">
        <v>4716</v>
      </c>
      <c r="J2837" t="s">
        <v>3962</v>
      </c>
      <c r="K2837" t="s">
        <v>519</v>
      </c>
      <c r="M2837" t="s">
        <v>520</v>
      </c>
      <c r="N2837" t="s">
        <v>571</v>
      </c>
      <c r="O2837" t="s">
        <v>1168</v>
      </c>
      <c r="P2837" t="s">
        <v>654</v>
      </c>
      <c r="Q2837" t="s">
        <v>638</v>
      </c>
      <c r="R2837" t="s">
        <v>639</v>
      </c>
      <c r="S2837" t="s">
        <v>655</v>
      </c>
      <c r="T2837" t="s">
        <v>527</v>
      </c>
      <c r="U2837">
        <v>118600</v>
      </c>
      <c r="V2837" t="s">
        <v>4012</v>
      </c>
      <c r="W2837" t="s">
        <v>657</v>
      </c>
      <c r="X2837" t="s">
        <v>6268</v>
      </c>
      <c r="Y2837" t="s">
        <v>6269</v>
      </c>
      <c r="Z2837" t="s">
        <v>3706</v>
      </c>
      <c r="AA2837" t="s">
        <v>6270</v>
      </c>
      <c r="AB2837" t="s">
        <v>6271</v>
      </c>
      <c r="AE2837">
        <v>-36.745892019999999</v>
      </c>
      <c r="AF2837">
        <v>174.7043195</v>
      </c>
      <c r="AG2837">
        <v>80</v>
      </c>
      <c r="AH2837">
        <v>80</v>
      </c>
      <c r="AI2837">
        <v>2</v>
      </c>
      <c r="AJ2837">
        <v>2</v>
      </c>
      <c r="AK2837">
        <v>3</v>
      </c>
      <c r="AL2837">
        <v>7</v>
      </c>
      <c r="AM2837">
        <v>4</v>
      </c>
      <c r="AN2837">
        <v>1</v>
      </c>
      <c r="AO2837">
        <v>19</v>
      </c>
      <c r="AP2837">
        <v>1</v>
      </c>
      <c r="AQ2837">
        <v>0</v>
      </c>
      <c r="AR2837">
        <v>0</v>
      </c>
      <c r="AS2837">
        <v>19</v>
      </c>
      <c r="AT2837">
        <v>0</v>
      </c>
    </row>
    <row r="2838" spans="1:46">
      <c r="A2838">
        <v>47486</v>
      </c>
      <c r="B2838" t="s">
        <v>16263</v>
      </c>
      <c r="C2838" t="s">
        <v>14046</v>
      </c>
      <c r="E2838" t="s">
        <v>16264</v>
      </c>
      <c r="F2838" t="s">
        <v>777</v>
      </c>
      <c r="G2838" t="s">
        <v>652</v>
      </c>
      <c r="H2838" t="s">
        <v>3942</v>
      </c>
      <c r="I2838" t="s">
        <v>4065</v>
      </c>
      <c r="J2838" t="s">
        <v>3962</v>
      </c>
      <c r="K2838" t="s">
        <v>519</v>
      </c>
      <c r="M2838" t="s">
        <v>520</v>
      </c>
      <c r="N2838" t="s">
        <v>571</v>
      </c>
      <c r="O2838" t="s">
        <v>707</v>
      </c>
      <c r="P2838" t="s">
        <v>654</v>
      </c>
      <c r="Q2838" t="s">
        <v>638</v>
      </c>
      <c r="R2838" t="s">
        <v>708</v>
      </c>
      <c r="S2838" t="s">
        <v>706</v>
      </c>
      <c r="T2838" t="s">
        <v>709</v>
      </c>
      <c r="U2838">
        <v>151301</v>
      </c>
      <c r="V2838" t="s">
        <v>4123</v>
      </c>
      <c r="W2838" t="s">
        <v>711</v>
      </c>
      <c r="X2838" t="s">
        <v>14754</v>
      </c>
      <c r="Y2838" t="s">
        <v>16265</v>
      </c>
      <c r="Z2838" t="s">
        <v>911</v>
      </c>
      <c r="AA2838" t="s">
        <v>7047</v>
      </c>
      <c r="AB2838" t="s">
        <v>13810</v>
      </c>
      <c r="AE2838">
        <v>-36.902933779999998</v>
      </c>
      <c r="AF2838">
        <v>174.9047889</v>
      </c>
      <c r="AG2838">
        <v>70</v>
      </c>
      <c r="AH2838">
        <v>20</v>
      </c>
      <c r="AI2838">
        <v>3</v>
      </c>
      <c r="AJ2838">
        <v>11</v>
      </c>
      <c r="AK2838">
        <v>16</v>
      </c>
      <c r="AL2838">
        <v>18</v>
      </c>
      <c r="AM2838">
        <v>21</v>
      </c>
      <c r="AN2838">
        <v>1</v>
      </c>
      <c r="AO2838">
        <v>70</v>
      </c>
      <c r="AP2838">
        <v>12</v>
      </c>
      <c r="AQ2838">
        <v>2</v>
      </c>
      <c r="AR2838">
        <v>0</v>
      </c>
      <c r="AS2838">
        <v>58</v>
      </c>
      <c r="AT2838">
        <v>3</v>
      </c>
    </row>
    <row r="2839" spans="1:46">
      <c r="A2839">
        <v>47488</v>
      </c>
      <c r="B2839" t="s">
        <v>16266</v>
      </c>
      <c r="C2839" t="s">
        <v>4699</v>
      </c>
      <c r="D2839" t="s">
        <v>16267</v>
      </c>
      <c r="E2839" t="s">
        <v>16268</v>
      </c>
      <c r="G2839" t="s">
        <v>550</v>
      </c>
      <c r="H2839" t="s">
        <v>3942</v>
      </c>
      <c r="J2839" t="s">
        <v>3962</v>
      </c>
      <c r="K2839" t="s">
        <v>519</v>
      </c>
      <c r="M2839" t="s">
        <v>520</v>
      </c>
      <c r="N2839" t="s">
        <v>521</v>
      </c>
      <c r="O2839" t="s">
        <v>522</v>
      </c>
      <c r="P2839" t="s">
        <v>523</v>
      </c>
      <c r="Q2839" t="s">
        <v>524</v>
      </c>
      <c r="R2839" t="s">
        <v>525</v>
      </c>
      <c r="S2839" t="s">
        <v>526</v>
      </c>
      <c r="T2839" t="s">
        <v>527</v>
      </c>
      <c r="U2839">
        <v>103501</v>
      </c>
      <c r="V2839" t="s">
        <v>550</v>
      </c>
      <c r="W2839" t="s">
        <v>551</v>
      </c>
      <c r="X2839" t="s">
        <v>4696</v>
      </c>
      <c r="Y2839" t="s">
        <v>4697</v>
      </c>
      <c r="AA2839" t="s">
        <v>4698</v>
      </c>
      <c r="AB2839" t="s">
        <v>4699</v>
      </c>
      <c r="AE2839">
        <v>-35.408417159999999</v>
      </c>
      <c r="AF2839">
        <v>173.80613009000001</v>
      </c>
      <c r="AG2839">
        <v>20</v>
      </c>
      <c r="AH2839">
        <v>20</v>
      </c>
      <c r="AI2839">
        <v>1</v>
      </c>
      <c r="AJ2839">
        <v>4</v>
      </c>
      <c r="AK2839">
        <v>0</v>
      </c>
      <c r="AL2839">
        <v>0</v>
      </c>
      <c r="AM2839">
        <v>0</v>
      </c>
      <c r="AN2839">
        <v>0</v>
      </c>
      <c r="AO2839">
        <v>5</v>
      </c>
      <c r="AP2839">
        <v>1</v>
      </c>
      <c r="AQ2839">
        <v>5</v>
      </c>
      <c r="AR2839">
        <v>0</v>
      </c>
      <c r="AS2839">
        <v>0</v>
      </c>
      <c r="AT2839">
        <v>0</v>
      </c>
    </row>
    <row r="2840" spans="1:46">
      <c r="A2840">
        <v>47490</v>
      </c>
      <c r="B2840" t="s">
        <v>16269</v>
      </c>
      <c r="C2840" t="s">
        <v>16270</v>
      </c>
      <c r="D2840" t="s">
        <v>16271</v>
      </c>
      <c r="E2840" t="s">
        <v>16272</v>
      </c>
      <c r="G2840" t="s">
        <v>4387</v>
      </c>
      <c r="H2840" t="s">
        <v>3942</v>
      </c>
      <c r="J2840" t="s">
        <v>518</v>
      </c>
      <c r="K2840" t="s">
        <v>519</v>
      </c>
      <c r="M2840" t="s">
        <v>520</v>
      </c>
      <c r="N2840" t="s">
        <v>571</v>
      </c>
      <c r="O2840" t="s">
        <v>637</v>
      </c>
      <c r="P2840" t="s">
        <v>523</v>
      </c>
      <c r="Q2840" t="s">
        <v>638</v>
      </c>
      <c r="R2840" t="s">
        <v>639</v>
      </c>
      <c r="S2840" t="s">
        <v>640</v>
      </c>
      <c r="T2840" t="s">
        <v>527</v>
      </c>
      <c r="U2840">
        <v>115001</v>
      </c>
      <c r="V2840" t="s">
        <v>6664</v>
      </c>
      <c r="W2840" t="s">
        <v>641</v>
      </c>
      <c r="X2840" t="s">
        <v>3943</v>
      </c>
      <c r="Y2840" t="s">
        <v>3944</v>
      </c>
      <c r="Z2840" t="s">
        <v>3945</v>
      </c>
      <c r="AA2840" t="s">
        <v>3946</v>
      </c>
      <c r="AB2840" t="s">
        <v>3947</v>
      </c>
      <c r="AC2840">
        <v>99129</v>
      </c>
      <c r="AD2840" t="s">
        <v>921</v>
      </c>
      <c r="AE2840">
        <v>-36.767868249999999</v>
      </c>
      <c r="AF2840">
        <v>174.55443099999999</v>
      </c>
      <c r="AG2840">
        <v>80</v>
      </c>
      <c r="AH2840">
        <v>20</v>
      </c>
      <c r="AI2840">
        <v>3</v>
      </c>
      <c r="AJ2840">
        <v>15</v>
      </c>
      <c r="AK2840">
        <v>15</v>
      </c>
      <c r="AL2840">
        <v>20</v>
      </c>
      <c r="AM2840">
        <v>24</v>
      </c>
      <c r="AN2840">
        <v>0</v>
      </c>
      <c r="AO2840">
        <v>77</v>
      </c>
      <c r="AP2840">
        <v>53</v>
      </c>
      <c r="AQ2840">
        <v>12</v>
      </c>
      <c r="AR2840">
        <v>6</v>
      </c>
      <c r="AS2840">
        <v>20</v>
      </c>
      <c r="AT2840">
        <v>12</v>
      </c>
    </row>
    <row r="2841" spans="1:46">
      <c r="A2841">
        <v>47491</v>
      </c>
      <c r="B2841" t="s">
        <v>14460</v>
      </c>
      <c r="C2841" t="s">
        <v>16273</v>
      </c>
      <c r="E2841" t="s">
        <v>16274</v>
      </c>
      <c r="F2841" t="s">
        <v>2668</v>
      </c>
      <c r="G2841" t="s">
        <v>2289</v>
      </c>
      <c r="H2841" t="s">
        <v>3942</v>
      </c>
      <c r="I2841" t="s">
        <v>16275</v>
      </c>
      <c r="J2841" t="s">
        <v>518</v>
      </c>
      <c r="K2841" t="s">
        <v>519</v>
      </c>
      <c r="M2841" t="s">
        <v>2287</v>
      </c>
      <c r="N2841" t="s">
        <v>571</v>
      </c>
      <c r="O2841" t="s">
        <v>2536</v>
      </c>
      <c r="P2841" t="s">
        <v>654</v>
      </c>
      <c r="Q2841" t="s">
        <v>2319</v>
      </c>
      <c r="R2841" t="s">
        <v>2289</v>
      </c>
      <c r="S2841" t="s">
        <v>2537</v>
      </c>
      <c r="T2841" t="s">
        <v>2448</v>
      </c>
      <c r="U2841">
        <v>253600</v>
      </c>
      <c r="V2841" t="s">
        <v>2811</v>
      </c>
      <c r="W2841" t="s">
        <v>2538</v>
      </c>
      <c r="X2841" t="s">
        <v>16276</v>
      </c>
      <c r="Y2841" t="s">
        <v>4554</v>
      </c>
      <c r="Z2841" t="s">
        <v>4555</v>
      </c>
      <c r="AA2841" t="s">
        <v>4556</v>
      </c>
      <c r="AE2841">
        <v>-41.314943110000002</v>
      </c>
      <c r="AF2841">
        <v>174.78056631000001</v>
      </c>
      <c r="AG2841">
        <v>45</v>
      </c>
      <c r="AH2841">
        <v>25</v>
      </c>
      <c r="AI2841">
        <v>18</v>
      </c>
      <c r="AJ2841">
        <v>5</v>
      </c>
      <c r="AK2841">
        <v>10</v>
      </c>
      <c r="AL2841">
        <v>5</v>
      </c>
      <c r="AM2841">
        <v>12</v>
      </c>
      <c r="AN2841">
        <v>0</v>
      </c>
      <c r="AO2841">
        <v>50</v>
      </c>
      <c r="AP2841">
        <v>39</v>
      </c>
      <c r="AQ2841">
        <v>9</v>
      </c>
      <c r="AR2841">
        <v>3</v>
      </c>
      <c r="AS2841">
        <v>10</v>
      </c>
      <c r="AT2841">
        <v>1</v>
      </c>
    </row>
    <row r="2842" spans="1:46">
      <c r="A2842">
        <v>47492</v>
      </c>
      <c r="B2842" t="s">
        <v>16277</v>
      </c>
      <c r="C2842" t="s">
        <v>16278</v>
      </c>
      <c r="D2842" t="s">
        <v>4148</v>
      </c>
      <c r="E2842" t="s">
        <v>16279</v>
      </c>
      <c r="F2842" t="s">
        <v>5766</v>
      </c>
      <c r="G2842" t="s">
        <v>652</v>
      </c>
      <c r="H2842" t="s">
        <v>3942</v>
      </c>
      <c r="J2842" t="s">
        <v>3962</v>
      </c>
      <c r="K2842" t="s">
        <v>519</v>
      </c>
      <c r="M2842" t="s">
        <v>520</v>
      </c>
      <c r="N2842" t="s">
        <v>571</v>
      </c>
      <c r="O2842" t="s">
        <v>738</v>
      </c>
      <c r="P2842" t="s">
        <v>654</v>
      </c>
      <c r="Q2842" t="s">
        <v>638</v>
      </c>
      <c r="R2842" t="s">
        <v>639</v>
      </c>
      <c r="S2842" t="s">
        <v>756</v>
      </c>
      <c r="T2842" t="s">
        <v>527</v>
      </c>
      <c r="U2842">
        <v>124401</v>
      </c>
      <c r="V2842" t="s">
        <v>6705</v>
      </c>
      <c r="W2842" t="s">
        <v>741</v>
      </c>
      <c r="X2842" t="s">
        <v>4151</v>
      </c>
      <c r="Y2842" t="s">
        <v>4152</v>
      </c>
      <c r="Z2842" t="s">
        <v>4153</v>
      </c>
      <c r="AA2842" t="s">
        <v>4154</v>
      </c>
      <c r="AE2842">
        <v>-36.804064820000001</v>
      </c>
      <c r="AF2842">
        <v>174.70242428</v>
      </c>
      <c r="AG2842">
        <v>30</v>
      </c>
      <c r="AH2842">
        <v>0</v>
      </c>
      <c r="AI2842">
        <v>0</v>
      </c>
      <c r="AJ2842">
        <v>0</v>
      </c>
      <c r="AK2842">
        <v>18</v>
      </c>
      <c r="AL2842">
        <v>12</v>
      </c>
      <c r="AM2842">
        <v>0</v>
      </c>
      <c r="AN2842">
        <v>0</v>
      </c>
      <c r="AO2842">
        <v>30</v>
      </c>
      <c r="AP2842">
        <v>18</v>
      </c>
      <c r="AQ2842">
        <v>3</v>
      </c>
      <c r="AR2842">
        <v>1</v>
      </c>
      <c r="AS2842">
        <v>2</v>
      </c>
      <c r="AT2842">
        <v>12</v>
      </c>
    </row>
    <row r="2843" spans="1:46">
      <c r="A2843">
        <v>47493</v>
      </c>
      <c r="B2843" t="s">
        <v>16280</v>
      </c>
      <c r="C2843" t="s">
        <v>16281</v>
      </c>
      <c r="E2843" t="s">
        <v>16282</v>
      </c>
      <c r="F2843" t="s">
        <v>8616</v>
      </c>
      <c r="G2843" t="s">
        <v>1296</v>
      </c>
      <c r="H2843" t="s">
        <v>3942</v>
      </c>
      <c r="J2843" t="s">
        <v>518</v>
      </c>
      <c r="K2843" t="s">
        <v>519</v>
      </c>
      <c r="M2843" t="s">
        <v>1297</v>
      </c>
      <c r="N2843" t="s">
        <v>571</v>
      </c>
      <c r="O2843" t="s">
        <v>1298</v>
      </c>
      <c r="P2843" t="s">
        <v>654</v>
      </c>
      <c r="Q2843" t="s">
        <v>1299</v>
      </c>
      <c r="R2843" t="s">
        <v>1300</v>
      </c>
      <c r="S2843" t="s">
        <v>1300</v>
      </c>
      <c r="T2843" t="s">
        <v>1235</v>
      </c>
      <c r="U2843">
        <v>175601</v>
      </c>
      <c r="V2843" t="s">
        <v>8616</v>
      </c>
      <c r="W2843" t="s">
        <v>1314</v>
      </c>
      <c r="X2843" t="s">
        <v>8377</v>
      </c>
      <c r="Y2843" t="s">
        <v>3944</v>
      </c>
      <c r="Z2843" t="s">
        <v>3945</v>
      </c>
      <c r="AA2843" t="s">
        <v>3946</v>
      </c>
      <c r="AB2843" t="s">
        <v>8378</v>
      </c>
      <c r="AE2843">
        <v>-37.72251095</v>
      </c>
      <c r="AF2843">
        <v>175.26173616</v>
      </c>
      <c r="AG2843">
        <v>58</v>
      </c>
      <c r="AH2843">
        <v>13</v>
      </c>
      <c r="AI2843">
        <v>4</v>
      </c>
      <c r="AJ2843">
        <v>3</v>
      </c>
      <c r="AK2843">
        <v>18</v>
      </c>
      <c r="AL2843">
        <v>16</v>
      </c>
      <c r="AM2843">
        <v>18</v>
      </c>
      <c r="AN2843">
        <v>0</v>
      </c>
      <c r="AO2843">
        <v>59</v>
      </c>
      <c r="AP2843">
        <v>26</v>
      </c>
      <c r="AQ2843">
        <v>10</v>
      </c>
      <c r="AR2843">
        <v>4</v>
      </c>
      <c r="AS2843">
        <v>21</v>
      </c>
      <c r="AT2843">
        <v>11</v>
      </c>
    </row>
    <row r="2844" spans="1:46">
      <c r="A2844">
        <v>47494</v>
      </c>
      <c r="B2844" t="s">
        <v>16283</v>
      </c>
      <c r="C2844" t="s">
        <v>16284</v>
      </c>
      <c r="E2844" t="s">
        <v>16285</v>
      </c>
      <c r="G2844" t="s">
        <v>1579</v>
      </c>
      <c r="H2844" t="s">
        <v>3942</v>
      </c>
      <c r="J2844" t="s">
        <v>3962</v>
      </c>
      <c r="K2844" t="s">
        <v>519</v>
      </c>
      <c r="M2844" t="s">
        <v>1297</v>
      </c>
      <c r="N2844" t="s">
        <v>571</v>
      </c>
      <c r="O2844" t="s">
        <v>1450</v>
      </c>
      <c r="P2844" t="s">
        <v>523</v>
      </c>
      <c r="Q2844" t="s">
        <v>1299</v>
      </c>
      <c r="R2844" t="s">
        <v>1300</v>
      </c>
      <c r="S2844" t="s">
        <v>1300</v>
      </c>
      <c r="T2844" t="s">
        <v>1235</v>
      </c>
      <c r="U2844">
        <v>175001</v>
      </c>
      <c r="V2844" t="s">
        <v>1580</v>
      </c>
      <c r="W2844" t="s">
        <v>1581</v>
      </c>
      <c r="X2844" t="s">
        <v>13127</v>
      </c>
      <c r="Y2844" t="s">
        <v>12191</v>
      </c>
      <c r="Z2844" t="s">
        <v>12192</v>
      </c>
      <c r="AA2844" t="s">
        <v>12193</v>
      </c>
      <c r="AB2844" t="s">
        <v>13124</v>
      </c>
      <c r="AC2844">
        <v>99104</v>
      </c>
      <c r="AD2844" t="s">
        <v>1582</v>
      </c>
      <c r="AE2844">
        <v>-37.808391299999997</v>
      </c>
      <c r="AF2844">
        <v>175.76961180000001</v>
      </c>
      <c r="AG2844">
        <v>95</v>
      </c>
      <c r="AH2844">
        <v>34</v>
      </c>
      <c r="AI2844">
        <v>3</v>
      </c>
      <c r="AJ2844">
        <v>25</v>
      </c>
      <c r="AK2844">
        <v>27</v>
      </c>
      <c r="AL2844">
        <v>32</v>
      </c>
      <c r="AM2844">
        <v>31</v>
      </c>
      <c r="AN2844">
        <v>0</v>
      </c>
      <c r="AO2844">
        <v>118</v>
      </c>
      <c r="AP2844">
        <v>105</v>
      </c>
      <c r="AQ2844">
        <v>21</v>
      </c>
      <c r="AR2844">
        <v>2</v>
      </c>
      <c r="AS2844">
        <v>8</v>
      </c>
      <c r="AT2844">
        <v>5</v>
      </c>
    </row>
    <row r="2845" spans="1:46">
      <c r="A2845">
        <v>47495</v>
      </c>
      <c r="B2845" t="s">
        <v>16286</v>
      </c>
      <c r="C2845" t="s">
        <v>16287</v>
      </c>
      <c r="E2845" t="s">
        <v>16288</v>
      </c>
      <c r="F2845" t="s">
        <v>5158</v>
      </c>
      <c r="G2845" t="s">
        <v>652</v>
      </c>
      <c r="H2845" t="s">
        <v>3942</v>
      </c>
      <c r="J2845" t="s">
        <v>3962</v>
      </c>
      <c r="K2845" t="s">
        <v>519</v>
      </c>
      <c r="M2845" t="s">
        <v>520</v>
      </c>
      <c r="N2845" t="s">
        <v>571</v>
      </c>
      <c r="O2845" t="s">
        <v>829</v>
      </c>
      <c r="P2845" t="s">
        <v>654</v>
      </c>
      <c r="Q2845" t="s">
        <v>638</v>
      </c>
      <c r="R2845" t="s">
        <v>708</v>
      </c>
      <c r="S2845" t="s">
        <v>805</v>
      </c>
      <c r="T2845" t="s">
        <v>709</v>
      </c>
      <c r="U2845">
        <v>143400</v>
      </c>
      <c r="V2845" t="s">
        <v>5159</v>
      </c>
      <c r="W2845" t="s">
        <v>807</v>
      </c>
      <c r="X2845" t="s">
        <v>8206</v>
      </c>
      <c r="Y2845" t="s">
        <v>16289</v>
      </c>
      <c r="AA2845" t="s">
        <v>6898</v>
      </c>
      <c r="AE2845">
        <v>-36.91028541</v>
      </c>
      <c r="AF2845">
        <v>174.77627002</v>
      </c>
      <c r="AG2845">
        <v>25</v>
      </c>
      <c r="AH2845">
        <v>10</v>
      </c>
      <c r="AI2845">
        <v>1</v>
      </c>
      <c r="AJ2845">
        <v>1</v>
      </c>
      <c r="AK2845">
        <v>5</v>
      </c>
      <c r="AL2845">
        <v>8</v>
      </c>
      <c r="AM2845">
        <v>5</v>
      </c>
      <c r="AN2845">
        <v>0</v>
      </c>
      <c r="AO2845">
        <v>20</v>
      </c>
      <c r="AP2845">
        <v>5</v>
      </c>
      <c r="AQ2845">
        <v>2</v>
      </c>
      <c r="AR2845">
        <v>4</v>
      </c>
      <c r="AS2845">
        <v>16</v>
      </c>
      <c r="AT2845">
        <v>0</v>
      </c>
    </row>
    <row r="2846" spans="1:46">
      <c r="A2846">
        <v>47496</v>
      </c>
      <c r="B2846" t="s">
        <v>16290</v>
      </c>
      <c r="C2846" t="s">
        <v>16291</v>
      </c>
      <c r="D2846" t="s">
        <v>16292</v>
      </c>
      <c r="E2846" t="s">
        <v>16293</v>
      </c>
      <c r="G2846" t="s">
        <v>9189</v>
      </c>
      <c r="H2846" t="s">
        <v>3942</v>
      </c>
      <c r="I2846" t="s">
        <v>4065</v>
      </c>
      <c r="J2846" t="s">
        <v>3962</v>
      </c>
      <c r="K2846" t="s">
        <v>519</v>
      </c>
      <c r="M2846" t="s">
        <v>1297</v>
      </c>
      <c r="N2846" t="s">
        <v>571</v>
      </c>
      <c r="O2846" t="s">
        <v>1743</v>
      </c>
      <c r="P2846" t="s">
        <v>540</v>
      </c>
      <c r="Q2846" t="s">
        <v>1471</v>
      </c>
      <c r="R2846" t="s">
        <v>1300</v>
      </c>
      <c r="S2846" t="s">
        <v>1438</v>
      </c>
      <c r="T2846" t="s">
        <v>1474</v>
      </c>
      <c r="U2846">
        <v>190400</v>
      </c>
      <c r="V2846" t="s">
        <v>16294</v>
      </c>
      <c r="W2846" t="s">
        <v>3789</v>
      </c>
      <c r="X2846" t="s">
        <v>16295</v>
      </c>
      <c r="Y2846" t="s">
        <v>16296</v>
      </c>
      <c r="AA2846" t="s">
        <v>16297</v>
      </c>
      <c r="AB2846" t="s">
        <v>16298</v>
      </c>
      <c r="AC2846">
        <v>99089</v>
      </c>
      <c r="AD2846" t="s">
        <v>3686</v>
      </c>
      <c r="AE2846">
        <v>-37.447097839999998</v>
      </c>
      <c r="AF2846">
        <v>175.95689668</v>
      </c>
      <c r="AG2846">
        <v>35</v>
      </c>
      <c r="AH2846">
        <v>15</v>
      </c>
      <c r="AI2846">
        <v>2</v>
      </c>
      <c r="AJ2846">
        <v>9</v>
      </c>
      <c r="AK2846">
        <v>6</v>
      </c>
      <c r="AL2846">
        <v>14</v>
      </c>
      <c r="AM2846">
        <v>11</v>
      </c>
      <c r="AN2846">
        <v>2</v>
      </c>
      <c r="AO2846">
        <v>44</v>
      </c>
      <c r="AP2846">
        <v>39</v>
      </c>
      <c r="AQ2846">
        <v>14</v>
      </c>
      <c r="AR2846">
        <v>2</v>
      </c>
      <c r="AS2846">
        <v>3</v>
      </c>
      <c r="AT2846">
        <v>1</v>
      </c>
    </row>
    <row r="2847" spans="1:46">
      <c r="A2847">
        <v>47499</v>
      </c>
      <c r="B2847" t="s">
        <v>16299</v>
      </c>
      <c r="C2847" t="s">
        <v>15231</v>
      </c>
      <c r="D2847" t="s">
        <v>15232</v>
      </c>
      <c r="E2847" t="s">
        <v>15233</v>
      </c>
      <c r="F2847" t="s">
        <v>1283</v>
      </c>
      <c r="G2847" t="s">
        <v>652</v>
      </c>
      <c r="H2847" t="s">
        <v>4716</v>
      </c>
      <c r="J2847" t="s">
        <v>3962</v>
      </c>
      <c r="K2847" t="s">
        <v>519</v>
      </c>
      <c r="M2847" t="s">
        <v>520</v>
      </c>
      <c r="N2847" t="s">
        <v>521</v>
      </c>
      <c r="O2847" t="s">
        <v>728</v>
      </c>
      <c r="P2847" t="s">
        <v>654</v>
      </c>
      <c r="Q2847" t="s">
        <v>638</v>
      </c>
      <c r="R2847" t="s">
        <v>729</v>
      </c>
      <c r="S2847" t="s">
        <v>778</v>
      </c>
      <c r="T2847" t="s">
        <v>709</v>
      </c>
      <c r="U2847">
        <v>157701</v>
      </c>
      <c r="V2847" t="s">
        <v>4495</v>
      </c>
      <c r="W2847" t="s">
        <v>732</v>
      </c>
      <c r="X2847" t="s">
        <v>15234</v>
      </c>
      <c r="Y2847" t="s">
        <v>15233</v>
      </c>
      <c r="Z2847" t="s">
        <v>1283</v>
      </c>
      <c r="AA2847" t="s">
        <v>4620</v>
      </c>
      <c r="AE2847">
        <v>-36.978050039999999</v>
      </c>
      <c r="AF2847">
        <v>174.89177803000001</v>
      </c>
      <c r="AG2847">
        <v>50</v>
      </c>
      <c r="AH2847">
        <v>50</v>
      </c>
      <c r="AI2847">
        <v>6</v>
      </c>
      <c r="AJ2847">
        <v>2</v>
      </c>
      <c r="AK2847">
        <v>7</v>
      </c>
      <c r="AL2847">
        <v>3</v>
      </c>
      <c r="AM2847">
        <v>5</v>
      </c>
      <c r="AN2847">
        <v>2</v>
      </c>
      <c r="AO2847">
        <v>25</v>
      </c>
      <c r="AP2847">
        <v>0</v>
      </c>
      <c r="AQ2847">
        <v>0</v>
      </c>
      <c r="AR2847">
        <v>24</v>
      </c>
      <c r="AS2847">
        <v>1</v>
      </c>
      <c r="AT2847">
        <v>0</v>
      </c>
    </row>
    <row r="2848" spans="1:46">
      <c r="A2848">
        <v>47500</v>
      </c>
      <c r="B2848" t="s">
        <v>16300</v>
      </c>
      <c r="C2848" t="s">
        <v>16301</v>
      </c>
      <c r="E2848" t="s">
        <v>16302</v>
      </c>
      <c r="F2848" t="s">
        <v>1035</v>
      </c>
      <c r="G2848" t="s">
        <v>652</v>
      </c>
      <c r="H2848" t="s">
        <v>3942</v>
      </c>
      <c r="J2848" t="s">
        <v>3962</v>
      </c>
      <c r="K2848" t="s">
        <v>519</v>
      </c>
      <c r="M2848" t="s">
        <v>520</v>
      </c>
      <c r="N2848" t="s">
        <v>539</v>
      </c>
      <c r="O2848" t="s">
        <v>728</v>
      </c>
      <c r="P2848" t="s">
        <v>654</v>
      </c>
      <c r="Q2848" t="s">
        <v>638</v>
      </c>
      <c r="R2848" t="s">
        <v>729</v>
      </c>
      <c r="S2848" t="s">
        <v>1036</v>
      </c>
      <c r="T2848" t="s">
        <v>709</v>
      </c>
      <c r="U2848">
        <v>154802</v>
      </c>
      <c r="V2848" t="s">
        <v>4347</v>
      </c>
      <c r="W2848" t="s">
        <v>732</v>
      </c>
      <c r="X2848" t="s">
        <v>16303</v>
      </c>
      <c r="Y2848" t="s">
        <v>16304</v>
      </c>
      <c r="Z2848" t="s">
        <v>5104</v>
      </c>
      <c r="AA2848" t="s">
        <v>5000</v>
      </c>
      <c r="AE2848">
        <v>-36.98170416</v>
      </c>
      <c r="AF2848">
        <v>174.84740851999999</v>
      </c>
      <c r="AG2848">
        <v>70</v>
      </c>
      <c r="AH2848">
        <v>20</v>
      </c>
      <c r="AI2848">
        <v>4</v>
      </c>
      <c r="AJ2848">
        <v>7</v>
      </c>
      <c r="AK2848">
        <v>14</v>
      </c>
      <c r="AL2848">
        <v>24</v>
      </c>
      <c r="AM2848">
        <v>19</v>
      </c>
      <c r="AN2848">
        <v>2</v>
      </c>
      <c r="AO2848">
        <v>70</v>
      </c>
      <c r="AP2848">
        <v>1</v>
      </c>
      <c r="AQ2848">
        <v>0</v>
      </c>
      <c r="AR2848">
        <v>8</v>
      </c>
      <c r="AS2848">
        <v>61</v>
      </c>
      <c r="AT2848">
        <v>1</v>
      </c>
    </row>
    <row r="2849" spans="1:46">
      <c r="A2849">
        <v>47501</v>
      </c>
      <c r="B2849" t="s">
        <v>16305</v>
      </c>
      <c r="C2849" t="s">
        <v>16306</v>
      </c>
      <c r="D2849" t="s">
        <v>16307</v>
      </c>
      <c r="E2849" t="s">
        <v>16308</v>
      </c>
      <c r="F2849" t="s">
        <v>1167</v>
      </c>
      <c r="G2849" t="s">
        <v>652</v>
      </c>
      <c r="H2849" t="s">
        <v>3942</v>
      </c>
      <c r="J2849" t="s">
        <v>3962</v>
      </c>
      <c r="K2849" t="s">
        <v>519</v>
      </c>
      <c r="M2849" t="s">
        <v>520</v>
      </c>
      <c r="N2849" t="s">
        <v>571</v>
      </c>
      <c r="O2849" t="s">
        <v>1168</v>
      </c>
      <c r="P2849" t="s">
        <v>654</v>
      </c>
      <c r="Q2849" t="s">
        <v>638</v>
      </c>
      <c r="R2849" t="s">
        <v>639</v>
      </c>
      <c r="S2849" t="s">
        <v>640</v>
      </c>
      <c r="T2849" t="s">
        <v>527</v>
      </c>
      <c r="U2849">
        <v>117001</v>
      </c>
      <c r="V2849" t="s">
        <v>1167</v>
      </c>
      <c r="W2849" t="s">
        <v>657</v>
      </c>
      <c r="X2849" t="s">
        <v>15348</v>
      </c>
      <c r="Y2849" t="s">
        <v>12191</v>
      </c>
      <c r="Z2849" t="s">
        <v>12192</v>
      </c>
      <c r="AA2849" t="s">
        <v>12193</v>
      </c>
      <c r="AB2849" t="s">
        <v>15349</v>
      </c>
      <c r="AE2849">
        <v>-36.7916788</v>
      </c>
      <c r="AF2849">
        <v>174.61374860000001</v>
      </c>
      <c r="AG2849">
        <v>90</v>
      </c>
      <c r="AH2849">
        <v>33</v>
      </c>
      <c r="AI2849">
        <v>6</v>
      </c>
      <c r="AJ2849">
        <v>25</v>
      </c>
      <c r="AK2849">
        <v>21</v>
      </c>
      <c r="AL2849">
        <v>29</v>
      </c>
      <c r="AM2849">
        <v>20</v>
      </c>
      <c r="AN2849">
        <v>0</v>
      </c>
      <c r="AO2849">
        <v>101</v>
      </c>
      <c r="AP2849">
        <v>76</v>
      </c>
      <c r="AQ2849">
        <v>11</v>
      </c>
      <c r="AR2849">
        <v>6</v>
      </c>
      <c r="AS2849">
        <v>29</v>
      </c>
      <c r="AT2849">
        <v>5</v>
      </c>
    </row>
    <row r="2850" spans="1:46">
      <c r="A2850">
        <v>47503</v>
      </c>
      <c r="B2850" t="s">
        <v>16309</v>
      </c>
      <c r="C2850" t="s">
        <v>16310</v>
      </c>
      <c r="D2850" t="s">
        <v>16311</v>
      </c>
      <c r="E2850" t="s">
        <v>16312</v>
      </c>
      <c r="F2850" t="s">
        <v>2853</v>
      </c>
      <c r="G2850" t="s">
        <v>2853</v>
      </c>
      <c r="H2850" t="s">
        <v>3942</v>
      </c>
      <c r="J2850" t="s">
        <v>518</v>
      </c>
      <c r="K2850" t="s">
        <v>519</v>
      </c>
      <c r="M2850" t="s">
        <v>2287</v>
      </c>
      <c r="N2850" t="s">
        <v>571</v>
      </c>
      <c r="O2850" t="s">
        <v>2854</v>
      </c>
      <c r="P2850" t="s">
        <v>584</v>
      </c>
      <c r="Q2850" t="s">
        <v>2855</v>
      </c>
      <c r="R2850" t="s">
        <v>2824</v>
      </c>
      <c r="S2850" t="s">
        <v>2853</v>
      </c>
      <c r="T2850" t="s">
        <v>2448</v>
      </c>
      <c r="U2850">
        <v>305300</v>
      </c>
      <c r="V2850" t="s">
        <v>16313</v>
      </c>
      <c r="W2850" t="s">
        <v>2033</v>
      </c>
      <c r="X2850" t="s">
        <v>16314</v>
      </c>
      <c r="Y2850" t="s">
        <v>16312</v>
      </c>
      <c r="Z2850" t="s">
        <v>15297</v>
      </c>
      <c r="AA2850" t="s">
        <v>16315</v>
      </c>
      <c r="AB2850" t="s">
        <v>16310</v>
      </c>
      <c r="AC2850">
        <v>99005</v>
      </c>
      <c r="AD2850" t="s">
        <v>2878</v>
      </c>
      <c r="AE2850">
        <v>-41.280133810000002</v>
      </c>
      <c r="AF2850">
        <v>173.28085411999999</v>
      </c>
      <c r="AG2850">
        <v>32</v>
      </c>
      <c r="AH2850">
        <v>0</v>
      </c>
      <c r="AI2850">
        <v>0</v>
      </c>
      <c r="AJ2850">
        <v>0</v>
      </c>
      <c r="AK2850">
        <v>9</v>
      </c>
      <c r="AL2850">
        <v>7</v>
      </c>
      <c r="AM2850">
        <v>17</v>
      </c>
      <c r="AN2850">
        <v>0</v>
      </c>
      <c r="AO2850">
        <v>33</v>
      </c>
      <c r="AP2850">
        <v>17</v>
      </c>
      <c r="AQ2850">
        <v>5</v>
      </c>
      <c r="AR2850">
        <v>1</v>
      </c>
      <c r="AS2850">
        <v>13</v>
      </c>
      <c r="AT2850">
        <v>1</v>
      </c>
    </row>
    <row r="2851" spans="1:46">
      <c r="A2851">
        <v>47504</v>
      </c>
      <c r="B2851" t="s">
        <v>16316</v>
      </c>
      <c r="C2851" t="s">
        <v>16317</v>
      </c>
      <c r="D2851" t="s">
        <v>16318</v>
      </c>
      <c r="E2851" t="s">
        <v>16319</v>
      </c>
      <c r="F2851" t="s">
        <v>16320</v>
      </c>
      <c r="G2851" t="s">
        <v>2081</v>
      </c>
      <c r="H2851" t="s">
        <v>3942</v>
      </c>
      <c r="J2851" t="s">
        <v>3962</v>
      </c>
      <c r="K2851" t="s">
        <v>519</v>
      </c>
      <c r="M2851" t="s">
        <v>1297</v>
      </c>
      <c r="N2851" t="s">
        <v>557</v>
      </c>
      <c r="O2851" t="s">
        <v>2082</v>
      </c>
      <c r="P2851" t="s">
        <v>584</v>
      </c>
      <c r="Q2851" t="s">
        <v>2083</v>
      </c>
      <c r="R2851" t="s">
        <v>2084</v>
      </c>
      <c r="S2851" t="s">
        <v>1473</v>
      </c>
      <c r="T2851" t="s">
        <v>2085</v>
      </c>
      <c r="U2851">
        <v>206801</v>
      </c>
      <c r="V2851" t="s">
        <v>16321</v>
      </c>
      <c r="W2851" t="s">
        <v>2087</v>
      </c>
      <c r="X2851" t="s">
        <v>16322</v>
      </c>
      <c r="Y2851" t="s">
        <v>4107</v>
      </c>
      <c r="AA2851" t="s">
        <v>3982</v>
      </c>
      <c r="AB2851" t="s">
        <v>16323</v>
      </c>
      <c r="AC2851">
        <v>99083</v>
      </c>
      <c r="AD2851" t="s">
        <v>2099</v>
      </c>
      <c r="AE2851">
        <v>-38.670404189999999</v>
      </c>
      <c r="AF2851">
        <v>178.02670047999999</v>
      </c>
      <c r="AG2851">
        <v>100</v>
      </c>
      <c r="AH2851">
        <v>20</v>
      </c>
      <c r="AI2851">
        <v>3</v>
      </c>
      <c r="AJ2851">
        <v>9</v>
      </c>
      <c r="AK2851">
        <v>11</v>
      </c>
      <c r="AL2851">
        <v>16</v>
      </c>
      <c r="AM2851">
        <v>19</v>
      </c>
      <c r="AN2851">
        <v>4</v>
      </c>
      <c r="AO2851">
        <v>62</v>
      </c>
      <c r="AP2851">
        <v>35</v>
      </c>
      <c r="AQ2851">
        <v>29</v>
      </c>
      <c r="AR2851">
        <v>1</v>
      </c>
      <c r="AS2851">
        <v>4</v>
      </c>
      <c r="AT2851">
        <v>6</v>
      </c>
    </row>
    <row r="2852" spans="1:46">
      <c r="A2852">
        <v>47505</v>
      </c>
      <c r="B2852" t="s">
        <v>16324</v>
      </c>
      <c r="C2852" t="s">
        <v>16325</v>
      </c>
      <c r="D2852" t="s">
        <v>16326</v>
      </c>
      <c r="E2852" t="s">
        <v>16327</v>
      </c>
      <c r="G2852" t="s">
        <v>7660</v>
      </c>
      <c r="H2852" t="s">
        <v>3942</v>
      </c>
      <c r="J2852" t="s">
        <v>3962</v>
      </c>
      <c r="K2852" t="s">
        <v>519</v>
      </c>
      <c r="M2852" t="s">
        <v>520</v>
      </c>
      <c r="N2852" t="s">
        <v>571</v>
      </c>
      <c r="O2852" t="s">
        <v>1233</v>
      </c>
      <c r="P2852" t="s">
        <v>540</v>
      </c>
      <c r="Q2852" t="s">
        <v>638</v>
      </c>
      <c r="R2852" t="s">
        <v>708</v>
      </c>
      <c r="S2852" t="s">
        <v>1234</v>
      </c>
      <c r="T2852" t="s">
        <v>1235</v>
      </c>
      <c r="U2852">
        <v>157101</v>
      </c>
      <c r="V2852" t="s">
        <v>7839</v>
      </c>
      <c r="W2852" t="s">
        <v>1237</v>
      </c>
      <c r="X2852" t="s">
        <v>16328</v>
      </c>
      <c r="Y2852" t="s">
        <v>16329</v>
      </c>
      <c r="Z2852" t="s">
        <v>7810</v>
      </c>
      <c r="AA2852" t="s">
        <v>15499</v>
      </c>
      <c r="AE2852">
        <v>-36.946237570000001</v>
      </c>
      <c r="AF2852">
        <v>174.96498679999999</v>
      </c>
      <c r="AG2852">
        <v>79</v>
      </c>
      <c r="AH2852">
        <v>21</v>
      </c>
      <c r="AI2852">
        <v>4</v>
      </c>
      <c r="AJ2852">
        <v>20</v>
      </c>
      <c r="AK2852">
        <v>21</v>
      </c>
      <c r="AL2852">
        <v>25</v>
      </c>
      <c r="AM2852">
        <v>15</v>
      </c>
      <c r="AN2852">
        <v>1</v>
      </c>
      <c r="AO2852">
        <v>86</v>
      </c>
      <c r="AP2852">
        <v>76</v>
      </c>
      <c r="AQ2852">
        <v>12</v>
      </c>
      <c r="AR2852">
        <v>4</v>
      </c>
      <c r="AS2852">
        <v>14</v>
      </c>
      <c r="AT2852">
        <v>8</v>
      </c>
    </row>
    <row r="2853" spans="1:46">
      <c r="A2853">
        <v>47508</v>
      </c>
      <c r="B2853" t="s">
        <v>16330</v>
      </c>
      <c r="D2853" t="s">
        <v>16331</v>
      </c>
      <c r="E2853" t="s">
        <v>16332</v>
      </c>
      <c r="F2853" t="s">
        <v>16333</v>
      </c>
      <c r="G2853" t="s">
        <v>3261</v>
      </c>
      <c r="H2853" t="s">
        <v>3942</v>
      </c>
      <c r="I2853" t="s">
        <v>4951</v>
      </c>
      <c r="J2853" t="s">
        <v>518</v>
      </c>
      <c r="K2853" t="s">
        <v>519</v>
      </c>
      <c r="M2853" t="s">
        <v>2287</v>
      </c>
      <c r="N2853" t="s">
        <v>539</v>
      </c>
      <c r="O2853" t="s">
        <v>3249</v>
      </c>
      <c r="P2853" t="s">
        <v>1262</v>
      </c>
      <c r="Q2853" t="s">
        <v>2943</v>
      </c>
      <c r="R2853" t="s">
        <v>2944</v>
      </c>
      <c r="S2853" t="s">
        <v>3219</v>
      </c>
      <c r="T2853" t="s">
        <v>2448</v>
      </c>
      <c r="U2853">
        <v>339800</v>
      </c>
      <c r="V2853" t="s">
        <v>16333</v>
      </c>
      <c r="W2853" t="s">
        <v>3263</v>
      </c>
      <c r="X2853" t="s">
        <v>16334</v>
      </c>
      <c r="Y2853" t="s">
        <v>16335</v>
      </c>
      <c r="Z2853" t="s">
        <v>3261</v>
      </c>
      <c r="AA2853" t="s">
        <v>16336</v>
      </c>
      <c r="AB2853" t="s">
        <v>16337</v>
      </c>
      <c r="AE2853">
        <v>-44.371253680000002</v>
      </c>
      <c r="AF2853">
        <v>171.24622789</v>
      </c>
      <c r="AG2853">
        <v>30</v>
      </c>
      <c r="AH2853">
        <v>10</v>
      </c>
      <c r="AI2853">
        <v>1</v>
      </c>
      <c r="AJ2853">
        <v>6</v>
      </c>
      <c r="AK2853">
        <v>7</v>
      </c>
      <c r="AL2853">
        <v>2</v>
      </c>
      <c r="AM2853">
        <v>4</v>
      </c>
      <c r="AN2853">
        <v>0</v>
      </c>
      <c r="AO2853">
        <v>20</v>
      </c>
      <c r="AP2853">
        <v>13</v>
      </c>
      <c r="AQ2853">
        <v>13</v>
      </c>
      <c r="AR2853">
        <v>4</v>
      </c>
      <c r="AS2853">
        <v>0</v>
      </c>
      <c r="AT2853">
        <v>0</v>
      </c>
    </row>
    <row r="2854" spans="1:46">
      <c r="A2854">
        <v>47513</v>
      </c>
      <c r="B2854" t="s">
        <v>16338</v>
      </c>
      <c r="C2854" t="s">
        <v>16339</v>
      </c>
      <c r="E2854" t="s">
        <v>16340</v>
      </c>
      <c r="F2854" t="s">
        <v>3706</v>
      </c>
      <c r="G2854" t="s">
        <v>652</v>
      </c>
      <c r="H2854" t="s">
        <v>3942</v>
      </c>
      <c r="J2854" t="s">
        <v>3962</v>
      </c>
      <c r="K2854" t="s">
        <v>519</v>
      </c>
      <c r="M2854" t="s">
        <v>520</v>
      </c>
      <c r="N2854" t="s">
        <v>571</v>
      </c>
      <c r="O2854" t="s">
        <v>1168</v>
      </c>
      <c r="P2854" t="s">
        <v>654</v>
      </c>
      <c r="Q2854" t="s">
        <v>638</v>
      </c>
      <c r="R2854" t="s">
        <v>639</v>
      </c>
      <c r="S2854" t="s">
        <v>655</v>
      </c>
      <c r="T2854" t="s">
        <v>527</v>
      </c>
      <c r="U2854">
        <v>117300</v>
      </c>
      <c r="V2854" t="s">
        <v>5703</v>
      </c>
      <c r="W2854" t="s">
        <v>657</v>
      </c>
      <c r="X2854" t="s">
        <v>12691</v>
      </c>
      <c r="Y2854" t="s">
        <v>12692</v>
      </c>
      <c r="Z2854" t="s">
        <v>6161</v>
      </c>
      <c r="AA2854" t="s">
        <v>4431</v>
      </c>
      <c r="AB2854" t="s">
        <v>12693</v>
      </c>
      <c r="AE2854">
        <v>-36.732835430000002</v>
      </c>
      <c r="AF2854">
        <v>174.7118802</v>
      </c>
      <c r="AG2854">
        <v>92</v>
      </c>
      <c r="AH2854">
        <v>60</v>
      </c>
      <c r="AI2854">
        <v>8</v>
      </c>
      <c r="AJ2854">
        <v>23</v>
      </c>
      <c r="AK2854">
        <v>26</v>
      </c>
      <c r="AL2854">
        <v>0</v>
      </c>
      <c r="AM2854">
        <v>0</v>
      </c>
      <c r="AN2854">
        <v>0</v>
      </c>
      <c r="AO2854">
        <v>57</v>
      </c>
      <c r="AP2854">
        <v>31</v>
      </c>
      <c r="AQ2854">
        <v>6</v>
      </c>
      <c r="AR2854">
        <v>3</v>
      </c>
      <c r="AS2854">
        <v>24</v>
      </c>
      <c r="AT2854">
        <v>7</v>
      </c>
    </row>
    <row r="2855" spans="1:46">
      <c r="A2855">
        <v>47514</v>
      </c>
      <c r="B2855" t="s">
        <v>16341</v>
      </c>
      <c r="C2855" t="s">
        <v>16342</v>
      </c>
      <c r="E2855" t="s">
        <v>16343</v>
      </c>
      <c r="F2855" t="s">
        <v>2479</v>
      </c>
      <c r="G2855" t="s">
        <v>2427</v>
      </c>
      <c r="H2855" t="s">
        <v>3942</v>
      </c>
      <c r="J2855" t="s">
        <v>3962</v>
      </c>
      <c r="K2855" t="s">
        <v>519</v>
      </c>
      <c r="M2855" t="s">
        <v>2287</v>
      </c>
      <c r="N2855" t="s">
        <v>571</v>
      </c>
      <c r="O2855" t="s">
        <v>2428</v>
      </c>
      <c r="P2855" t="s">
        <v>654</v>
      </c>
      <c r="Q2855" t="s">
        <v>2319</v>
      </c>
      <c r="R2855" t="s">
        <v>2289</v>
      </c>
      <c r="S2855" t="s">
        <v>2373</v>
      </c>
      <c r="T2855" t="s">
        <v>2085</v>
      </c>
      <c r="U2855">
        <v>245400</v>
      </c>
      <c r="V2855" t="s">
        <v>2480</v>
      </c>
      <c r="W2855" t="s">
        <v>2455</v>
      </c>
      <c r="X2855" t="s">
        <v>16344</v>
      </c>
      <c r="Y2855" t="s">
        <v>16345</v>
      </c>
      <c r="Z2855" t="s">
        <v>769</v>
      </c>
      <c r="AA2855" t="s">
        <v>4537</v>
      </c>
      <c r="AE2855">
        <v>-41.201481729999998</v>
      </c>
      <c r="AF2855">
        <v>174.94464859000001</v>
      </c>
      <c r="AG2855">
        <v>60</v>
      </c>
      <c r="AH2855">
        <v>0</v>
      </c>
      <c r="AI2855">
        <v>0</v>
      </c>
      <c r="AJ2855">
        <v>0</v>
      </c>
      <c r="AK2855">
        <v>18</v>
      </c>
      <c r="AL2855">
        <v>24</v>
      </c>
      <c r="AM2855">
        <v>20</v>
      </c>
      <c r="AN2855">
        <v>0</v>
      </c>
      <c r="AO2855">
        <v>62</v>
      </c>
      <c r="AP2855">
        <v>26</v>
      </c>
      <c r="AQ2855">
        <v>13</v>
      </c>
      <c r="AR2855">
        <v>18</v>
      </c>
      <c r="AS2855">
        <v>22</v>
      </c>
      <c r="AT2855">
        <v>1</v>
      </c>
    </row>
    <row r="2856" spans="1:46">
      <c r="A2856">
        <v>47515</v>
      </c>
      <c r="B2856" t="s">
        <v>16346</v>
      </c>
      <c r="C2856" t="s">
        <v>16347</v>
      </c>
      <c r="D2856" t="s">
        <v>16348</v>
      </c>
      <c r="E2856" t="s">
        <v>16349</v>
      </c>
      <c r="G2856" t="s">
        <v>9307</v>
      </c>
      <c r="H2856" t="s">
        <v>3942</v>
      </c>
      <c r="J2856" t="s">
        <v>3962</v>
      </c>
      <c r="K2856" t="s">
        <v>519</v>
      </c>
      <c r="M2856" t="s">
        <v>1297</v>
      </c>
      <c r="N2856" t="s">
        <v>571</v>
      </c>
      <c r="O2856" t="s">
        <v>1351</v>
      </c>
      <c r="P2856" t="s">
        <v>540</v>
      </c>
      <c r="Q2856" t="s">
        <v>1299</v>
      </c>
      <c r="R2856" t="s">
        <v>1300</v>
      </c>
      <c r="S2856" t="s">
        <v>1417</v>
      </c>
      <c r="T2856" t="s">
        <v>1235</v>
      </c>
      <c r="U2856">
        <v>172401</v>
      </c>
      <c r="V2856" t="s">
        <v>9308</v>
      </c>
      <c r="W2856" t="s">
        <v>1353</v>
      </c>
      <c r="X2856" t="s">
        <v>16350</v>
      </c>
      <c r="Y2856" t="s">
        <v>16351</v>
      </c>
      <c r="AA2856" t="s">
        <v>16352</v>
      </c>
      <c r="AB2856" t="s">
        <v>16353</v>
      </c>
      <c r="AC2856">
        <v>99035</v>
      </c>
      <c r="AD2856" t="s">
        <v>1308</v>
      </c>
      <c r="AE2856">
        <v>-37.738130560000002</v>
      </c>
      <c r="AF2856">
        <v>175.15740700000001</v>
      </c>
      <c r="AG2856">
        <v>98</v>
      </c>
      <c r="AH2856">
        <v>24</v>
      </c>
      <c r="AI2856">
        <v>4</v>
      </c>
      <c r="AJ2856">
        <v>19</v>
      </c>
      <c r="AK2856">
        <v>25</v>
      </c>
      <c r="AL2856">
        <v>23</v>
      </c>
      <c r="AM2856">
        <v>27</v>
      </c>
      <c r="AN2856">
        <v>2</v>
      </c>
      <c r="AO2856">
        <v>100</v>
      </c>
      <c r="AP2856">
        <v>91</v>
      </c>
      <c r="AQ2856">
        <v>11</v>
      </c>
      <c r="AR2856">
        <v>4</v>
      </c>
      <c r="AS2856">
        <v>6</v>
      </c>
      <c r="AT2856">
        <v>2</v>
      </c>
    </row>
    <row r="2857" spans="1:46">
      <c r="A2857">
        <v>47518</v>
      </c>
      <c r="B2857" t="s">
        <v>16354</v>
      </c>
      <c r="C2857" t="s">
        <v>16355</v>
      </c>
      <c r="D2857" t="s">
        <v>16356</v>
      </c>
      <c r="E2857" t="s">
        <v>16357</v>
      </c>
      <c r="G2857" t="s">
        <v>2216</v>
      </c>
      <c r="H2857" t="s">
        <v>3942</v>
      </c>
      <c r="J2857" t="s">
        <v>3962</v>
      </c>
      <c r="K2857" t="s">
        <v>519</v>
      </c>
      <c r="M2857" t="s">
        <v>1297</v>
      </c>
      <c r="N2857" t="s">
        <v>571</v>
      </c>
      <c r="O2857" t="s">
        <v>2198</v>
      </c>
      <c r="P2857" t="s">
        <v>1262</v>
      </c>
      <c r="Q2857" t="s">
        <v>2118</v>
      </c>
      <c r="R2857" t="s">
        <v>2084</v>
      </c>
      <c r="S2857" t="s">
        <v>2199</v>
      </c>
      <c r="T2857" t="s">
        <v>2085</v>
      </c>
      <c r="U2857">
        <v>211600</v>
      </c>
      <c r="V2857" t="s">
        <v>8721</v>
      </c>
      <c r="W2857" t="s">
        <v>2200</v>
      </c>
      <c r="X2857" t="s">
        <v>13646</v>
      </c>
      <c r="Y2857" t="s">
        <v>13647</v>
      </c>
      <c r="AA2857" t="s">
        <v>13648</v>
      </c>
      <c r="AB2857" t="s">
        <v>13649</v>
      </c>
      <c r="AE2857">
        <v>-39.671081809999997</v>
      </c>
      <c r="AF2857">
        <v>176.87582635000001</v>
      </c>
      <c r="AG2857">
        <v>40</v>
      </c>
      <c r="AH2857">
        <v>34</v>
      </c>
      <c r="AI2857">
        <v>3</v>
      </c>
      <c r="AJ2857">
        <v>3</v>
      </c>
      <c r="AK2857">
        <v>7</v>
      </c>
      <c r="AL2857">
        <v>8</v>
      </c>
      <c r="AM2857">
        <v>5</v>
      </c>
      <c r="AN2857">
        <v>0</v>
      </c>
      <c r="AO2857">
        <v>26</v>
      </c>
      <c r="AP2857">
        <v>26</v>
      </c>
      <c r="AQ2857">
        <v>9</v>
      </c>
      <c r="AR2857">
        <v>0</v>
      </c>
      <c r="AS2857">
        <v>0</v>
      </c>
      <c r="AT2857">
        <v>3</v>
      </c>
    </row>
    <row r="2858" spans="1:46">
      <c r="A2858">
        <v>47519</v>
      </c>
      <c r="B2858" t="s">
        <v>16358</v>
      </c>
      <c r="C2858" t="s">
        <v>16359</v>
      </c>
      <c r="D2858" t="s">
        <v>16360</v>
      </c>
      <c r="E2858" t="s">
        <v>16361</v>
      </c>
      <c r="G2858" t="s">
        <v>1521</v>
      </c>
      <c r="H2858" t="s">
        <v>3942</v>
      </c>
      <c r="J2858" t="s">
        <v>3962</v>
      </c>
      <c r="K2858" t="s">
        <v>519</v>
      </c>
      <c r="M2858" t="s">
        <v>1297</v>
      </c>
      <c r="N2858" t="s">
        <v>521</v>
      </c>
      <c r="O2858" t="s">
        <v>1522</v>
      </c>
      <c r="P2858" t="s">
        <v>584</v>
      </c>
      <c r="Q2858" t="s">
        <v>1471</v>
      </c>
      <c r="R2858" t="s">
        <v>1472</v>
      </c>
      <c r="S2858" t="s">
        <v>1521</v>
      </c>
      <c r="T2858" t="s">
        <v>1474</v>
      </c>
      <c r="U2858">
        <v>200000</v>
      </c>
      <c r="V2858" t="s">
        <v>16362</v>
      </c>
      <c r="W2858" t="s">
        <v>1523</v>
      </c>
      <c r="X2858" t="s">
        <v>16363</v>
      </c>
      <c r="Y2858" t="s">
        <v>16364</v>
      </c>
      <c r="Z2858" t="s">
        <v>1605</v>
      </c>
      <c r="AA2858" t="s">
        <v>8520</v>
      </c>
      <c r="AB2858" t="s">
        <v>16359</v>
      </c>
      <c r="AE2858">
        <v>-38.148965410000002</v>
      </c>
      <c r="AF2858">
        <v>176.22288563000001</v>
      </c>
      <c r="AG2858">
        <v>40</v>
      </c>
      <c r="AH2858">
        <v>10</v>
      </c>
      <c r="AI2858">
        <v>0</v>
      </c>
      <c r="AJ2858">
        <v>4</v>
      </c>
      <c r="AK2858">
        <v>6</v>
      </c>
      <c r="AL2858">
        <v>8</v>
      </c>
      <c r="AM2858">
        <v>9</v>
      </c>
      <c r="AN2858">
        <v>0</v>
      </c>
      <c r="AO2858">
        <v>27</v>
      </c>
      <c r="AP2858">
        <v>10</v>
      </c>
      <c r="AQ2858">
        <v>13</v>
      </c>
      <c r="AR2858">
        <v>6</v>
      </c>
      <c r="AS2858">
        <v>7</v>
      </c>
      <c r="AT2858">
        <v>0</v>
      </c>
    </row>
    <row r="2859" spans="1:46">
      <c r="A2859">
        <v>47521</v>
      </c>
      <c r="B2859" t="s">
        <v>16365</v>
      </c>
      <c r="C2859" t="s">
        <v>16366</v>
      </c>
      <c r="E2859" t="s">
        <v>16367</v>
      </c>
      <c r="F2859" t="s">
        <v>847</v>
      </c>
      <c r="G2859" t="s">
        <v>652</v>
      </c>
      <c r="H2859" t="s">
        <v>4716</v>
      </c>
      <c r="J2859" t="s">
        <v>3962</v>
      </c>
      <c r="K2859" t="s">
        <v>519</v>
      </c>
      <c r="M2859" t="s">
        <v>520</v>
      </c>
      <c r="N2859" t="s">
        <v>571</v>
      </c>
      <c r="O2859" t="s">
        <v>848</v>
      </c>
      <c r="P2859" t="s">
        <v>654</v>
      </c>
      <c r="Q2859" t="s">
        <v>638</v>
      </c>
      <c r="R2859" t="s">
        <v>729</v>
      </c>
      <c r="S2859" t="s">
        <v>849</v>
      </c>
      <c r="T2859" t="s">
        <v>709</v>
      </c>
      <c r="U2859">
        <v>147900</v>
      </c>
      <c r="V2859" t="s">
        <v>4739</v>
      </c>
      <c r="W2859" t="s">
        <v>732</v>
      </c>
      <c r="X2859" t="s">
        <v>16368</v>
      </c>
      <c r="Y2859" t="s">
        <v>16367</v>
      </c>
      <c r="Z2859" t="s">
        <v>847</v>
      </c>
      <c r="AA2859" t="s">
        <v>13641</v>
      </c>
      <c r="AB2859" t="s">
        <v>16366</v>
      </c>
      <c r="AE2859">
        <v>-36.972805139999998</v>
      </c>
      <c r="AF2859">
        <v>174.78768260000001</v>
      </c>
      <c r="AG2859">
        <v>80</v>
      </c>
      <c r="AH2859">
        <v>80</v>
      </c>
      <c r="AI2859">
        <v>5</v>
      </c>
      <c r="AJ2859">
        <v>21</v>
      </c>
      <c r="AK2859">
        <v>21</v>
      </c>
      <c r="AL2859">
        <v>15</v>
      </c>
      <c r="AM2859">
        <v>9</v>
      </c>
      <c r="AN2859">
        <v>4</v>
      </c>
      <c r="AO2859">
        <v>75</v>
      </c>
      <c r="AP2859">
        <v>1</v>
      </c>
      <c r="AQ2859">
        <v>4</v>
      </c>
      <c r="AR2859">
        <v>68</v>
      </c>
      <c r="AS2859">
        <v>8</v>
      </c>
      <c r="AT2859">
        <v>0</v>
      </c>
    </row>
    <row r="2860" spans="1:46">
      <c r="A2860">
        <v>47522</v>
      </c>
      <c r="B2860" t="s">
        <v>16369</v>
      </c>
      <c r="C2860" t="s">
        <v>16370</v>
      </c>
      <c r="D2860" t="s">
        <v>16371</v>
      </c>
      <c r="E2860" t="s">
        <v>16372</v>
      </c>
      <c r="G2860" t="s">
        <v>675</v>
      </c>
      <c r="H2860" t="s">
        <v>3942</v>
      </c>
      <c r="J2860" t="s">
        <v>3962</v>
      </c>
      <c r="K2860" t="s">
        <v>519</v>
      </c>
      <c r="M2860" t="s">
        <v>520</v>
      </c>
      <c r="N2860" t="s">
        <v>571</v>
      </c>
      <c r="O2860" t="s">
        <v>637</v>
      </c>
      <c r="P2860" t="s">
        <v>523</v>
      </c>
      <c r="Q2860" t="s">
        <v>638</v>
      </c>
      <c r="R2860" t="s">
        <v>639</v>
      </c>
      <c r="S2860" t="s">
        <v>640</v>
      </c>
      <c r="T2860" t="s">
        <v>527</v>
      </c>
      <c r="U2860">
        <v>111300</v>
      </c>
      <c r="V2860" t="s">
        <v>6869</v>
      </c>
      <c r="W2860" t="s">
        <v>641</v>
      </c>
      <c r="X2860" t="s">
        <v>11301</v>
      </c>
      <c r="Y2860" t="s">
        <v>11302</v>
      </c>
      <c r="Z2860" t="s">
        <v>3706</v>
      </c>
      <c r="AA2860" t="s">
        <v>6270</v>
      </c>
      <c r="AB2860" t="s">
        <v>11303</v>
      </c>
      <c r="AE2860">
        <v>-36.398684459999998</v>
      </c>
      <c r="AF2860">
        <v>174.6614998</v>
      </c>
      <c r="AG2860">
        <v>48</v>
      </c>
      <c r="AH2860">
        <v>10</v>
      </c>
      <c r="AI2860">
        <v>1</v>
      </c>
      <c r="AJ2860">
        <v>3</v>
      </c>
      <c r="AK2860">
        <v>12</v>
      </c>
      <c r="AL2860">
        <v>7</v>
      </c>
      <c r="AM2860">
        <v>10</v>
      </c>
      <c r="AN2860">
        <v>3</v>
      </c>
      <c r="AO2860">
        <v>36</v>
      </c>
      <c r="AP2860">
        <v>27</v>
      </c>
      <c r="AQ2860">
        <v>3</v>
      </c>
      <c r="AR2860">
        <v>3</v>
      </c>
      <c r="AS2860">
        <v>6</v>
      </c>
      <c r="AT2860">
        <v>0</v>
      </c>
    </row>
    <row r="2861" spans="1:46">
      <c r="A2861">
        <v>47524</v>
      </c>
      <c r="B2861" t="s">
        <v>16373</v>
      </c>
      <c r="C2861" t="s">
        <v>14046</v>
      </c>
      <c r="D2861" t="s">
        <v>14377</v>
      </c>
      <c r="E2861" t="s">
        <v>6267</v>
      </c>
      <c r="F2861" t="s">
        <v>3706</v>
      </c>
      <c r="G2861" t="s">
        <v>652</v>
      </c>
      <c r="H2861" t="s">
        <v>4716</v>
      </c>
      <c r="J2861" t="s">
        <v>3962</v>
      </c>
      <c r="K2861" t="s">
        <v>519</v>
      </c>
      <c r="M2861" t="s">
        <v>520</v>
      </c>
      <c r="N2861" t="s">
        <v>571</v>
      </c>
      <c r="O2861" t="s">
        <v>1168</v>
      </c>
      <c r="P2861" t="s">
        <v>654</v>
      </c>
      <c r="Q2861" t="s">
        <v>638</v>
      </c>
      <c r="R2861" t="s">
        <v>639</v>
      </c>
      <c r="S2861" t="s">
        <v>655</v>
      </c>
      <c r="T2861" t="s">
        <v>527</v>
      </c>
      <c r="U2861">
        <v>117300</v>
      </c>
      <c r="V2861" t="s">
        <v>5703</v>
      </c>
      <c r="W2861" t="s">
        <v>657</v>
      </c>
      <c r="X2861" t="s">
        <v>6268</v>
      </c>
      <c r="Y2861" t="s">
        <v>6269</v>
      </c>
      <c r="Z2861" t="s">
        <v>3706</v>
      </c>
      <c r="AA2861" t="s">
        <v>6270</v>
      </c>
      <c r="AE2861">
        <v>-36.733572909999999</v>
      </c>
      <c r="AF2861">
        <v>174.71022909999999</v>
      </c>
      <c r="AG2861">
        <v>60</v>
      </c>
      <c r="AH2861">
        <v>60</v>
      </c>
      <c r="AI2861">
        <v>2</v>
      </c>
      <c r="AJ2861">
        <v>5</v>
      </c>
      <c r="AK2861">
        <v>6</v>
      </c>
      <c r="AL2861">
        <v>10</v>
      </c>
      <c r="AM2861">
        <v>9</v>
      </c>
      <c r="AN2861">
        <v>0</v>
      </c>
      <c r="AO2861">
        <v>32</v>
      </c>
      <c r="AP2861">
        <v>27</v>
      </c>
      <c r="AQ2861">
        <v>2</v>
      </c>
      <c r="AR2861">
        <v>6</v>
      </c>
      <c r="AS2861">
        <v>2</v>
      </c>
      <c r="AT2861">
        <v>0</v>
      </c>
    </row>
    <row r="2862" spans="1:46">
      <c r="A2862">
        <v>47526</v>
      </c>
      <c r="B2862" t="s">
        <v>16374</v>
      </c>
      <c r="C2862" t="s">
        <v>16375</v>
      </c>
      <c r="E2862" t="s">
        <v>16376</v>
      </c>
      <c r="F2862" t="s">
        <v>2505</v>
      </c>
      <c r="G2862" t="s">
        <v>2427</v>
      </c>
      <c r="H2862" t="s">
        <v>3942</v>
      </c>
      <c r="J2862" t="s">
        <v>518</v>
      </c>
      <c r="K2862" t="s">
        <v>519</v>
      </c>
      <c r="M2862" t="s">
        <v>2287</v>
      </c>
      <c r="N2862" t="s">
        <v>521</v>
      </c>
      <c r="O2862" t="s">
        <v>2428</v>
      </c>
      <c r="P2862" t="s">
        <v>654</v>
      </c>
      <c r="Q2862" t="s">
        <v>2319</v>
      </c>
      <c r="R2862" t="s">
        <v>2289</v>
      </c>
      <c r="S2862" t="s">
        <v>2373</v>
      </c>
      <c r="T2862" t="s">
        <v>2085</v>
      </c>
      <c r="U2862">
        <v>244600</v>
      </c>
      <c r="V2862" t="s">
        <v>2506</v>
      </c>
      <c r="W2862" t="s">
        <v>2468</v>
      </c>
      <c r="X2862" t="s">
        <v>10434</v>
      </c>
      <c r="Y2862" t="s">
        <v>3944</v>
      </c>
      <c r="Z2862" t="s">
        <v>3945</v>
      </c>
      <c r="AA2862" t="s">
        <v>3946</v>
      </c>
      <c r="AC2862">
        <v>99111</v>
      </c>
      <c r="AD2862" t="s">
        <v>2469</v>
      </c>
      <c r="AE2862">
        <v>-41.178715009999998</v>
      </c>
      <c r="AF2862">
        <v>174.95953926000001</v>
      </c>
      <c r="AG2862">
        <v>87</v>
      </c>
      <c r="AH2862">
        <v>25</v>
      </c>
      <c r="AI2862">
        <v>1</v>
      </c>
      <c r="AJ2862">
        <v>15</v>
      </c>
      <c r="AK2862">
        <v>23</v>
      </c>
      <c r="AL2862">
        <v>19</v>
      </c>
      <c r="AM2862">
        <v>16</v>
      </c>
      <c r="AN2862">
        <v>1</v>
      </c>
      <c r="AO2862">
        <v>75</v>
      </c>
      <c r="AP2862">
        <v>27</v>
      </c>
      <c r="AQ2862">
        <v>21</v>
      </c>
      <c r="AR2862">
        <v>24</v>
      </c>
      <c r="AS2862">
        <v>20</v>
      </c>
      <c r="AT2862">
        <v>10</v>
      </c>
    </row>
    <row r="2863" spans="1:46">
      <c r="A2863">
        <v>47527</v>
      </c>
      <c r="B2863" t="s">
        <v>16377</v>
      </c>
      <c r="C2863" t="s">
        <v>16378</v>
      </c>
      <c r="E2863" t="s">
        <v>16379</v>
      </c>
      <c r="F2863" t="s">
        <v>2544</v>
      </c>
      <c r="G2863" t="s">
        <v>2289</v>
      </c>
      <c r="H2863" t="s">
        <v>3942</v>
      </c>
      <c r="J2863" t="s">
        <v>3962</v>
      </c>
      <c r="K2863" t="s">
        <v>519</v>
      </c>
      <c r="M2863" t="s">
        <v>2287</v>
      </c>
      <c r="N2863" t="s">
        <v>571</v>
      </c>
      <c r="O2863" t="s">
        <v>2536</v>
      </c>
      <c r="P2863" t="s">
        <v>654</v>
      </c>
      <c r="Q2863" t="s">
        <v>2319</v>
      </c>
      <c r="R2863" t="s">
        <v>2289</v>
      </c>
      <c r="S2863" t="s">
        <v>2545</v>
      </c>
      <c r="T2863" t="s">
        <v>1485</v>
      </c>
      <c r="U2863">
        <v>247900</v>
      </c>
      <c r="V2863" t="s">
        <v>2778</v>
      </c>
      <c r="W2863" t="s">
        <v>2547</v>
      </c>
      <c r="X2863" t="s">
        <v>16380</v>
      </c>
      <c r="Y2863" t="s">
        <v>4404</v>
      </c>
      <c r="Z2863" t="s">
        <v>4405</v>
      </c>
      <c r="AA2863" t="s">
        <v>4529</v>
      </c>
      <c r="AB2863" t="s">
        <v>16381</v>
      </c>
      <c r="AE2863">
        <v>-41.168030260000002</v>
      </c>
      <c r="AF2863">
        <v>174.82740301000001</v>
      </c>
      <c r="AG2863">
        <v>86</v>
      </c>
      <c r="AH2863">
        <v>26</v>
      </c>
      <c r="AI2863">
        <v>2</v>
      </c>
      <c r="AJ2863">
        <v>17</v>
      </c>
      <c r="AK2863">
        <v>24</v>
      </c>
      <c r="AL2863">
        <v>25</v>
      </c>
      <c r="AM2863">
        <v>16</v>
      </c>
      <c r="AN2863">
        <v>0</v>
      </c>
      <c r="AO2863">
        <v>84</v>
      </c>
      <c r="AP2863">
        <v>73</v>
      </c>
      <c r="AQ2863">
        <v>8</v>
      </c>
      <c r="AR2863">
        <v>7</v>
      </c>
      <c r="AS2863">
        <v>9</v>
      </c>
      <c r="AT2863">
        <v>5</v>
      </c>
    </row>
    <row r="2864" spans="1:46">
      <c r="A2864">
        <v>47529</v>
      </c>
      <c r="B2864" t="s">
        <v>16382</v>
      </c>
      <c r="C2864" t="s">
        <v>16383</v>
      </c>
      <c r="E2864" t="s">
        <v>16384</v>
      </c>
      <c r="F2864" t="s">
        <v>16385</v>
      </c>
      <c r="G2864" t="s">
        <v>16386</v>
      </c>
      <c r="H2864" t="s">
        <v>3942</v>
      </c>
      <c r="J2864" t="s">
        <v>3962</v>
      </c>
      <c r="K2864" t="s">
        <v>519</v>
      </c>
      <c r="M2864" t="s">
        <v>2287</v>
      </c>
      <c r="N2864" t="s">
        <v>571</v>
      </c>
      <c r="O2864" t="s">
        <v>2675</v>
      </c>
      <c r="P2864" t="s">
        <v>1262</v>
      </c>
      <c r="Q2864" t="s">
        <v>2319</v>
      </c>
      <c r="R2864" t="s">
        <v>2289</v>
      </c>
      <c r="S2864" t="s">
        <v>2528</v>
      </c>
      <c r="T2864" t="s">
        <v>1485</v>
      </c>
      <c r="U2864">
        <v>238000</v>
      </c>
      <c r="V2864" t="s">
        <v>2750</v>
      </c>
      <c r="W2864" t="s">
        <v>2751</v>
      </c>
      <c r="X2864" t="s">
        <v>16387</v>
      </c>
      <c r="Y2864" t="s">
        <v>16384</v>
      </c>
      <c r="AA2864" t="s">
        <v>16388</v>
      </c>
      <c r="AE2864">
        <v>-40.916702010000002</v>
      </c>
      <c r="AF2864">
        <v>174.98181883000001</v>
      </c>
      <c r="AG2864">
        <v>30</v>
      </c>
      <c r="AH2864">
        <v>10</v>
      </c>
      <c r="AI2864">
        <v>0</v>
      </c>
      <c r="AJ2864">
        <v>8</v>
      </c>
      <c r="AK2864">
        <v>14</v>
      </c>
      <c r="AL2864">
        <v>10</v>
      </c>
      <c r="AM2864">
        <v>7</v>
      </c>
      <c r="AN2864">
        <v>0</v>
      </c>
      <c r="AO2864">
        <v>39</v>
      </c>
      <c r="AP2864">
        <v>38</v>
      </c>
      <c r="AQ2864">
        <v>7</v>
      </c>
      <c r="AR2864">
        <v>0</v>
      </c>
      <c r="AS2864">
        <v>3</v>
      </c>
      <c r="AT2864">
        <v>0</v>
      </c>
    </row>
    <row r="2865" spans="1:46">
      <c r="A2865">
        <v>47530</v>
      </c>
      <c r="B2865" t="s">
        <v>16389</v>
      </c>
      <c r="C2865" t="s">
        <v>16390</v>
      </c>
      <c r="D2865" t="s">
        <v>16391</v>
      </c>
      <c r="E2865" t="s">
        <v>16392</v>
      </c>
      <c r="F2865" t="s">
        <v>717</v>
      </c>
      <c r="G2865" t="s">
        <v>652</v>
      </c>
      <c r="H2865" t="s">
        <v>3942</v>
      </c>
      <c r="J2865" t="s">
        <v>3962</v>
      </c>
      <c r="K2865" t="s">
        <v>519</v>
      </c>
      <c r="M2865" t="s">
        <v>520</v>
      </c>
      <c r="N2865" t="s">
        <v>557</v>
      </c>
      <c r="O2865" t="s">
        <v>718</v>
      </c>
      <c r="P2865" t="s">
        <v>654</v>
      </c>
      <c r="Q2865" t="s">
        <v>638</v>
      </c>
      <c r="R2865" t="s">
        <v>708</v>
      </c>
      <c r="S2865" t="s">
        <v>770</v>
      </c>
      <c r="T2865" t="s">
        <v>709</v>
      </c>
      <c r="U2865">
        <v>133100</v>
      </c>
      <c r="V2865" t="s">
        <v>11579</v>
      </c>
      <c r="W2865" t="s">
        <v>721</v>
      </c>
      <c r="X2865" t="s">
        <v>16393</v>
      </c>
      <c r="Y2865" t="s">
        <v>9044</v>
      </c>
      <c r="Z2865" t="s">
        <v>8001</v>
      </c>
      <c r="AA2865" t="s">
        <v>9045</v>
      </c>
      <c r="AB2865" t="s">
        <v>16394</v>
      </c>
      <c r="AE2865">
        <v>-36.898202099999999</v>
      </c>
      <c r="AF2865">
        <v>174.69979789999999</v>
      </c>
      <c r="AG2865">
        <v>100</v>
      </c>
      <c r="AH2865">
        <v>25</v>
      </c>
      <c r="AI2865">
        <v>6</v>
      </c>
      <c r="AJ2865">
        <v>10</v>
      </c>
      <c r="AK2865">
        <v>18</v>
      </c>
      <c r="AL2865">
        <v>30</v>
      </c>
      <c r="AM2865">
        <v>30</v>
      </c>
      <c r="AN2865">
        <v>2</v>
      </c>
      <c r="AO2865">
        <v>96</v>
      </c>
      <c r="AP2865">
        <v>32</v>
      </c>
      <c r="AQ2865">
        <v>4</v>
      </c>
      <c r="AR2865">
        <v>14</v>
      </c>
      <c r="AS2865">
        <v>49</v>
      </c>
      <c r="AT2865">
        <v>13</v>
      </c>
    </row>
    <row r="2866" spans="1:46">
      <c r="A2866">
        <v>47533</v>
      </c>
      <c r="B2866" t="s">
        <v>16395</v>
      </c>
      <c r="C2866" t="s">
        <v>16396</v>
      </c>
      <c r="D2866" t="s">
        <v>16397</v>
      </c>
      <c r="E2866" t="s">
        <v>16398</v>
      </c>
      <c r="F2866" t="s">
        <v>898</v>
      </c>
      <c r="G2866" t="s">
        <v>652</v>
      </c>
      <c r="H2866" t="s">
        <v>4716</v>
      </c>
      <c r="J2866" t="s">
        <v>3962</v>
      </c>
      <c r="K2866" t="s">
        <v>519</v>
      </c>
      <c r="M2866" t="s">
        <v>520</v>
      </c>
      <c r="N2866" t="s">
        <v>571</v>
      </c>
      <c r="O2866" t="s">
        <v>813</v>
      </c>
      <c r="P2866" t="s">
        <v>654</v>
      </c>
      <c r="Q2866" t="s">
        <v>638</v>
      </c>
      <c r="R2866" t="s">
        <v>639</v>
      </c>
      <c r="S2866" t="s">
        <v>899</v>
      </c>
      <c r="T2866" t="s">
        <v>527</v>
      </c>
      <c r="U2866">
        <v>126702</v>
      </c>
      <c r="V2866" t="s">
        <v>900</v>
      </c>
      <c r="W2866" t="s">
        <v>815</v>
      </c>
      <c r="X2866" t="s">
        <v>16399</v>
      </c>
      <c r="Y2866" t="s">
        <v>16398</v>
      </c>
      <c r="Z2866" t="s">
        <v>898</v>
      </c>
      <c r="AA2866" t="s">
        <v>3964</v>
      </c>
      <c r="AE2866">
        <v>-36.874804210000001</v>
      </c>
      <c r="AF2866">
        <v>174.619823</v>
      </c>
      <c r="AG2866">
        <v>50</v>
      </c>
      <c r="AH2866">
        <v>50</v>
      </c>
      <c r="AI2866">
        <v>1</v>
      </c>
      <c r="AJ2866">
        <v>3</v>
      </c>
      <c r="AK2866">
        <v>2</v>
      </c>
      <c r="AL2866">
        <v>5</v>
      </c>
      <c r="AM2866">
        <v>3</v>
      </c>
      <c r="AN2866">
        <v>0</v>
      </c>
      <c r="AO2866">
        <v>14</v>
      </c>
      <c r="AP2866">
        <v>3</v>
      </c>
      <c r="AQ2866">
        <v>3</v>
      </c>
      <c r="AR2866">
        <v>0</v>
      </c>
      <c r="AS2866">
        <v>14</v>
      </c>
      <c r="AT2866">
        <v>0</v>
      </c>
    </row>
    <row r="2867" spans="1:46">
      <c r="A2867">
        <v>47536</v>
      </c>
      <c r="B2867" t="s">
        <v>16400</v>
      </c>
      <c r="C2867" t="s">
        <v>12216</v>
      </c>
      <c r="D2867" t="s">
        <v>12210</v>
      </c>
      <c r="E2867" t="s">
        <v>16401</v>
      </c>
      <c r="F2867" t="s">
        <v>945</v>
      </c>
      <c r="G2867" t="s">
        <v>652</v>
      </c>
      <c r="H2867" t="s">
        <v>3942</v>
      </c>
      <c r="J2867" t="s">
        <v>3962</v>
      </c>
      <c r="K2867" t="s">
        <v>519</v>
      </c>
      <c r="M2867" t="s">
        <v>520</v>
      </c>
      <c r="N2867" t="s">
        <v>727</v>
      </c>
      <c r="O2867" t="s">
        <v>848</v>
      </c>
      <c r="P2867" t="s">
        <v>654</v>
      </c>
      <c r="Q2867" t="s">
        <v>638</v>
      </c>
      <c r="R2867" t="s">
        <v>729</v>
      </c>
      <c r="S2867" t="s">
        <v>849</v>
      </c>
      <c r="T2867" t="s">
        <v>709</v>
      </c>
      <c r="U2867">
        <v>151800</v>
      </c>
      <c r="V2867" t="s">
        <v>7420</v>
      </c>
      <c r="W2867" t="s">
        <v>732</v>
      </c>
      <c r="X2867" t="s">
        <v>12212</v>
      </c>
      <c r="Y2867" t="s">
        <v>12213</v>
      </c>
      <c r="Z2867" t="s">
        <v>12214</v>
      </c>
      <c r="AA2867" t="s">
        <v>12215</v>
      </c>
      <c r="AB2867" t="s">
        <v>12216</v>
      </c>
      <c r="AC2867">
        <v>99102</v>
      </c>
      <c r="AD2867" t="s">
        <v>1038</v>
      </c>
      <c r="AE2867">
        <v>-36.96486221</v>
      </c>
      <c r="AF2867">
        <v>174.82322477</v>
      </c>
      <c r="AG2867">
        <v>110</v>
      </c>
      <c r="AH2867">
        <v>60</v>
      </c>
      <c r="AI2867">
        <v>4</v>
      </c>
      <c r="AJ2867">
        <v>9</v>
      </c>
      <c r="AK2867">
        <v>19</v>
      </c>
      <c r="AL2867">
        <v>18</v>
      </c>
      <c r="AM2867">
        <v>1</v>
      </c>
      <c r="AN2867">
        <v>0</v>
      </c>
      <c r="AO2867">
        <v>51</v>
      </c>
      <c r="AP2867">
        <v>2</v>
      </c>
      <c r="AQ2867">
        <v>4</v>
      </c>
      <c r="AR2867">
        <v>26</v>
      </c>
      <c r="AS2867">
        <v>26</v>
      </c>
      <c r="AT2867">
        <v>0</v>
      </c>
    </row>
    <row r="2868" spans="1:46">
      <c r="A2868">
        <v>47537</v>
      </c>
      <c r="B2868" t="s">
        <v>16402</v>
      </c>
      <c r="C2868" t="s">
        <v>16403</v>
      </c>
      <c r="E2868" t="s">
        <v>16404</v>
      </c>
      <c r="F2868" t="s">
        <v>7810</v>
      </c>
      <c r="G2868" t="s">
        <v>652</v>
      </c>
      <c r="H2868" t="s">
        <v>3942</v>
      </c>
      <c r="J2868" t="s">
        <v>3962</v>
      </c>
      <c r="K2868" t="s">
        <v>519</v>
      </c>
      <c r="M2868" t="s">
        <v>520</v>
      </c>
      <c r="N2868" t="s">
        <v>571</v>
      </c>
      <c r="O2868" t="s">
        <v>1233</v>
      </c>
      <c r="P2868" t="s">
        <v>523</v>
      </c>
      <c r="Q2868" t="s">
        <v>638</v>
      </c>
      <c r="R2868" t="s">
        <v>708</v>
      </c>
      <c r="S2868" t="s">
        <v>1234</v>
      </c>
      <c r="T2868" t="s">
        <v>1235</v>
      </c>
      <c r="U2868">
        <v>155000</v>
      </c>
      <c r="V2868" t="s">
        <v>7811</v>
      </c>
      <c r="W2868" t="s">
        <v>1237</v>
      </c>
      <c r="X2868" t="s">
        <v>16405</v>
      </c>
      <c r="Y2868" t="s">
        <v>16406</v>
      </c>
      <c r="Z2868" t="s">
        <v>7810</v>
      </c>
      <c r="AA2868" t="s">
        <v>15499</v>
      </c>
      <c r="AB2868" t="s">
        <v>16407</v>
      </c>
      <c r="AE2868">
        <v>-36.882048789999999</v>
      </c>
      <c r="AF2868">
        <v>174.99671556000001</v>
      </c>
      <c r="AG2868">
        <v>69</v>
      </c>
      <c r="AH2868">
        <v>12</v>
      </c>
      <c r="AI2868">
        <v>5</v>
      </c>
      <c r="AJ2868">
        <v>5</v>
      </c>
      <c r="AK2868">
        <v>9</v>
      </c>
      <c r="AL2868">
        <v>15</v>
      </c>
      <c r="AM2868">
        <v>8</v>
      </c>
      <c r="AN2868">
        <v>0</v>
      </c>
      <c r="AO2868">
        <v>42</v>
      </c>
      <c r="AP2868">
        <v>20</v>
      </c>
      <c r="AQ2868">
        <v>5</v>
      </c>
      <c r="AR2868">
        <v>1</v>
      </c>
      <c r="AS2868">
        <v>9</v>
      </c>
      <c r="AT2868">
        <v>9</v>
      </c>
    </row>
    <row r="2869" spans="1:46">
      <c r="A2869">
        <v>47539</v>
      </c>
      <c r="B2869" t="s">
        <v>16408</v>
      </c>
      <c r="C2869" t="s">
        <v>16409</v>
      </c>
      <c r="E2869" t="s">
        <v>16410</v>
      </c>
      <c r="G2869" t="s">
        <v>3590</v>
      </c>
      <c r="H2869" t="s">
        <v>3942</v>
      </c>
      <c r="J2869" t="s">
        <v>3962</v>
      </c>
      <c r="K2869" t="s">
        <v>519</v>
      </c>
      <c r="M2869" t="s">
        <v>2287</v>
      </c>
      <c r="N2869" t="s">
        <v>571</v>
      </c>
      <c r="O2869" t="s">
        <v>3527</v>
      </c>
      <c r="P2869" t="s">
        <v>523</v>
      </c>
      <c r="Q2869" t="s">
        <v>3497</v>
      </c>
      <c r="R2869" t="s">
        <v>3338</v>
      </c>
      <c r="S2869" t="s">
        <v>3361</v>
      </c>
      <c r="T2869" t="s">
        <v>2448</v>
      </c>
      <c r="U2869">
        <v>358600</v>
      </c>
      <c r="V2869" t="s">
        <v>3590</v>
      </c>
      <c r="W2869" t="s">
        <v>3591</v>
      </c>
      <c r="X2869" t="s">
        <v>16411</v>
      </c>
      <c r="Y2869" t="s">
        <v>16412</v>
      </c>
      <c r="AA2869" t="s">
        <v>16413</v>
      </c>
      <c r="AE2869">
        <v>-46.154543799999999</v>
      </c>
      <c r="AF2869">
        <v>168.32067839000001</v>
      </c>
      <c r="AG2869">
        <v>65</v>
      </c>
      <c r="AH2869">
        <v>20</v>
      </c>
      <c r="AI2869">
        <v>5</v>
      </c>
      <c r="AJ2869">
        <v>15</v>
      </c>
      <c r="AK2869">
        <v>26</v>
      </c>
      <c r="AL2869">
        <v>21</v>
      </c>
      <c r="AM2869">
        <v>29</v>
      </c>
      <c r="AN2869">
        <v>0</v>
      </c>
      <c r="AO2869">
        <v>96</v>
      </c>
      <c r="AP2869">
        <v>74</v>
      </c>
      <c r="AQ2869">
        <v>22</v>
      </c>
      <c r="AR2869">
        <v>3</v>
      </c>
      <c r="AS2869">
        <v>11</v>
      </c>
      <c r="AT2869">
        <v>4</v>
      </c>
    </row>
    <row r="2870" spans="1:46">
      <c r="A2870">
        <v>47544</v>
      </c>
      <c r="B2870" t="s">
        <v>16414</v>
      </c>
      <c r="C2870" t="s">
        <v>8761</v>
      </c>
      <c r="D2870" t="s">
        <v>10964</v>
      </c>
      <c r="E2870" t="s">
        <v>8763</v>
      </c>
      <c r="F2870" t="s">
        <v>1313</v>
      </c>
      <c r="G2870" t="s">
        <v>1296</v>
      </c>
      <c r="H2870" t="s">
        <v>4716</v>
      </c>
      <c r="J2870" t="s">
        <v>3962</v>
      </c>
      <c r="K2870" t="s">
        <v>519</v>
      </c>
      <c r="M2870" t="s">
        <v>2287</v>
      </c>
      <c r="N2870" t="s">
        <v>571</v>
      </c>
      <c r="O2870" t="s">
        <v>1298</v>
      </c>
      <c r="P2870" t="s">
        <v>654</v>
      </c>
      <c r="Q2870" t="s">
        <v>1299</v>
      </c>
      <c r="R2870" t="s">
        <v>2289</v>
      </c>
      <c r="S2870" t="s">
        <v>1312</v>
      </c>
      <c r="T2870" t="s">
        <v>1235</v>
      </c>
      <c r="U2870">
        <v>177300</v>
      </c>
      <c r="V2870" t="s">
        <v>1313</v>
      </c>
      <c r="W2870" t="s">
        <v>1314</v>
      </c>
      <c r="X2870" t="s">
        <v>10965</v>
      </c>
      <c r="Y2870" t="s">
        <v>8763</v>
      </c>
      <c r="Z2870" t="s">
        <v>1313</v>
      </c>
      <c r="AA2870" t="s">
        <v>8511</v>
      </c>
      <c r="AE2870">
        <v>-37.749390910000002</v>
      </c>
      <c r="AF2870">
        <v>175.27364802</v>
      </c>
      <c r="AG2870">
        <v>80</v>
      </c>
      <c r="AH2870">
        <v>80</v>
      </c>
      <c r="AI2870">
        <v>3</v>
      </c>
      <c r="AJ2870">
        <v>11</v>
      </c>
      <c r="AK2870">
        <v>9</v>
      </c>
      <c r="AL2870">
        <v>8</v>
      </c>
      <c r="AM2870">
        <v>14</v>
      </c>
      <c r="AN2870">
        <v>0</v>
      </c>
      <c r="AO2870">
        <v>45</v>
      </c>
      <c r="AP2870">
        <v>39</v>
      </c>
      <c r="AQ2870">
        <v>6</v>
      </c>
      <c r="AR2870">
        <v>0</v>
      </c>
      <c r="AS2870">
        <v>7</v>
      </c>
      <c r="AT2870">
        <v>2</v>
      </c>
    </row>
    <row r="2871" spans="1:46">
      <c r="A2871">
        <v>47548</v>
      </c>
      <c r="B2871" t="s">
        <v>16415</v>
      </c>
      <c r="C2871" t="s">
        <v>16416</v>
      </c>
      <c r="D2871" t="s">
        <v>16417</v>
      </c>
      <c r="E2871" t="s">
        <v>16418</v>
      </c>
      <c r="F2871" t="s">
        <v>4204</v>
      </c>
      <c r="G2871" t="s">
        <v>652</v>
      </c>
      <c r="H2871" t="s">
        <v>3942</v>
      </c>
      <c r="I2871" t="s">
        <v>6231</v>
      </c>
      <c r="J2871" t="s">
        <v>518</v>
      </c>
      <c r="K2871" t="s">
        <v>519</v>
      </c>
      <c r="M2871" t="s">
        <v>520</v>
      </c>
      <c r="N2871" t="s">
        <v>571</v>
      </c>
      <c r="O2871" t="s">
        <v>728</v>
      </c>
      <c r="P2871" t="s">
        <v>654</v>
      </c>
      <c r="Q2871" t="s">
        <v>638</v>
      </c>
      <c r="R2871" t="s">
        <v>729</v>
      </c>
      <c r="S2871" t="s">
        <v>1036</v>
      </c>
      <c r="T2871" t="s">
        <v>709</v>
      </c>
      <c r="U2871">
        <v>157000</v>
      </c>
      <c r="V2871" t="s">
        <v>4299</v>
      </c>
      <c r="W2871" t="s">
        <v>732</v>
      </c>
      <c r="X2871" t="s">
        <v>4998</v>
      </c>
      <c r="Y2871" t="s">
        <v>16418</v>
      </c>
      <c r="Z2871" t="s">
        <v>1035</v>
      </c>
      <c r="AA2871" t="s">
        <v>16419</v>
      </c>
      <c r="AB2871" t="s">
        <v>4994</v>
      </c>
      <c r="AE2871">
        <v>-36.979373420000002</v>
      </c>
      <c r="AF2871">
        <v>174.87394375</v>
      </c>
      <c r="AG2871">
        <v>50</v>
      </c>
      <c r="AH2871">
        <v>10</v>
      </c>
      <c r="AI2871">
        <v>1</v>
      </c>
      <c r="AJ2871">
        <v>4</v>
      </c>
      <c r="AK2871">
        <v>18</v>
      </c>
      <c r="AL2871">
        <v>9</v>
      </c>
      <c r="AM2871">
        <v>9</v>
      </c>
      <c r="AN2871">
        <v>0</v>
      </c>
      <c r="AO2871">
        <v>41</v>
      </c>
      <c r="AP2871">
        <v>1</v>
      </c>
      <c r="AQ2871">
        <v>1</v>
      </c>
      <c r="AR2871">
        <v>8</v>
      </c>
      <c r="AS2871">
        <v>13</v>
      </c>
      <c r="AT2871">
        <v>19</v>
      </c>
    </row>
    <row r="2872" spans="1:46">
      <c r="A2872">
        <v>47549</v>
      </c>
      <c r="B2872" t="s">
        <v>16420</v>
      </c>
      <c r="C2872" t="s">
        <v>16421</v>
      </c>
      <c r="D2872" t="s">
        <v>16422</v>
      </c>
      <c r="E2872" t="s">
        <v>16423</v>
      </c>
      <c r="G2872" t="s">
        <v>516</v>
      </c>
      <c r="H2872" t="s">
        <v>6218</v>
      </c>
      <c r="I2872" t="s">
        <v>4951</v>
      </c>
      <c r="J2872" t="s">
        <v>3962</v>
      </c>
      <c r="K2872" t="s">
        <v>519</v>
      </c>
      <c r="M2872" t="s">
        <v>520</v>
      </c>
      <c r="N2872" t="s">
        <v>521</v>
      </c>
      <c r="O2872" t="s">
        <v>522</v>
      </c>
      <c r="P2872" t="s">
        <v>523</v>
      </c>
      <c r="Q2872" t="s">
        <v>524</v>
      </c>
      <c r="R2872" t="s">
        <v>525</v>
      </c>
      <c r="S2872" t="s">
        <v>526</v>
      </c>
      <c r="T2872" t="s">
        <v>527</v>
      </c>
      <c r="U2872">
        <v>100700</v>
      </c>
      <c r="V2872" t="s">
        <v>546</v>
      </c>
      <c r="W2872" t="s">
        <v>529</v>
      </c>
      <c r="X2872" t="s">
        <v>13017</v>
      </c>
      <c r="Y2872" t="s">
        <v>13018</v>
      </c>
      <c r="AA2872" t="s">
        <v>13019</v>
      </c>
      <c r="AB2872" t="s">
        <v>13020</v>
      </c>
      <c r="AE2872">
        <v>-35.115902179999999</v>
      </c>
      <c r="AF2872">
        <v>173.26872567000001</v>
      </c>
      <c r="AG2872">
        <v>50</v>
      </c>
      <c r="AH2872">
        <v>20</v>
      </c>
      <c r="AI2872">
        <v>0</v>
      </c>
      <c r="AJ2872">
        <v>6</v>
      </c>
      <c r="AK2872">
        <v>9</v>
      </c>
      <c r="AL2872">
        <v>15</v>
      </c>
      <c r="AM2872">
        <v>7</v>
      </c>
      <c r="AN2872">
        <v>3</v>
      </c>
      <c r="AO2872">
        <v>40</v>
      </c>
      <c r="AP2872">
        <v>11</v>
      </c>
      <c r="AQ2872">
        <v>40</v>
      </c>
      <c r="AR2872">
        <v>4</v>
      </c>
      <c r="AS2872">
        <v>0</v>
      </c>
      <c r="AT2872">
        <v>0</v>
      </c>
    </row>
    <row r="2873" spans="1:46">
      <c r="A2873">
        <v>47550</v>
      </c>
      <c r="B2873" t="s">
        <v>16424</v>
      </c>
      <c r="C2873" t="s">
        <v>16425</v>
      </c>
      <c r="E2873" t="s">
        <v>16426</v>
      </c>
      <c r="F2873" t="s">
        <v>2957</v>
      </c>
      <c r="G2873" t="s">
        <v>2941</v>
      </c>
      <c r="H2873" t="s">
        <v>3942</v>
      </c>
      <c r="J2873" t="s">
        <v>3962</v>
      </c>
      <c r="K2873" t="s">
        <v>519</v>
      </c>
      <c r="M2873" t="s">
        <v>2287</v>
      </c>
      <c r="N2873" t="s">
        <v>571</v>
      </c>
      <c r="O2873" t="s">
        <v>2942</v>
      </c>
      <c r="P2873" t="s">
        <v>654</v>
      </c>
      <c r="Q2873" t="s">
        <v>2943</v>
      </c>
      <c r="R2873" t="s">
        <v>2944</v>
      </c>
      <c r="S2873" t="s">
        <v>2957</v>
      </c>
      <c r="T2873" t="s">
        <v>2448</v>
      </c>
      <c r="U2873">
        <v>327100</v>
      </c>
      <c r="V2873" t="s">
        <v>16427</v>
      </c>
      <c r="W2873" t="s">
        <v>2443</v>
      </c>
      <c r="X2873" t="s">
        <v>16428</v>
      </c>
      <c r="Y2873" t="s">
        <v>15118</v>
      </c>
      <c r="Z2873" t="s">
        <v>8698</v>
      </c>
      <c r="AA2873" t="s">
        <v>2204</v>
      </c>
      <c r="AC2873">
        <v>99215</v>
      </c>
      <c r="AD2873" t="s">
        <v>10972</v>
      </c>
      <c r="AE2873">
        <v>-43.538231670000002</v>
      </c>
      <c r="AF2873">
        <v>172.62551692</v>
      </c>
      <c r="AG2873">
        <v>97</v>
      </c>
      <c r="AH2873">
        <v>28</v>
      </c>
      <c r="AI2873">
        <v>2</v>
      </c>
      <c r="AJ2873">
        <v>27</v>
      </c>
      <c r="AK2873">
        <v>16</v>
      </c>
      <c r="AL2873">
        <v>25</v>
      </c>
      <c r="AM2873">
        <v>11</v>
      </c>
      <c r="AN2873">
        <v>1</v>
      </c>
      <c r="AO2873">
        <v>82</v>
      </c>
      <c r="AP2873">
        <v>69</v>
      </c>
      <c r="AQ2873">
        <v>10</v>
      </c>
      <c r="AR2873">
        <v>2</v>
      </c>
      <c r="AS2873">
        <v>17</v>
      </c>
      <c r="AT2873">
        <v>8</v>
      </c>
    </row>
    <row r="2874" spans="1:46">
      <c r="A2874">
        <v>47551</v>
      </c>
      <c r="B2874" t="s">
        <v>16429</v>
      </c>
      <c r="C2874" t="s">
        <v>16430</v>
      </c>
      <c r="E2874" t="s">
        <v>16431</v>
      </c>
      <c r="G2874" t="s">
        <v>11192</v>
      </c>
      <c r="H2874" t="s">
        <v>3942</v>
      </c>
      <c r="J2874" t="s">
        <v>518</v>
      </c>
      <c r="K2874" t="s">
        <v>519</v>
      </c>
      <c r="M2874" t="s">
        <v>2287</v>
      </c>
      <c r="N2874" t="s">
        <v>571</v>
      </c>
      <c r="O2874" t="s">
        <v>3835</v>
      </c>
      <c r="P2874" t="s">
        <v>1262</v>
      </c>
      <c r="Q2874" t="s">
        <v>3337</v>
      </c>
      <c r="R2874" t="s">
        <v>3338</v>
      </c>
      <c r="S2874" t="s">
        <v>3250</v>
      </c>
      <c r="T2874" t="s">
        <v>2448</v>
      </c>
      <c r="U2874">
        <v>346702</v>
      </c>
      <c r="V2874" t="s">
        <v>16432</v>
      </c>
      <c r="W2874" t="s">
        <v>11194</v>
      </c>
      <c r="X2874" t="s">
        <v>11085</v>
      </c>
      <c r="Y2874" t="s">
        <v>3944</v>
      </c>
      <c r="Z2874" t="s">
        <v>3945</v>
      </c>
      <c r="AA2874" t="s">
        <v>3946</v>
      </c>
      <c r="AE2874">
        <v>-44.675271080000002</v>
      </c>
      <c r="AF2874">
        <v>169.16426799999999</v>
      </c>
      <c r="AG2874">
        <v>80</v>
      </c>
      <c r="AH2874">
        <v>20</v>
      </c>
      <c r="AI2874">
        <v>5</v>
      </c>
      <c r="AJ2874">
        <v>19</v>
      </c>
      <c r="AK2874">
        <v>20</v>
      </c>
      <c r="AL2874">
        <v>20</v>
      </c>
      <c r="AM2874">
        <v>23</v>
      </c>
      <c r="AN2874">
        <v>1</v>
      </c>
      <c r="AO2874">
        <v>88</v>
      </c>
      <c r="AP2874">
        <v>75</v>
      </c>
      <c r="AQ2874">
        <v>8</v>
      </c>
      <c r="AR2874">
        <v>2</v>
      </c>
      <c r="AS2874">
        <v>5</v>
      </c>
      <c r="AT2874">
        <v>11</v>
      </c>
    </row>
    <row r="2875" spans="1:46">
      <c r="A2875">
        <v>47552</v>
      </c>
      <c r="B2875" t="s">
        <v>16433</v>
      </c>
      <c r="C2875" t="s">
        <v>16434</v>
      </c>
      <c r="E2875" t="s">
        <v>16435</v>
      </c>
      <c r="F2875" t="s">
        <v>803</v>
      </c>
      <c r="G2875" t="s">
        <v>652</v>
      </c>
      <c r="H2875" t="s">
        <v>3942</v>
      </c>
      <c r="J2875" t="s">
        <v>3962</v>
      </c>
      <c r="K2875" t="s">
        <v>519</v>
      </c>
      <c r="M2875" t="s">
        <v>520</v>
      </c>
      <c r="N2875" t="s">
        <v>571</v>
      </c>
      <c r="O2875" t="s">
        <v>804</v>
      </c>
      <c r="P2875" t="s">
        <v>654</v>
      </c>
      <c r="Q2875" t="s">
        <v>638</v>
      </c>
      <c r="R2875" t="s">
        <v>708</v>
      </c>
      <c r="S2875" t="s">
        <v>805</v>
      </c>
      <c r="T2875" t="s">
        <v>709</v>
      </c>
      <c r="U2875">
        <v>143301</v>
      </c>
      <c r="V2875" t="s">
        <v>4232</v>
      </c>
      <c r="W2875" t="s">
        <v>807</v>
      </c>
      <c r="X2875" t="s">
        <v>16436</v>
      </c>
      <c r="Y2875" t="s">
        <v>16435</v>
      </c>
      <c r="Z2875" t="s">
        <v>803</v>
      </c>
      <c r="AA2875" t="s">
        <v>4768</v>
      </c>
      <c r="AE2875">
        <v>-36.894170440000003</v>
      </c>
      <c r="AF2875">
        <v>174.81080957</v>
      </c>
      <c r="AG2875">
        <v>50</v>
      </c>
      <c r="AH2875">
        <v>10</v>
      </c>
      <c r="AI2875">
        <v>2</v>
      </c>
      <c r="AJ2875">
        <v>10</v>
      </c>
      <c r="AK2875">
        <v>8</v>
      </c>
      <c r="AL2875">
        <v>5</v>
      </c>
      <c r="AM2875">
        <v>9</v>
      </c>
      <c r="AN2875">
        <v>0</v>
      </c>
      <c r="AO2875">
        <v>34</v>
      </c>
      <c r="AP2875">
        <v>11</v>
      </c>
      <c r="AQ2875">
        <v>2</v>
      </c>
      <c r="AR2875">
        <v>2</v>
      </c>
      <c r="AS2875">
        <v>20</v>
      </c>
      <c r="AT2875">
        <v>4</v>
      </c>
    </row>
    <row r="2876" spans="1:46">
      <c r="A2876">
        <v>47553</v>
      </c>
      <c r="B2876" t="s">
        <v>16437</v>
      </c>
      <c r="D2876" t="s">
        <v>16438</v>
      </c>
      <c r="E2876" t="s">
        <v>16439</v>
      </c>
      <c r="F2876" t="s">
        <v>919</v>
      </c>
      <c r="G2876" t="s">
        <v>652</v>
      </c>
      <c r="H2876" t="s">
        <v>4716</v>
      </c>
      <c r="J2876" t="s">
        <v>3962</v>
      </c>
      <c r="K2876" t="s">
        <v>519</v>
      </c>
      <c r="M2876" t="s">
        <v>520</v>
      </c>
      <c r="N2876" t="s">
        <v>571</v>
      </c>
      <c r="O2876" t="s">
        <v>1168</v>
      </c>
      <c r="P2876" t="s">
        <v>654</v>
      </c>
      <c r="Q2876" t="s">
        <v>638</v>
      </c>
      <c r="R2876" t="s">
        <v>639</v>
      </c>
      <c r="S2876" t="s">
        <v>739</v>
      </c>
      <c r="T2876" t="s">
        <v>527</v>
      </c>
      <c r="U2876">
        <v>119201</v>
      </c>
      <c r="V2876" t="s">
        <v>919</v>
      </c>
      <c r="W2876" t="s">
        <v>657</v>
      </c>
      <c r="X2876" t="s">
        <v>16440</v>
      </c>
      <c r="Y2876" t="s">
        <v>16439</v>
      </c>
      <c r="Z2876" t="s">
        <v>919</v>
      </c>
      <c r="AA2876" t="s">
        <v>4391</v>
      </c>
      <c r="AB2876" t="s">
        <v>16441</v>
      </c>
      <c r="AC2876">
        <v>99029</v>
      </c>
      <c r="AD2876" t="s">
        <v>901</v>
      </c>
      <c r="AE2876">
        <v>-36.801237989999997</v>
      </c>
      <c r="AF2876">
        <v>174.64784297</v>
      </c>
      <c r="AG2876">
        <v>80</v>
      </c>
      <c r="AH2876">
        <v>80</v>
      </c>
      <c r="AI2876">
        <v>12</v>
      </c>
      <c r="AJ2876">
        <v>20</v>
      </c>
      <c r="AK2876">
        <v>15</v>
      </c>
      <c r="AL2876">
        <v>15</v>
      </c>
      <c r="AM2876">
        <v>16</v>
      </c>
      <c r="AN2876">
        <v>0</v>
      </c>
      <c r="AO2876">
        <v>78</v>
      </c>
      <c r="AP2876">
        <v>2</v>
      </c>
      <c r="AQ2876">
        <v>0</v>
      </c>
      <c r="AR2876">
        <v>0</v>
      </c>
      <c r="AS2876">
        <v>78</v>
      </c>
      <c r="AT2876">
        <v>1</v>
      </c>
    </row>
    <row r="2877" spans="1:46">
      <c r="A2877">
        <v>47554</v>
      </c>
      <c r="B2877" t="s">
        <v>16442</v>
      </c>
      <c r="C2877" t="s">
        <v>16443</v>
      </c>
      <c r="D2877" t="s">
        <v>16444</v>
      </c>
      <c r="E2877" t="s">
        <v>16445</v>
      </c>
      <c r="F2877" t="s">
        <v>828</v>
      </c>
      <c r="G2877" t="s">
        <v>652</v>
      </c>
      <c r="H2877" t="s">
        <v>3942</v>
      </c>
      <c r="J2877" t="s">
        <v>3962</v>
      </c>
      <c r="K2877" t="s">
        <v>519</v>
      </c>
      <c r="M2877" t="s">
        <v>520</v>
      </c>
      <c r="N2877" t="s">
        <v>571</v>
      </c>
      <c r="O2877" t="s">
        <v>829</v>
      </c>
      <c r="P2877" t="s">
        <v>654</v>
      </c>
      <c r="Q2877" t="s">
        <v>638</v>
      </c>
      <c r="R2877" t="s">
        <v>708</v>
      </c>
      <c r="S2877" t="s">
        <v>805</v>
      </c>
      <c r="T2877" t="s">
        <v>709</v>
      </c>
      <c r="U2877">
        <v>145000</v>
      </c>
      <c r="V2877" t="s">
        <v>830</v>
      </c>
      <c r="W2877" t="s">
        <v>807</v>
      </c>
      <c r="X2877" t="s">
        <v>16446</v>
      </c>
      <c r="Y2877" t="s">
        <v>16447</v>
      </c>
      <c r="Z2877" t="s">
        <v>821</v>
      </c>
      <c r="AA2877" t="s">
        <v>4069</v>
      </c>
      <c r="AE2877">
        <v>-36.919435540000002</v>
      </c>
      <c r="AF2877">
        <v>174.78291877000001</v>
      </c>
      <c r="AG2877">
        <v>54</v>
      </c>
      <c r="AH2877">
        <v>15</v>
      </c>
      <c r="AI2877">
        <v>1</v>
      </c>
      <c r="AJ2877">
        <v>18</v>
      </c>
      <c r="AK2877">
        <v>15</v>
      </c>
      <c r="AL2877">
        <v>13</v>
      </c>
      <c r="AM2877">
        <v>16</v>
      </c>
      <c r="AN2877">
        <v>1</v>
      </c>
      <c r="AO2877">
        <v>64</v>
      </c>
      <c r="AP2877">
        <v>50</v>
      </c>
      <c r="AQ2877">
        <v>11</v>
      </c>
      <c r="AR2877">
        <v>9</v>
      </c>
      <c r="AS2877">
        <v>15</v>
      </c>
      <c r="AT2877">
        <v>5</v>
      </c>
    </row>
    <row r="2878" spans="1:46">
      <c r="A2878">
        <v>47555</v>
      </c>
      <c r="B2878" t="s">
        <v>16448</v>
      </c>
      <c r="D2878" t="s">
        <v>16449</v>
      </c>
      <c r="E2878" t="s">
        <v>16450</v>
      </c>
      <c r="G2878" t="s">
        <v>9172</v>
      </c>
      <c r="H2878" t="s">
        <v>3942</v>
      </c>
      <c r="J2878" t="s">
        <v>3962</v>
      </c>
      <c r="K2878" t="s">
        <v>519</v>
      </c>
      <c r="M2878" t="s">
        <v>520</v>
      </c>
      <c r="N2878" t="s">
        <v>557</v>
      </c>
      <c r="O2878" t="s">
        <v>1351</v>
      </c>
      <c r="P2878" t="s">
        <v>523</v>
      </c>
      <c r="Q2878" t="s">
        <v>1299</v>
      </c>
      <c r="R2878" t="s">
        <v>729</v>
      </c>
      <c r="S2878" t="s">
        <v>1246</v>
      </c>
      <c r="T2878" t="s">
        <v>1235</v>
      </c>
      <c r="U2878">
        <v>170502</v>
      </c>
      <c r="V2878" t="s">
        <v>16451</v>
      </c>
      <c r="W2878" t="s">
        <v>3813</v>
      </c>
      <c r="X2878" t="s">
        <v>16452</v>
      </c>
      <c r="Y2878" t="s">
        <v>16453</v>
      </c>
      <c r="Z2878" t="s">
        <v>1217</v>
      </c>
      <c r="AA2878" t="s">
        <v>4635</v>
      </c>
      <c r="AE2878">
        <v>-37.243955100000001</v>
      </c>
      <c r="AF2878">
        <v>175.0182418</v>
      </c>
      <c r="AG2878">
        <v>60</v>
      </c>
      <c r="AH2878">
        <v>15</v>
      </c>
      <c r="AI2878">
        <v>1</v>
      </c>
      <c r="AJ2878">
        <v>12</v>
      </c>
      <c r="AK2878">
        <v>14</v>
      </c>
      <c r="AL2878">
        <v>17</v>
      </c>
      <c r="AM2878">
        <v>23</v>
      </c>
      <c r="AN2878">
        <v>0</v>
      </c>
      <c r="AO2878">
        <v>67</v>
      </c>
      <c r="AP2878">
        <v>13</v>
      </c>
      <c r="AQ2878">
        <v>7</v>
      </c>
      <c r="AR2878">
        <v>7</v>
      </c>
      <c r="AS2878">
        <v>45</v>
      </c>
      <c r="AT2878">
        <v>4</v>
      </c>
    </row>
    <row r="2879" spans="1:46">
      <c r="A2879">
        <v>47556</v>
      </c>
      <c r="B2879" t="s">
        <v>16454</v>
      </c>
      <c r="C2879" t="s">
        <v>16455</v>
      </c>
      <c r="D2879" t="s">
        <v>16456</v>
      </c>
      <c r="E2879" t="s">
        <v>11950</v>
      </c>
      <c r="F2879" t="s">
        <v>2984</v>
      </c>
      <c r="G2879" t="s">
        <v>2941</v>
      </c>
      <c r="H2879" t="s">
        <v>3942</v>
      </c>
      <c r="J2879" t="s">
        <v>3962</v>
      </c>
      <c r="K2879" t="s">
        <v>519</v>
      </c>
      <c r="M2879" t="s">
        <v>2287</v>
      </c>
      <c r="N2879" t="s">
        <v>571</v>
      </c>
      <c r="O2879" t="s">
        <v>2942</v>
      </c>
      <c r="P2879" t="s">
        <v>654</v>
      </c>
      <c r="Q2879" t="s">
        <v>2943</v>
      </c>
      <c r="R2879" t="s">
        <v>2944</v>
      </c>
      <c r="S2879" t="s">
        <v>2945</v>
      </c>
      <c r="T2879" t="s">
        <v>2448</v>
      </c>
      <c r="U2879">
        <v>319000</v>
      </c>
      <c r="V2879" t="s">
        <v>16457</v>
      </c>
      <c r="W2879" t="s">
        <v>2986</v>
      </c>
      <c r="X2879" t="s">
        <v>11949</v>
      </c>
      <c r="Y2879" t="s">
        <v>11950</v>
      </c>
      <c r="Z2879" t="s">
        <v>2984</v>
      </c>
      <c r="AA2879" t="s">
        <v>11521</v>
      </c>
      <c r="AB2879" t="s">
        <v>11951</v>
      </c>
      <c r="AE2879">
        <v>-43.492795430000001</v>
      </c>
      <c r="AF2879">
        <v>172.58396169</v>
      </c>
      <c r="AG2879">
        <v>40</v>
      </c>
      <c r="AH2879">
        <v>12</v>
      </c>
      <c r="AI2879">
        <v>2</v>
      </c>
      <c r="AJ2879">
        <v>9</v>
      </c>
      <c r="AK2879">
        <v>14</v>
      </c>
      <c r="AL2879">
        <v>16</v>
      </c>
      <c r="AM2879">
        <v>8</v>
      </c>
      <c r="AN2879">
        <v>0</v>
      </c>
      <c r="AO2879">
        <v>49</v>
      </c>
      <c r="AP2879">
        <v>39</v>
      </c>
      <c r="AQ2879">
        <v>13</v>
      </c>
      <c r="AR2879">
        <v>1</v>
      </c>
      <c r="AS2879">
        <v>9</v>
      </c>
      <c r="AT2879">
        <v>3</v>
      </c>
    </row>
    <row r="2880" spans="1:46">
      <c r="A2880">
        <v>47558</v>
      </c>
      <c r="B2880" t="s">
        <v>16458</v>
      </c>
      <c r="C2880" t="s">
        <v>5251</v>
      </c>
      <c r="D2880" t="s">
        <v>16459</v>
      </c>
      <c r="E2880" t="s">
        <v>16460</v>
      </c>
      <c r="F2880" t="s">
        <v>4785</v>
      </c>
      <c r="G2880" t="s">
        <v>652</v>
      </c>
      <c r="H2880" t="s">
        <v>3942</v>
      </c>
      <c r="J2880" t="s">
        <v>518</v>
      </c>
      <c r="K2880" t="s">
        <v>519</v>
      </c>
      <c r="M2880" t="s">
        <v>520</v>
      </c>
      <c r="N2880" t="s">
        <v>727</v>
      </c>
      <c r="O2880" t="s">
        <v>1216</v>
      </c>
      <c r="P2880" t="s">
        <v>654</v>
      </c>
      <c r="Q2880" t="s">
        <v>638</v>
      </c>
      <c r="R2880" t="s">
        <v>729</v>
      </c>
      <c r="S2880" t="s">
        <v>1217</v>
      </c>
      <c r="T2880" t="s">
        <v>709</v>
      </c>
      <c r="U2880">
        <v>161300</v>
      </c>
      <c r="V2880" t="s">
        <v>16461</v>
      </c>
      <c r="W2880" t="s">
        <v>1219</v>
      </c>
      <c r="X2880" t="s">
        <v>5248</v>
      </c>
      <c r="Y2880" t="s">
        <v>5249</v>
      </c>
      <c r="Z2880" t="s">
        <v>1036</v>
      </c>
      <c r="AA2880" t="s">
        <v>5250</v>
      </c>
      <c r="AB2880" t="s">
        <v>5251</v>
      </c>
      <c r="AC2880">
        <v>99186</v>
      </c>
      <c r="AD2880" t="s">
        <v>1224</v>
      </c>
      <c r="AE2880">
        <v>-37.023679950000002</v>
      </c>
      <c r="AF2880">
        <v>174.9136537</v>
      </c>
      <c r="AG2880">
        <v>80</v>
      </c>
      <c r="AH2880">
        <v>15</v>
      </c>
      <c r="AI2880">
        <v>2</v>
      </c>
      <c r="AJ2880">
        <v>6</v>
      </c>
      <c r="AK2880">
        <v>10</v>
      </c>
      <c r="AL2880">
        <v>26</v>
      </c>
      <c r="AM2880">
        <v>13</v>
      </c>
      <c r="AN2880">
        <v>1</v>
      </c>
      <c r="AO2880">
        <v>58</v>
      </c>
      <c r="AP2880">
        <v>6</v>
      </c>
      <c r="AQ2880">
        <v>35</v>
      </c>
      <c r="AR2880">
        <v>34</v>
      </c>
      <c r="AS2880">
        <v>3</v>
      </c>
      <c r="AT2880">
        <v>3</v>
      </c>
    </row>
    <row r="2881" spans="1:46">
      <c r="A2881">
        <v>47559</v>
      </c>
      <c r="B2881" t="s">
        <v>16462</v>
      </c>
      <c r="C2881" t="s">
        <v>16463</v>
      </c>
      <c r="D2881" t="s">
        <v>16464</v>
      </c>
      <c r="E2881" t="s">
        <v>16465</v>
      </c>
      <c r="G2881" t="s">
        <v>4509</v>
      </c>
      <c r="H2881" t="s">
        <v>3942</v>
      </c>
      <c r="J2881" t="s">
        <v>3962</v>
      </c>
      <c r="K2881" t="s">
        <v>519</v>
      </c>
      <c r="M2881" t="s">
        <v>520</v>
      </c>
      <c r="N2881" t="s">
        <v>571</v>
      </c>
      <c r="O2881" t="s">
        <v>653</v>
      </c>
      <c r="P2881" t="s">
        <v>584</v>
      </c>
      <c r="Q2881" t="s">
        <v>638</v>
      </c>
      <c r="R2881" t="s">
        <v>639</v>
      </c>
      <c r="S2881" t="s">
        <v>668</v>
      </c>
      <c r="T2881" t="s">
        <v>527</v>
      </c>
      <c r="U2881">
        <v>113800</v>
      </c>
      <c r="V2881" t="s">
        <v>7220</v>
      </c>
      <c r="W2881" t="s">
        <v>657</v>
      </c>
      <c r="X2881" t="s">
        <v>16466</v>
      </c>
      <c r="Y2881" t="s">
        <v>3981</v>
      </c>
      <c r="AA2881" t="s">
        <v>3982</v>
      </c>
      <c r="AE2881">
        <v>-36.613723919999998</v>
      </c>
      <c r="AF2881">
        <v>174.68177230000001</v>
      </c>
      <c r="AG2881">
        <v>150</v>
      </c>
      <c r="AH2881">
        <v>48</v>
      </c>
      <c r="AI2881">
        <v>7</v>
      </c>
      <c r="AJ2881">
        <v>12</v>
      </c>
      <c r="AK2881">
        <v>30</v>
      </c>
      <c r="AL2881">
        <v>28</v>
      </c>
      <c r="AM2881">
        <v>21</v>
      </c>
      <c r="AN2881">
        <v>2</v>
      </c>
      <c r="AO2881">
        <v>100</v>
      </c>
      <c r="AP2881">
        <v>67</v>
      </c>
      <c r="AQ2881">
        <v>12</v>
      </c>
      <c r="AR2881">
        <v>4</v>
      </c>
      <c r="AS2881">
        <v>23</v>
      </c>
      <c r="AT2881">
        <v>12</v>
      </c>
    </row>
    <row r="2882" spans="1:46">
      <c r="A2882">
        <v>47560</v>
      </c>
      <c r="B2882" t="s">
        <v>16467</v>
      </c>
      <c r="C2882" t="s">
        <v>16468</v>
      </c>
      <c r="E2882" t="s">
        <v>16469</v>
      </c>
      <c r="G2882" t="s">
        <v>1742</v>
      </c>
      <c r="H2882" t="s">
        <v>517</v>
      </c>
      <c r="J2882" t="s">
        <v>518</v>
      </c>
      <c r="K2882" t="s">
        <v>519</v>
      </c>
      <c r="M2882" t="s">
        <v>1297</v>
      </c>
      <c r="N2882" t="s">
        <v>557</v>
      </c>
      <c r="O2882" t="s">
        <v>1743</v>
      </c>
      <c r="P2882" t="s">
        <v>572</v>
      </c>
      <c r="Q2882" t="s">
        <v>1471</v>
      </c>
      <c r="R2882" t="s">
        <v>1472</v>
      </c>
      <c r="S2882" t="s">
        <v>1473</v>
      </c>
      <c r="T2882" t="s">
        <v>1474</v>
      </c>
      <c r="U2882">
        <v>192500</v>
      </c>
      <c r="V2882" t="s">
        <v>1751</v>
      </c>
      <c r="W2882" t="s">
        <v>1745</v>
      </c>
      <c r="X2882" t="s">
        <v>1596</v>
      </c>
      <c r="Y2882" t="s">
        <v>1597</v>
      </c>
      <c r="Z2882" t="s">
        <v>1598</v>
      </c>
      <c r="AA2882" t="s">
        <v>1599</v>
      </c>
      <c r="AB2882" t="s">
        <v>1600</v>
      </c>
      <c r="AC2882">
        <v>99086</v>
      </c>
      <c r="AD2882" t="s">
        <v>1746</v>
      </c>
      <c r="AE2882">
        <v>-37.834709529999998</v>
      </c>
      <c r="AF2882">
        <v>176.59095643000001</v>
      </c>
      <c r="AG2882">
        <v>21</v>
      </c>
      <c r="AH2882">
        <v>0</v>
      </c>
      <c r="AI2882">
        <v>0</v>
      </c>
      <c r="AJ2882">
        <v>0</v>
      </c>
      <c r="AK2882">
        <v>6</v>
      </c>
      <c r="AL2882">
        <v>10</v>
      </c>
      <c r="AM2882">
        <v>11</v>
      </c>
      <c r="AN2882">
        <v>1</v>
      </c>
      <c r="AO2882">
        <v>28</v>
      </c>
      <c r="AP2882">
        <v>17</v>
      </c>
      <c r="AQ2882">
        <v>5</v>
      </c>
      <c r="AR2882">
        <v>0</v>
      </c>
      <c r="AS2882">
        <v>1</v>
      </c>
      <c r="AT2882">
        <v>6</v>
      </c>
    </row>
    <row r="2883" spans="1:46">
      <c r="A2883">
        <v>47561</v>
      </c>
      <c r="B2883" t="s">
        <v>16470</v>
      </c>
      <c r="C2883" t="s">
        <v>16471</v>
      </c>
      <c r="E2883" t="s">
        <v>16472</v>
      </c>
      <c r="G2883" t="s">
        <v>2853</v>
      </c>
      <c r="H2883" t="s">
        <v>3942</v>
      </c>
      <c r="J2883" t="s">
        <v>3962</v>
      </c>
      <c r="K2883" t="s">
        <v>519</v>
      </c>
      <c r="M2883" t="s">
        <v>2287</v>
      </c>
      <c r="N2883" t="s">
        <v>571</v>
      </c>
      <c r="O2883" t="s">
        <v>2854</v>
      </c>
      <c r="P2883" t="s">
        <v>584</v>
      </c>
      <c r="Q2883" t="s">
        <v>2855</v>
      </c>
      <c r="R2883" t="s">
        <v>2824</v>
      </c>
      <c r="S2883" t="s">
        <v>2853</v>
      </c>
      <c r="T2883" t="s">
        <v>2448</v>
      </c>
      <c r="U2883">
        <v>304300</v>
      </c>
      <c r="V2883" t="s">
        <v>16473</v>
      </c>
      <c r="W2883" t="s">
        <v>2033</v>
      </c>
      <c r="X2883" t="s">
        <v>16474</v>
      </c>
      <c r="Y2883" t="s">
        <v>16475</v>
      </c>
      <c r="AA2883" t="s">
        <v>16476</v>
      </c>
      <c r="AB2883" t="s">
        <v>16471</v>
      </c>
      <c r="AC2883">
        <v>99005</v>
      </c>
      <c r="AD2883" t="s">
        <v>2878</v>
      </c>
      <c r="AE2883">
        <v>-41.241975789999998</v>
      </c>
      <c r="AF2883">
        <v>173.32339397000001</v>
      </c>
      <c r="AG2883">
        <v>50</v>
      </c>
      <c r="AH2883">
        <v>10</v>
      </c>
      <c r="AI2883">
        <v>2</v>
      </c>
      <c r="AJ2883">
        <v>9</v>
      </c>
      <c r="AK2883">
        <v>10</v>
      </c>
      <c r="AL2883">
        <v>10</v>
      </c>
      <c r="AM2883">
        <v>10</v>
      </c>
      <c r="AN2883">
        <v>2</v>
      </c>
      <c r="AO2883">
        <v>43</v>
      </c>
      <c r="AP2883">
        <v>43</v>
      </c>
      <c r="AQ2883">
        <v>8</v>
      </c>
      <c r="AR2883">
        <v>0</v>
      </c>
      <c r="AS2883">
        <v>0</v>
      </c>
      <c r="AT2883">
        <v>1</v>
      </c>
    </row>
    <row r="2884" spans="1:46">
      <c r="A2884">
        <v>47563</v>
      </c>
      <c r="B2884" t="s">
        <v>16477</v>
      </c>
      <c r="C2884" t="s">
        <v>16478</v>
      </c>
      <c r="D2884" t="s">
        <v>16479</v>
      </c>
      <c r="E2884" t="s">
        <v>16480</v>
      </c>
      <c r="F2884" t="s">
        <v>1234</v>
      </c>
      <c r="G2884" t="s">
        <v>652</v>
      </c>
      <c r="H2884" t="s">
        <v>3942</v>
      </c>
      <c r="J2884" t="s">
        <v>3962</v>
      </c>
      <c r="K2884" t="s">
        <v>519</v>
      </c>
      <c r="M2884" t="s">
        <v>520</v>
      </c>
      <c r="N2884" t="s">
        <v>539</v>
      </c>
      <c r="O2884" t="s">
        <v>1268</v>
      </c>
      <c r="P2884" t="s">
        <v>654</v>
      </c>
      <c r="Q2884" t="s">
        <v>638</v>
      </c>
      <c r="R2884" t="s">
        <v>729</v>
      </c>
      <c r="S2884" t="s">
        <v>1234</v>
      </c>
      <c r="T2884" t="s">
        <v>1235</v>
      </c>
      <c r="U2884">
        <v>163301</v>
      </c>
      <c r="V2884" t="s">
        <v>13576</v>
      </c>
      <c r="W2884" t="s">
        <v>1219</v>
      </c>
      <c r="X2884" t="s">
        <v>16481</v>
      </c>
      <c r="Y2884" t="s">
        <v>13325</v>
      </c>
      <c r="Z2884" t="s">
        <v>5104</v>
      </c>
      <c r="AA2884" t="s">
        <v>3991</v>
      </c>
      <c r="AB2884" t="s">
        <v>16482</v>
      </c>
      <c r="AE2884">
        <v>-37.051662219999997</v>
      </c>
      <c r="AF2884">
        <v>174.95837822999999</v>
      </c>
      <c r="AG2884">
        <v>60</v>
      </c>
      <c r="AH2884">
        <v>12</v>
      </c>
      <c r="AI2884">
        <v>4</v>
      </c>
      <c r="AJ2884">
        <v>8</v>
      </c>
      <c r="AK2884">
        <v>14</v>
      </c>
      <c r="AL2884">
        <v>21</v>
      </c>
      <c r="AM2884">
        <v>14</v>
      </c>
      <c r="AN2884">
        <v>1</v>
      </c>
      <c r="AO2884">
        <v>62</v>
      </c>
      <c r="AP2884">
        <v>14</v>
      </c>
      <c r="AQ2884">
        <v>9</v>
      </c>
      <c r="AR2884">
        <v>13</v>
      </c>
      <c r="AS2884">
        <v>38</v>
      </c>
      <c r="AT2884">
        <v>3</v>
      </c>
    </row>
    <row r="2885" spans="1:46">
      <c r="A2885">
        <v>47564</v>
      </c>
      <c r="B2885" t="s">
        <v>16483</v>
      </c>
      <c r="C2885" t="s">
        <v>16484</v>
      </c>
      <c r="D2885" t="s">
        <v>16485</v>
      </c>
      <c r="E2885" t="s">
        <v>16486</v>
      </c>
      <c r="F2885" t="s">
        <v>8616</v>
      </c>
      <c r="G2885" t="s">
        <v>1296</v>
      </c>
      <c r="H2885" t="s">
        <v>3942</v>
      </c>
      <c r="J2885" t="s">
        <v>3962</v>
      </c>
      <c r="K2885" t="s">
        <v>519</v>
      </c>
      <c r="M2885" t="s">
        <v>1297</v>
      </c>
      <c r="N2885" t="s">
        <v>571</v>
      </c>
      <c r="O2885" t="s">
        <v>1298</v>
      </c>
      <c r="P2885" t="s">
        <v>654</v>
      </c>
      <c r="Q2885" t="s">
        <v>1299</v>
      </c>
      <c r="R2885" t="s">
        <v>1300</v>
      </c>
      <c r="S2885" t="s">
        <v>1300</v>
      </c>
      <c r="T2885" t="s">
        <v>1235</v>
      </c>
      <c r="U2885">
        <v>175601</v>
      </c>
      <c r="V2885" t="s">
        <v>8616</v>
      </c>
      <c r="W2885" t="s">
        <v>1314</v>
      </c>
      <c r="X2885" t="s">
        <v>11597</v>
      </c>
      <c r="Y2885" t="s">
        <v>11598</v>
      </c>
      <c r="Z2885" t="s">
        <v>8510</v>
      </c>
      <c r="AA2885" t="s">
        <v>8662</v>
      </c>
      <c r="AB2885" t="s">
        <v>11599</v>
      </c>
      <c r="AC2885">
        <v>99132</v>
      </c>
      <c r="AD2885" t="s">
        <v>8513</v>
      </c>
      <c r="AE2885">
        <v>-37.71959906</v>
      </c>
      <c r="AF2885">
        <v>175.26750469999999</v>
      </c>
      <c r="AG2885">
        <v>87</v>
      </c>
      <c r="AH2885">
        <v>12</v>
      </c>
      <c r="AI2885">
        <v>0</v>
      </c>
      <c r="AJ2885">
        <v>7</v>
      </c>
      <c r="AK2885">
        <v>18</v>
      </c>
      <c r="AL2885">
        <v>20</v>
      </c>
      <c r="AM2885">
        <v>23</v>
      </c>
      <c r="AN2885">
        <v>0</v>
      </c>
      <c r="AO2885">
        <v>68</v>
      </c>
      <c r="AP2885">
        <v>36</v>
      </c>
      <c r="AQ2885">
        <v>15</v>
      </c>
      <c r="AR2885">
        <v>1</v>
      </c>
      <c r="AS2885">
        <v>32</v>
      </c>
      <c r="AT2885">
        <v>6</v>
      </c>
    </row>
    <row r="2886" spans="1:46">
      <c r="A2886">
        <v>47567</v>
      </c>
      <c r="B2886" t="s">
        <v>16487</v>
      </c>
      <c r="C2886" t="s">
        <v>16488</v>
      </c>
      <c r="D2886" t="s">
        <v>16489</v>
      </c>
      <c r="E2886" t="s">
        <v>16490</v>
      </c>
      <c r="F2886" t="s">
        <v>12163</v>
      </c>
      <c r="G2886" t="s">
        <v>2289</v>
      </c>
      <c r="H2886" t="s">
        <v>3942</v>
      </c>
      <c r="J2886" t="s">
        <v>3962</v>
      </c>
      <c r="K2886" t="s">
        <v>519</v>
      </c>
      <c r="M2886" t="s">
        <v>2287</v>
      </c>
      <c r="N2886" t="s">
        <v>571</v>
      </c>
      <c r="O2886" t="s">
        <v>2536</v>
      </c>
      <c r="P2886" t="s">
        <v>654</v>
      </c>
      <c r="Q2886" t="s">
        <v>2319</v>
      </c>
      <c r="R2886" t="s">
        <v>2289</v>
      </c>
      <c r="S2886" t="s">
        <v>2553</v>
      </c>
      <c r="T2886" t="s">
        <v>2448</v>
      </c>
      <c r="U2886">
        <v>250700</v>
      </c>
      <c r="V2886" t="s">
        <v>12164</v>
      </c>
      <c r="W2886" t="s">
        <v>2573</v>
      </c>
      <c r="X2886" t="s">
        <v>16491</v>
      </c>
      <c r="Y2886" t="s">
        <v>15125</v>
      </c>
      <c r="Z2886" t="s">
        <v>4555</v>
      </c>
      <c r="AA2886" t="s">
        <v>4556</v>
      </c>
      <c r="AB2886" t="s">
        <v>16492</v>
      </c>
      <c r="AE2886">
        <v>-41.273739579999997</v>
      </c>
      <c r="AF2886">
        <v>174.78347271000001</v>
      </c>
      <c r="AG2886">
        <v>99</v>
      </c>
      <c r="AH2886">
        <v>40</v>
      </c>
      <c r="AI2886">
        <v>10</v>
      </c>
      <c r="AJ2886">
        <v>29</v>
      </c>
      <c r="AK2886">
        <v>30</v>
      </c>
      <c r="AL2886">
        <v>34</v>
      </c>
      <c r="AM2886">
        <v>8</v>
      </c>
      <c r="AN2886">
        <v>0</v>
      </c>
      <c r="AO2886">
        <v>111</v>
      </c>
      <c r="AP2886">
        <v>81</v>
      </c>
      <c r="AQ2886">
        <v>9</v>
      </c>
      <c r="AR2886">
        <v>6</v>
      </c>
      <c r="AS2886">
        <v>39</v>
      </c>
      <c r="AT2886">
        <v>8</v>
      </c>
    </row>
    <row r="2887" spans="1:46">
      <c r="A2887">
        <v>47569</v>
      </c>
      <c r="B2887" t="s">
        <v>16493</v>
      </c>
      <c r="E2887" t="s">
        <v>16494</v>
      </c>
      <c r="F2887" t="s">
        <v>3115</v>
      </c>
      <c r="G2887" t="s">
        <v>2941</v>
      </c>
      <c r="H2887" t="s">
        <v>3942</v>
      </c>
      <c r="I2887" t="s">
        <v>4065</v>
      </c>
      <c r="J2887" t="s">
        <v>3962</v>
      </c>
      <c r="K2887" t="s">
        <v>519</v>
      </c>
      <c r="M2887" t="s">
        <v>2287</v>
      </c>
      <c r="N2887" t="s">
        <v>557</v>
      </c>
      <c r="O2887" t="s">
        <v>2942</v>
      </c>
      <c r="P2887" t="s">
        <v>654</v>
      </c>
      <c r="Q2887" t="s">
        <v>2943</v>
      </c>
      <c r="R2887" t="s">
        <v>2944</v>
      </c>
      <c r="S2887" t="s">
        <v>2957</v>
      </c>
      <c r="T2887" t="s">
        <v>2448</v>
      </c>
      <c r="U2887">
        <v>320000</v>
      </c>
      <c r="V2887" t="s">
        <v>3116</v>
      </c>
      <c r="W2887" t="s">
        <v>3098</v>
      </c>
      <c r="X2887" t="s">
        <v>16495</v>
      </c>
      <c r="Y2887" t="s">
        <v>16496</v>
      </c>
      <c r="Z2887" t="s">
        <v>13207</v>
      </c>
      <c r="AA2887" t="s">
        <v>11942</v>
      </c>
      <c r="AB2887" t="s">
        <v>16497</v>
      </c>
      <c r="AE2887">
        <v>-43.49224667</v>
      </c>
      <c r="AF2887">
        <v>172.60472652000001</v>
      </c>
      <c r="AG2887">
        <v>86</v>
      </c>
      <c r="AH2887">
        <v>25</v>
      </c>
      <c r="AI2887">
        <v>3</v>
      </c>
      <c r="AJ2887">
        <v>21</v>
      </c>
      <c r="AK2887">
        <v>20</v>
      </c>
      <c r="AL2887">
        <v>22</v>
      </c>
      <c r="AM2887">
        <v>24</v>
      </c>
      <c r="AN2887">
        <v>1</v>
      </c>
      <c r="AO2887">
        <v>91</v>
      </c>
      <c r="AP2887">
        <v>37</v>
      </c>
      <c r="AQ2887">
        <v>6</v>
      </c>
      <c r="AR2887">
        <v>4</v>
      </c>
      <c r="AS2887">
        <v>56</v>
      </c>
      <c r="AT2887">
        <v>8</v>
      </c>
    </row>
    <row r="2888" spans="1:46">
      <c r="A2888">
        <v>47570</v>
      </c>
      <c r="B2888" t="s">
        <v>16498</v>
      </c>
      <c r="C2888" t="s">
        <v>16499</v>
      </c>
      <c r="D2888" t="s">
        <v>16500</v>
      </c>
      <c r="E2888" t="s">
        <v>16501</v>
      </c>
      <c r="F2888" t="s">
        <v>812</v>
      </c>
      <c r="G2888" t="s">
        <v>652</v>
      </c>
      <c r="H2888" t="s">
        <v>3942</v>
      </c>
      <c r="J2888" t="s">
        <v>3962</v>
      </c>
      <c r="K2888" t="s">
        <v>519</v>
      </c>
      <c r="M2888" t="s">
        <v>520</v>
      </c>
      <c r="N2888" t="s">
        <v>557</v>
      </c>
      <c r="O2888" t="s">
        <v>813</v>
      </c>
      <c r="P2888" t="s">
        <v>654</v>
      </c>
      <c r="Q2888" t="s">
        <v>638</v>
      </c>
      <c r="R2888" t="s">
        <v>639</v>
      </c>
      <c r="S2888" t="s">
        <v>640</v>
      </c>
      <c r="T2888" t="s">
        <v>527</v>
      </c>
      <c r="U2888">
        <v>120600</v>
      </c>
      <c r="V2888" t="s">
        <v>6752</v>
      </c>
      <c r="W2888" t="s">
        <v>815</v>
      </c>
      <c r="X2888" t="s">
        <v>5793</v>
      </c>
      <c r="Y2888" t="s">
        <v>16502</v>
      </c>
      <c r="Z2888" t="s">
        <v>4466</v>
      </c>
      <c r="AA2888" t="s">
        <v>4537</v>
      </c>
      <c r="AB2888" t="s">
        <v>5794</v>
      </c>
      <c r="AE2888">
        <v>-36.836742510000001</v>
      </c>
      <c r="AF2888">
        <v>174.60029846</v>
      </c>
      <c r="AG2888">
        <v>63</v>
      </c>
      <c r="AH2888">
        <v>18</v>
      </c>
      <c r="AI2888">
        <v>4</v>
      </c>
      <c r="AJ2888">
        <v>14</v>
      </c>
      <c r="AK2888">
        <v>18</v>
      </c>
      <c r="AL2888">
        <v>17</v>
      </c>
      <c r="AM2888">
        <v>12</v>
      </c>
      <c r="AN2888">
        <v>1</v>
      </c>
      <c r="AO2888">
        <v>66</v>
      </c>
      <c r="AP2888">
        <v>21</v>
      </c>
      <c r="AQ2888">
        <v>18</v>
      </c>
      <c r="AR2888">
        <v>19</v>
      </c>
      <c r="AS2888">
        <v>23</v>
      </c>
      <c r="AT2888">
        <v>5</v>
      </c>
    </row>
    <row r="2889" spans="1:46">
      <c r="A2889">
        <v>47571</v>
      </c>
      <c r="B2889" t="s">
        <v>16503</v>
      </c>
      <c r="C2889" t="s">
        <v>16504</v>
      </c>
      <c r="E2889" t="s">
        <v>16505</v>
      </c>
      <c r="G2889" t="s">
        <v>4132</v>
      </c>
      <c r="H2889" t="s">
        <v>3942</v>
      </c>
      <c r="J2889" t="s">
        <v>3962</v>
      </c>
      <c r="K2889" t="s">
        <v>519</v>
      </c>
      <c r="M2889" t="s">
        <v>520</v>
      </c>
      <c r="N2889" t="s">
        <v>571</v>
      </c>
      <c r="O2889" t="s">
        <v>653</v>
      </c>
      <c r="P2889" t="s">
        <v>584</v>
      </c>
      <c r="Q2889" t="s">
        <v>638</v>
      </c>
      <c r="R2889" t="s">
        <v>639</v>
      </c>
      <c r="S2889" t="s">
        <v>668</v>
      </c>
      <c r="T2889" t="s">
        <v>527</v>
      </c>
      <c r="U2889">
        <v>113900</v>
      </c>
      <c r="V2889" t="s">
        <v>4729</v>
      </c>
      <c r="W2889" t="s">
        <v>657</v>
      </c>
      <c r="X2889" t="s">
        <v>11722</v>
      </c>
      <c r="Y2889" t="s">
        <v>11723</v>
      </c>
      <c r="Z2889" t="s">
        <v>11724</v>
      </c>
      <c r="AA2889" t="s">
        <v>11725</v>
      </c>
      <c r="AE2889">
        <v>-36.606582459999998</v>
      </c>
      <c r="AF2889">
        <v>174.6895586</v>
      </c>
      <c r="AG2889">
        <v>80</v>
      </c>
      <c r="AH2889">
        <v>30</v>
      </c>
      <c r="AI2889">
        <v>3</v>
      </c>
      <c r="AJ2889">
        <v>16</v>
      </c>
      <c r="AK2889">
        <v>29</v>
      </c>
      <c r="AL2889">
        <v>12</v>
      </c>
      <c r="AM2889">
        <v>21</v>
      </c>
      <c r="AN2889">
        <v>3</v>
      </c>
      <c r="AO2889">
        <v>84</v>
      </c>
      <c r="AP2889">
        <v>73</v>
      </c>
      <c r="AQ2889">
        <v>6</v>
      </c>
      <c r="AR2889">
        <v>2</v>
      </c>
      <c r="AS2889">
        <v>12</v>
      </c>
      <c r="AT2889">
        <v>3</v>
      </c>
    </row>
    <row r="2890" spans="1:46">
      <c r="A2890">
        <v>47572</v>
      </c>
      <c r="B2890" t="s">
        <v>16506</v>
      </c>
      <c r="C2890" t="s">
        <v>16507</v>
      </c>
      <c r="D2890" t="s">
        <v>16508</v>
      </c>
      <c r="E2890" t="s">
        <v>16509</v>
      </c>
      <c r="F2890" t="s">
        <v>7810</v>
      </c>
      <c r="G2890" t="s">
        <v>652</v>
      </c>
      <c r="H2890" t="s">
        <v>3942</v>
      </c>
      <c r="J2890" t="s">
        <v>3962</v>
      </c>
      <c r="K2890" t="s">
        <v>519</v>
      </c>
      <c r="M2890" t="s">
        <v>520</v>
      </c>
      <c r="N2890" t="s">
        <v>571</v>
      </c>
      <c r="O2890" t="s">
        <v>1233</v>
      </c>
      <c r="P2890" t="s">
        <v>523</v>
      </c>
      <c r="Q2890" t="s">
        <v>638</v>
      </c>
      <c r="R2890" t="s">
        <v>708</v>
      </c>
      <c r="S2890" t="s">
        <v>1234</v>
      </c>
      <c r="T2890" t="s">
        <v>1235</v>
      </c>
      <c r="U2890">
        <v>156400</v>
      </c>
      <c r="V2890" t="s">
        <v>9436</v>
      </c>
      <c r="W2890" t="s">
        <v>1237</v>
      </c>
      <c r="X2890" t="s">
        <v>16510</v>
      </c>
      <c r="Y2890" t="s">
        <v>16511</v>
      </c>
      <c r="Z2890" t="s">
        <v>3902</v>
      </c>
      <c r="AA2890" t="s">
        <v>4099</v>
      </c>
      <c r="AB2890" t="s">
        <v>16512</v>
      </c>
      <c r="AE2890">
        <v>-36.8906773</v>
      </c>
      <c r="AF2890">
        <v>175.009647</v>
      </c>
      <c r="AG2890">
        <v>73</v>
      </c>
      <c r="AH2890">
        <v>20</v>
      </c>
      <c r="AI2890">
        <v>2</v>
      </c>
      <c r="AJ2890">
        <v>12</v>
      </c>
      <c r="AK2890">
        <v>12</v>
      </c>
      <c r="AL2890">
        <v>20</v>
      </c>
      <c r="AM2890">
        <v>13</v>
      </c>
      <c r="AN2890">
        <v>0</v>
      </c>
      <c r="AO2890">
        <v>59</v>
      </c>
      <c r="AP2890">
        <v>49</v>
      </c>
      <c r="AQ2890">
        <v>2</v>
      </c>
      <c r="AR2890">
        <v>1</v>
      </c>
      <c r="AS2890">
        <v>13</v>
      </c>
      <c r="AT2890">
        <v>4</v>
      </c>
    </row>
    <row r="2891" spans="1:46">
      <c r="A2891">
        <v>47574</v>
      </c>
      <c r="B2891" t="s">
        <v>16513</v>
      </c>
      <c r="E2891" t="s">
        <v>16514</v>
      </c>
      <c r="F2891" t="s">
        <v>4950</v>
      </c>
      <c r="G2891" t="s">
        <v>582</v>
      </c>
      <c r="H2891" t="s">
        <v>3942</v>
      </c>
      <c r="J2891" t="s">
        <v>3962</v>
      </c>
      <c r="K2891" t="s">
        <v>519</v>
      </c>
      <c r="M2891" t="s">
        <v>520</v>
      </c>
      <c r="N2891" t="s">
        <v>557</v>
      </c>
      <c r="O2891" t="s">
        <v>583</v>
      </c>
      <c r="P2891" t="s">
        <v>584</v>
      </c>
      <c r="Q2891" t="s">
        <v>524</v>
      </c>
      <c r="R2891" t="s">
        <v>525</v>
      </c>
      <c r="S2891" t="s">
        <v>585</v>
      </c>
      <c r="T2891" t="s">
        <v>527</v>
      </c>
      <c r="U2891">
        <v>107501</v>
      </c>
      <c r="V2891" t="s">
        <v>4952</v>
      </c>
      <c r="W2891" t="s">
        <v>587</v>
      </c>
      <c r="X2891" t="s">
        <v>16515</v>
      </c>
      <c r="Y2891" t="s">
        <v>16516</v>
      </c>
      <c r="AA2891" t="s">
        <v>4406</v>
      </c>
      <c r="AB2891" t="s">
        <v>16517</v>
      </c>
      <c r="AE2891">
        <v>-35.73229465</v>
      </c>
      <c r="AF2891">
        <v>174.31897656999999</v>
      </c>
      <c r="AG2891">
        <v>22</v>
      </c>
      <c r="AH2891">
        <v>10</v>
      </c>
      <c r="AI2891">
        <v>0</v>
      </c>
      <c r="AJ2891">
        <v>9</v>
      </c>
      <c r="AK2891">
        <v>4</v>
      </c>
      <c r="AL2891">
        <v>8</v>
      </c>
      <c r="AM2891">
        <v>6</v>
      </c>
      <c r="AN2891">
        <v>4</v>
      </c>
      <c r="AO2891">
        <v>31</v>
      </c>
      <c r="AP2891">
        <v>16</v>
      </c>
      <c r="AQ2891">
        <v>18</v>
      </c>
      <c r="AR2891">
        <v>4</v>
      </c>
      <c r="AS2891">
        <v>3</v>
      </c>
      <c r="AT2891">
        <v>0</v>
      </c>
    </row>
    <row r="2892" spans="1:46">
      <c r="A2892">
        <v>47575</v>
      </c>
      <c r="B2892" t="s">
        <v>16518</v>
      </c>
      <c r="C2892" t="s">
        <v>16519</v>
      </c>
      <c r="E2892" t="s">
        <v>16520</v>
      </c>
      <c r="G2892" t="s">
        <v>1483</v>
      </c>
      <c r="H2892" t="s">
        <v>3942</v>
      </c>
      <c r="I2892" t="s">
        <v>4575</v>
      </c>
      <c r="J2892" t="s">
        <v>518</v>
      </c>
      <c r="K2892" t="s">
        <v>519</v>
      </c>
      <c r="M2892" t="s">
        <v>1297</v>
      </c>
      <c r="N2892" t="s">
        <v>727</v>
      </c>
      <c r="O2892" t="s">
        <v>1484</v>
      </c>
      <c r="P2892" t="s">
        <v>1262</v>
      </c>
      <c r="Q2892" t="s">
        <v>1299</v>
      </c>
      <c r="R2892" t="s">
        <v>1300</v>
      </c>
      <c r="S2892" t="s">
        <v>1320</v>
      </c>
      <c r="T2892" t="s">
        <v>1485</v>
      </c>
      <c r="U2892">
        <v>186600</v>
      </c>
      <c r="V2892" t="s">
        <v>8340</v>
      </c>
      <c r="W2892" t="s">
        <v>1487</v>
      </c>
      <c r="X2892" t="s">
        <v>16521</v>
      </c>
      <c r="Y2892" t="s">
        <v>16522</v>
      </c>
      <c r="Z2892" t="s">
        <v>1483</v>
      </c>
      <c r="AA2892" t="s">
        <v>8586</v>
      </c>
      <c r="AC2892">
        <v>99195</v>
      </c>
      <c r="AD2892" t="s">
        <v>1490</v>
      </c>
      <c r="AE2892">
        <v>-38.229118010000001</v>
      </c>
      <c r="AF2892">
        <v>175.86656467</v>
      </c>
      <c r="AG2892">
        <v>50</v>
      </c>
      <c r="AH2892">
        <v>15</v>
      </c>
      <c r="AI2892">
        <v>3</v>
      </c>
      <c r="AJ2892">
        <v>5</v>
      </c>
      <c r="AK2892">
        <v>8</v>
      </c>
      <c r="AL2892">
        <v>4</v>
      </c>
      <c r="AM2892">
        <v>5</v>
      </c>
      <c r="AN2892">
        <v>0</v>
      </c>
      <c r="AO2892">
        <v>25</v>
      </c>
      <c r="AP2892">
        <v>7</v>
      </c>
      <c r="AQ2892">
        <v>15</v>
      </c>
      <c r="AR2892">
        <v>18</v>
      </c>
      <c r="AS2892">
        <v>4</v>
      </c>
      <c r="AT2892">
        <v>1</v>
      </c>
    </row>
    <row r="2893" spans="1:46">
      <c r="A2893">
        <v>47576</v>
      </c>
      <c r="B2893" t="s">
        <v>16523</v>
      </c>
      <c r="C2893" t="s">
        <v>16524</v>
      </c>
      <c r="D2893" t="s">
        <v>16525</v>
      </c>
      <c r="E2893" t="s">
        <v>16526</v>
      </c>
      <c r="F2893" t="s">
        <v>5992</v>
      </c>
      <c r="G2893" t="s">
        <v>652</v>
      </c>
      <c r="H2893" t="s">
        <v>3942</v>
      </c>
      <c r="J2893" t="s">
        <v>3962</v>
      </c>
      <c r="K2893" t="s">
        <v>519</v>
      </c>
      <c r="M2893" t="s">
        <v>520</v>
      </c>
      <c r="N2893" t="s">
        <v>571</v>
      </c>
      <c r="O2893" t="s">
        <v>748</v>
      </c>
      <c r="P2893" t="s">
        <v>654</v>
      </c>
      <c r="Q2893" t="s">
        <v>638</v>
      </c>
      <c r="R2893" t="s">
        <v>639</v>
      </c>
      <c r="S2893" t="s">
        <v>682</v>
      </c>
      <c r="T2893" t="s">
        <v>527</v>
      </c>
      <c r="U2893">
        <v>129300</v>
      </c>
      <c r="V2893" t="s">
        <v>5993</v>
      </c>
      <c r="W2893" t="s">
        <v>741</v>
      </c>
      <c r="X2893" t="s">
        <v>16527</v>
      </c>
      <c r="Y2893" t="s">
        <v>16528</v>
      </c>
      <c r="Z2893" t="s">
        <v>749</v>
      </c>
      <c r="AA2893" t="s">
        <v>4289</v>
      </c>
      <c r="AE2893">
        <v>-36.809095380000002</v>
      </c>
      <c r="AF2893">
        <v>174.78599324000001</v>
      </c>
      <c r="AG2893">
        <v>39</v>
      </c>
      <c r="AH2893">
        <v>12</v>
      </c>
    </row>
    <row r="2894" spans="1:46">
      <c r="A2894">
        <v>47578</v>
      </c>
      <c r="B2894" t="s">
        <v>16529</v>
      </c>
      <c r="D2894" t="s">
        <v>12360</v>
      </c>
      <c r="E2894" t="s">
        <v>16530</v>
      </c>
      <c r="F2894" t="s">
        <v>6203</v>
      </c>
      <c r="G2894" t="s">
        <v>652</v>
      </c>
      <c r="H2894" t="s">
        <v>3942</v>
      </c>
      <c r="J2894" t="s">
        <v>3962</v>
      </c>
      <c r="K2894" t="s">
        <v>519</v>
      </c>
      <c r="M2894" t="s">
        <v>520</v>
      </c>
      <c r="N2894" t="s">
        <v>557</v>
      </c>
      <c r="O2894" t="s">
        <v>804</v>
      </c>
      <c r="P2894" t="s">
        <v>654</v>
      </c>
      <c r="Q2894" t="s">
        <v>638</v>
      </c>
      <c r="R2894" t="s">
        <v>708</v>
      </c>
      <c r="S2894" t="s">
        <v>880</v>
      </c>
      <c r="T2894" t="s">
        <v>709</v>
      </c>
      <c r="U2894">
        <v>145700</v>
      </c>
      <c r="V2894" t="s">
        <v>16531</v>
      </c>
      <c r="W2894" t="s">
        <v>824</v>
      </c>
      <c r="X2894" t="s">
        <v>12362</v>
      </c>
      <c r="Y2894" t="s">
        <v>12363</v>
      </c>
      <c r="Z2894" t="s">
        <v>821</v>
      </c>
      <c r="AA2894" t="s">
        <v>4069</v>
      </c>
      <c r="AB2894" t="s">
        <v>12364</v>
      </c>
      <c r="AE2894">
        <v>-36.887662810000002</v>
      </c>
      <c r="AF2894">
        <v>174.8463606</v>
      </c>
      <c r="AG2894">
        <v>100</v>
      </c>
      <c r="AH2894">
        <v>25</v>
      </c>
      <c r="AI2894">
        <v>2</v>
      </c>
      <c r="AJ2894">
        <v>16</v>
      </c>
      <c r="AK2894">
        <v>13</v>
      </c>
      <c r="AL2894">
        <v>16</v>
      </c>
      <c r="AM2894">
        <v>17</v>
      </c>
      <c r="AN2894">
        <v>2</v>
      </c>
      <c r="AO2894">
        <v>66</v>
      </c>
      <c r="AP2894">
        <v>47</v>
      </c>
      <c r="AQ2894">
        <v>7</v>
      </c>
      <c r="AR2894">
        <v>1</v>
      </c>
      <c r="AS2894">
        <v>23</v>
      </c>
      <c r="AT2894">
        <v>6</v>
      </c>
    </row>
    <row r="2895" spans="1:46">
      <c r="A2895">
        <v>47580</v>
      </c>
      <c r="B2895" t="s">
        <v>16532</v>
      </c>
      <c r="C2895" t="s">
        <v>16533</v>
      </c>
      <c r="E2895" t="s">
        <v>16534</v>
      </c>
      <c r="G2895" t="s">
        <v>3335</v>
      </c>
      <c r="H2895" t="s">
        <v>3942</v>
      </c>
      <c r="I2895" t="s">
        <v>4065</v>
      </c>
      <c r="J2895" t="s">
        <v>3962</v>
      </c>
      <c r="K2895" t="s">
        <v>519</v>
      </c>
      <c r="M2895" t="s">
        <v>2287</v>
      </c>
      <c r="N2895" t="s">
        <v>571</v>
      </c>
      <c r="O2895" t="s">
        <v>3336</v>
      </c>
      <c r="P2895" t="s">
        <v>1262</v>
      </c>
      <c r="Q2895" t="s">
        <v>3337</v>
      </c>
      <c r="R2895" t="s">
        <v>3338</v>
      </c>
      <c r="S2895" t="s">
        <v>3250</v>
      </c>
      <c r="T2895" t="s">
        <v>2448</v>
      </c>
      <c r="U2895">
        <v>343900</v>
      </c>
      <c r="V2895" t="s">
        <v>16535</v>
      </c>
      <c r="W2895" t="s">
        <v>3340</v>
      </c>
      <c r="X2895" t="s">
        <v>16536</v>
      </c>
      <c r="Y2895" t="s">
        <v>4107</v>
      </c>
      <c r="AA2895" t="s">
        <v>3982</v>
      </c>
      <c r="AB2895" t="s">
        <v>16533</v>
      </c>
      <c r="AE2895">
        <v>-45.077929920000003</v>
      </c>
      <c r="AF2895">
        <v>170.98944526</v>
      </c>
      <c r="AG2895">
        <v>73</v>
      </c>
      <c r="AH2895">
        <v>14</v>
      </c>
      <c r="AI2895">
        <v>4</v>
      </c>
      <c r="AJ2895">
        <v>15</v>
      </c>
      <c r="AK2895">
        <v>23</v>
      </c>
      <c r="AL2895">
        <v>31</v>
      </c>
      <c r="AM2895">
        <v>21</v>
      </c>
      <c r="AN2895">
        <v>0</v>
      </c>
      <c r="AO2895">
        <v>94</v>
      </c>
      <c r="AP2895">
        <v>83</v>
      </c>
      <c r="AQ2895">
        <v>13</v>
      </c>
      <c r="AR2895">
        <v>9</v>
      </c>
      <c r="AS2895">
        <v>12</v>
      </c>
      <c r="AT2895">
        <v>3</v>
      </c>
    </row>
    <row r="2896" spans="1:46">
      <c r="A2896">
        <v>47584</v>
      </c>
      <c r="B2896" t="s">
        <v>16537</v>
      </c>
      <c r="C2896" t="s">
        <v>16538</v>
      </c>
      <c r="E2896" t="s">
        <v>16539</v>
      </c>
      <c r="F2896" t="s">
        <v>3770</v>
      </c>
      <c r="G2896" t="s">
        <v>1598</v>
      </c>
      <c r="H2896" t="s">
        <v>3942</v>
      </c>
      <c r="J2896" t="s">
        <v>518</v>
      </c>
      <c r="K2896" t="s">
        <v>519</v>
      </c>
      <c r="M2896" t="s">
        <v>1297</v>
      </c>
      <c r="N2896" t="s">
        <v>571</v>
      </c>
      <c r="O2896" t="s">
        <v>1698</v>
      </c>
      <c r="P2896" t="s">
        <v>654</v>
      </c>
      <c r="Q2896" t="s">
        <v>1471</v>
      </c>
      <c r="R2896" t="s">
        <v>1472</v>
      </c>
      <c r="S2896" t="s">
        <v>1699</v>
      </c>
      <c r="T2896" t="s">
        <v>1474</v>
      </c>
      <c r="U2896">
        <v>196202</v>
      </c>
      <c r="V2896" t="s">
        <v>15141</v>
      </c>
      <c r="W2896" t="s">
        <v>1701</v>
      </c>
      <c r="X2896" t="s">
        <v>8377</v>
      </c>
      <c r="Y2896" t="s">
        <v>3944</v>
      </c>
      <c r="Z2896" t="s">
        <v>3945</v>
      </c>
      <c r="AA2896" t="s">
        <v>3946</v>
      </c>
      <c r="AB2896" t="s">
        <v>8378</v>
      </c>
      <c r="AC2896">
        <v>99064</v>
      </c>
      <c r="AD2896" t="s">
        <v>1702</v>
      </c>
      <c r="AE2896">
        <v>-37.683278780000002</v>
      </c>
      <c r="AF2896">
        <v>176.25098711999999</v>
      </c>
      <c r="AG2896">
        <v>90</v>
      </c>
      <c r="AH2896">
        <v>20</v>
      </c>
      <c r="AI2896">
        <v>1</v>
      </c>
      <c r="AJ2896">
        <v>15</v>
      </c>
      <c r="AK2896">
        <v>22</v>
      </c>
      <c r="AL2896">
        <v>22</v>
      </c>
      <c r="AM2896">
        <v>28</v>
      </c>
      <c r="AN2896">
        <v>0</v>
      </c>
      <c r="AO2896">
        <v>88</v>
      </c>
      <c r="AP2896">
        <v>66</v>
      </c>
      <c r="AQ2896">
        <v>23</v>
      </c>
      <c r="AR2896">
        <v>1</v>
      </c>
      <c r="AS2896">
        <v>10</v>
      </c>
      <c r="AT2896">
        <v>10</v>
      </c>
    </row>
    <row r="2897" spans="1:46">
      <c r="A2897">
        <v>47586</v>
      </c>
      <c r="B2897" t="s">
        <v>16540</v>
      </c>
      <c r="C2897" t="s">
        <v>16541</v>
      </c>
      <c r="D2897" t="s">
        <v>16542</v>
      </c>
      <c r="E2897" t="s">
        <v>16543</v>
      </c>
      <c r="G2897" t="s">
        <v>16544</v>
      </c>
      <c r="H2897" t="s">
        <v>3942</v>
      </c>
      <c r="J2897" t="s">
        <v>3962</v>
      </c>
      <c r="K2897" t="s">
        <v>519</v>
      </c>
      <c r="M2897" t="s">
        <v>520</v>
      </c>
      <c r="N2897" t="s">
        <v>571</v>
      </c>
      <c r="O2897" t="s">
        <v>653</v>
      </c>
      <c r="P2897" t="s">
        <v>584</v>
      </c>
      <c r="Q2897" t="s">
        <v>638</v>
      </c>
      <c r="R2897" t="s">
        <v>639</v>
      </c>
      <c r="S2897" t="s">
        <v>668</v>
      </c>
      <c r="T2897" t="s">
        <v>527</v>
      </c>
      <c r="U2897">
        <v>115800</v>
      </c>
      <c r="V2897" t="s">
        <v>3624</v>
      </c>
      <c r="W2897" t="s">
        <v>657</v>
      </c>
      <c r="X2897" t="s">
        <v>16545</v>
      </c>
      <c r="Y2897" t="s">
        <v>3981</v>
      </c>
      <c r="AA2897" t="s">
        <v>3982</v>
      </c>
      <c r="AB2897" t="s">
        <v>16546</v>
      </c>
      <c r="AC2897">
        <v>99095</v>
      </c>
      <c r="AD2897" t="s">
        <v>701</v>
      </c>
      <c r="AE2897">
        <v>-36.640353570000002</v>
      </c>
      <c r="AF2897">
        <v>174.75803739</v>
      </c>
      <c r="AG2897">
        <v>50</v>
      </c>
      <c r="AH2897">
        <v>10</v>
      </c>
      <c r="AI2897">
        <v>0</v>
      </c>
      <c r="AJ2897">
        <v>9</v>
      </c>
      <c r="AK2897">
        <v>16</v>
      </c>
      <c r="AL2897">
        <v>16</v>
      </c>
      <c r="AM2897">
        <v>13</v>
      </c>
      <c r="AN2897">
        <v>0</v>
      </c>
      <c r="AO2897">
        <v>54</v>
      </c>
      <c r="AP2897">
        <v>47</v>
      </c>
      <c r="AQ2897">
        <v>8</v>
      </c>
      <c r="AR2897">
        <v>5</v>
      </c>
      <c r="AS2897">
        <v>0</v>
      </c>
      <c r="AT2897">
        <v>6</v>
      </c>
    </row>
    <row r="2898" spans="1:46">
      <c r="A2898">
        <v>47587</v>
      </c>
      <c r="B2898" t="s">
        <v>16547</v>
      </c>
      <c r="C2898" t="s">
        <v>16548</v>
      </c>
      <c r="D2898" t="s">
        <v>1293</v>
      </c>
      <c r="E2898" t="s">
        <v>16549</v>
      </c>
      <c r="G2898" t="s">
        <v>1296</v>
      </c>
      <c r="H2898" t="s">
        <v>3942</v>
      </c>
      <c r="J2898" t="s">
        <v>518</v>
      </c>
      <c r="K2898" t="s">
        <v>519</v>
      </c>
      <c r="M2898" t="s">
        <v>1297</v>
      </c>
      <c r="N2898" t="s">
        <v>571</v>
      </c>
      <c r="O2898" t="s">
        <v>1298</v>
      </c>
      <c r="P2898" t="s">
        <v>654</v>
      </c>
      <c r="Q2898" t="s">
        <v>1299</v>
      </c>
      <c r="R2898" t="s">
        <v>1300</v>
      </c>
      <c r="S2898" t="s">
        <v>1301</v>
      </c>
      <c r="T2898" t="s">
        <v>1235</v>
      </c>
      <c r="U2898">
        <v>175201</v>
      </c>
      <c r="V2898" t="s">
        <v>9060</v>
      </c>
      <c r="W2898" t="s">
        <v>1303</v>
      </c>
      <c r="X2898" t="s">
        <v>1304</v>
      </c>
      <c r="Y2898" t="s">
        <v>1305</v>
      </c>
      <c r="Z2898" t="s">
        <v>1312</v>
      </c>
      <c r="AA2898" t="s">
        <v>1306</v>
      </c>
      <c r="AB2898" t="s">
        <v>1307</v>
      </c>
      <c r="AE2898">
        <v>-37.74398557</v>
      </c>
      <c r="AF2898">
        <v>175.21986179999999</v>
      </c>
      <c r="AG2898">
        <v>120</v>
      </c>
      <c r="AH2898">
        <v>50</v>
      </c>
      <c r="AI2898">
        <v>8</v>
      </c>
      <c r="AJ2898">
        <v>28</v>
      </c>
      <c r="AK2898">
        <v>24</v>
      </c>
      <c r="AL2898">
        <v>38</v>
      </c>
      <c r="AM2898">
        <v>25</v>
      </c>
      <c r="AN2898">
        <v>3</v>
      </c>
      <c r="AO2898">
        <v>126</v>
      </c>
      <c r="AP2898">
        <v>90</v>
      </c>
      <c r="AQ2898">
        <v>29</v>
      </c>
      <c r="AR2898">
        <v>7</v>
      </c>
      <c r="AS2898">
        <v>30</v>
      </c>
      <c r="AT2898">
        <v>8</v>
      </c>
    </row>
    <row r="2899" spans="1:46">
      <c r="A2899">
        <v>47588</v>
      </c>
      <c r="B2899" t="s">
        <v>16550</v>
      </c>
      <c r="C2899" t="s">
        <v>16551</v>
      </c>
      <c r="E2899" t="s">
        <v>16552</v>
      </c>
      <c r="F2899" t="s">
        <v>719</v>
      </c>
      <c r="G2899" t="s">
        <v>652</v>
      </c>
      <c r="H2899" t="s">
        <v>3942</v>
      </c>
      <c r="J2899" t="s">
        <v>3962</v>
      </c>
      <c r="K2899" t="s">
        <v>519</v>
      </c>
      <c r="M2899" t="s">
        <v>520</v>
      </c>
      <c r="N2899" t="s">
        <v>571</v>
      </c>
      <c r="O2899" t="s">
        <v>718</v>
      </c>
      <c r="P2899" t="s">
        <v>654</v>
      </c>
      <c r="Q2899" t="s">
        <v>638</v>
      </c>
      <c r="R2899" t="s">
        <v>639</v>
      </c>
      <c r="S2899" t="s">
        <v>719</v>
      </c>
      <c r="T2899" t="s">
        <v>709</v>
      </c>
      <c r="U2899">
        <v>129501</v>
      </c>
      <c r="V2899" t="s">
        <v>7093</v>
      </c>
      <c r="W2899" t="s">
        <v>721</v>
      </c>
      <c r="X2899" t="s">
        <v>4839</v>
      </c>
      <c r="Y2899" t="s">
        <v>4840</v>
      </c>
      <c r="Z2899" t="s">
        <v>4841</v>
      </c>
      <c r="AA2899" t="s">
        <v>4484</v>
      </c>
      <c r="AE2899">
        <v>-36.900755940000003</v>
      </c>
      <c r="AF2899">
        <v>174.65624500000001</v>
      </c>
      <c r="AG2899">
        <v>76</v>
      </c>
      <c r="AH2899">
        <v>19</v>
      </c>
      <c r="AI2899">
        <v>2</v>
      </c>
      <c r="AJ2899">
        <v>10</v>
      </c>
      <c r="AK2899">
        <v>11</v>
      </c>
      <c r="AL2899">
        <v>14</v>
      </c>
      <c r="AM2899">
        <v>15</v>
      </c>
      <c r="AN2899">
        <v>2</v>
      </c>
      <c r="AO2899">
        <v>54</v>
      </c>
      <c r="AP2899">
        <v>9</v>
      </c>
      <c r="AQ2899">
        <v>20</v>
      </c>
      <c r="AR2899">
        <v>29</v>
      </c>
      <c r="AS2899">
        <v>14</v>
      </c>
      <c r="AT2899">
        <v>2</v>
      </c>
    </row>
    <row r="2900" spans="1:46">
      <c r="A2900">
        <v>47589</v>
      </c>
      <c r="B2900" t="s">
        <v>16553</v>
      </c>
      <c r="C2900" t="s">
        <v>16554</v>
      </c>
      <c r="D2900" t="s">
        <v>16555</v>
      </c>
      <c r="E2900" t="s">
        <v>16556</v>
      </c>
      <c r="G2900" t="s">
        <v>1538</v>
      </c>
      <c r="H2900" t="s">
        <v>3942</v>
      </c>
      <c r="J2900" t="s">
        <v>3962</v>
      </c>
      <c r="K2900" t="s">
        <v>519</v>
      </c>
      <c r="M2900" t="s">
        <v>1297</v>
      </c>
      <c r="N2900" t="s">
        <v>571</v>
      </c>
      <c r="O2900" t="s">
        <v>1319</v>
      </c>
      <c r="P2900" t="s">
        <v>1262</v>
      </c>
      <c r="Q2900" t="s">
        <v>1299</v>
      </c>
      <c r="R2900" t="s">
        <v>1300</v>
      </c>
      <c r="S2900" t="s">
        <v>1417</v>
      </c>
      <c r="T2900" t="s">
        <v>1235</v>
      </c>
      <c r="U2900">
        <v>183600</v>
      </c>
      <c r="V2900" t="s">
        <v>1660</v>
      </c>
      <c r="W2900" t="s">
        <v>1540</v>
      </c>
      <c r="X2900" t="s">
        <v>11597</v>
      </c>
      <c r="Y2900" t="s">
        <v>11598</v>
      </c>
      <c r="Z2900" t="s">
        <v>8510</v>
      </c>
      <c r="AA2900" t="s">
        <v>8662</v>
      </c>
      <c r="AB2900" t="s">
        <v>11599</v>
      </c>
      <c r="AE2900">
        <v>-38.008073189999998</v>
      </c>
      <c r="AF2900">
        <v>175.32032072000001</v>
      </c>
      <c r="AG2900">
        <v>70</v>
      </c>
      <c r="AH2900">
        <v>12</v>
      </c>
      <c r="AI2900">
        <v>0</v>
      </c>
      <c r="AJ2900">
        <v>1</v>
      </c>
      <c r="AK2900">
        <v>24</v>
      </c>
      <c r="AL2900">
        <v>18</v>
      </c>
      <c r="AM2900">
        <v>24</v>
      </c>
      <c r="AN2900">
        <v>1</v>
      </c>
      <c r="AO2900">
        <v>68</v>
      </c>
      <c r="AP2900">
        <v>49</v>
      </c>
      <c r="AQ2900">
        <v>17</v>
      </c>
      <c r="AR2900">
        <v>6</v>
      </c>
      <c r="AS2900">
        <v>8</v>
      </c>
      <c r="AT2900">
        <v>6</v>
      </c>
    </row>
    <row r="2901" spans="1:46">
      <c r="A2901">
        <v>47591</v>
      </c>
      <c r="B2901" t="s">
        <v>16557</v>
      </c>
      <c r="C2901" t="s">
        <v>16558</v>
      </c>
      <c r="E2901" t="s">
        <v>16559</v>
      </c>
      <c r="G2901" t="s">
        <v>13481</v>
      </c>
      <c r="H2901" t="s">
        <v>3942</v>
      </c>
      <c r="J2901" t="s">
        <v>3962</v>
      </c>
      <c r="K2901" t="s">
        <v>519</v>
      </c>
      <c r="M2901" t="s">
        <v>2287</v>
      </c>
      <c r="N2901" t="s">
        <v>571</v>
      </c>
      <c r="O2901" t="s">
        <v>13482</v>
      </c>
      <c r="P2901" t="s">
        <v>572</v>
      </c>
      <c r="Q2901" t="s">
        <v>2943</v>
      </c>
      <c r="R2901" t="s">
        <v>2944</v>
      </c>
      <c r="S2901" t="s">
        <v>2825</v>
      </c>
      <c r="T2901" t="s">
        <v>2448</v>
      </c>
      <c r="U2901">
        <v>312600</v>
      </c>
      <c r="V2901" t="s">
        <v>16560</v>
      </c>
      <c r="W2901" t="s">
        <v>13483</v>
      </c>
      <c r="X2901" t="s">
        <v>16561</v>
      </c>
      <c r="Y2901" t="s">
        <v>16562</v>
      </c>
      <c r="AA2901" t="s">
        <v>16563</v>
      </c>
      <c r="AB2901" t="s">
        <v>16564</v>
      </c>
      <c r="AC2901">
        <v>99077</v>
      </c>
      <c r="AD2901" t="s">
        <v>2968</v>
      </c>
      <c r="AE2901">
        <v>-43.114882520000002</v>
      </c>
      <c r="AF2901">
        <v>172.6863342</v>
      </c>
      <c r="AG2901">
        <v>50</v>
      </c>
      <c r="AH2901">
        <v>12</v>
      </c>
      <c r="AI2901">
        <v>3</v>
      </c>
      <c r="AJ2901">
        <v>17</v>
      </c>
      <c r="AK2901">
        <v>16</v>
      </c>
      <c r="AL2901">
        <v>20</v>
      </c>
      <c r="AM2901">
        <v>19</v>
      </c>
      <c r="AN2901">
        <v>2</v>
      </c>
      <c r="AO2901">
        <v>77</v>
      </c>
      <c r="AP2901">
        <v>73</v>
      </c>
      <c r="AQ2901">
        <v>9</v>
      </c>
      <c r="AR2901">
        <v>0</v>
      </c>
      <c r="AS2901">
        <v>1</v>
      </c>
      <c r="AT2901">
        <v>3</v>
      </c>
    </row>
    <row r="2902" spans="1:46">
      <c r="A2902">
        <v>47593</v>
      </c>
      <c r="B2902" t="s">
        <v>16565</v>
      </c>
      <c r="C2902" t="s">
        <v>16566</v>
      </c>
      <c r="D2902" t="s">
        <v>16567</v>
      </c>
      <c r="E2902" t="s">
        <v>16568</v>
      </c>
      <c r="F2902" t="s">
        <v>2181</v>
      </c>
      <c r="G2902" t="s">
        <v>2119</v>
      </c>
      <c r="H2902" t="s">
        <v>3942</v>
      </c>
      <c r="I2902" t="s">
        <v>3971</v>
      </c>
      <c r="J2902" t="s">
        <v>3962</v>
      </c>
      <c r="K2902" t="s">
        <v>519</v>
      </c>
      <c r="M2902" t="s">
        <v>1297</v>
      </c>
      <c r="N2902" t="s">
        <v>571</v>
      </c>
      <c r="O2902" t="s">
        <v>2131</v>
      </c>
      <c r="P2902" t="s">
        <v>584</v>
      </c>
      <c r="Q2902" t="s">
        <v>2118</v>
      </c>
      <c r="R2902" t="s">
        <v>2084</v>
      </c>
      <c r="S2902" t="s">
        <v>2119</v>
      </c>
      <c r="T2902" t="s">
        <v>2085</v>
      </c>
      <c r="U2902">
        <v>212400</v>
      </c>
      <c r="V2902" t="s">
        <v>16569</v>
      </c>
      <c r="W2902" t="s">
        <v>2140</v>
      </c>
      <c r="X2902" t="s">
        <v>16570</v>
      </c>
      <c r="Y2902" t="s">
        <v>16571</v>
      </c>
      <c r="Z2902" t="s">
        <v>2175</v>
      </c>
      <c r="AA2902" t="s">
        <v>16572</v>
      </c>
      <c r="AB2902" t="s">
        <v>16573</v>
      </c>
      <c r="AC2902">
        <v>99217</v>
      </c>
      <c r="AD2902" t="s">
        <v>2141</v>
      </c>
      <c r="AE2902">
        <v>-39.504246950000002</v>
      </c>
      <c r="AF2902">
        <v>176.8491124</v>
      </c>
      <c r="AG2902">
        <v>65</v>
      </c>
      <c r="AH2902">
        <v>0</v>
      </c>
      <c r="AI2902">
        <v>0</v>
      </c>
      <c r="AJ2902">
        <v>0</v>
      </c>
      <c r="AK2902">
        <v>13</v>
      </c>
      <c r="AL2902">
        <v>29</v>
      </c>
      <c r="AM2902">
        <v>21</v>
      </c>
      <c r="AN2902">
        <v>1</v>
      </c>
      <c r="AO2902">
        <v>64</v>
      </c>
      <c r="AP2902">
        <v>49</v>
      </c>
      <c r="AQ2902">
        <v>22</v>
      </c>
      <c r="AR2902">
        <v>2</v>
      </c>
      <c r="AS2902">
        <v>3</v>
      </c>
      <c r="AT2902">
        <v>10</v>
      </c>
    </row>
    <row r="2903" spans="1:46">
      <c r="A2903">
        <v>47595</v>
      </c>
      <c r="B2903" t="s">
        <v>16574</v>
      </c>
      <c r="C2903" t="s">
        <v>16575</v>
      </c>
      <c r="E2903" t="s">
        <v>16576</v>
      </c>
      <c r="F2903" t="s">
        <v>1422</v>
      </c>
      <c r="G2903" t="s">
        <v>1296</v>
      </c>
      <c r="H2903" t="s">
        <v>3942</v>
      </c>
      <c r="J2903" t="s">
        <v>3962</v>
      </c>
      <c r="K2903" t="s">
        <v>519</v>
      </c>
      <c r="M2903" t="s">
        <v>1297</v>
      </c>
      <c r="N2903" t="s">
        <v>571</v>
      </c>
      <c r="O2903" t="s">
        <v>1298</v>
      </c>
      <c r="P2903" t="s">
        <v>654</v>
      </c>
      <c r="Q2903" t="s">
        <v>1299</v>
      </c>
      <c r="R2903" t="s">
        <v>1300</v>
      </c>
      <c r="S2903" t="s">
        <v>1301</v>
      </c>
      <c r="T2903" t="s">
        <v>1235</v>
      </c>
      <c r="U2903">
        <v>176301</v>
      </c>
      <c r="V2903" t="s">
        <v>8429</v>
      </c>
      <c r="W2903" t="s">
        <v>1303</v>
      </c>
      <c r="X2903" t="s">
        <v>16577</v>
      </c>
      <c r="Y2903" t="s">
        <v>4107</v>
      </c>
      <c r="AA2903" t="s">
        <v>3982</v>
      </c>
      <c r="AB2903" t="s">
        <v>16578</v>
      </c>
      <c r="AE2903">
        <v>-37.758273699999997</v>
      </c>
      <c r="AF2903">
        <v>175.24699340000001</v>
      </c>
      <c r="AG2903">
        <v>105</v>
      </c>
      <c r="AH2903">
        <v>27</v>
      </c>
      <c r="AI2903">
        <v>2</v>
      </c>
      <c r="AJ2903">
        <v>19</v>
      </c>
      <c r="AK2903">
        <v>18</v>
      </c>
      <c r="AL2903">
        <v>19</v>
      </c>
      <c r="AM2903">
        <v>14</v>
      </c>
      <c r="AN2903">
        <v>3</v>
      </c>
      <c r="AO2903">
        <v>75</v>
      </c>
      <c r="AP2903">
        <v>20</v>
      </c>
      <c r="AQ2903">
        <v>11</v>
      </c>
      <c r="AR2903">
        <v>8</v>
      </c>
      <c r="AS2903">
        <v>52</v>
      </c>
      <c r="AT2903">
        <v>3</v>
      </c>
    </row>
    <row r="2904" spans="1:46">
      <c r="A2904">
        <v>47596</v>
      </c>
      <c r="B2904" t="s">
        <v>16579</v>
      </c>
      <c r="C2904" t="s">
        <v>16580</v>
      </c>
      <c r="D2904" t="s">
        <v>16581</v>
      </c>
      <c r="E2904" t="s">
        <v>16582</v>
      </c>
      <c r="G2904" t="s">
        <v>652</v>
      </c>
      <c r="H2904" t="s">
        <v>3942</v>
      </c>
      <c r="J2904" t="s">
        <v>3962</v>
      </c>
      <c r="K2904" t="s">
        <v>519</v>
      </c>
      <c r="M2904" t="s">
        <v>520</v>
      </c>
      <c r="N2904" t="s">
        <v>557</v>
      </c>
      <c r="O2904" t="s">
        <v>912</v>
      </c>
      <c r="P2904" t="s">
        <v>654</v>
      </c>
      <c r="Q2904" t="s">
        <v>638</v>
      </c>
      <c r="R2904" t="s">
        <v>708</v>
      </c>
      <c r="S2904" t="s">
        <v>913</v>
      </c>
      <c r="T2904" t="s">
        <v>709</v>
      </c>
      <c r="U2904">
        <v>140400</v>
      </c>
      <c r="V2904" t="s">
        <v>16086</v>
      </c>
      <c r="W2904" t="s">
        <v>860</v>
      </c>
      <c r="X2904" t="s">
        <v>16583</v>
      </c>
      <c r="Y2904" t="s">
        <v>16584</v>
      </c>
      <c r="Z2904" t="s">
        <v>5158</v>
      </c>
      <c r="AA2904" t="s">
        <v>4382</v>
      </c>
      <c r="AE2904">
        <v>-36.911863080000003</v>
      </c>
      <c r="AF2904">
        <v>174.74357506999999</v>
      </c>
      <c r="AG2904">
        <v>50</v>
      </c>
      <c r="AH2904">
        <v>0</v>
      </c>
      <c r="AI2904">
        <v>0</v>
      </c>
      <c r="AJ2904">
        <v>0</v>
      </c>
      <c r="AK2904">
        <v>4</v>
      </c>
      <c r="AL2904">
        <v>14</v>
      </c>
      <c r="AM2904">
        <v>14</v>
      </c>
      <c r="AN2904">
        <v>0</v>
      </c>
      <c r="AO2904">
        <v>32</v>
      </c>
      <c r="AP2904">
        <v>0</v>
      </c>
      <c r="AQ2904">
        <v>2</v>
      </c>
      <c r="AR2904">
        <v>8</v>
      </c>
      <c r="AS2904">
        <v>21</v>
      </c>
      <c r="AT2904">
        <v>4</v>
      </c>
    </row>
    <row r="2905" spans="1:46">
      <c r="A2905">
        <v>47597</v>
      </c>
      <c r="B2905" t="s">
        <v>16585</v>
      </c>
      <c r="C2905" t="s">
        <v>16586</v>
      </c>
      <c r="E2905" t="s">
        <v>16587</v>
      </c>
      <c r="F2905" t="s">
        <v>3770</v>
      </c>
      <c r="G2905" t="s">
        <v>1598</v>
      </c>
      <c r="H2905" t="s">
        <v>3942</v>
      </c>
      <c r="J2905" t="s">
        <v>3962</v>
      </c>
      <c r="K2905" t="s">
        <v>519</v>
      </c>
      <c r="M2905" t="s">
        <v>1297</v>
      </c>
      <c r="N2905" t="s">
        <v>571</v>
      </c>
      <c r="O2905" t="s">
        <v>1698</v>
      </c>
      <c r="P2905" t="s">
        <v>654</v>
      </c>
      <c r="Q2905" t="s">
        <v>1471</v>
      </c>
      <c r="R2905" t="s">
        <v>1472</v>
      </c>
      <c r="S2905" t="s">
        <v>1699</v>
      </c>
      <c r="T2905" t="s">
        <v>1474</v>
      </c>
      <c r="U2905">
        <v>197200</v>
      </c>
      <c r="V2905" t="s">
        <v>16588</v>
      </c>
      <c r="W2905" t="s">
        <v>3772</v>
      </c>
      <c r="X2905" t="s">
        <v>16589</v>
      </c>
      <c r="Y2905" t="s">
        <v>16590</v>
      </c>
      <c r="Z2905" t="s">
        <v>3770</v>
      </c>
      <c r="AA2905" t="s">
        <v>16591</v>
      </c>
      <c r="AB2905" t="s">
        <v>16592</v>
      </c>
      <c r="AE2905">
        <v>-37.698682509999998</v>
      </c>
      <c r="AF2905">
        <v>176.28503082</v>
      </c>
      <c r="AG2905">
        <v>80</v>
      </c>
      <c r="AH2905">
        <v>20</v>
      </c>
      <c r="AI2905">
        <v>6</v>
      </c>
      <c r="AJ2905">
        <v>20</v>
      </c>
      <c r="AK2905">
        <v>28</v>
      </c>
      <c r="AL2905">
        <v>17</v>
      </c>
      <c r="AM2905">
        <v>13</v>
      </c>
      <c r="AN2905">
        <v>1</v>
      </c>
      <c r="AO2905">
        <v>85</v>
      </c>
      <c r="AP2905">
        <v>73</v>
      </c>
      <c r="AQ2905">
        <v>34</v>
      </c>
      <c r="AR2905">
        <v>6</v>
      </c>
      <c r="AS2905">
        <v>2</v>
      </c>
      <c r="AT2905">
        <v>0</v>
      </c>
    </row>
    <row r="2906" spans="1:46">
      <c r="A2906">
        <v>47598</v>
      </c>
      <c r="B2906" t="s">
        <v>16593</v>
      </c>
      <c r="C2906" t="s">
        <v>16594</v>
      </c>
      <c r="D2906" t="s">
        <v>16595</v>
      </c>
      <c r="E2906" t="s">
        <v>16596</v>
      </c>
      <c r="F2906" t="s">
        <v>3706</v>
      </c>
      <c r="G2906" t="s">
        <v>652</v>
      </c>
      <c r="H2906" t="s">
        <v>3942</v>
      </c>
      <c r="J2906" t="s">
        <v>3962</v>
      </c>
      <c r="K2906" t="s">
        <v>519</v>
      </c>
      <c r="M2906" t="s">
        <v>520</v>
      </c>
      <c r="N2906" t="s">
        <v>571</v>
      </c>
      <c r="O2906" t="s">
        <v>1168</v>
      </c>
      <c r="P2906" t="s">
        <v>654</v>
      </c>
      <c r="Q2906" t="s">
        <v>638</v>
      </c>
      <c r="R2906" t="s">
        <v>639</v>
      </c>
      <c r="S2906" t="s">
        <v>655</v>
      </c>
      <c r="T2906" t="s">
        <v>527</v>
      </c>
      <c r="U2906">
        <v>118600</v>
      </c>
      <c r="V2906" t="s">
        <v>4012</v>
      </c>
      <c r="W2906" t="s">
        <v>657</v>
      </c>
      <c r="X2906" t="s">
        <v>16597</v>
      </c>
      <c r="Y2906" t="s">
        <v>16596</v>
      </c>
      <c r="AA2906" t="s">
        <v>4099</v>
      </c>
      <c r="AB2906" t="s">
        <v>16598</v>
      </c>
      <c r="AE2906">
        <v>-36.751929060000002</v>
      </c>
      <c r="AF2906">
        <v>174.7047144</v>
      </c>
      <c r="AG2906">
        <v>98</v>
      </c>
      <c r="AH2906">
        <v>24</v>
      </c>
      <c r="AI2906">
        <v>3</v>
      </c>
      <c r="AJ2906">
        <v>15</v>
      </c>
      <c r="AK2906">
        <v>24</v>
      </c>
      <c r="AL2906">
        <v>27</v>
      </c>
      <c r="AM2906">
        <v>17</v>
      </c>
      <c r="AN2906">
        <v>4</v>
      </c>
      <c r="AO2906">
        <v>90</v>
      </c>
      <c r="AP2906">
        <v>20</v>
      </c>
      <c r="AQ2906">
        <v>2</v>
      </c>
      <c r="AR2906">
        <v>0</v>
      </c>
      <c r="AS2906">
        <v>74</v>
      </c>
      <c r="AT2906">
        <v>4</v>
      </c>
    </row>
    <row r="2907" spans="1:46">
      <c r="A2907">
        <v>47599</v>
      </c>
      <c r="B2907" t="s">
        <v>16599</v>
      </c>
      <c r="C2907" t="s">
        <v>16600</v>
      </c>
      <c r="D2907" t="s">
        <v>16601</v>
      </c>
      <c r="E2907" t="s">
        <v>16602</v>
      </c>
      <c r="F2907" t="s">
        <v>3111</v>
      </c>
      <c r="G2907" t="s">
        <v>2941</v>
      </c>
      <c r="H2907" t="s">
        <v>3942</v>
      </c>
      <c r="J2907" t="s">
        <v>3962</v>
      </c>
      <c r="K2907" t="s">
        <v>519</v>
      </c>
      <c r="M2907" t="s">
        <v>2287</v>
      </c>
      <c r="N2907" t="s">
        <v>571</v>
      </c>
      <c r="O2907" t="s">
        <v>2942</v>
      </c>
      <c r="P2907" t="s">
        <v>654</v>
      </c>
      <c r="Q2907" t="s">
        <v>2943</v>
      </c>
      <c r="R2907" t="s">
        <v>2944</v>
      </c>
      <c r="S2907" t="s">
        <v>2957</v>
      </c>
      <c r="T2907" t="s">
        <v>2448</v>
      </c>
      <c r="U2907">
        <v>330900</v>
      </c>
      <c r="V2907" t="s">
        <v>3111</v>
      </c>
      <c r="W2907" t="s">
        <v>3014</v>
      </c>
      <c r="X2907" t="s">
        <v>16603</v>
      </c>
      <c r="Y2907" t="s">
        <v>16604</v>
      </c>
      <c r="Z2907" t="s">
        <v>3111</v>
      </c>
      <c r="AA2907" t="s">
        <v>14662</v>
      </c>
      <c r="AB2907" t="s">
        <v>16600</v>
      </c>
      <c r="AC2907">
        <v>99177</v>
      </c>
      <c r="AD2907" t="s">
        <v>2959</v>
      </c>
      <c r="AE2907">
        <v>-43.552921769999998</v>
      </c>
      <c r="AF2907">
        <v>172.66146008000001</v>
      </c>
      <c r="AG2907">
        <v>70</v>
      </c>
      <c r="AH2907">
        <v>16</v>
      </c>
      <c r="AI2907">
        <v>1</v>
      </c>
      <c r="AJ2907">
        <v>16</v>
      </c>
      <c r="AK2907">
        <v>20</v>
      </c>
      <c r="AL2907">
        <v>22</v>
      </c>
      <c r="AM2907">
        <v>25</v>
      </c>
      <c r="AN2907">
        <v>2</v>
      </c>
      <c r="AO2907">
        <v>86</v>
      </c>
      <c r="AP2907">
        <v>82</v>
      </c>
      <c r="AQ2907">
        <v>13</v>
      </c>
      <c r="AR2907">
        <v>1</v>
      </c>
      <c r="AS2907">
        <v>5</v>
      </c>
      <c r="AT2907">
        <v>5</v>
      </c>
    </row>
    <row r="2908" spans="1:46">
      <c r="A2908">
        <v>47601</v>
      </c>
      <c r="B2908" t="s">
        <v>16605</v>
      </c>
      <c r="C2908" t="s">
        <v>16606</v>
      </c>
      <c r="D2908" t="s">
        <v>16607</v>
      </c>
      <c r="E2908" t="s">
        <v>16608</v>
      </c>
      <c r="F2908" t="s">
        <v>777</v>
      </c>
      <c r="G2908" t="s">
        <v>652</v>
      </c>
      <c r="H2908" t="s">
        <v>3942</v>
      </c>
      <c r="J2908" t="s">
        <v>3962</v>
      </c>
      <c r="K2908" t="s">
        <v>519</v>
      </c>
      <c r="M2908" t="s">
        <v>520</v>
      </c>
      <c r="N2908" t="s">
        <v>571</v>
      </c>
      <c r="O2908" t="s">
        <v>707</v>
      </c>
      <c r="P2908" t="s">
        <v>654</v>
      </c>
      <c r="Q2908" t="s">
        <v>638</v>
      </c>
      <c r="R2908" t="s">
        <v>708</v>
      </c>
      <c r="S2908" t="s">
        <v>706</v>
      </c>
      <c r="T2908" t="s">
        <v>709</v>
      </c>
      <c r="U2908">
        <v>152400</v>
      </c>
      <c r="V2908" t="s">
        <v>5168</v>
      </c>
      <c r="W2908" t="s">
        <v>711</v>
      </c>
      <c r="X2908" t="s">
        <v>14617</v>
      </c>
      <c r="Y2908" t="s">
        <v>16608</v>
      </c>
      <c r="Z2908" t="s">
        <v>777</v>
      </c>
      <c r="AA2908" t="s">
        <v>5171</v>
      </c>
      <c r="AB2908" t="s">
        <v>14614</v>
      </c>
      <c r="AE2908">
        <v>-36.899599940000002</v>
      </c>
      <c r="AF2908">
        <v>174.92873846000001</v>
      </c>
      <c r="AG2908">
        <v>44</v>
      </c>
      <c r="AH2908">
        <v>0</v>
      </c>
      <c r="AI2908">
        <v>0</v>
      </c>
      <c r="AJ2908">
        <v>0</v>
      </c>
      <c r="AK2908">
        <v>11</v>
      </c>
      <c r="AL2908">
        <v>26</v>
      </c>
      <c r="AM2908">
        <v>18</v>
      </c>
      <c r="AN2908">
        <v>1</v>
      </c>
      <c r="AO2908">
        <v>56</v>
      </c>
      <c r="AP2908">
        <v>38</v>
      </c>
      <c r="AQ2908">
        <v>9</v>
      </c>
      <c r="AR2908">
        <v>6</v>
      </c>
      <c r="AS2908">
        <v>20</v>
      </c>
      <c r="AT2908">
        <v>3</v>
      </c>
    </row>
    <row r="2909" spans="1:46">
      <c r="A2909">
        <v>47602</v>
      </c>
      <c r="B2909" t="s">
        <v>16609</v>
      </c>
      <c r="C2909" t="s">
        <v>16610</v>
      </c>
      <c r="D2909" t="s">
        <v>16611</v>
      </c>
      <c r="E2909" t="s">
        <v>16612</v>
      </c>
      <c r="G2909" t="s">
        <v>9172</v>
      </c>
      <c r="H2909" t="s">
        <v>3942</v>
      </c>
      <c r="J2909" t="s">
        <v>3962</v>
      </c>
      <c r="K2909" t="s">
        <v>519</v>
      </c>
      <c r="M2909" t="s">
        <v>520</v>
      </c>
      <c r="N2909" t="s">
        <v>557</v>
      </c>
      <c r="O2909" t="s">
        <v>1351</v>
      </c>
      <c r="P2909" t="s">
        <v>523</v>
      </c>
      <c r="Q2909" t="s">
        <v>1299</v>
      </c>
      <c r="R2909" t="s">
        <v>729</v>
      </c>
      <c r="S2909" t="s">
        <v>1246</v>
      </c>
      <c r="T2909" t="s">
        <v>1235</v>
      </c>
      <c r="U2909">
        <v>170501</v>
      </c>
      <c r="V2909" t="s">
        <v>14552</v>
      </c>
      <c r="W2909" t="s">
        <v>3813</v>
      </c>
      <c r="X2909" t="s">
        <v>16613</v>
      </c>
      <c r="Y2909" t="s">
        <v>4404</v>
      </c>
      <c r="Z2909" t="s">
        <v>4405</v>
      </c>
      <c r="AA2909" t="s">
        <v>4529</v>
      </c>
      <c r="AE2909">
        <v>-37.243584759999997</v>
      </c>
      <c r="AF2909">
        <v>175.013464</v>
      </c>
      <c r="AG2909">
        <v>120</v>
      </c>
      <c r="AH2909">
        <v>30</v>
      </c>
      <c r="AI2909">
        <v>1</v>
      </c>
      <c r="AJ2909">
        <v>21</v>
      </c>
      <c r="AK2909">
        <v>18</v>
      </c>
      <c r="AL2909">
        <v>38</v>
      </c>
      <c r="AM2909">
        <v>31</v>
      </c>
      <c r="AN2909">
        <v>0</v>
      </c>
      <c r="AO2909">
        <v>109</v>
      </c>
      <c r="AP2909">
        <v>41</v>
      </c>
      <c r="AQ2909">
        <v>19</v>
      </c>
      <c r="AR2909">
        <v>9</v>
      </c>
      <c r="AS2909">
        <v>61</v>
      </c>
      <c r="AT2909">
        <v>4</v>
      </c>
    </row>
    <row r="2910" spans="1:46">
      <c r="A2910">
        <v>47603</v>
      </c>
      <c r="B2910" t="s">
        <v>16614</v>
      </c>
      <c r="C2910" t="s">
        <v>16615</v>
      </c>
      <c r="D2910" t="s">
        <v>16616</v>
      </c>
      <c r="E2910" t="s">
        <v>16617</v>
      </c>
      <c r="F2910" t="s">
        <v>3987</v>
      </c>
      <c r="G2910" t="s">
        <v>652</v>
      </c>
      <c r="H2910" t="s">
        <v>3942</v>
      </c>
      <c r="J2910" t="s">
        <v>3962</v>
      </c>
      <c r="K2910" t="s">
        <v>519</v>
      </c>
      <c r="M2910" t="s">
        <v>520</v>
      </c>
      <c r="N2910" t="s">
        <v>571</v>
      </c>
      <c r="O2910" t="s">
        <v>1233</v>
      </c>
      <c r="P2910" t="s">
        <v>1262</v>
      </c>
      <c r="Q2910" t="s">
        <v>638</v>
      </c>
      <c r="R2910" t="s">
        <v>729</v>
      </c>
      <c r="S2910" t="s">
        <v>1246</v>
      </c>
      <c r="T2910" t="s">
        <v>1235</v>
      </c>
      <c r="U2910">
        <v>166100</v>
      </c>
      <c r="V2910" t="s">
        <v>8110</v>
      </c>
      <c r="W2910" t="s">
        <v>1237</v>
      </c>
      <c r="X2910" t="s">
        <v>16618</v>
      </c>
      <c r="Y2910" t="s">
        <v>4404</v>
      </c>
      <c r="Z2910" t="s">
        <v>4405</v>
      </c>
      <c r="AA2910" t="s">
        <v>4529</v>
      </c>
      <c r="AE2910">
        <v>-37.217090470000002</v>
      </c>
      <c r="AF2910">
        <v>174.90074440999999</v>
      </c>
      <c r="AG2910">
        <v>105</v>
      </c>
      <c r="AH2910">
        <v>25</v>
      </c>
      <c r="AI2910">
        <v>2</v>
      </c>
      <c r="AJ2910">
        <v>6</v>
      </c>
      <c r="AK2910">
        <v>9</v>
      </c>
      <c r="AL2910">
        <v>10</v>
      </c>
      <c r="AM2910">
        <v>9</v>
      </c>
      <c r="AN2910">
        <v>0</v>
      </c>
      <c r="AO2910">
        <v>36</v>
      </c>
      <c r="AP2910">
        <v>21</v>
      </c>
      <c r="AQ2910">
        <v>9</v>
      </c>
      <c r="AR2910">
        <v>1</v>
      </c>
      <c r="AS2910">
        <v>10</v>
      </c>
      <c r="AT2910">
        <v>2</v>
      </c>
    </row>
    <row r="2911" spans="1:46">
      <c r="A2911">
        <v>47604</v>
      </c>
      <c r="B2911" t="s">
        <v>16619</v>
      </c>
      <c r="C2911" t="s">
        <v>16620</v>
      </c>
      <c r="D2911" t="s">
        <v>16621</v>
      </c>
      <c r="E2911" t="s">
        <v>16622</v>
      </c>
      <c r="F2911" t="s">
        <v>2252</v>
      </c>
      <c r="G2911" t="s">
        <v>2197</v>
      </c>
      <c r="H2911" t="s">
        <v>3942</v>
      </c>
      <c r="J2911" t="s">
        <v>3962</v>
      </c>
      <c r="K2911" t="s">
        <v>519</v>
      </c>
      <c r="M2911" t="s">
        <v>1297</v>
      </c>
      <c r="N2911" t="s">
        <v>539</v>
      </c>
      <c r="O2911" t="s">
        <v>2198</v>
      </c>
      <c r="P2911" t="s">
        <v>584</v>
      </c>
      <c r="Q2911" t="s">
        <v>2118</v>
      </c>
      <c r="R2911" t="s">
        <v>2084</v>
      </c>
      <c r="S2911" t="s">
        <v>2199</v>
      </c>
      <c r="T2911" t="s">
        <v>2085</v>
      </c>
      <c r="U2911">
        <v>210500</v>
      </c>
      <c r="V2911" t="s">
        <v>11648</v>
      </c>
      <c r="W2911" t="s">
        <v>2200</v>
      </c>
      <c r="X2911" t="s">
        <v>16623</v>
      </c>
      <c r="Y2911" t="s">
        <v>16622</v>
      </c>
      <c r="Z2911" t="s">
        <v>16624</v>
      </c>
      <c r="AA2911" t="s">
        <v>11650</v>
      </c>
      <c r="AB2911" t="s">
        <v>16625</v>
      </c>
      <c r="AE2911">
        <v>-39.64279423</v>
      </c>
      <c r="AF2911">
        <v>176.84995212999999</v>
      </c>
      <c r="AG2911">
        <v>66</v>
      </c>
      <c r="AH2911">
        <v>20</v>
      </c>
      <c r="AI2911">
        <v>4</v>
      </c>
      <c r="AJ2911">
        <v>9</v>
      </c>
      <c r="AK2911">
        <v>14</v>
      </c>
      <c r="AL2911">
        <v>12</v>
      </c>
      <c r="AM2911">
        <v>17</v>
      </c>
      <c r="AN2911">
        <v>0</v>
      </c>
      <c r="AO2911">
        <v>56</v>
      </c>
      <c r="AP2911">
        <v>26</v>
      </c>
      <c r="AQ2911">
        <v>11</v>
      </c>
      <c r="AR2911">
        <v>2</v>
      </c>
      <c r="AS2911">
        <v>22</v>
      </c>
      <c r="AT2911">
        <v>4</v>
      </c>
    </row>
    <row r="2912" spans="1:46">
      <c r="A2912">
        <v>47605</v>
      </c>
      <c r="B2912" t="s">
        <v>16626</v>
      </c>
      <c r="C2912" t="s">
        <v>16627</v>
      </c>
      <c r="E2912" t="s">
        <v>16628</v>
      </c>
      <c r="F2912" t="s">
        <v>1114</v>
      </c>
      <c r="G2912" t="s">
        <v>652</v>
      </c>
      <c r="H2912" t="s">
        <v>3942</v>
      </c>
      <c r="J2912" t="s">
        <v>3962</v>
      </c>
      <c r="K2912" t="s">
        <v>519</v>
      </c>
      <c r="M2912" t="s">
        <v>520</v>
      </c>
      <c r="N2912" t="s">
        <v>557</v>
      </c>
      <c r="O2912" t="s">
        <v>813</v>
      </c>
      <c r="P2912" t="s">
        <v>654</v>
      </c>
      <c r="Q2912" t="s">
        <v>638</v>
      </c>
      <c r="R2912" t="s">
        <v>639</v>
      </c>
      <c r="S2912" t="s">
        <v>899</v>
      </c>
      <c r="T2912" t="s">
        <v>527</v>
      </c>
      <c r="U2912">
        <v>125000</v>
      </c>
      <c r="V2912" t="s">
        <v>16629</v>
      </c>
      <c r="W2912" t="s">
        <v>815</v>
      </c>
      <c r="X2912" t="s">
        <v>16630</v>
      </c>
      <c r="Y2912" t="s">
        <v>16631</v>
      </c>
      <c r="Z2912" t="s">
        <v>1114</v>
      </c>
      <c r="AA2912" t="s">
        <v>3964</v>
      </c>
      <c r="AB2912" t="s">
        <v>16632</v>
      </c>
      <c r="AE2912">
        <v>-36.867896620000003</v>
      </c>
      <c r="AF2912">
        <v>174.60047545</v>
      </c>
      <c r="AG2912">
        <v>47</v>
      </c>
      <c r="AH2912">
        <v>10</v>
      </c>
      <c r="AI2912">
        <v>0</v>
      </c>
      <c r="AJ2912">
        <v>5</v>
      </c>
      <c r="AK2912">
        <v>7</v>
      </c>
      <c r="AL2912">
        <v>6</v>
      </c>
      <c r="AM2912">
        <v>11</v>
      </c>
      <c r="AN2912">
        <v>0</v>
      </c>
      <c r="AO2912">
        <v>29</v>
      </c>
      <c r="AP2912">
        <v>2</v>
      </c>
      <c r="AQ2912">
        <v>5</v>
      </c>
      <c r="AR2912">
        <v>6</v>
      </c>
      <c r="AS2912">
        <v>13</v>
      </c>
      <c r="AT2912">
        <v>5</v>
      </c>
    </row>
    <row r="2913" spans="1:46">
      <c r="A2913">
        <v>47607</v>
      </c>
      <c r="B2913" t="s">
        <v>16633</v>
      </c>
      <c r="C2913" t="s">
        <v>12454</v>
      </c>
      <c r="D2913" t="s">
        <v>16634</v>
      </c>
      <c r="E2913" t="s">
        <v>16635</v>
      </c>
      <c r="G2913" t="s">
        <v>4188</v>
      </c>
      <c r="H2913" t="s">
        <v>3942</v>
      </c>
      <c r="J2913" t="s">
        <v>3962</v>
      </c>
      <c r="K2913" t="s">
        <v>519</v>
      </c>
      <c r="M2913" t="s">
        <v>520</v>
      </c>
      <c r="N2913" t="s">
        <v>557</v>
      </c>
      <c r="O2913" t="s">
        <v>637</v>
      </c>
      <c r="P2913" t="s">
        <v>523</v>
      </c>
      <c r="Q2913" t="s">
        <v>638</v>
      </c>
      <c r="R2913" t="s">
        <v>639</v>
      </c>
      <c r="S2913" t="s">
        <v>640</v>
      </c>
      <c r="T2913" t="s">
        <v>527</v>
      </c>
      <c r="U2913">
        <v>112401</v>
      </c>
      <c r="V2913" t="s">
        <v>4188</v>
      </c>
      <c r="W2913" t="s">
        <v>641</v>
      </c>
      <c r="X2913" t="s">
        <v>16636</v>
      </c>
      <c r="Y2913" t="s">
        <v>4658</v>
      </c>
      <c r="Z2913" t="s">
        <v>958</v>
      </c>
      <c r="AA2913" t="s">
        <v>4659</v>
      </c>
      <c r="AB2913" t="s">
        <v>16637</v>
      </c>
      <c r="AE2913">
        <v>-36.679256340000002</v>
      </c>
      <c r="AF2913">
        <v>174.44945923</v>
      </c>
      <c r="AG2913">
        <v>60</v>
      </c>
      <c r="AH2913">
        <v>20</v>
      </c>
      <c r="AI2913">
        <v>1</v>
      </c>
      <c r="AJ2913">
        <v>5</v>
      </c>
      <c r="AK2913">
        <v>11</v>
      </c>
      <c r="AL2913">
        <v>4</v>
      </c>
      <c r="AM2913">
        <v>10</v>
      </c>
      <c r="AN2913">
        <v>0</v>
      </c>
      <c r="AO2913">
        <v>31</v>
      </c>
      <c r="AP2913">
        <v>21</v>
      </c>
      <c r="AQ2913">
        <v>8</v>
      </c>
      <c r="AR2913">
        <v>3</v>
      </c>
      <c r="AS2913">
        <v>7</v>
      </c>
      <c r="AT2913">
        <v>0</v>
      </c>
    </row>
    <row r="2914" spans="1:46">
      <c r="A2914">
        <v>47608</v>
      </c>
      <c r="B2914" t="s">
        <v>16638</v>
      </c>
      <c r="C2914" t="s">
        <v>16639</v>
      </c>
      <c r="D2914" t="s">
        <v>16640</v>
      </c>
      <c r="E2914" t="s">
        <v>16641</v>
      </c>
      <c r="F2914" t="s">
        <v>660</v>
      </c>
      <c r="G2914" t="s">
        <v>652</v>
      </c>
      <c r="H2914" t="s">
        <v>4716</v>
      </c>
      <c r="J2914" t="s">
        <v>3962</v>
      </c>
      <c r="K2914" t="s">
        <v>519</v>
      </c>
      <c r="M2914" t="s">
        <v>520</v>
      </c>
      <c r="N2914" t="s">
        <v>571</v>
      </c>
      <c r="O2914" t="s">
        <v>653</v>
      </c>
      <c r="P2914" t="s">
        <v>654</v>
      </c>
      <c r="Q2914" t="s">
        <v>638</v>
      </c>
      <c r="R2914" t="s">
        <v>639</v>
      </c>
      <c r="S2914" t="s">
        <v>655</v>
      </c>
      <c r="T2914" t="s">
        <v>527</v>
      </c>
      <c r="U2914">
        <v>118200</v>
      </c>
      <c r="V2914" t="s">
        <v>3658</v>
      </c>
      <c r="W2914" t="s">
        <v>657</v>
      </c>
      <c r="X2914" t="s">
        <v>16642</v>
      </c>
      <c r="Y2914" t="s">
        <v>16643</v>
      </c>
      <c r="Z2914" t="s">
        <v>660</v>
      </c>
      <c r="AA2914" t="s">
        <v>4084</v>
      </c>
      <c r="AB2914" t="s">
        <v>16644</v>
      </c>
      <c r="AE2914">
        <v>-36.723314999999999</v>
      </c>
      <c r="AF2914">
        <v>174.72997699999999</v>
      </c>
      <c r="AG2914">
        <v>80</v>
      </c>
      <c r="AH2914">
        <v>80</v>
      </c>
      <c r="AI2914">
        <v>11</v>
      </c>
      <c r="AJ2914">
        <v>19</v>
      </c>
      <c r="AK2914">
        <v>10</v>
      </c>
      <c r="AL2914">
        <v>7</v>
      </c>
      <c r="AM2914">
        <v>5</v>
      </c>
      <c r="AN2914">
        <v>0</v>
      </c>
      <c r="AO2914">
        <v>52</v>
      </c>
      <c r="AP2914">
        <v>2</v>
      </c>
      <c r="AQ2914">
        <v>0</v>
      </c>
      <c r="AR2914">
        <v>0</v>
      </c>
      <c r="AS2914">
        <v>52</v>
      </c>
      <c r="AT2914">
        <v>0</v>
      </c>
    </row>
    <row r="2915" spans="1:46">
      <c r="A2915">
        <v>47609</v>
      </c>
      <c r="B2915" t="s">
        <v>16645</v>
      </c>
      <c r="C2915" t="s">
        <v>16646</v>
      </c>
      <c r="D2915" t="s">
        <v>16647</v>
      </c>
      <c r="E2915" t="s">
        <v>16648</v>
      </c>
      <c r="G2915" t="s">
        <v>10911</v>
      </c>
      <c r="H2915" t="s">
        <v>3942</v>
      </c>
      <c r="J2915" t="s">
        <v>3962</v>
      </c>
      <c r="K2915" t="s">
        <v>519</v>
      </c>
      <c r="M2915" t="s">
        <v>2287</v>
      </c>
      <c r="N2915" t="s">
        <v>571</v>
      </c>
      <c r="O2915" t="s">
        <v>3208</v>
      </c>
      <c r="P2915" t="s">
        <v>1262</v>
      </c>
      <c r="Q2915" t="s">
        <v>2943</v>
      </c>
      <c r="R2915" t="s">
        <v>2944</v>
      </c>
      <c r="S2915" t="s">
        <v>3179</v>
      </c>
      <c r="T2915" t="s">
        <v>2448</v>
      </c>
      <c r="U2915">
        <v>335501</v>
      </c>
      <c r="V2915" t="s">
        <v>14697</v>
      </c>
      <c r="W2915" t="s">
        <v>10914</v>
      </c>
      <c r="X2915" t="s">
        <v>10915</v>
      </c>
      <c r="Y2915" t="s">
        <v>16649</v>
      </c>
      <c r="AA2915" t="s">
        <v>11573</v>
      </c>
      <c r="AC2915">
        <v>99206</v>
      </c>
      <c r="AD2915" t="s">
        <v>3211</v>
      </c>
      <c r="AE2915">
        <v>-43.609816090000002</v>
      </c>
      <c r="AF2915">
        <v>172.3912751</v>
      </c>
      <c r="AG2915">
        <v>130</v>
      </c>
      <c r="AH2915">
        <v>30</v>
      </c>
      <c r="AI2915">
        <v>6</v>
      </c>
      <c r="AJ2915">
        <v>21</v>
      </c>
      <c r="AK2915">
        <v>30</v>
      </c>
      <c r="AL2915">
        <v>44</v>
      </c>
      <c r="AM2915">
        <v>37</v>
      </c>
      <c r="AN2915">
        <v>2</v>
      </c>
      <c r="AO2915">
        <v>140</v>
      </c>
      <c r="AP2915">
        <v>118</v>
      </c>
      <c r="AQ2915">
        <v>19</v>
      </c>
      <c r="AR2915">
        <v>4</v>
      </c>
      <c r="AS2915">
        <v>22</v>
      </c>
      <c r="AT2915">
        <v>11</v>
      </c>
    </row>
    <row r="2916" spans="1:46">
      <c r="A2916">
        <v>47610</v>
      </c>
      <c r="B2916" t="s">
        <v>16650</v>
      </c>
      <c r="D2916" t="s">
        <v>16651</v>
      </c>
      <c r="E2916" t="s">
        <v>16652</v>
      </c>
      <c r="G2916" t="s">
        <v>16653</v>
      </c>
      <c r="H2916" t="s">
        <v>3942</v>
      </c>
      <c r="J2916" t="s">
        <v>3962</v>
      </c>
      <c r="K2916" t="s">
        <v>519</v>
      </c>
      <c r="M2916" t="s">
        <v>1297</v>
      </c>
      <c r="N2916" t="s">
        <v>571</v>
      </c>
      <c r="O2916" t="s">
        <v>1758</v>
      </c>
      <c r="P2916" t="s">
        <v>572</v>
      </c>
      <c r="Q2916" t="s">
        <v>1759</v>
      </c>
      <c r="R2916" t="s">
        <v>1760</v>
      </c>
      <c r="S2916" t="s">
        <v>1757</v>
      </c>
      <c r="T2916" t="s">
        <v>1485</v>
      </c>
      <c r="U2916">
        <v>219000</v>
      </c>
      <c r="V2916" t="s">
        <v>16654</v>
      </c>
      <c r="W2916" t="s">
        <v>1826</v>
      </c>
      <c r="X2916" t="s">
        <v>16655</v>
      </c>
      <c r="Y2916" t="s">
        <v>16656</v>
      </c>
      <c r="Z2916" t="s">
        <v>16653</v>
      </c>
      <c r="AA2916" t="s">
        <v>16657</v>
      </c>
      <c r="AE2916">
        <v>-39.035411330000002</v>
      </c>
      <c r="AF2916">
        <v>174.21069320999999</v>
      </c>
      <c r="AG2916">
        <v>54</v>
      </c>
      <c r="AH2916">
        <v>24</v>
      </c>
      <c r="AI2916">
        <v>2</v>
      </c>
      <c r="AJ2916">
        <v>13</v>
      </c>
      <c r="AK2916">
        <v>15</v>
      </c>
      <c r="AL2916">
        <v>20</v>
      </c>
      <c r="AM2916">
        <v>20</v>
      </c>
      <c r="AN2916">
        <v>3</v>
      </c>
      <c r="AO2916">
        <v>73</v>
      </c>
      <c r="AP2916">
        <v>60</v>
      </c>
      <c r="AQ2916">
        <v>17</v>
      </c>
      <c r="AR2916">
        <v>0</v>
      </c>
      <c r="AS2916">
        <v>1</v>
      </c>
      <c r="AT2916">
        <v>12</v>
      </c>
    </row>
    <row r="2917" spans="1:46">
      <c r="A2917">
        <v>47612</v>
      </c>
      <c r="B2917" t="s">
        <v>16658</v>
      </c>
      <c r="C2917" t="s">
        <v>7476</v>
      </c>
      <c r="D2917" t="s">
        <v>16659</v>
      </c>
      <c r="E2917" t="s">
        <v>16660</v>
      </c>
      <c r="F2917" t="s">
        <v>6037</v>
      </c>
      <c r="G2917" t="s">
        <v>652</v>
      </c>
      <c r="H2917" t="s">
        <v>3942</v>
      </c>
      <c r="J2917" t="s">
        <v>3962</v>
      </c>
      <c r="K2917" t="s">
        <v>519</v>
      </c>
      <c r="M2917" t="s">
        <v>520</v>
      </c>
      <c r="N2917" t="s">
        <v>571</v>
      </c>
      <c r="O2917" t="s">
        <v>653</v>
      </c>
      <c r="P2917" t="s">
        <v>654</v>
      </c>
      <c r="Q2917" t="s">
        <v>638</v>
      </c>
      <c r="R2917" t="s">
        <v>639</v>
      </c>
      <c r="S2917" t="s">
        <v>682</v>
      </c>
      <c r="T2917" t="s">
        <v>527</v>
      </c>
      <c r="U2917">
        <v>122200</v>
      </c>
      <c r="V2917" t="s">
        <v>6037</v>
      </c>
      <c r="W2917" t="s">
        <v>657</v>
      </c>
      <c r="X2917" t="s">
        <v>16661</v>
      </c>
      <c r="Y2917" t="s">
        <v>7475</v>
      </c>
      <c r="Z2917" t="s">
        <v>1102</v>
      </c>
      <c r="AA2917" t="s">
        <v>6809</v>
      </c>
      <c r="AE2917">
        <v>-36.747185420000001</v>
      </c>
      <c r="AF2917">
        <v>174.76101385000001</v>
      </c>
      <c r="AG2917">
        <v>150</v>
      </c>
      <c r="AH2917">
        <v>40</v>
      </c>
      <c r="AI2917">
        <v>4</v>
      </c>
      <c r="AJ2917">
        <v>26</v>
      </c>
      <c r="AK2917">
        <v>45</v>
      </c>
      <c r="AL2917">
        <v>38</v>
      </c>
      <c r="AM2917">
        <v>39</v>
      </c>
      <c r="AN2917">
        <v>1</v>
      </c>
      <c r="AO2917">
        <v>153</v>
      </c>
      <c r="AP2917">
        <v>95</v>
      </c>
      <c r="AQ2917">
        <v>6</v>
      </c>
      <c r="AR2917">
        <v>1</v>
      </c>
      <c r="AS2917">
        <v>57</v>
      </c>
      <c r="AT2917">
        <v>14</v>
      </c>
    </row>
    <row r="2918" spans="1:46">
      <c r="A2918">
        <v>47614</v>
      </c>
      <c r="B2918" t="s">
        <v>16662</v>
      </c>
      <c r="C2918" t="s">
        <v>16663</v>
      </c>
      <c r="E2918" t="s">
        <v>16664</v>
      </c>
      <c r="G2918" t="s">
        <v>3187</v>
      </c>
      <c r="H2918" t="s">
        <v>3942</v>
      </c>
      <c r="J2918" t="s">
        <v>3962</v>
      </c>
      <c r="K2918" t="s">
        <v>519</v>
      </c>
      <c r="M2918" t="s">
        <v>2287</v>
      </c>
      <c r="N2918" t="s">
        <v>571</v>
      </c>
      <c r="O2918" t="s">
        <v>2964</v>
      </c>
      <c r="P2918" t="s">
        <v>1262</v>
      </c>
      <c r="Q2918" t="s">
        <v>2943</v>
      </c>
      <c r="R2918" t="s">
        <v>2944</v>
      </c>
      <c r="S2918" t="s">
        <v>2965</v>
      </c>
      <c r="T2918" t="s">
        <v>2448</v>
      </c>
      <c r="U2918">
        <v>315700</v>
      </c>
      <c r="V2918" t="s">
        <v>10850</v>
      </c>
      <c r="W2918" t="s">
        <v>3189</v>
      </c>
      <c r="X2918" t="s">
        <v>16665</v>
      </c>
      <c r="Y2918" t="s">
        <v>4404</v>
      </c>
      <c r="Z2918" t="s">
        <v>4405</v>
      </c>
      <c r="AA2918" t="s">
        <v>4529</v>
      </c>
      <c r="AB2918" t="s">
        <v>16666</v>
      </c>
      <c r="AE2918">
        <v>-43.376628789999998</v>
      </c>
      <c r="AF2918">
        <v>172.65081319999999</v>
      </c>
      <c r="AG2918">
        <v>80</v>
      </c>
      <c r="AH2918">
        <v>25</v>
      </c>
      <c r="AI2918">
        <v>2</v>
      </c>
      <c r="AJ2918">
        <v>14</v>
      </c>
      <c r="AK2918">
        <v>11</v>
      </c>
      <c r="AL2918">
        <v>15</v>
      </c>
      <c r="AM2918">
        <v>12</v>
      </c>
      <c r="AN2918">
        <v>0</v>
      </c>
      <c r="AO2918">
        <v>54</v>
      </c>
      <c r="AP2918">
        <v>45</v>
      </c>
      <c r="AQ2918">
        <v>9</v>
      </c>
      <c r="AR2918">
        <v>2</v>
      </c>
      <c r="AS2918">
        <v>6</v>
      </c>
      <c r="AT2918">
        <v>3</v>
      </c>
    </row>
    <row r="2919" spans="1:46">
      <c r="A2919">
        <v>47616</v>
      </c>
      <c r="B2919" t="s">
        <v>16667</v>
      </c>
      <c r="C2919" t="s">
        <v>16668</v>
      </c>
      <c r="E2919" t="s">
        <v>16669</v>
      </c>
      <c r="F2919" t="s">
        <v>755</v>
      </c>
      <c r="G2919" t="s">
        <v>652</v>
      </c>
      <c r="H2919" t="s">
        <v>3942</v>
      </c>
      <c r="J2919" t="s">
        <v>518</v>
      </c>
      <c r="K2919" t="s">
        <v>519</v>
      </c>
      <c r="M2919" t="s">
        <v>520</v>
      </c>
      <c r="N2919" t="s">
        <v>571</v>
      </c>
      <c r="O2919" t="s">
        <v>738</v>
      </c>
      <c r="P2919" t="s">
        <v>654</v>
      </c>
      <c r="Q2919" t="s">
        <v>638</v>
      </c>
      <c r="R2919" t="s">
        <v>639</v>
      </c>
      <c r="S2919" t="s">
        <v>756</v>
      </c>
      <c r="T2919" t="s">
        <v>527</v>
      </c>
      <c r="U2919">
        <v>121800</v>
      </c>
      <c r="V2919" t="s">
        <v>5746</v>
      </c>
      <c r="W2919" t="s">
        <v>741</v>
      </c>
      <c r="X2919" t="s">
        <v>16670</v>
      </c>
      <c r="Y2919" t="s">
        <v>16671</v>
      </c>
      <c r="Z2919" t="s">
        <v>755</v>
      </c>
      <c r="AA2919" t="s">
        <v>4365</v>
      </c>
      <c r="AC2919">
        <v>99214</v>
      </c>
      <c r="AD2919" t="s">
        <v>758</v>
      </c>
      <c r="AE2919">
        <v>-36.797153379999997</v>
      </c>
      <c r="AF2919">
        <v>174.68889103000001</v>
      </c>
      <c r="AG2919">
        <v>50</v>
      </c>
      <c r="AH2919">
        <v>8</v>
      </c>
      <c r="AI2919">
        <v>4</v>
      </c>
      <c r="AJ2919">
        <v>4</v>
      </c>
      <c r="AK2919">
        <v>9</v>
      </c>
      <c r="AL2919">
        <v>11</v>
      </c>
      <c r="AM2919">
        <v>4</v>
      </c>
      <c r="AN2919">
        <v>0</v>
      </c>
      <c r="AO2919">
        <v>32</v>
      </c>
      <c r="AP2919">
        <v>17</v>
      </c>
      <c r="AQ2919">
        <v>7</v>
      </c>
      <c r="AR2919">
        <v>4</v>
      </c>
      <c r="AS2919">
        <v>10</v>
      </c>
      <c r="AT2919">
        <v>5</v>
      </c>
    </row>
    <row r="2920" spans="1:46">
      <c r="A2920">
        <v>47617</v>
      </c>
      <c r="B2920" t="s">
        <v>16672</v>
      </c>
      <c r="C2920" t="s">
        <v>16673</v>
      </c>
      <c r="E2920" t="s">
        <v>16674</v>
      </c>
      <c r="F2920" t="s">
        <v>10153</v>
      </c>
      <c r="G2920" t="s">
        <v>1598</v>
      </c>
      <c r="H2920" t="s">
        <v>3942</v>
      </c>
      <c r="J2920" t="s">
        <v>3962</v>
      </c>
      <c r="K2920" t="s">
        <v>519</v>
      </c>
      <c r="M2920" t="s">
        <v>1297</v>
      </c>
      <c r="N2920" t="s">
        <v>571</v>
      </c>
      <c r="O2920" t="s">
        <v>1698</v>
      </c>
      <c r="P2920" t="s">
        <v>654</v>
      </c>
      <c r="Q2920" t="s">
        <v>1471</v>
      </c>
      <c r="R2920" t="s">
        <v>1472</v>
      </c>
      <c r="S2920" t="s">
        <v>1598</v>
      </c>
      <c r="T2920" t="s">
        <v>1474</v>
      </c>
      <c r="U2920">
        <v>193600</v>
      </c>
      <c r="V2920" t="s">
        <v>1708</v>
      </c>
      <c r="W2920" t="s">
        <v>1737</v>
      </c>
      <c r="X2920" t="s">
        <v>15689</v>
      </c>
      <c r="Y2920" t="s">
        <v>15690</v>
      </c>
      <c r="Z2920" t="s">
        <v>11099</v>
      </c>
      <c r="AA2920" t="s">
        <v>11100</v>
      </c>
      <c r="AC2920">
        <v>99036</v>
      </c>
      <c r="AD2920" t="s">
        <v>1710</v>
      </c>
      <c r="AE2920">
        <v>-37.687828199999998</v>
      </c>
      <c r="AF2920">
        <v>176.13607619999999</v>
      </c>
      <c r="AG2920">
        <v>54</v>
      </c>
      <c r="AH2920">
        <v>12</v>
      </c>
      <c r="AI2920">
        <v>1</v>
      </c>
      <c r="AJ2920">
        <v>11</v>
      </c>
      <c r="AK2920">
        <v>12</v>
      </c>
      <c r="AL2920">
        <v>15</v>
      </c>
      <c r="AM2920">
        <v>19</v>
      </c>
      <c r="AN2920">
        <v>0</v>
      </c>
      <c r="AO2920">
        <v>58</v>
      </c>
      <c r="AP2920">
        <v>43</v>
      </c>
      <c r="AQ2920">
        <v>7</v>
      </c>
      <c r="AR2920">
        <v>2</v>
      </c>
      <c r="AS2920">
        <v>7</v>
      </c>
      <c r="AT2920">
        <v>8</v>
      </c>
    </row>
    <row r="2921" spans="1:46">
      <c r="A2921">
        <v>47618</v>
      </c>
      <c r="B2921" t="s">
        <v>16675</v>
      </c>
      <c r="C2921" t="s">
        <v>16676</v>
      </c>
      <c r="E2921" t="s">
        <v>16677</v>
      </c>
      <c r="G2921" t="s">
        <v>2941</v>
      </c>
      <c r="H2921" t="s">
        <v>3942</v>
      </c>
      <c r="J2921" t="s">
        <v>518</v>
      </c>
      <c r="K2921" t="s">
        <v>519</v>
      </c>
      <c r="M2921" t="s">
        <v>2287</v>
      </c>
      <c r="N2921" t="s">
        <v>571</v>
      </c>
      <c r="O2921" t="s">
        <v>3208</v>
      </c>
      <c r="P2921" t="s">
        <v>1262</v>
      </c>
      <c r="Q2921" t="s">
        <v>2943</v>
      </c>
      <c r="R2921" t="s">
        <v>2944</v>
      </c>
      <c r="S2921" t="s">
        <v>3179</v>
      </c>
      <c r="T2921" t="s">
        <v>2448</v>
      </c>
      <c r="U2921">
        <v>335501</v>
      </c>
      <c r="V2921" t="s">
        <v>14697</v>
      </c>
      <c r="W2921" t="s">
        <v>10914</v>
      </c>
      <c r="X2921" t="s">
        <v>10801</v>
      </c>
      <c r="Y2921" t="s">
        <v>3944</v>
      </c>
      <c r="Z2921" t="s">
        <v>3945</v>
      </c>
      <c r="AA2921" t="s">
        <v>3946</v>
      </c>
      <c r="AC2921">
        <v>99206</v>
      </c>
      <c r="AD2921" t="s">
        <v>3211</v>
      </c>
      <c r="AE2921">
        <v>-43.624844580000001</v>
      </c>
      <c r="AF2921">
        <v>172.3876994</v>
      </c>
      <c r="AG2921">
        <v>105</v>
      </c>
      <c r="AH2921">
        <v>25</v>
      </c>
      <c r="AI2921">
        <v>3</v>
      </c>
      <c r="AJ2921">
        <v>20</v>
      </c>
      <c r="AK2921">
        <v>29</v>
      </c>
      <c r="AL2921">
        <v>28</v>
      </c>
      <c r="AM2921">
        <v>30</v>
      </c>
      <c r="AN2921">
        <v>0</v>
      </c>
      <c r="AO2921">
        <v>110</v>
      </c>
      <c r="AP2921">
        <v>55</v>
      </c>
      <c r="AQ2921">
        <v>4</v>
      </c>
      <c r="AR2921">
        <v>1</v>
      </c>
      <c r="AS2921">
        <v>46</v>
      </c>
      <c r="AT2921">
        <v>22</v>
      </c>
    </row>
    <row r="2922" spans="1:46">
      <c r="A2922">
        <v>47619</v>
      </c>
      <c r="B2922" t="s">
        <v>16678</v>
      </c>
      <c r="C2922" t="s">
        <v>16679</v>
      </c>
      <c r="E2922" t="s">
        <v>16680</v>
      </c>
      <c r="F2922" t="s">
        <v>3432</v>
      </c>
      <c r="G2922" t="s">
        <v>3382</v>
      </c>
      <c r="H2922" t="s">
        <v>3942</v>
      </c>
      <c r="I2922" t="s">
        <v>4065</v>
      </c>
      <c r="J2922" t="s">
        <v>3962</v>
      </c>
      <c r="K2922" t="s">
        <v>519</v>
      </c>
      <c r="M2922" t="s">
        <v>2287</v>
      </c>
      <c r="N2922" t="s">
        <v>571</v>
      </c>
      <c r="O2922" t="s">
        <v>3383</v>
      </c>
      <c r="P2922" t="s">
        <v>654</v>
      </c>
      <c r="Q2922" t="s">
        <v>3337</v>
      </c>
      <c r="R2922" t="s">
        <v>3338</v>
      </c>
      <c r="S2922" t="s">
        <v>3382</v>
      </c>
      <c r="T2922" t="s">
        <v>2448</v>
      </c>
      <c r="U2922">
        <v>351000</v>
      </c>
      <c r="V2922" t="s">
        <v>3433</v>
      </c>
      <c r="W2922" t="s">
        <v>1652</v>
      </c>
      <c r="X2922" t="s">
        <v>16681</v>
      </c>
      <c r="Y2922" t="s">
        <v>16682</v>
      </c>
      <c r="Z2922" t="s">
        <v>3432</v>
      </c>
      <c r="AA2922" t="s">
        <v>11560</v>
      </c>
      <c r="AB2922" t="s">
        <v>16683</v>
      </c>
      <c r="AE2922">
        <v>-45.86449004</v>
      </c>
      <c r="AF2922">
        <v>170.48589527999999</v>
      </c>
      <c r="AG2922">
        <v>29</v>
      </c>
      <c r="AH2922">
        <v>0</v>
      </c>
      <c r="AI2922">
        <v>0</v>
      </c>
      <c r="AJ2922">
        <v>0</v>
      </c>
      <c r="AK2922">
        <v>0</v>
      </c>
      <c r="AL2922">
        <v>13</v>
      </c>
      <c r="AM2922">
        <v>13</v>
      </c>
      <c r="AN2922">
        <v>2</v>
      </c>
      <c r="AO2922">
        <v>28</v>
      </c>
      <c r="AP2922">
        <v>19</v>
      </c>
      <c r="AQ2922">
        <v>1</v>
      </c>
      <c r="AR2922">
        <v>0</v>
      </c>
      <c r="AS2922">
        <v>10</v>
      </c>
      <c r="AT2922">
        <v>1</v>
      </c>
    </row>
    <row r="2923" spans="1:46">
      <c r="A2923">
        <v>47620</v>
      </c>
      <c r="B2923" t="s">
        <v>16684</v>
      </c>
      <c r="C2923" t="s">
        <v>16685</v>
      </c>
      <c r="D2923" t="s">
        <v>13205</v>
      </c>
      <c r="E2923" t="s">
        <v>16686</v>
      </c>
      <c r="F2923" t="s">
        <v>3173</v>
      </c>
      <c r="G2923" t="s">
        <v>2941</v>
      </c>
      <c r="H2923" t="s">
        <v>3942</v>
      </c>
      <c r="I2923" t="s">
        <v>13208</v>
      </c>
      <c r="J2923" t="s">
        <v>3962</v>
      </c>
      <c r="K2923" t="s">
        <v>519</v>
      </c>
      <c r="M2923" t="s">
        <v>2287</v>
      </c>
      <c r="N2923" t="s">
        <v>571</v>
      </c>
      <c r="O2923" t="s">
        <v>2942</v>
      </c>
      <c r="P2923" t="s">
        <v>654</v>
      </c>
      <c r="Q2923" t="s">
        <v>2943</v>
      </c>
      <c r="R2923" t="s">
        <v>2944</v>
      </c>
      <c r="S2923" t="s">
        <v>2957</v>
      </c>
      <c r="T2923" t="s">
        <v>2448</v>
      </c>
      <c r="U2923">
        <v>324800</v>
      </c>
      <c r="V2923" t="s">
        <v>10969</v>
      </c>
      <c r="W2923" t="s">
        <v>3070</v>
      </c>
      <c r="X2923" t="s">
        <v>13209</v>
      </c>
      <c r="Y2923" t="s">
        <v>13206</v>
      </c>
      <c r="Z2923" t="s">
        <v>13210</v>
      </c>
      <c r="AA2923" t="s">
        <v>11419</v>
      </c>
      <c r="AB2923" t="s">
        <v>13211</v>
      </c>
      <c r="AE2923">
        <v>-43.51462969</v>
      </c>
      <c r="AF2923">
        <v>172.63781627</v>
      </c>
      <c r="AG2923">
        <v>37</v>
      </c>
      <c r="AH2923">
        <v>0</v>
      </c>
      <c r="AI2923">
        <v>0</v>
      </c>
      <c r="AJ2923">
        <v>0</v>
      </c>
      <c r="AK2923">
        <v>11</v>
      </c>
      <c r="AL2923">
        <v>12</v>
      </c>
      <c r="AM2923">
        <v>7</v>
      </c>
      <c r="AN2923">
        <v>1</v>
      </c>
      <c r="AO2923">
        <v>31</v>
      </c>
      <c r="AP2923">
        <v>2</v>
      </c>
      <c r="AQ2923">
        <v>1</v>
      </c>
      <c r="AR2923">
        <v>1</v>
      </c>
      <c r="AS2923">
        <v>24</v>
      </c>
      <c r="AT2923">
        <v>6</v>
      </c>
    </row>
    <row r="2924" spans="1:46">
      <c r="A2924">
        <v>47622</v>
      </c>
      <c r="B2924" t="s">
        <v>16687</v>
      </c>
      <c r="C2924" t="s">
        <v>16688</v>
      </c>
      <c r="E2924" t="s">
        <v>16689</v>
      </c>
      <c r="F2924" t="s">
        <v>9990</v>
      </c>
      <c r="G2924" t="s">
        <v>1521</v>
      </c>
      <c r="H2924" t="s">
        <v>3942</v>
      </c>
      <c r="J2924" t="s">
        <v>3962</v>
      </c>
      <c r="K2924" t="s">
        <v>519</v>
      </c>
      <c r="M2924" t="s">
        <v>1297</v>
      </c>
      <c r="N2924" t="s">
        <v>539</v>
      </c>
      <c r="O2924" t="s">
        <v>1522</v>
      </c>
      <c r="P2924" t="s">
        <v>584</v>
      </c>
      <c r="Q2924" t="s">
        <v>1471</v>
      </c>
      <c r="R2924" t="s">
        <v>1472</v>
      </c>
      <c r="S2924" t="s">
        <v>1521</v>
      </c>
      <c r="T2924" t="s">
        <v>1474</v>
      </c>
      <c r="U2924">
        <v>199300</v>
      </c>
      <c r="V2924" t="s">
        <v>10277</v>
      </c>
      <c r="W2924" t="s">
        <v>1523</v>
      </c>
      <c r="X2924" t="s">
        <v>16690</v>
      </c>
      <c r="Y2924" t="s">
        <v>16691</v>
      </c>
      <c r="AA2924" t="s">
        <v>9405</v>
      </c>
      <c r="AE2924">
        <v>-38.129163200000001</v>
      </c>
      <c r="AF2924">
        <v>176.2397268</v>
      </c>
      <c r="AG2924">
        <v>37</v>
      </c>
      <c r="AH2924">
        <v>10</v>
      </c>
      <c r="AI2924">
        <v>2</v>
      </c>
      <c r="AJ2924">
        <v>12</v>
      </c>
      <c r="AK2924">
        <v>11</v>
      </c>
      <c r="AL2924">
        <v>11</v>
      </c>
      <c r="AM2924">
        <v>9</v>
      </c>
      <c r="AN2924">
        <v>1</v>
      </c>
      <c r="AO2924">
        <v>46</v>
      </c>
      <c r="AP2924">
        <v>24</v>
      </c>
      <c r="AQ2924">
        <v>36</v>
      </c>
      <c r="AR2924">
        <v>5</v>
      </c>
      <c r="AS2924">
        <v>1</v>
      </c>
      <c r="AT2924">
        <v>2</v>
      </c>
    </row>
    <row r="2925" spans="1:46">
      <c r="A2925">
        <v>47625</v>
      </c>
      <c r="B2925" t="s">
        <v>16692</v>
      </c>
      <c r="C2925" t="s">
        <v>16693</v>
      </c>
      <c r="D2925" t="s">
        <v>12210</v>
      </c>
      <c r="E2925" t="s">
        <v>16401</v>
      </c>
      <c r="F2925" t="s">
        <v>945</v>
      </c>
      <c r="G2925" t="s">
        <v>652</v>
      </c>
      <c r="H2925" t="s">
        <v>3942</v>
      </c>
      <c r="J2925" t="s">
        <v>3962</v>
      </c>
      <c r="K2925" t="s">
        <v>519</v>
      </c>
      <c r="M2925" t="s">
        <v>520</v>
      </c>
      <c r="N2925" t="s">
        <v>727</v>
      </c>
      <c r="O2925" t="s">
        <v>848</v>
      </c>
      <c r="P2925" t="s">
        <v>654</v>
      </c>
      <c r="Q2925" t="s">
        <v>638</v>
      </c>
      <c r="R2925" t="s">
        <v>729</v>
      </c>
      <c r="S2925" t="s">
        <v>849</v>
      </c>
      <c r="T2925" t="s">
        <v>709</v>
      </c>
      <c r="U2925">
        <v>151800</v>
      </c>
      <c r="V2925" t="s">
        <v>7420</v>
      </c>
      <c r="W2925" t="s">
        <v>732</v>
      </c>
      <c r="X2925" t="s">
        <v>12212</v>
      </c>
      <c r="Y2925" t="s">
        <v>12213</v>
      </c>
      <c r="Z2925" t="s">
        <v>12214</v>
      </c>
      <c r="AA2925" t="s">
        <v>12215</v>
      </c>
      <c r="AB2925" t="s">
        <v>12216</v>
      </c>
      <c r="AE2925">
        <v>-36.96484469</v>
      </c>
      <c r="AF2925">
        <v>174.82319211999999</v>
      </c>
      <c r="AG2925">
        <v>110</v>
      </c>
      <c r="AH2925">
        <v>0</v>
      </c>
      <c r="AI2925">
        <v>0</v>
      </c>
      <c r="AJ2925">
        <v>0</v>
      </c>
      <c r="AK2925">
        <v>0</v>
      </c>
      <c r="AL2925">
        <v>12</v>
      </c>
      <c r="AM2925">
        <v>19</v>
      </c>
      <c r="AN2925">
        <v>1</v>
      </c>
      <c r="AO2925">
        <v>32</v>
      </c>
      <c r="AP2925">
        <v>1</v>
      </c>
      <c r="AQ2925">
        <v>3</v>
      </c>
      <c r="AR2925">
        <v>17</v>
      </c>
      <c r="AS2925">
        <v>13</v>
      </c>
      <c r="AT2925">
        <v>1</v>
      </c>
    </row>
    <row r="2926" spans="1:46">
      <c r="A2926">
        <v>47626</v>
      </c>
      <c r="B2926" t="s">
        <v>16694</v>
      </c>
      <c r="C2926" t="s">
        <v>16695</v>
      </c>
      <c r="E2926" t="s">
        <v>16696</v>
      </c>
      <c r="G2926" t="s">
        <v>8890</v>
      </c>
      <c r="H2926" t="s">
        <v>3942</v>
      </c>
      <c r="J2926" t="s">
        <v>518</v>
      </c>
      <c r="K2926" t="s">
        <v>519</v>
      </c>
      <c r="M2926" t="s">
        <v>1297</v>
      </c>
      <c r="N2926" t="s">
        <v>571</v>
      </c>
      <c r="O2926" t="s">
        <v>1743</v>
      </c>
      <c r="P2926" t="s">
        <v>523</v>
      </c>
      <c r="Q2926" t="s">
        <v>1471</v>
      </c>
      <c r="R2926" t="s">
        <v>1472</v>
      </c>
      <c r="S2926" t="s">
        <v>1438</v>
      </c>
      <c r="T2926" t="s">
        <v>1474</v>
      </c>
      <c r="U2926">
        <v>191101</v>
      </c>
      <c r="V2926" t="s">
        <v>9742</v>
      </c>
      <c r="W2926" t="s">
        <v>8759</v>
      </c>
      <c r="X2926" t="s">
        <v>8377</v>
      </c>
      <c r="Y2926" t="s">
        <v>3944</v>
      </c>
      <c r="Z2926" t="s">
        <v>3945</v>
      </c>
      <c r="AA2926" t="s">
        <v>3946</v>
      </c>
      <c r="AB2926" t="s">
        <v>8378</v>
      </c>
      <c r="AE2926">
        <v>-37.656001289999999</v>
      </c>
      <c r="AF2926">
        <v>176.0267054</v>
      </c>
      <c r="AG2926">
        <v>100</v>
      </c>
      <c r="AH2926">
        <v>20</v>
      </c>
      <c r="AI2926">
        <v>7</v>
      </c>
      <c r="AJ2926">
        <v>15</v>
      </c>
      <c r="AK2926">
        <v>22</v>
      </c>
      <c r="AL2926">
        <v>31</v>
      </c>
      <c r="AM2926">
        <v>33</v>
      </c>
      <c r="AN2926">
        <v>0</v>
      </c>
      <c r="AO2926">
        <v>108</v>
      </c>
      <c r="AP2926">
        <v>78</v>
      </c>
      <c r="AQ2926">
        <v>25</v>
      </c>
      <c r="AR2926">
        <v>1</v>
      </c>
      <c r="AS2926">
        <v>12</v>
      </c>
      <c r="AT2926">
        <v>25</v>
      </c>
    </row>
    <row r="2927" spans="1:46">
      <c r="A2927">
        <v>47629</v>
      </c>
      <c r="B2927" t="s">
        <v>16697</v>
      </c>
      <c r="C2927" t="s">
        <v>3947</v>
      </c>
      <c r="D2927" t="s">
        <v>16698</v>
      </c>
      <c r="E2927" t="s">
        <v>16699</v>
      </c>
      <c r="F2927" t="s">
        <v>5104</v>
      </c>
      <c r="G2927" t="s">
        <v>652</v>
      </c>
      <c r="H2927" t="s">
        <v>3942</v>
      </c>
      <c r="J2927" t="s">
        <v>518</v>
      </c>
      <c r="K2927" t="s">
        <v>519</v>
      </c>
      <c r="M2927" t="s">
        <v>520</v>
      </c>
      <c r="N2927" t="s">
        <v>571</v>
      </c>
      <c r="O2927" t="s">
        <v>707</v>
      </c>
      <c r="P2927" t="s">
        <v>654</v>
      </c>
      <c r="Q2927" t="s">
        <v>638</v>
      </c>
      <c r="R2927" t="s">
        <v>729</v>
      </c>
      <c r="S2927" t="s">
        <v>778</v>
      </c>
      <c r="T2927" t="s">
        <v>709</v>
      </c>
      <c r="U2927">
        <v>157500</v>
      </c>
      <c r="V2927" t="s">
        <v>6406</v>
      </c>
      <c r="W2927" t="s">
        <v>711</v>
      </c>
      <c r="X2927" t="s">
        <v>3943</v>
      </c>
      <c r="Y2927" t="s">
        <v>3944</v>
      </c>
      <c r="Z2927" t="s">
        <v>3945</v>
      </c>
      <c r="AA2927" t="s">
        <v>3946</v>
      </c>
      <c r="AB2927" t="s">
        <v>3947</v>
      </c>
      <c r="AE2927">
        <v>-36.964554329999999</v>
      </c>
      <c r="AF2927">
        <v>174.90416396000001</v>
      </c>
      <c r="AG2927">
        <v>52</v>
      </c>
      <c r="AH2927">
        <v>0</v>
      </c>
      <c r="AI2927">
        <v>0</v>
      </c>
      <c r="AJ2927">
        <v>0</v>
      </c>
      <c r="AK2927">
        <v>10</v>
      </c>
      <c r="AL2927">
        <v>20</v>
      </c>
      <c r="AM2927">
        <v>21</v>
      </c>
      <c r="AN2927">
        <v>3</v>
      </c>
      <c r="AO2927">
        <v>54</v>
      </c>
      <c r="AP2927">
        <v>2</v>
      </c>
      <c r="AQ2927">
        <v>3</v>
      </c>
      <c r="AR2927">
        <v>8</v>
      </c>
      <c r="AS2927">
        <v>42</v>
      </c>
      <c r="AT2927">
        <v>1</v>
      </c>
    </row>
    <row r="2928" spans="1:46">
      <c r="A2928">
        <v>47630</v>
      </c>
      <c r="B2928" t="s">
        <v>16700</v>
      </c>
      <c r="E2928" t="s">
        <v>15157</v>
      </c>
      <c r="F2928" t="s">
        <v>898</v>
      </c>
      <c r="G2928" t="s">
        <v>652</v>
      </c>
      <c r="H2928" t="s">
        <v>4716</v>
      </c>
      <c r="J2928" t="s">
        <v>3962</v>
      </c>
      <c r="K2928" t="s">
        <v>519</v>
      </c>
      <c r="M2928" t="s">
        <v>520</v>
      </c>
      <c r="N2928" t="s">
        <v>539</v>
      </c>
      <c r="O2928" t="s">
        <v>813</v>
      </c>
      <c r="P2928" t="s">
        <v>654</v>
      </c>
      <c r="Q2928" t="s">
        <v>638</v>
      </c>
      <c r="R2928" t="s">
        <v>639</v>
      </c>
      <c r="S2928" t="s">
        <v>899</v>
      </c>
      <c r="T2928" t="s">
        <v>527</v>
      </c>
      <c r="U2928">
        <v>126100</v>
      </c>
      <c r="V2928" t="s">
        <v>5013</v>
      </c>
      <c r="W2928" t="s">
        <v>815</v>
      </c>
      <c r="X2928" t="s">
        <v>15158</v>
      </c>
      <c r="Y2928" t="s">
        <v>15157</v>
      </c>
      <c r="Z2928" t="s">
        <v>898</v>
      </c>
      <c r="AA2928" t="s">
        <v>3964</v>
      </c>
      <c r="AB2928" t="s">
        <v>15156</v>
      </c>
      <c r="AE2928">
        <v>-36.877238579999997</v>
      </c>
      <c r="AF2928">
        <v>174.61818794999999</v>
      </c>
      <c r="AG2928">
        <v>50</v>
      </c>
      <c r="AH2928">
        <v>50</v>
      </c>
      <c r="AI2928">
        <v>1</v>
      </c>
      <c r="AJ2928">
        <v>2</v>
      </c>
      <c r="AK2928">
        <v>8</v>
      </c>
      <c r="AL2928">
        <v>9</v>
      </c>
      <c r="AM2928">
        <v>1</v>
      </c>
      <c r="AN2928">
        <v>1</v>
      </c>
      <c r="AO2928">
        <v>22</v>
      </c>
      <c r="AP2928">
        <v>0</v>
      </c>
      <c r="AQ2928">
        <v>0</v>
      </c>
      <c r="AR2928">
        <v>15</v>
      </c>
      <c r="AS2928">
        <v>0</v>
      </c>
      <c r="AT2928">
        <v>7</v>
      </c>
    </row>
    <row r="2929" spans="1:46">
      <c r="A2929">
        <v>47632</v>
      </c>
      <c r="B2929" t="s">
        <v>16701</v>
      </c>
      <c r="C2929" t="s">
        <v>14622</v>
      </c>
      <c r="D2929" t="s">
        <v>16702</v>
      </c>
      <c r="E2929" t="s">
        <v>14623</v>
      </c>
      <c r="F2929" t="s">
        <v>3019</v>
      </c>
      <c r="G2929" t="s">
        <v>2941</v>
      </c>
      <c r="H2929" t="s">
        <v>4716</v>
      </c>
      <c r="J2929" t="s">
        <v>3962</v>
      </c>
      <c r="K2929" t="s">
        <v>519</v>
      </c>
      <c r="M2929" t="s">
        <v>2287</v>
      </c>
      <c r="N2929" t="s">
        <v>571</v>
      </c>
      <c r="O2929" t="s">
        <v>2942</v>
      </c>
      <c r="P2929" t="s">
        <v>654</v>
      </c>
      <c r="Q2929" t="s">
        <v>2943</v>
      </c>
      <c r="R2929" t="s">
        <v>2944</v>
      </c>
      <c r="S2929" t="s">
        <v>3019</v>
      </c>
      <c r="T2929" t="s">
        <v>2448</v>
      </c>
      <c r="U2929">
        <v>321901</v>
      </c>
      <c r="V2929" t="s">
        <v>14624</v>
      </c>
      <c r="W2929" t="s">
        <v>3020</v>
      </c>
      <c r="X2929" t="s">
        <v>14625</v>
      </c>
      <c r="Y2929" t="s">
        <v>14623</v>
      </c>
      <c r="Z2929" t="s">
        <v>3019</v>
      </c>
      <c r="AA2929" t="s">
        <v>11419</v>
      </c>
      <c r="AB2929" t="s">
        <v>14622</v>
      </c>
      <c r="AE2929">
        <v>-43.551870829999999</v>
      </c>
      <c r="AF2929">
        <v>172.54133794000001</v>
      </c>
      <c r="AG2929">
        <v>80</v>
      </c>
      <c r="AH2929">
        <v>80</v>
      </c>
      <c r="AI2929">
        <v>10</v>
      </c>
      <c r="AJ2929">
        <v>6</v>
      </c>
      <c r="AK2929">
        <v>15</v>
      </c>
      <c r="AL2929">
        <v>6</v>
      </c>
      <c r="AM2929">
        <v>4</v>
      </c>
      <c r="AN2929">
        <v>0</v>
      </c>
      <c r="AO2929">
        <v>41</v>
      </c>
      <c r="AP2929">
        <v>6</v>
      </c>
      <c r="AQ2929">
        <v>0</v>
      </c>
      <c r="AR2929">
        <v>0</v>
      </c>
      <c r="AS2929">
        <v>37</v>
      </c>
      <c r="AT2929">
        <v>4</v>
      </c>
    </row>
    <row r="2930" spans="1:46">
      <c r="A2930">
        <v>47634</v>
      </c>
      <c r="B2930" t="s">
        <v>16703</v>
      </c>
      <c r="C2930" t="s">
        <v>16704</v>
      </c>
      <c r="D2930" t="s">
        <v>16705</v>
      </c>
      <c r="E2930" t="s">
        <v>16706</v>
      </c>
      <c r="F2930" t="s">
        <v>847</v>
      </c>
      <c r="G2930" t="s">
        <v>652</v>
      </c>
      <c r="H2930" t="s">
        <v>3942</v>
      </c>
      <c r="J2930" t="s">
        <v>518</v>
      </c>
      <c r="K2930" t="s">
        <v>519</v>
      </c>
      <c r="M2930" t="s">
        <v>520</v>
      </c>
      <c r="N2930" t="s">
        <v>521</v>
      </c>
      <c r="O2930" t="s">
        <v>848</v>
      </c>
      <c r="P2930" t="s">
        <v>654</v>
      </c>
      <c r="Q2930" t="s">
        <v>638</v>
      </c>
      <c r="R2930" t="s">
        <v>729</v>
      </c>
      <c r="S2930" t="s">
        <v>849</v>
      </c>
      <c r="T2930" t="s">
        <v>709</v>
      </c>
      <c r="U2930">
        <v>151200</v>
      </c>
      <c r="V2930" t="s">
        <v>4576</v>
      </c>
      <c r="W2930" t="s">
        <v>732</v>
      </c>
      <c r="X2930" t="s">
        <v>16707</v>
      </c>
      <c r="Y2930" t="s">
        <v>16708</v>
      </c>
      <c r="Z2930" t="s">
        <v>847</v>
      </c>
      <c r="AA2930" t="s">
        <v>4226</v>
      </c>
      <c r="AB2930" t="s">
        <v>16704</v>
      </c>
      <c r="AC2930">
        <v>99124</v>
      </c>
      <c r="AD2930" t="s">
        <v>4579</v>
      </c>
      <c r="AE2930">
        <v>-36.96496029</v>
      </c>
      <c r="AF2930">
        <v>174.81502595000001</v>
      </c>
      <c r="AG2930">
        <v>40</v>
      </c>
      <c r="AH2930">
        <v>5</v>
      </c>
      <c r="AI2930">
        <v>0</v>
      </c>
      <c r="AJ2930">
        <v>3</v>
      </c>
      <c r="AK2930">
        <v>6</v>
      </c>
      <c r="AL2930">
        <v>10</v>
      </c>
      <c r="AM2930">
        <v>14</v>
      </c>
      <c r="AN2930">
        <v>0</v>
      </c>
      <c r="AO2930">
        <v>33</v>
      </c>
      <c r="AP2930">
        <v>3</v>
      </c>
      <c r="AQ2930">
        <v>7</v>
      </c>
      <c r="AR2930">
        <v>27</v>
      </c>
      <c r="AS2930">
        <v>3</v>
      </c>
      <c r="AT2930">
        <v>3</v>
      </c>
    </row>
    <row r="2931" spans="1:46">
      <c r="A2931">
        <v>47635</v>
      </c>
      <c r="B2931" t="s">
        <v>16709</v>
      </c>
      <c r="D2931" t="s">
        <v>16710</v>
      </c>
      <c r="E2931" t="s">
        <v>16711</v>
      </c>
      <c r="G2931" t="s">
        <v>3811</v>
      </c>
      <c r="H2931" t="s">
        <v>3942</v>
      </c>
      <c r="J2931" t="s">
        <v>3962</v>
      </c>
      <c r="K2931" t="s">
        <v>519</v>
      </c>
      <c r="M2931" t="s">
        <v>520</v>
      </c>
      <c r="N2931" t="s">
        <v>557</v>
      </c>
      <c r="O2931" t="s">
        <v>1351</v>
      </c>
      <c r="P2931" t="s">
        <v>523</v>
      </c>
      <c r="Q2931" t="s">
        <v>1299</v>
      </c>
      <c r="R2931" t="s">
        <v>729</v>
      </c>
      <c r="S2931" t="s">
        <v>1246</v>
      </c>
      <c r="T2931" t="s">
        <v>1235</v>
      </c>
      <c r="U2931">
        <v>170300</v>
      </c>
      <c r="V2931" t="s">
        <v>3812</v>
      </c>
      <c r="W2931" t="s">
        <v>3813</v>
      </c>
      <c r="X2931" t="s">
        <v>16712</v>
      </c>
      <c r="Y2931" t="s">
        <v>16713</v>
      </c>
      <c r="Z2931" t="s">
        <v>778</v>
      </c>
      <c r="AA2931" t="s">
        <v>11818</v>
      </c>
      <c r="AE2931">
        <v>-37.265688470000001</v>
      </c>
      <c r="AF2931">
        <v>174.94127990999999</v>
      </c>
      <c r="AG2931">
        <v>53</v>
      </c>
      <c r="AH2931">
        <v>15</v>
      </c>
      <c r="AI2931">
        <v>5</v>
      </c>
      <c r="AJ2931">
        <v>8</v>
      </c>
      <c r="AK2931">
        <v>13</v>
      </c>
      <c r="AL2931">
        <v>10</v>
      </c>
      <c r="AM2931">
        <v>18</v>
      </c>
      <c r="AN2931">
        <v>0</v>
      </c>
      <c r="AO2931">
        <v>54</v>
      </c>
      <c r="AP2931">
        <v>41</v>
      </c>
      <c r="AQ2931">
        <v>21</v>
      </c>
      <c r="AR2931">
        <v>9</v>
      </c>
      <c r="AS2931">
        <v>5</v>
      </c>
      <c r="AT2931">
        <v>4</v>
      </c>
    </row>
    <row r="2932" spans="1:46">
      <c r="A2932">
        <v>47636</v>
      </c>
      <c r="B2932" t="s">
        <v>16714</v>
      </c>
      <c r="C2932" t="s">
        <v>16715</v>
      </c>
      <c r="D2932" t="s">
        <v>16716</v>
      </c>
      <c r="E2932" t="s">
        <v>16717</v>
      </c>
      <c r="G2932" t="s">
        <v>3480</v>
      </c>
      <c r="H2932" t="s">
        <v>3942</v>
      </c>
      <c r="I2932" t="s">
        <v>9092</v>
      </c>
      <c r="J2932" t="s">
        <v>518</v>
      </c>
      <c r="K2932" t="s">
        <v>519</v>
      </c>
      <c r="M2932" t="s">
        <v>2287</v>
      </c>
      <c r="N2932" t="s">
        <v>571</v>
      </c>
      <c r="O2932" t="s">
        <v>3481</v>
      </c>
      <c r="P2932" t="s">
        <v>523</v>
      </c>
      <c r="Q2932" t="s">
        <v>3337</v>
      </c>
      <c r="R2932" t="s">
        <v>3338</v>
      </c>
      <c r="S2932" t="s">
        <v>3384</v>
      </c>
      <c r="T2932" t="s">
        <v>2448</v>
      </c>
      <c r="U2932">
        <v>356500</v>
      </c>
      <c r="V2932" t="s">
        <v>3482</v>
      </c>
      <c r="W2932" t="s">
        <v>3483</v>
      </c>
      <c r="X2932" t="s">
        <v>16718</v>
      </c>
      <c r="Y2932" t="s">
        <v>16719</v>
      </c>
      <c r="Z2932" t="s">
        <v>660</v>
      </c>
      <c r="AA2932" t="s">
        <v>16720</v>
      </c>
      <c r="AB2932" t="s">
        <v>16721</v>
      </c>
      <c r="AC2932">
        <v>99080</v>
      </c>
      <c r="AD2932" t="s">
        <v>3486</v>
      </c>
      <c r="AE2932">
        <v>-46.23872214</v>
      </c>
      <c r="AF2932">
        <v>169.73786813000001</v>
      </c>
      <c r="AG2932">
        <v>70</v>
      </c>
      <c r="AH2932">
        <v>20</v>
      </c>
      <c r="AI2932">
        <v>4</v>
      </c>
      <c r="AJ2932">
        <v>18</v>
      </c>
      <c r="AK2932">
        <v>23</v>
      </c>
      <c r="AL2932">
        <v>17</v>
      </c>
      <c r="AM2932">
        <v>9</v>
      </c>
      <c r="AN2932">
        <v>0</v>
      </c>
      <c r="AO2932">
        <v>71</v>
      </c>
      <c r="AP2932">
        <v>64</v>
      </c>
      <c r="AQ2932">
        <v>18</v>
      </c>
      <c r="AR2932">
        <v>8</v>
      </c>
      <c r="AS2932">
        <v>5</v>
      </c>
      <c r="AT2932">
        <v>0</v>
      </c>
    </row>
    <row r="2933" spans="1:46">
      <c r="A2933">
        <v>47638</v>
      </c>
      <c r="B2933" t="s">
        <v>16722</v>
      </c>
      <c r="C2933" t="s">
        <v>16723</v>
      </c>
      <c r="D2933" t="s">
        <v>16724</v>
      </c>
      <c r="E2933" t="s">
        <v>16725</v>
      </c>
      <c r="F2933" t="s">
        <v>1234</v>
      </c>
      <c r="G2933" t="s">
        <v>652</v>
      </c>
      <c r="H2933" t="s">
        <v>3942</v>
      </c>
      <c r="J2933" t="s">
        <v>3962</v>
      </c>
      <c r="K2933" t="s">
        <v>519</v>
      </c>
      <c r="M2933" t="s">
        <v>520</v>
      </c>
      <c r="N2933" t="s">
        <v>571</v>
      </c>
      <c r="O2933" t="s">
        <v>1268</v>
      </c>
      <c r="P2933" t="s">
        <v>654</v>
      </c>
      <c r="Q2933" t="s">
        <v>638</v>
      </c>
      <c r="R2933" t="s">
        <v>729</v>
      </c>
      <c r="S2933" t="s">
        <v>1234</v>
      </c>
      <c r="T2933" t="s">
        <v>1235</v>
      </c>
      <c r="U2933">
        <v>163200</v>
      </c>
      <c r="V2933" t="s">
        <v>4044</v>
      </c>
      <c r="W2933" t="s">
        <v>1219</v>
      </c>
      <c r="X2933" t="s">
        <v>11816</v>
      </c>
      <c r="Y2933" t="s">
        <v>11817</v>
      </c>
      <c r="Z2933" t="s">
        <v>778</v>
      </c>
      <c r="AA2933" t="s">
        <v>11818</v>
      </c>
      <c r="AB2933" t="s">
        <v>11819</v>
      </c>
      <c r="AE2933">
        <v>-37.065499840000001</v>
      </c>
      <c r="AF2933">
        <v>174.94007630999999</v>
      </c>
      <c r="AG2933">
        <v>64</v>
      </c>
      <c r="AH2933">
        <v>15</v>
      </c>
      <c r="AI2933">
        <v>2</v>
      </c>
      <c r="AJ2933">
        <v>8</v>
      </c>
      <c r="AK2933">
        <v>14</v>
      </c>
      <c r="AL2933">
        <v>15</v>
      </c>
      <c r="AM2933">
        <v>21</v>
      </c>
      <c r="AN2933">
        <v>3</v>
      </c>
      <c r="AO2933">
        <v>63</v>
      </c>
      <c r="AP2933">
        <v>13</v>
      </c>
      <c r="AQ2933">
        <v>8</v>
      </c>
      <c r="AR2933">
        <v>2</v>
      </c>
      <c r="AS2933">
        <v>47</v>
      </c>
      <c r="AT2933">
        <v>1</v>
      </c>
    </row>
    <row r="2934" spans="1:46">
      <c r="A2934">
        <v>47640</v>
      </c>
      <c r="B2934" t="s">
        <v>16726</v>
      </c>
      <c r="E2934" t="s">
        <v>16727</v>
      </c>
      <c r="F2934" t="s">
        <v>2426</v>
      </c>
      <c r="G2934" t="s">
        <v>2427</v>
      </c>
      <c r="H2934" t="s">
        <v>8824</v>
      </c>
      <c r="I2934" t="s">
        <v>4951</v>
      </c>
      <c r="J2934" t="s">
        <v>3962</v>
      </c>
      <c r="K2934" t="s">
        <v>519</v>
      </c>
      <c r="M2934" t="s">
        <v>2287</v>
      </c>
      <c r="N2934" t="s">
        <v>571</v>
      </c>
      <c r="O2934" t="s">
        <v>2428</v>
      </c>
      <c r="P2934" t="s">
        <v>654</v>
      </c>
      <c r="Q2934" t="s">
        <v>2319</v>
      </c>
      <c r="R2934" t="s">
        <v>2289</v>
      </c>
      <c r="S2934" t="s">
        <v>2429</v>
      </c>
      <c r="T2934" t="s">
        <v>2085</v>
      </c>
      <c r="U2934">
        <v>247100</v>
      </c>
      <c r="V2934" t="s">
        <v>13336</v>
      </c>
      <c r="W2934" t="s">
        <v>2431</v>
      </c>
      <c r="X2934" t="s">
        <v>16728</v>
      </c>
      <c r="Y2934" t="s">
        <v>16729</v>
      </c>
      <c r="Z2934" t="s">
        <v>2426</v>
      </c>
      <c r="AA2934" t="s">
        <v>13339</v>
      </c>
      <c r="AB2934" t="s">
        <v>16730</v>
      </c>
      <c r="AC2934">
        <v>99090</v>
      </c>
      <c r="AD2934" t="s">
        <v>2436</v>
      </c>
      <c r="AE2934">
        <v>-41.265812680000003</v>
      </c>
      <c r="AF2934">
        <v>174.93191296000001</v>
      </c>
      <c r="AG2934">
        <v>25</v>
      </c>
      <c r="AH2934">
        <v>10</v>
      </c>
      <c r="AI2934">
        <v>0</v>
      </c>
      <c r="AJ2934">
        <v>2</v>
      </c>
      <c r="AK2934">
        <v>6</v>
      </c>
      <c r="AL2934">
        <v>7</v>
      </c>
      <c r="AM2934">
        <v>4</v>
      </c>
      <c r="AN2934">
        <v>0</v>
      </c>
      <c r="AO2934">
        <v>19</v>
      </c>
      <c r="AP2934">
        <v>8</v>
      </c>
      <c r="AQ2934">
        <v>15</v>
      </c>
      <c r="AR2934">
        <v>8</v>
      </c>
      <c r="AS2934">
        <v>0</v>
      </c>
      <c r="AT2934">
        <v>0</v>
      </c>
    </row>
    <row r="2935" spans="1:46">
      <c r="A2935">
        <v>47641</v>
      </c>
      <c r="B2935" t="s">
        <v>16731</v>
      </c>
      <c r="D2935" t="s">
        <v>16732</v>
      </c>
      <c r="E2935" t="s">
        <v>16733</v>
      </c>
      <c r="G2935" t="s">
        <v>1460</v>
      </c>
      <c r="H2935" t="s">
        <v>3942</v>
      </c>
      <c r="J2935" t="s">
        <v>3962</v>
      </c>
      <c r="K2935" t="s">
        <v>519</v>
      </c>
      <c r="M2935" t="s">
        <v>1297</v>
      </c>
      <c r="N2935" t="s">
        <v>571</v>
      </c>
      <c r="O2935" t="s">
        <v>1461</v>
      </c>
      <c r="P2935" t="s">
        <v>523</v>
      </c>
      <c r="Q2935" t="s">
        <v>1299</v>
      </c>
      <c r="R2935" t="s">
        <v>1300</v>
      </c>
      <c r="S2935" t="s">
        <v>1438</v>
      </c>
      <c r="T2935" t="s">
        <v>1235</v>
      </c>
      <c r="U2935">
        <v>167700</v>
      </c>
      <c r="V2935" t="s">
        <v>1462</v>
      </c>
      <c r="W2935" t="s">
        <v>1463</v>
      </c>
      <c r="X2935" t="s">
        <v>16734</v>
      </c>
      <c r="Y2935" t="s">
        <v>16735</v>
      </c>
      <c r="AA2935" t="s">
        <v>16736</v>
      </c>
      <c r="AB2935" t="s">
        <v>16737</v>
      </c>
      <c r="AC2935">
        <v>99087</v>
      </c>
      <c r="AD2935" t="s">
        <v>1464</v>
      </c>
      <c r="AE2935">
        <v>-37.139913120000003</v>
      </c>
      <c r="AF2935">
        <v>175.54207693999999</v>
      </c>
      <c r="AG2935">
        <v>30</v>
      </c>
      <c r="AH2935">
        <v>10</v>
      </c>
      <c r="AI2935">
        <v>1</v>
      </c>
      <c r="AJ2935">
        <v>10</v>
      </c>
      <c r="AK2935">
        <v>8</v>
      </c>
      <c r="AL2935">
        <v>10</v>
      </c>
      <c r="AM2935">
        <v>12</v>
      </c>
      <c r="AN2935">
        <v>0</v>
      </c>
      <c r="AO2935">
        <v>41</v>
      </c>
      <c r="AP2935">
        <v>37</v>
      </c>
      <c r="AQ2935">
        <v>8</v>
      </c>
      <c r="AR2935">
        <v>0</v>
      </c>
      <c r="AS2935">
        <v>1</v>
      </c>
      <c r="AT2935">
        <v>3</v>
      </c>
    </row>
    <row r="2936" spans="1:46">
      <c r="A2936">
        <v>47642</v>
      </c>
      <c r="B2936" t="s">
        <v>16738</v>
      </c>
      <c r="C2936" t="s">
        <v>16739</v>
      </c>
      <c r="E2936" t="s">
        <v>16740</v>
      </c>
      <c r="F2936" t="s">
        <v>4929</v>
      </c>
      <c r="G2936" t="s">
        <v>652</v>
      </c>
      <c r="H2936" t="s">
        <v>3942</v>
      </c>
      <c r="J2936" t="s">
        <v>3962</v>
      </c>
      <c r="K2936" t="s">
        <v>519</v>
      </c>
      <c r="M2936" t="s">
        <v>520</v>
      </c>
      <c r="N2936" t="s">
        <v>571</v>
      </c>
      <c r="O2936" t="s">
        <v>813</v>
      </c>
      <c r="P2936" t="s">
        <v>654</v>
      </c>
      <c r="Q2936" t="s">
        <v>638</v>
      </c>
      <c r="R2936" t="s">
        <v>639</v>
      </c>
      <c r="S2936" t="s">
        <v>640</v>
      </c>
      <c r="T2936" t="s">
        <v>527</v>
      </c>
      <c r="U2936">
        <v>118800</v>
      </c>
      <c r="V2936" t="s">
        <v>14684</v>
      </c>
      <c r="W2936" t="s">
        <v>815</v>
      </c>
      <c r="X2936" t="s">
        <v>13078</v>
      </c>
      <c r="Y2936" t="s">
        <v>16741</v>
      </c>
      <c r="Z2936" t="s">
        <v>822</v>
      </c>
      <c r="AA2936" t="s">
        <v>5194</v>
      </c>
      <c r="AB2936" t="s">
        <v>13080</v>
      </c>
      <c r="AE2936">
        <v>-36.80921395</v>
      </c>
      <c r="AF2936">
        <v>174.59945590000001</v>
      </c>
      <c r="AG2936">
        <v>125</v>
      </c>
      <c r="AH2936">
        <v>40</v>
      </c>
      <c r="AI2936">
        <v>9</v>
      </c>
      <c r="AJ2936">
        <v>25</v>
      </c>
      <c r="AK2936">
        <v>26</v>
      </c>
      <c r="AL2936">
        <v>31</v>
      </c>
      <c r="AM2936">
        <v>29</v>
      </c>
      <c r="AN2936">
        <v>1</v>
      </c>
      <c r="AO2936">
        <v>121</v>
      </c>
      <c r="AP2936">
        <v>89</v>
      </c>
      <c r="AQ2936">
        <v>27</v>
      </c>
      <c r="AR2936">
        <v>20</v>
      </c>
      <c r="AS2936">
        <v>40</v>
      </c>
      <c r="AT2936">
        <v>8</v>
      </c>
    </row>
    <row r="2937" spans="1:46">
      <c r="A2937">
        <v>47645</v>
      </c>
      <c r="B2937" t="s">
        <v>16742</v>
      </c>
      <c r="C2937" t="s">
        <v>7446</v>
      </c>
      <c r="E2937" t="s">
        <v>16743</v>
      </c>
      <c r="F2937" t="s">
        <v>4203</v>
      </c>
      <c r="G2937" t="s">
        <v>652</v>
      </c>
      <c r="H2937" t="s">
        <v>3942</v>
      </c>
      <c r="J2937" t="s">
        <v>518</v>
      </c>
      <c r="K2937" t="s">
        <v>519</v>
      </c>
      <c r="M2937" t="s">
        <v>520</v>
      </c>
      <c r="N2937" t="s">
        <v>539</v>
      </c>
      <c r="O2937" t="s">
        <v>1216</v>
      </c>
      <c r="P2937" t="s">
        <v>654</v>
      </c>
      <c r="Q2937" t="s">
        <v>638</v>
      </c>
      <c r="R2937" t="s">
        <v>729</v>
      </c>
      <c r="S2937" t="s">
        <v>1036</v>
      </c>
      <c r="T2937" t="s">
        <v>709</v>
      </c>
      <c r="U2937">
        <v>160202</v>
      </c>
      <c r="V2937" t="s">
        <v>7550</v>
      </c>
      <c r="W2937" t="s">
        <v>1219</v>
      </c>
      <c r="X2937" t="s">
        <v>7449</v>
      </c>
      <c r="Y2937" t="s">
        <v>7450</v>
      </c>
      <c r="Z2937" t="s">
        <v>1036</v>
      </c>
      <c r="AA2937" t="s">
        <v>7336</v>
      </c>
      <c r="AE2937">
        <v>-37.011625479999999</v>
      </c>
      <c r="AF2937">
        <v>174.92343049999999</v>
      </c>
      <c r="AG2937">
        <v>60</v>
      </c>
      <c r="AH2937">
        <v>12</v>
      </c>
      <c r="AI2937">
        <v>1</v>
      </c>
      <c r="AJ2937">
        <v>8</v>
      </c>
      <c r="AK2937">
        <v>12</v>
      </c>
      <c r="AL2937">
        <v>14</v>
      </c>
      <c r="AM2937">
        <v>22</v>
      </c>
      <c r="AN2937">
        <v>2</v>
      </c>
      <c r="AO2937">
        <v>59</v>
      </c>
      <c r="AP2937">
        <v>23</v>
      </c>
      <c r="AQ2937">
        <v>16</v>
      </c>
      <c r="AR2937">
        <v>22</v>
      </c>
      <c r="AS2937">
        <v>15</v>
      </c>
      <c r="AT2937">
        <v>5</v>
      </c>
    </row>
    <row r="2938" spans="1:46">
      <c r="A2938">
        <v>47647</v>
      </c>
      <c r="B2938" t="s">
        <v>16744</v>
      </c>
      <c r="C2938" t="s">
        <v>16745</v>
      </c>
      <c r="E2938" t="s">
        <v>16746</v>
      </c>
      <c r="G2938" t="s">
        <v>1594</v>
      </c>
      <c r="H2938" t="s">
        <v>3942</v>
      </c>
      <c r="J2938" t="s">
        <v>3962</v>
      </c>
      <c r="K2938" t="s">
        <v>519</v>
      </c>
      <c r="M2938" t="s">
        <v>1297</v>
      </c>
      <c r="N2938" t="s">
        <v>727</v>
      </c>
      <c r="O2938" t="s">
        <v>1470</v>
      </c>
      <c r="P2938" t="s">
        <v>523</v>
      </c>
      <c r="Q2938" t="s">
        <v>1471</v>
      </c>
      <c r="R2938" t="s">
        <v>1472</v>
      </c>
      <c r="S2938" t="s">
        <v>1473</v>
      </c>
      <c r="T2938" t="s">
        <v>1474</v>
      </c>
      <c r="U2938">
        <v>203600</v>
      </c>
      <c r="V2938" t="s">
        <v>1594</v>
      </c>
      <c r="W2938" t="s">
        <v>1595</v>
      </c>
      <c r="X2938" t="s">
        <v>16747</v>
      </c>
      <c r="Y2938" t="s">
        <v>14459</v>
      </c>
      <c r="Z2938" t="s">
        <v>6203</v>
      </c>
      <c r="AA2938" t="s">
        <v>4356</v>
      </c>
      <c r="AE2938">
        <v>-38.455728190000002</v>
      </c>
      <c r="AF2938">
        <v>176.70338498999999</v>
      </c>
      <c r="AG2938">
        <v>21</v>
      </c>
      <c r="AH2938">
        <v>4</v>
      </c>
      <c r="AI2938">
        <v>0</v>
      </c>
      <c r="AJ2938">
        <v>0</v>
      </c>
      <c r="AK2938">
        <v>4</v>
      </c>
      <c r="AL2938">
        <v>2</v>
      </c>
      <c r="AM2938">
        <v>1</v>
      </c>
      <c r="AN2938">
        <v>0</v>
      </c>
      <c r="AO2938">
        <v>7</v>
      </c>
      <c r="AP2938">
        <v>3</v>
      </c>
      <c r="AQ2938">
        <v>7</v>
      </c>
      <c r="AR2938">
        <v>1</v>
      </c>
      <c r="AS2938">
        <v>0</v>
      </c>
      <c r="AT2938">
        <v>0</v>
      </c>
    </row>
    <row r="2939" spans="1:46">
      <c r="A2939">
        <v>47648</v>
      </c>
      <c r="B2939" t="s">
        <v>16748</v>
      </c>
      <c r="C2939" t="s">
        <v>16749</v>
      </c>
      <c r="D2939" t="s">
        <v>16750</v>
      </c>
      <c r="E2939" t="s">
        <v>16751</v>
      </c>
      <c r="F2939" t="s">
        <v>872</v>
      </c>
      <c r="G2939" t="s">
        <v>652</v>
      </c>
      <c r="H2939" t="s">
        <v>3942</v>
      </c>
      <c r="J2939" t="s">
        <v>3962</v>
      </c>
      <c r="K2939" t="s">
        <v>519</v>
      </c>
      <c r="M2939" t="s">
        <v>520</v>
      </c>
      <c r="N2939" t="s">
        <v>571</v>
      </c>
      <c r="O2939" t="s">
        <v>873</v>
      </c>
      <c r="P2939" t="s">
        <v>654</v>
      </c>
      <c r="Q2939" t="s">
        <v>638</v>
      </c>
      <c r="R2939" t="s">
        <v>639</v>
      </c>
      <c r="S2939" t="s">
        <v>719</v>
      </c>
      <c r="T2939" t="s">
        <v>709</v>
      </c>
      <c r="U2939">
        <v>130100</v>
      </c>
      <c r="V2939" t="s">
        <v>4983</v>
      </c>
      <c r="W2939" t="s">
        <v>815</v>
      </c>
      <c r="X2939" t="s">
        <v>16752</v>
      </c>
      <c r="Y2939" t="s">
        <v>16751</v>
      </c>
      <c r="Z2939" t="s">
        <v>872</v>
      </c>
      <c r="AA2939" t="s">
        <v>4985</v>
      </c>
      <c r="AB2939" t="s">
        <v>16753</v>
      </c>
      <c r="AC2939">
        <v>99029</v>
      </c>
      <c r="AD2939" t="s">
        <v>901</v>
      </c>
      <c r="AE2939">
        <v>-36.908753410000003</v>
      </c>
      <c r="AF2939">
        <v>174.639366</v>
      </c>
      <c r="AG2939">
        <v>120</v>
      </c>
      <c r="AH2939">
        <v>20</v>
      </c>
      <c r="AI2939">
        <v>1</v>
      </c>
      <c r="AJ2939">
        <v>12</v>
      </c>
      <c r="AK2939">
        <v>18</v>
      </c>
      <c r="AL2939">
        <v>28</v>
      </c>
      <c r="AM2939">
        <v>38</v>
      </c>
      <c r="AN2939">
        <v>1</v>
      </c>
      <c r="AO2939">
        <v>98</v>
      </c>
      <c r="AP2939">
        <v>37</v>
      </c>
      <c r="AQ2939">
        <v>13</v>
      </c>
      <c r="AR2939">
        <v>7</v>
      </c>
      <c r="AS2939">
        <v>59</v>
      </c>
      <c r="AT2939">
        <v>8</v>
      </c>
    </row>
    <row r="2940" spans="1:46">
      <c r="A2940">
        <v>47655</v>
      </c>
      <c r="B2940" t="s">
        <v>16754</v>
      </c>
      <c r="C2940" t="s">
        <v>16755</v>
      </c>
      <c r="E2940" t="s">
        <v>16756</v>
      </c>
      <c r="G2940" t="s">
        <v>1598</v>
      </c>
      <c r="H2940" t="s">
        <v>517</v>
      </c>
      <c r="J2940" t="s">
        <v>518</v>
      </c>
      <c r="K2940" t="s">
        <v>519</v>
      </c>
      <c r="M2940" t="s">
        <v>1297</v>
      </c>
      <c r="N2940" t="s">
        <v>571</v>
      </c>
      <c r="O2940" t="s">
        <v>1743</v>
      </c>
      <c r="P2940" t="s">
        <v>572</v>
      </c>
      <c r="Q2940" t="s">
        <v>1471</v>
      </c>
      <c r="R2940" t="s">
        <v>1472</v>
      </c>
      <c r="S2940" t="s">
        <v>1699</v>
      </c>
      <c r="T2940" t="s">
        <v>1474</v>
      </c>
      <c r="U2940">
        <v>191300</v>
      </c>
      <c r="V2940" t="s">
        <v>16757</v>
      </c>
      <c r="W2940" t="s">
        <v>8759</v>
      </c>
      <c r="X2940" t="s">
        <v>1596</v>
      </c>
      <c r="Y2940" t="s">
        <v>1597</v>
      </c>
      <c r="Z2940" t="s">
        <v>1598</v>
      </c>
      <c r="AA2940" t="s">
        <v>1599</v>
      </c>
      <c r="AB2940" t="s">
        <v>1600</v>
      </c>
      <c r="AE2940">
        <v>-37.697280399999997</v>
      </c>
      <c r="AF2940">
        <v>176.07385807</v>
      </c>
      <c r="AG2940">
        <v>42</v>
      </c>
      <c r="AH2940">
        <v>0</v>
      </c>
      <c r="AI2940">
        <v>0</v>
      </c>
      <c r="AJ2940">
        <v>0</v>
      </c>
      <c r="AK2940">
        <v>7</v>
      </c>
      <c r="AL2940">
        <v>17</v>
      </c>
      <c r="AM2940">
        <v>24</v>
      </c>
      <c r="AN2940">
        <v>0</v>
      </c>
      <c r="AO2940">
        <v>48</v>
      </c>
      <c r="AP2940">
        <v>43</v>
      </c>
      <c r="AQ2940">
        <v>10</v>
      </c>
      <c r="AR2940">
        <v>1</v>
      </c>
      <c r="AS2940">
        <v>5</v>
      </c>
      <c r="AT2940">
        <v>0</v>
      </c>
    </row>
    <row r="2941" spans="1:46">
      <c r="A2941">
        <v>47657</v>
      </c>
      <c r="B2941" t="s">
        <v>16758</v>
      </c>
      <c r="C2941" t="s">
        <v>16759</v>
      </c>
      <c r="E2941" t="s">
        <v>16760</v>
      </c>
      <c r="G2941" t="s">
        <v>1545</v>
      </c>
      <c r="H2941" t="s">
        <v>3942</v>
      </c>
      <c r="J2941" t="s">
        <v>3962</v>
      </c>
      <c r="K2941" t="s">
        <v>519</v>
      </c>
      <c r="M2941" t="s">
        <v>1297</v>
      </c>
      <c r="N2941" t="s">
        <v>571</v>
      </c>
      <c r="O2941" t="s">
        <v>1546</v>
      </c>
      <c r="P2941" t="s">
        <v>1262</v>
      </c>
      <c r="Q2941" t="s">
        <v>1299</v>
      </c>
      <c r="R2941" t="s">
        <v>1472</v>
      </c>
      <c r="S2941" t="s">
        <v>1320</v>
      </c>
      <c r="T2941" t="s">
        <v>1474</v>
      </c>
      <c r="U2941">
        <v>188600</v>
      </c>
      <c r="V2941" t="s">
        <v>9836</v>
      </c>
      <c r="W2941" t="s">
        <v>1548</v>
      </c>
      <c r="X2941" t="s">
        <v>9901</v>
      </c>
      <c r="Y2941" t="s">
        <v>4107</v>
      </c>
      <c r="AA2941" t="s">
        <v>3982</v>
      </c>
      <c r="AB2941" t="s">
        <v>9902</v>
      </c>
      <c r="AE2941">
        <v>-38.682295809999999</v>
      </c>
      <c r="AF2941">
        <v>176.07615311999999</v>
      </c>
      <c r="AG2941">
        <v>80</v>
      </c>
      <c r="AH2941">
        <v>25</v>
      </c>
      <c r="AI2941">
        <v>3</v>
      </c>
      <c r="AJ2941">
        <v>21</v>
      </c>
      <c r="AK2941">
        <v>14</v>
      </c>
      <c r="AL2941">
        <v>19</v>
      </c>
      <c r="AM2941">
        <v>13</v>
      </c>
      <c r="AN2941">
        <v>0</v>
      </c>
      <c r="AO2941">
        <v>70</v>
      </c>
      <c r="AP2941">
        <v>39</v>
      </c>
      <c r="AQ2941">
        <v>18</v>
      </c>
      <c r="AR2941">
        <v>4</v>
      </c>
      <c r="AS2941">
        <v>20</v>
      </c>
      <c r="AT2941">
        <v>8</v>
      </c>
    </row>
    <row r="2942" spans="1:46">
      <c r="A2942">
        <v>47658</v>
      </c>
      <c r="B2942" t="s">
        <v>16761</v>
      </c>
      <c r="C2942" t="s">
        <v>16762</v>
      </c>
      <c r="E2942" t="s">
        <v>16763</v>
      </c>
      <c r="F2942" t="s">
        <v>1035</v>
      </c>
      <c r="G2942" t="s">
        <v>652</v>
      </c>
      <c r="H2942" t="s">
        <v>343</v>
      </c>
      <c r="J2942" t="s">
        <v>518</v>
      </c>
      <c r="K2942" t="s">
        <v>519</v>
      </c>
      <c r="L2942" t="s">
        <v>4205</v>
      </c>
      <c r="M2942" t="s">
        <v>520</v>
      </c>
      <c r="N2942" t="s">
        <v>539</v>
      </c>
      <c r="O2942" t="s">
        <v>728</v>
      </c>
      <c r="P2942" t="s">
        <v>654</v>
      </c>
      <c r="Q2942" t="s">
        <v>638</v>
      </c>
      <c r="R2942" t="s">
        <v>729</v>
      </c>
      <c r="S2942" t="s">
        <v>1036</v>
      </c>
      <c r="T2942" t="s">
        <v>709</v>
      </c>
      <c r="U2942">
        <v>155901</v>
      </c>
      <c r="V2942" t="s">
        <v>1037</v>
      </c>
      <c r="W2942" t="s">
        <v>732</v>
      </c>
      <c r="X2942" t="s">
        <v>4207</v>
      </c>
      <c r="Y2942" t="s">
        <v>4208</v>
      </c>
      <c r="Z2942" t="s">
        <v>4209</v>
      </c>
      <c r="AA2942" t="s">
        <v>4210</v>
      </c>
      <c r="AE2942">
        <v>-36.99008396</v>
      </c>
      <c r="AF2942">
        <v>174.85529278999999</v>
      </c>
      <c r="AG2942">
        <v>42</v>
      </c>
      <c r="AH2942">
        <v>18</v>
      </c>
      <c r="AI2942">
        <v>3</v>
      </c>
      <c r="AJ2942">
        <v>10</v>
      </c>
      <c r="AK2942">
        <v>9</v>
      </c>
      <c r="AL2942">
        <v>10</v>
      </c>
      <c r="AM2942">
        <v>7</v>
      </c>
      <c r="AN2942">
        <v>0</v>
      </c>
      <c r="AO2942">
        <v>39</v>
      </c>
      <c r="AP2942">
        <v>0</v>
      </c>
      <c r="AQ2942">
        <v>37</v>
      </c>
      <c r="AR2942">
        <v>2</v>
      </c>
      <c r="AS2942">
        <v>0</v>
      </c>
      <c r="AT2942">
        <v>0</v>
      </c>
    </row>
    <row r="2943" spans="1:46">
      <c r="A2943">
        <v>47659</v>
      </c>
      <c r="B2943" t="s">
        <v>16764</v>
      </c>
      <c r="C2943" t="s">
        <v>16765</v>
      </c>
      <c r="D2943" t="s">
        <v>16766</v>
      </c>
      <c r="E2943" t="s">
        <v>16767</v>
      </c>
      <c r="F2943" t="s">
        <v>1167</v>
      </c>
      <c r="G2943" t="s">
        <v>652</v>
      </c>
      <c r="H2943" t="s">
        <v>3942</v>
      </c>
      <c r="J2943" t="s">
        <v>3962</v>
      </c>
      <c r="K2943" t="s">
        <v>519</v>
      </c>
      <c r="M2943" t="s">
        <v>520</v>
      </c>
      <c r="N2943" t="s">
        <v>571</v>
      </c>
      <c r="O2943" t="s">
        <v>637</v>
      </c>
      <c r="P2943" t="s">
        <v>523</v>
      </c>
      <c r="Q2943" t="s">
        <v>638</v>
      </c>
      <c r="R2943" t="s">
        <v>639</v>
      </c>
      <c r="S2943" t="s">
        <v>640</v>
      </c>
      <c r="T2943" t="s">
        <v>527</v>
      </c>
      <c r="U2943">
        <v>115002</v>
      </c>
      <c r="V2943" t="s">
        <v>6986</v>
      </c>
      <c r="W2943" t="s">
        <v>641</v>
      </c>
      <c r="X2943" t="s">
        <v>6967</v>
      </c>
      <c r="Y2943" t="s">
        <v>16768</v>
      </c>
      <c r="Z2943" t="s">
        <v>1189</v>
      </c>
      <c r="AA2943" t="s">
        <v>4307</v>
      </c>
      <c r="AE2943">
        <v>-36.772203500000003</v>
      </c>
      <c r="AF2943">
        <v>174.54354290000001</v>
      </c>
      <c r="AG2943">
        <v>43</v>
      </c>
      <c r="AH2943">
        <v>12</v>
      </c>
      <c r="AI2943">
        <v>2</v>
      </c>
      <c r="AJ2943">
        <v>7</v>
      </c>
      <c r="AK2943">
        <v>15</v>
      </c>
      <c r="AL2943">
        <v>5</v>
      </c>
      <c r="AM2943">
        <v>6</v>
      </c>
      <c r="AN2943">
        <v>1</v>
      </c>
      <c r="AO2943">
        <v>36</v>
      </c>
      <c r="AP2943">
        <v>21</v>
      </c>
      <c r="AQ2943">
        <v>10</v>
      </c>
      <c r="AR2943">
        <v>7</v>
      </c>
      <c r="AS2943">
        <v>9</v>
      </c>
      <c r="AT2943">
        <v>2</v>
      </c>
    </row>
    <row r="2944" spans="1:46">
      <c r="A2944">
        <v>47660</v>
      </c>
      <c r="B2944" t="s">
        <v>16769</v>
      </c>
      <c r="C2944" t="s">
        <v>16770</v>
      </c>
      <c r="E2944" t="s">
        <v>16771</v>
      </c>
      <c r="G2944" t="s">
        <v>12639</v>
      </c>
      <c r="H2944" t="s">
        <v>3942</v>
      </c>
      <c r="J2944" t="s">
        <v>3962</v>
      </c>
      <c r="K2944" t="s">
        <v>519</v>
      </c>
      <c r="M2944" t="s">
        <v>2287</v>
      </c>
      <c r="N2944" t="s">
        <v>571</v>
      </c>
      <c r="O2944" t="s">
        <v>3360</v>
      </c>
      <c r="P2944" t="s">
        <v>540</v>
      </c>
      <c r="Q2944" t="s">
        <v>3337</v>
      </c>
      <c r="R2944" t="s">
        <v>3338</v>
      </c>
      <c r="S2944" t="s">
        <v>3250</v>
      </c>
      <c r="T2944" t="s">
        <v>2448</v>
      </c>
      <c r="U2944">
        <v>345700</v>
      </c>
      <c r="V2944" t="s">
        <v>12640</v>
      </c>
      <c r="W2944" t="s">
        <v>12641</v>
      </c>
      <c r="X2944" t="s">
        <v>16772</v>
      </c>
      <c r="Y2944" t="s">
        <v>14881</v>
      </c>
      <c r="AA2944" t="s">
        <v>14882</v>
      </c>
      <c r="AB2944" t="s">
        <v>16773</v>
      </c>
      <c r="AE2944">
        <v>-45.126530039999999</v>
      </c>
      <c r="AF2944">
        <v>170.10108898999999</v>
      </c>
      <c r="AG2944">
        <v>27</v>
      </c>
      <c r="AH2944">
        <v>10</v>
      </c>
      <c r="AI2944">
        <v>0</v>
      </c>
      <c r="AJ2944">
        <v>5</v>
      </c>
      <c r="AK2944">
        <v>8</v>
      </c>
      <c r="AL2944">
        <v>9</v>
      </c>
      <c r="AM2944">
        <v>9</v>
      </c>
      <c r="AN2944">
        <v>0</v>
      </c>
      <c r="AO2944">
        <v>31</v>
      </c>
      <c r="AP2944">
        <v>31</v>
      </c>
      <c r="AQ2944">
        <v>7</v>
      </c>
      <c r="AR2944">
        <v>0</v>
      </c>
      <c r="AS2944">
        <v>0</v>
      </c>
      <c r="AT2944">
        <v>0</v>
      </c>
    </row>
    <row r="2945" spans="1:46">
      <c r="A2945">
        <v>47664</v>
      </c>
      <c r="B2945" t="s">
        <v>16774</v>
      </c>
      <c r="C2945" t="s">
        <v>16775</v>
      </c>
      <c r="E2945" t="s">
        <v>16776</v>
      </c>
      <c r="F2945" t="s">
        <v>2957</v>
      </c>
      <c r="G2945" t="s">
        <v>2941</v>
      </c>
      <c r="H2945" t="s">
        <v>3942</v>
      </c>
      <c r="J2945" t="s">
        <v>3962</v>
      </c>
      <c r="K2945" t="s">
        <v>519</v>
      </c>
      <c r="M2945" t="s">
        <v>2287</v>
      </c>
      <c r="N2945" t="s">
        <v>571</v>
      </c>
      <c r="O2945" t="s">
        <v>2942</v>
      </c>
      <c r="P2945" t="s">
        <v>654</v>
      </c>
      <c r="Q2945" t="s">
        <v>2943</v>
      </c>
      <c r="R2945" t="s">
        <v>2944</v>
      </c>
      <c r="S2945" t="s">
        <v>2957</v>
      </c>
      <c r="T2945" t="s">
        <v>2448</v>
      </c>
      <c r="U2945">
        <v>327100</v>
      </c>
      <c r="V2945" t="s">
        <v>16427</v>
      </c>
      <c r="W2945" t="s">
        <v>2443</v>
      </c>
      <c r="X2945" t="s">
        <v>16777</v>
      </c>
      <c r="Y2945" t="s">
        <v>15118</v>
      </c>
      <c r="Z2945" t="s">
        <v>8698</v>
      </c>
      <c r="AA2945" t="s">
        <v>2204</v>
      </c>
      <c r="AC2945">
        <v>99215</v>
      </c>
      <c r="AD2945" t="s">
        <v>10972</v>
      </c>
      <c r="AE2945">
        <v>-43.5372512</v>
      </c>
      <c r="AF2945">
        <v>172.63743600000001</v>
      </c>
      <c r="AG2945">
        <v>100</v>
      </c>
      <c r="AH2945">
        <v>30</v>
      </c>
      <c r="AI2945">
        <v>4</v>
      </c>
      <c r="AJ2945">
        <v>27</v>
      </c>
      <c r="AK2945">
        <v>32</v>
      </c>
      <c r="AL2945">
        <v>19</v>
      </c>
      <c r="AM2945">
        <v>17</v>
      </c>
      <c r="AN2945">
        <v>0</v>
      </c>
      <c r="AO2945">
        <v>99</v>
      </c>
      <c r="AP2945">
        <v>84</v>
      </c>
      <c r="AQ2945">
        <v>15</v>
      </c>
      <c r="AR2945">
        <v>2</v>
      </c>
      <c r="AS2945">
        <v>15</v>
      </c>
      <c r="AT2945">
        <v>4</v>
      </c>
    </row>
    <row r="2946" spans="1:46">
      <c r="A2946">
        <v>47666</v>
      </c>
      <c r="B2946" t="s">
        <v>16778</v>
      </c>
      <c r="C2946" t="s">
        <v>16779</v>
      </c>
      <c r="E2946" t="s">
        <v>16780</v>
      </c>
      <c r="F2946" t="s">
        <v>3770</v>
      </c>
      <c r="G2946" t="s">
        <v>1598</v>
      </c>
      <c r="H2946" t="s">
        <v>3942</v>
      </c>
      <c r="J2946" t="s">
        <v>3962</v>
      </c>
      <c r="K2946" t="s">
        <v>519</v>
      </c>
      <c r="M2946" t="s">
        <v>1297</v>
      </c>
      <c r="N2946" t="s">
        <v>571</v>
      </c>
      <c r="O2946" t="s">
        <v>1698</v>
      </c>
      <c r="P2946" t="s">
        <v>654</v>
      </c>
      <c r="Q2946" t="s">
        <v>1471</v>
      </c>
      <c r="R2946" t="s">
        <v>1472</v>
      </c>
      <c r="S2946" t="s">
        <v>1699</v>
      </c>
      <c r="T2946" t="s">
        <v>1474</v>
      </c>
      <c r="U2946">
        <v>197601</v>
      </c>
      <c r="V2946" t="s">
        <v>15438</v>
      </c>
      <c r="W2946" t="s">
        <v>3772</v>
      </c>
      <c r="X2946" t="s">
        <v>16781</v>
      </c>
      <c r="Y2946" t="s">
        <v>16590</v>
      </c>
      <c r="Z2946" t="s">
        <v>3770</v>
      </c>
      <c r="AA2946" t="s">
        <v>8884</v>
      </c>
      <c r="AB2946" t="s">
        <v>16779</v>
      </c>
      <c r="AE2946">
        <v>-37.719083519999998</v>
      </c>
      <c r="AF2946">
        <v>176.312648</v>
      </c>
      <c r="AG2946">
        <v>100</v>
      </c>
      <c r="AH2946">
        <v>30</v>
      </c>
      <c r="AI2946">
        <v>5</v>
      </c>
      <c r="AJ2946">
        <v>14</v>
      </c>
      <c r="AK2946">
        <v>32</v>
      </c>
      <c r="AL2946">
        <v>25</v>
      </c>
      <c r="AM2946">
        <v>31</v>
      </c>
      <c r="AN2946">
        <v>2</v>
      </c>
      <c r="AO2946">
        <v>109</v>
      </c>
      <c r="AP2946">
        <v>64</v>
      </c>
      <c r="AQ2946">
        <v>45</v>
      </c>
      <c r="AR2946">
        <v>5</v>
      </c>
      <c r="AS2946">
        <v>20</v>
      </c>
      <c r="AT2946">
        <v>4</v>
      </c>
    </row>
    <row r="2947" spans="1:46">
      <c r="A2947">
        <v>47669</v>
      </c>
      <c r="B2947" t="s">
        <v>6921</v>
      </c>
      <c r="C2947" t="s">
        <v>6927</v>
      </c>
      <c r="E2947" t="s">
        <v>16782</v>
      </c>
      <c r="F2947" t="s">
        <v>1035</v>
      </c>
      <c r="G2947" t="s">
        <v>652</v>
      </c>
      <c r="H2947" t="s">
        <v>3942</v>
      </c>
      <c r="J2947" t="s">
        <v>3962</v>
      </c>
      <c r="K2947" t="s">
        <v>519</v>
      </c>
      <c r="M2947" t="s">
        <v>520</v>
      </c>
      <c r="N2947" t="s">
        <v>539</v>
      </c>
      <c r="O2947" t="s">
        <v>728</v>
      </c>
      <c r="P2947" t="s">
        <v>654</v>
      </c>
      <c r="Q2947" t="s">
        <v>638</v>
      </c>
      <c r="R2947" t="s">
        <v>729</v>
      </c>
      <c r="S2947" t="s">
        <v>730</v>
      </c>
      <c r="T2947" t="s">
        <v>709</v>
      </c>
      <c r="U2947">
        <v>155602</v>
      </c>
      <c r="V2947" t="s">
        <v>16783</v>
      </c>
      <c r="W2947" t="s">
        <v>732</v>
      </c>
      <c r="X2947" t="s">
        <v>6925</v>
      </c>
      <c r="Y2947" t="s">
        <v>16784</v>
      </c>
      <c r="Z2947" t="s">
        <v>6203</v>
      </c>
      <c r="AA2947" t="s">
        <v>4356</v>
      </c>
      <c r="AB2947" t="s">
        <v>6927</v>
      </c>
      <c r="AE2947">
        <v>-36.971414170000003</v>
      </c>
      <c r="AF2947">
        <v>174.87597629999999</v>
      </c>
      <c r="AG2947">
        <v>60</v>
      </c>
      <c r="AH2947">
        <v>12</v>
      </c>
      <c r="AI2947">
        <v>3</v>
      </c>
      <c r="AJ2947">
        <v>12</v>
      </c>
      <c r="AK2947">
        <v>14</v>
      </c>
      <c r="AL2947">
        <v>16</v>
      </c>
      <c r="AM2947">
        <v>13</v>
      </c>
      <c r="AN2947">
        <v>0</v>
      </c>
      <c r="AO2947">
        <v>58</v>
      </c>
      <c r="AP2947">
        <v>1</v>
      </c>
      <c r="AQ2947">
        <v>7</v>
      </c>
      <c r="AR2947">
        <v>17</v>
      </c>
      <c r="AS2947">
        <v>47</v>
      </c>
      <c r="AT2947">
        <v>0</v>
      </c>
    </row>
    <row r="2948" spans="1:46">
      <c r="A2948">
        <v>47671</v>
      </c>
      <c r="B2948" t="s">
        <v>16785</v>
      </c>
      <c r="D2948" t="s">
        <v>16698</v>
      </c>
      <c r="E2948" t="s">
        <v>16786</v>
      </c>
      <c r="F2948" t="s">
        <v>872</v>
      </c>
      <c r="G2948" t="s">
        <v>652</v>
      </c>
      <c r="H2948" t="s">
        <v>3942</v>
      </c>
      <c r="J2948" t="s">
        <v>518</v>
      </c>
      <c r="K2948" t="s">
        <v>519</v>
      </c>
      <c r="M2948" t="s">
        <v>520</v>
      </c>
      <c r="N2948" t="s">
        <v>571</v>
      </c>
      <c r="O2948" t="s">
        <v>718</v>
      </c>
      <c r="P2948" t="s">
        <v>654</v>
      </c>
      <c r="Q2948" t="s">
        <v>638</v>
      </c>
      <c r="R2948" t="s">
        <v>639</v>
      </c>
      <c r="S2948" t="s">
        <v>719</v>
      </c>
      <c r="T2948" t="s">
        <v>709</v>
      </c>
      <c r="U2948">
        <v>129501</v>
      </c>
      <c r="V2948" t="s">
        <v>7093</v>
      </c>
      <c r="W2948" t="s">
        <v>721</v>
      </c>
      <c r="X2948" t="s">
        <v>3943</v>
      </c>
      <c r="Y2948" t="s">
        <v>3944</v>
      </c>
      <c r="Z2948" t="s">
        <v>3945</v>
      </c>
      <c r="AA2948" t="s">
        <v>3946</v>
      </c>
      <c r="AB2948" t="s">
        <v>3947</v>
      </c>
      <c r="AE2948">
        <v>-36.899988010000001</v>
      </c>
      <c r="AF2948">
        <v>174.65272231</v>
      </c>
      <c r="AG2948">
        <v>80</v>
      </c>
      <c r="AH2948">
        <v>20</v>
      </c>
      <c r="AI2948">
        <v>5</v>
      </c>
      <c r="AJ2948">
        <v>12</v>
      </c>
      <c r="AK2948">
        <v>14</v>
      </c>
      <c r="AL2948">
        <v>24</v>
      </c>
      <c r="AM2948">
        <v>25</v>
      </c>
      <c r="AN2948">
        <v>1</v>
      </c>
      <c r="AO2948">
        <v>81</v>
      </c>
      <c r="AP2948">
        <v>25</v>
      </c>
      <c r="AQ2948">
        <v>24</v>
      </c>
      <c r="AR2948">
        <v>25</v>
      </c>
      <c r="AS2948">
        <v>33</v>
      </c>
      <c r="AT2948">
        <v>4</v>
      </c>
    </row>
    <row r="2949" spans="1:46">
      <c r="A2949">
        <v>47672</v>
      </c>
      <c r="B2949" t="s">
        <v>16787</v>
      </c>
      <c r="E2949" t="s">
        <v>16788</v>
      </c>
      <c r="F2949" t="s">
        <v>3161</v>
      </c>
      <c r="G2949" t="s">
        <v>2941</v>
      </c>
      <c r="H2949" t="s">
        <v>3942</v>
      </c>
      <c r="J2949" t="s">
        <v>3962</v>
      </c>
      <c r="K2949" t="s">
        <v>519</v>
      </c>
      <c r="M2949" t="s">
        <v>2287</v>
      </c>
      <c r="N2949" t="s">
        <v>571</v>
      </c>
      <c r="O2949" t="s">
        <v>2942</v>
      </c>
      <c r="P2949" t="s">
        <v>654</v>
      </c>
      <c r="Q2949" t="s">
        <v>2943</v>
      </c>
      <c r="R2949" t="s">
        <v>2944</v>
      </c>
      <c r="S2949" t="s">
        <v>2973</v>
      </c>
      <c r="T2949" t="s">
        <v>2448</v>
      </c>
      <c r="U2949">
        <v>326500</v>
      </c>
      <c r="V2949" t="s">
        <v>3161</v>
      </c>
      <c r="W2949" t="s">
        <v>3126</v>
      </c>
      <c r="X2949" t="s">
        <v>13681</v>
      </c>
      <c r="Y2949" t="s">
        <v>13682</v>
      </c>
      <c r="AA2949" t="s">
        <v>13683</v>
      </c>
      <c r="AB2949" t="s">
        <v>13684</v>
      </c>
      <c r="AC2949">
        <v>99175</v>
      </c>
      <c r="AD2949" t="s">
        <v>3071</v>
      </c>
      <c r="AE2949">
        <v>-43.510428140000002</v>
      </c>
      <c r="AF2949">
        <v>172.66812394999999</v>
      </c>
      <c r="AG2949">
        <v>50</v>
      </c>
      <c r="AH2949">
        <v>14</v>
      </c>
      <c r="AI2949">
        <v>0</v>
      </c>
      <c r="AJ2949">
        <v>13</v>
      </c>
      <c r="AK2949">
        <v>6</v>
      </c>
      <c r="AL2949">
        <v>9</v>
      </c>
      <c r="AM2949">
        <v>7</v>
      </c>
      <c r="AN2949">
        <v>2</v>
      </c>
      <c r="AO2949">
        <v>37</v>
      </c>
      <c r="AP2949">
        <v>34</v>
      </c>
      <c r="AQ2949">
        <v>5</v>
      </c>
      <c r="AR2949">
        <v>4</v>
      </c>
      <c r="AS2949">
        <v>2</v>
      </c>
      <c r="AT2949">
        <v>1</v>
      </c>
    </row>
    <row r="2950" spans="1:46">
      <c r="A2950">
        <v>47673</v>
      </c>
      <c r="B2950" t="s">
        <v>16789</v>
      </c>
      <c r="C2950" t="s">
        <v>16790</v>
      </c>
      <c r="E2950" t="s">
        <v>16791</v>
      </c>
      <c r="F2950" t="s">
        <v>6601</v>
      </c>
      <c r="G2950" t="s">
        <v>652</v>
      </c>
      <c r="H2950" t="s">
        <v>3942</v>
      </c>
      <c r="J2950" t="s">
        <v>3962</v>
      </c>
      <c r="K2950" t="s">
        <v>519</v>
      </c>
      <c r="M2950" t="s">
        <v>520</v>
      </c>
      <c r="N2950" t="s">
        <v>571</v>
      </c>
      <c r="O2950" t="s">
        <v>813</v>
      </c>
      <c r="P2950" t="s">
        <v>654</v>
      </c>
      <c r="Q2950" t="s">
        <v>638</v>
      </c>
      <c r="R2950" t="s">
        <v>639</v>
      </c>
      <c r="S2950" t="s">
        <v>739</v>
      </c>
      <c r="T2950" t="s">
        <v>527</v>
      </c>
      <c r="U2950">
        <v>119800</v>
      </c>
      <c r="V2950" t="s">
        <v>920</v>
      </c>
      <c r="W2950" t="s">
        <v>815</v>
      </c>
      <c r="X2950" t="s">
        <v>14479</v>
      </c>
      <c r="Y2950" t="s">
        <v>14480</v>
      </c>
      <c r="Z2950" t="s">
        <v>803</v>
      </c>
      <c r="AA2950" t="s">
        <v>4768</v>
      </c>
      <c r="AB2950" t="s">
        <v>14481</v>
      </c>
      <c r="AE2950">
        <v>-36.816533900000003</v>
      </c>
      <c r="AF2950">
        <v>174.621983</v>
      </c>
      <c r="AG2950">
        <v>54</v>
      </c>
      <c r="AH2950">
        <v>10</v>
      </c>
      <c r="AI2950">
        <v>0</v>
      </c>
      <c r="AJ2950">
        <v>10</v>
      </c>
      <c r="AK2950">
        <v>14</v>
      </c>
      <c r="AL2950">
        <v>12</v>
      </c>
      <c r="AM2950">
        <v>12</v>
      </c>
      <c r="AN2950">
        <v>0</v>
      </c>
      <c r="AO2950">
        <v>48</v>
      </c>
      <c r="AP2950">
        <v>27</v>
      </c>
      <c r="AQ2950">
        <v>5</v>
      </c>
      <c r="AR2950">
        <v>5</v>
      </c>
      <c r="AS2950">
        <v>24</v>
      </c>
      <c r="AT2950">
        <v>1</v>
      </c>
    </row>
    <row r="2951" spans="1:46">
      <c r="A2951">
        <v>47675</v>
      </c>
      <c r="B2951" t="s">
        <v>16792</v>
      </c>
      <c r="E2951" t="s">
        <v>16793</v>
      </c>
      <c r="F2951" t="s">
        <v>1036</v>
      </c>
      <c r="G2951" t="s">
        <v>652</v>
      </c>
      <c r="H2951" t="s">
        <v>3942</v>
      </c>
      <c r="J2951" t="s">
        <v>3962</v>
      </c>
      <c r="K2951" t="s">
        <v>519</v>
      </c>
      <c r="M2951" t="s">
        <v>520</v>
      </c>
      <c r="N2951" t="s">
        <v>539</v>
      </c>
      <c r="O2951" t="s">
        <v>1216</v>
      </c>
      <c r="P2951" t="s">
        <v>654</v>
      </c>
      <c r="Q2951" t="s">
        <v>638</v>
      </c>
      <c r="R2951" t="s">
        <v>729</v>
      </c>
      <c r="S2951" t="s">
        <v>1036</v>
      </c>
      <c r="T2951" t="s">
        <v>709</v>
      </c>
      <c r="U2951">
        <v>160601</v>
      </c>
      <c r="V2951" t="s">
        <v>7679</v>
      </c>
      <c r="W2951" t="s">
        <v>1219</v>
      </c>
      <c r="X2951" t="s">
        <v>16794</v>
      </c>
      <c r="Y2951" t="s">
        <v>16795</v>
      </c>
      <c r="AA2951" t="s">
        <v>16796</v>
      </c>
      <c r="AE2951">
        <v>-37.029374220000001</v>
      </c>
      <c r="AF2951">
        <v>174.88719348999999</v>
      </c>
      <c r="AG2951">
        <v>50</v>
      </c>
      <c r="AH2951">
        <v>0</v>
      </c>
      <c r="AI2951">
        <v>0</v>
      </c>
      <c r="AJ2951">
        <v>0</v>
      </c>
      <c r="AK2951">
        <v>16</v>
      </c>
      <c r="AL2951">
        <v>26</v>
      </c>
      <c r="AM2951">
        <v>25</v>
      </c>
      <c r="AN2951">
        <v>1</v>
      </c>
      <c r="AO2951">
        <v>68</v>
      </c>
      <c r="AP2951">
        <v>1</v>
      </c>
      <c r="AQ2951">
        <v>11</v>
      </c>
      <c r="AR2951">
        <v>21</v>
      </c>
      <c r="AS2951">
        <v>43</v>
      </c>
      <c r="AT2951">
        <v>1</v>
      </c>
    </row>
    <row r="2952" spans="1:46">
      <c r="A2952">
        <v>47677</v>
      </c>
      <c r="B2952" t="s">
        <v>16797</v>
      </c>
      <c r="C2952" t="s">
        <v>16798</v>
      </c>
      <c r="D2952" t="s">
        <v>16799</v>
      </c>
      <c r="E2952" t="s">
        <v>16800</v>
      </c>
      <c r="F2952" t="s">
        <v>1217</v>
      </c>
      <c r="G2952" t="s">
        <v>652</v>
      </c>
      <c r="H2952" t="s">
        <v>3942</v>
      </c>
      <c r="J2952" t="s">
        <v>518</v>
      </c>
      <c r="K2952" t="s">
        <v>519</v>
      </c>
      <c r="M2952" t="s">
        <v>520</v>
      </c>
      <c r="N2952" t="s">
        <v>539</v>
      </c>
      <c r="O2952" t="s">
        <v>1268</v>
      </c>
      <c r="P2952" t="s">
        <v>654</v>
      </c>
      <c r="Q2952" t="s">
        <v>638</v>
      </c>
      <c r="R2952" t="s">
        <v>729</v>
      </c>
      <c r="S2952" t="s">
        <v>1217</v>
      </c>
      <c r="T2952" t="s">
        <v>709</v>
      </c>
      <c r="U2952">
        <v>162000</v>
      </c>
      <c r="V2952" t="s">
        <v>4049</v>
      </c>
      <c r="W2952" t="s">
        <v>1219</v>
      </c>
      <c r="X2952" t="s">
        <v>16801</v>
      </c>
      <c r="Y2952" t="s">
        <v>16802</v>
      </c>
      <c r="Z2952" t="s">
        <v>1217</v>
      </c>
      <c r="AA2952" t="s">
        <v>9503</v>
      </c>
      <c r="AE2952">
        <v>-37.036341780000001</v>
      </c>
      <c r="AF2952">
        <v>174.92104079999999</v>
      </c>
      <c r="AG2952">
        <v>35</v>
      </c>
      <c r="AH2952">
        <v>0</v>
      </c>
      <c r="AI2952">
        <v>0</v>
      </c>
      <c r="AJ2952">
        <v>0</v>
      </c>
      <c r="AK2952">
        <v>6</v>
      </c>
      <c r="AL2952">
        <v>17</v>
      </c>
      <c r="AM2952">
        <v>10</v>
      </c>
      <c r="AN2952">
        <v>0</v>
      </c>
      <c r="AO2952">
        <v>33</v>
      </c>
      <c r="AP2952">
        <v>0</v>
      </c>
      <c r="AQ2952">
        <v>0</v>
      </c>
      <c r="AR2952">
        <v>1</v>
      </c>
      <c r="AS2952">
        <v>33</v>
      </c>
      <c r="AT2952">
        <v>0</v>
      </c>
    </row>
    <row r="2953" spans="1:46">
      <c r="A2953">
        <v>47678</v>
      </c>
      <c r="B2953" t="s">
        <v>16803</v>
      </c>
      <c r="C2953" t="s">
        <v>8761</v>
      </c>
      <c r="E2953" t="s">
        <v>16804</v>
      </c>
      <c r="F2953" t="s">
        <v>11307</v>
      </c>
      <c r="G2953" t="s">
        <v>1757</v>
      </c>
      <c r="H2953" t="s">
        <v>4716</v>
      </c>
      <c r="J2953" t="s">
        <v>3962</v>
      </c>
      <c r="K2953" t="s">
        <v>519</v>
      </c>
      <c r="M2953" t="s">
        <v>1297</v>
      </c>
      <c r="N2953" t="s">
        <v>557</v>
      </c>
      <c r="O2953" t="s">
        <v>1758</v>
      </c>
      <c r="P2953" t="s">
        <v>584</v>
      </c>
      <c r="Q2953" t="s">
        <v>1759</v>
      </c>
      <c r="R2953" t="s">
        <v>1760</v>
      </c>
      <c r="S2953" t="s">
        <v>1757</v>
      </c>
      <c r="T2953" t="s">
        <v>1485</v>
      </c>
      <c r="U2953">
        <v>217300</v>
      </c>
      <c r="V2953" t="s">
        <v>11307</v>
      </c>
      <c r="W2953" t="s">
        <v>1762</v>
      </c>
      <c r="X2953" t="s">
        <v>8764</v>
      </c>
      <c r="Y2953" t="s">
        <v>8763</v>
      </c>
      <c r="Z2953" t="s">
        <v>1313</v>
      </c>
      <c r="AA2953" t="s">
        <v>8511</v>
      </c>
      <c r="AB2953" t="s">
        <v>8761</v>
      </c>
      <c r="AE2953">
        <v>-39.052272039999998</v>
      </c>
      <c r="AF2953">
        <v>174.08796095</v>
      </c>
      <c r="AG2953">
        <v>50</v>
      </c>
      <c r="AH2953">
        <v>50</v>
      </c>
      <c r="AI2953">
        <v>3</v>
      </c>
      <c r="AJ2953">
        <v>8</v>
      </c>
      <c r="AK2953">
        <v>14</v>
      </c>
      <c r="AL2953">
        <v>9</v>
      </c>
      <c r="AM2953">
        <v>8</v>
      </c>
      <c r="AN2953">
        <v>3</v>
      </c>
      <c r="AO2953">
        <v>45</v>
      </c>
      <c r="AP2953">
        <v>40</v>
      </c>
      <c r="AQ2953">
        <v>14</v>
      </c>
      <c r="AR2953">
        <v>1</v>
      </c>
      <c r="AS2953">
        <v>1</v>
      </c>
      <c r="AT2953">
        <v>2</v>
      </c>
    </row>
    <row r="2954" spans="1:46">
      <c r="A2954">
        <v>47679</v>
      </c>
      <c r="B2954" t="s">
        <v>16805</v>
      </c>
      <c r="C2954" t="s">
        <v>16806</v>
      </c>
      <c r="D2954" t="s">
        <v>14743</v>
      </c>
      <c r="E2954" t="s">
        <v>16807</v>
      </c>
      <c r="G2954" t="s">
        <v>2216</v>
      </c>
      <c r="H2954" t="s">
        <v>3942</v>
      </c>
      <c r="J2954" t="s">
        <v>3962</v>
      </c>
      <c r="K2954" t="s">
        <v>519</v>
      </c>
      <c r="M2954" t="s">
        <v>1297</v>
      </c>
      <c r="N2954" t="s">
        <v>571</v>
      </c>
      <c r="O2954" t="s">
        <v>2198</v>
      </c>
      <c r="P2954" t="s">
        <v>1262</v>
      </c>
      <c r="Q2954" t="s">
        <v>2118</v>
      </c>
      <c r="R2954" t="s">
        <v>2084</v>
      </c>
      <c r="S2954" t="s">
        <v>2199</v>
      </c>
      <c r="T2954" t="s">
        <v>2085</v>
      </c>
      <c r="U2954">
        <v>211500</v>
      </c>
      <c r="V2954" t="s">
        <v>2217</v>
      </c>
      <c r="W2954" t="s">
        <v>2200</v>
      </c>
      <c r="X2954" t="s">
        <v>14745</v>
      </c>
      <c r="Y2954" t="s">
        <v>14746</v>
      </c>
      <c r="AA2954" t="s">
        <v>16808</v>
      </c>
      <c r="AB2954" t="s">
        <v>14748</v>
      </c>
      <c r="AC2954">
        <v>99022</v>
      </c>
      <c r="AD2954" t="s">
        <v>2218</v>
      </c>
      <c r="AE2954">
        <v>-39.663191169999997</v>
      </c>
      <c r="AF2954">
        <v>176.88315721000001</v>
      </c>
      <c r="AG2954">
        <v>57</v>
      </c>
      <c r="AH2954">
        <v>28</v>
      </c>
      <c r="AI2954">
        <v>27</v>
      </c>
      <c r="AJ2954">
        <v>8</v>
      </c>
      <c r="AK2954">
        <v>14</v>
      </c>
      <c r="AL2954">
        <v>8</v>
      </c>
      <c r="AM2954">
        <v>24</v>
      </c>
      <c r="AN2954">
        <v>0</v>
      </c>
      <c r="AO2954">
        <v>81</v>
      </c>
      <c r="AP2954">
        <v>69</v>
      </c>
      <c r="AQ2954">
        <v>25</v>
      </c>
      <c r="AR2954">
        <v>1</v>
      </c>
      <c r="AS2954">
        <v>5</v>
      </c>
      <c r="AT2954">
        <v>6</v>
      </c>
    </row>
    <row r="2955" spans="1:46">
      <c r="A2955">
        <v>47680</v>
      </c>
      <c r="B2955" t="s">
        <v>16809</v>
      </c>
      <c r="C2955" t="s">
        <v>16810</v>
      </c>
      <c r="D2955" t="s">
        <v>16811</v>
      </c>
      <c r="E2955" t="s">
        <v>16812</v>
      </c>
      <c r="F2955" t="s">
        <v>1017</v>
      </c>
      <c r="G2955" t="s">
        <v>652</v>
      </c>
      <c r="H2955" t="s">
        <v>3942</v>
      </c>
      <c r="J2955" t="s">
        <v>3962</v>
      </c>
      <c r="K2955" t="s">
        <v>519</v>
      </c>
      <c r="M2955" t="s">
        <v>520</v>
      </c>
      <c r="N2955" t="s">
        <v>571</v>
      </c>
      <c r="O2955" t="s">
        <v>857</v>
      </c>
      <c r="P2955" t="s">
        <v>654</v>
      </c>
      <c r="Q2955" t="s">
        <v>638</v>
      </c>
      <c r="R2955" t="s">
        <v>708</v>
      </c>
      <c r="S2955" t="s">
        <v>913</v>
      </c>
      <c r="T2955" t="s">
        <v>709</v>
      </c>
      <c r="U2955">
        <v>139300</v>
      </c>
      <c r="V2955" t="s">
        <v>6761</v>
      </c>
      <c r="W2955" t="s">
        <v>860</v>
      </c>
      <c r="X2955" t="s">
        <v>16813</v>
      </c>
      <c r="Y2955" t="s">
        <v>16814</v>
      </c>
      <c r="Z2955" t="s">
        <v>1177</v>
      </c>
      <c r="AA2955" t="s">
        <v>4289</v>
      </c>
      <c r="AE2955">
        <v>-36.892882</v>
      </c>
      <c r="AF2955">
        <v>174.7565199</v>
      </c>
      <c r="AG2955">
        <v>20</v>
      </c>
      <c r="AH2955">
        <v>0</v>
      </c>
      <c r="AI2955">
        <v>0</v>
      </c>
      <c r="AJ2955">
        <v>0</v>
      </c>
      <c r="AK2955">
        <v>4</v>
      </c>
      <c r="AL2955">
        <v>3</v>
      </c>
      <c r="AM2955">
        <v>3</v>
      </c>
      <c r="AN2955">
        <v>0</v>
      </c>
      <c r="AO2955">
        <v>10</v>
      </c>
      <c r="AP2955">
        <v>5</v>
      </c>
      <c r="AQ2955">
        <v>0</v>
      </c>
      <c r="AR2955">
        <v>0</v>
      </c>
      <c r="AS2955">
        <v>8</v>
      </c>
      <c r="AT2955">
        <v>0</v>
      </c>
    </row>
    <row r="2956" spans="1:46">
      <c r="A2956">
        <v>47681</v>
      </c>
      <c r="B2956" t="s">
        <v>16815</v>
      </c>
      <c r="C2956" t="s">
        <v>16816</v>
      </c>
      <c r="D2956" t="s">
        <v>16817</v>
      </c>
      <c r="E2956" t="s">
        <v>16818</v>
      </c>
      <c r="F2956" t="s">
        <v>4921</v>
      </c>
      <c r="G2956" t="s">
        <v>652</v>
      </c>
      <c r="H2956" t="s">
        <v>3942</v>
      </c>
      <c r="J2956" t="s">
        <v>3962</v>
      </c>
      <c r="K2956" t="s">
        <v>519</v>
      </c>
      <c r="M2956" t="s">
        <v>520</v>
      </c>
      <c r="N2956" t="s">
        <v>571</v>
      </c>
      <c r="O2956" t="s">
        <v>957</v>
      </c>
      <c r="P2956" t="s">
        <v>654</v>
      </c>
      <c r="Q2956" t="s">
        <v>638</v>
      </c>
      <c r="R2956" t="s">
        <v>708</v>
      </c>
      <c r="S2956" t="s">
        <v>958</v>
      </c>
      <c r="T2956" t="s">
        <v>709</v>
      </c>
      <c r="U2956">
        <v>133301</v>
      </c>
      <c r="V2956" t="s">
        <v>5028</v>
      </c>
      <c r="W2956" t="s">
        <v>959</v>
      </c>
      <c r="X2956" t="s">
        <v>4096</v>
      </c>
      <c r="Y2956" t="s">
        <v>4097</v>
      </c>
      <c r="Z2956" t="s">
        <v>4098</v>
      </c>
      <c r="AA2956" t="s">
        <v>4099</v>
      </c>
      <c r="AB2956" t="s">
        <v>4100</v>
      </c>
      <c r="AE2956">
        <v>-36.843854129999997</v>
      </c>
      <c r="AF2956">
        <v>174.76484665000001</v>
      </c>
      <c r="AG2956">
        <v>80</v>
      </c>
      <c r="AH2956">
        <v>0</v>
      </c>
      <c r="AI2956">
        <v>0</v>
      </c>
      <c r="AJ2956">
        <v>0</v>
      </c>
      <c r="AK2956">
        <v>1</v>
      </c>
      <c r="AL2956">
        <v>32</v>
      </c>
      <c r="AM2956">
        <v>23</v>
      </c>
      <c r="AN2956">
        <v>0</v>
      </c>
      <c r="AO2956">
        <v>56</v>
      </c>
      <c r="AP2956">
        <v>27</v>
      </c>
      <c r="AQ2956">
        <v>4</v>
      </c>
      <c r="AR2956">
        <v>3</v>
      </c>
      <c r="AS2956">
        <v>33</v>
      </c>
      <c r="AT2956">
        <v>3</v>
      </c>
    </row>
    <row r="2957" spans="1:46">
      <c r="A2957">
        <v>47687</v>
      </c>
      <c r="B2957" t="s">
        <v>16819</v>
      </c>
      <c r="C2957" t="s">
        <v>16820</v>
      </c>
      <c r="D2957" t="s">
        <v>8924</v>
      </c>
      <c r="E2957" t="s">
        <v>16821</v>
      </c>
      <c r="G2957" t="s">
        <v>1318</v>
      </c>
      <c r="H2957" t="s">
        <v>3942</v>
      </c>
      <c r="I2957" t="s">
        <v>4065</v>
      </c>
      <c r="J2957" t="s">
        <v>3962</v>
      </c>
      <c r="K2957" t="s">
        <v>519</v>
      </c>
      <c r="M2957" t="s">
        <v>1297</v>
      </c>
      <c r="N2957" t="s">
        <v>571</v>
      </c>
      <c r="O2957" t="s">
        <v>1319</v>
      </c>
      <c r="P2957" t="s">
        <v>1262</v>
      </c>
      <c r="Q2957" t="s">
        <v>1299</v>
      </c>
      <c r="R2957" t="s">
        <v>1300</v>
      </c>
      <c r="S2957" t="s">
        <v>1320</v>
      </c>
      <c r="T2957" t="s">
        <v>1235</v>
      </c>
      <c r="U2957">
        <v>182700</v>
      </c>
      <c r="V2957" t="s">
        <v>8926</v>
      </c>
      <c r="W2957" t="s">
        <v>1322</v>
      </c>
      <c r="X2957" t="s">
        <v>8927</v>
      </c>
      <c r="Y2957" t="s">
        <v>8925</v>
      </c>
      <c r="AA2957" t="s">
        <v>8928</v>
      </c>
      <c r="AB2957" t="s">
        <v>8929</v>
      </c>
      <c r="AE2957">
        <v>-37.881299409999997</v>
      </c>
      <c r="AF2957">
        <v>175.45946319000001</v>
      </c>
      <c r="AG2957">
        <v>20</v>
      </c>
      <c r="AH2957">
        <v>15</v>
      </c>
      <c r="AI2957">
        <v>2</v>
      </c>
      <c r="AJ2957">
        <v>10</v>
      </c>
      <c r="AK2957">
        <v>0</v>
      </c>
      <c r="AL2957">
        <v>0</v>
      </c>
      <c r="AM2957">
        <v>0</v>
      </c>
      <c r="AN2957">
        <v>0</v>
      </c>
      <c r="AO2957">
        <v>12</v>
      </c>
      <c r="AP2957">
        <v>11</v>
      </c>
      <c r="AQ2957">
        <v>3</v>
      </c>
      <c r="AR2957">
        <v>0</v>
      </c>
      <c r="AS2957">
        <v>1</v>
      </c>
      <c r="AT2957">
        <v>0</v>
      </c>
    </row>
    <row r="2958" spans="1:46">
      <c r="A2958">
        <v>47688</v>
      </c>
      <c r="B2958" t="s">
        <v>16822</v>
      </c>
      <c r="D2958" t="s">
        <v>16823</v>
      </c>
      <c r="E2958" t="s">
        <v>16824</v>
      </c>
      <c r="F2958" t="s">
        <v>1035</v>
      </c>
      <c r="G2958" t="s">
        <v>652</v>
      </c>
      <c r="H2958" t="s">
        <v>3942</v>
      </c>
      <c r="J2958" t="s">
        <v>3962</v>
      </c>
      <c r="K2958" t="s">
        <v>519</v>
      </c>
      <c r="M2958" t="s">
        <v>520</v>
      </c>
      <c r="N2958" t="s">
        <v>539</v>
      </c>
      <c r="O2958" t="s">
        <v>728</v>
      </c>
      <c r="P2958" t="s">
        <v>654</v>
      </c>
      <c r="Q2958" t="s">
        <v>638</v>
      </c>
      <c r="R2958" t="s">
        <v>729</v>
      </c>
      <c r="S2958" t="s">
        <v>730</v>
      </c>
      <c r="T2958" t="s">
        <v>709</v>
      </c>
      <c r="U2958">
        <v>154101</v>
      </c>
      <c r="V2958" t="s">
        <v>4362</v>
      </c>
      <c r="W2958" t="s">
        <v>732</v>
      </c>
      <c r="X2958" t="s">
        <v>14587</v>
      </c>
      <c r="Y2958" t="s">
        <v>14588</v>
      </c>
      <c r="Z2958" t="s">
        <v>5104</v>
      </c>
      <c r="AA2958" t="s">
        <v>3991</v>
      </c>
      <c r="AE2958">
        <v>-36.965707049999999</v>
      </c>
      <c r="AF2958">
        <v>174.86514013999999</v>
      </c>
      <c r="AG2958">
        <v>55</v>
      </c>
      <c r="AH2958">
        <v>15</v>
      </c>
      <c r="AI2958">
        <v>5</v>
      </c>
      <c r="AJ2958">
        <v>10</v>
      </c>
      <c r="AK2958">
        <v>16</v>
      </c>
      <c r="AL2958">
        <v>21</v>
      </c>
      <c r="AM2958">
        <v>16</v>
      </c>
      <c r="AN2958">
        <v>1</v>
      </c>
      <c r="AO2958">
        <v>69</v>
      </c>
      <c r="AP2958">
        <v>5</v>
      </c>
      <c r="AQ2958">
        <v>5</v>
      </c>
      <c r="AR2958">
        <v>17</v>
      </c>
      <c r="AS2958">
        <v>52</v>
      </c>
      <c r="AT2958">
        <v>2</v>
      </c>
    </row>
    <row r="2959" spans="1:46">
      <c r="A2959">
        <v>47689</v>
      </c>
      <c r="B2959" t="s">
        <v>16825</v>
      </c>
      <c r="C2959" t="s">
        <v>16826</v>
      </c>
      <c r="D2959" t="s">
        <v>16827</v>
      </c>
      <c r="E2959" t="s">
        <v>16828</v>
      </c>
      <c r="F2959" t="s">
        <v>1217</v>
      </c>
      <c r="G2959" t="s">
        <v>652</v>
      </c>
      <c r="H2959" t="s">
        <v>3942</v>
      </c>
      <c r="J2959" t="s">
        <v>518</v>
      </c>
      <c r="K2959" t="s">
        <v>519</v>
      </c>
      <c r="M2959" t="s">
        <v>520</v>
      </c>
      <c r="N2959" t="s">
        <v>557</v>
      </c>
      <c r="O2959" t="s">
        <v>1268</v>
      </c>
      <c r="P2959" t="s">
        <v>654</v>
      </c>
      <c r="Q2959" t="s">
        <v>638</v>
      </c>
      <c r="R2959" t="s">
        <v>729</v>
      </c>
      <c r="S2959" t="s">
        <v>1217</v>
      </c>
      <c r="T2959" t="s">
        <v>709</v>
      </c>
      <c r="U2959">
        <v>162102</v>
      </c>
      <c r="V2959" t="s">
        <v>14339</v>
      </c>
      <c r="W2959" t="s">
        <v>1219</v>
      </c>
      <c r="X2959" t="s">
        <v>3943</v>
      </c>
      <c r="Y2959" t="s">
        <v>3944</v>
      </c>
      <c r="Z2959" t="s">
        <v>3945</v>
      </c>
      <c r="AA2959" t="s">
        <v>3946</v>
      </c>
      <c r="AB2959" t="s">
        <v>3947</v>
      </c>
      <c r="AE2959">
        <v>-37.042203309999998</v>
      </c>
      <c r="AF2959">
        <v>174.95029510000001</v>
      </c>
      <c r="AG2959">
        <v>99</v>
      </c>
      <c r="AH2959">
        <v>20</v>
      </c>
      <c r="AI2959">
        <v>5</v>
      </c>
      <c r="AJ2959">
        <v>14</v>
      </c>
      <c r="AK2959">
        <v>26</v>
      </c>
      <c r="AL2959">
        <v>45</v>
      </c>
      <c r="AM2959">
        <v>32</v>
      </c>
      <c r="AN2959">
        <v>0</v>
      </c>
      <c r="AO2959">
        <v>122</v>
      </c>
      <c r="AP2959">
        <v>6</v>
      </c>
      <c r="AQ2959">
        <v>3</v>
      </c>
      <c r="AR2959">
        <v>5</v>
      </c>
      <c r="AS2959">
        <v>110</v>
      </c>
      <c r="AT2959">
        <v>3</v>
      </c>
    </row>
    <row r="2960" spans="1:46">
      <c r="A2960">
        <v>47690</v>
      </c>
      <c r="B2960" t="s">
        <v>16829</v>
      </c>
      <c r="C2960" t="s">
        <v>16830</v>
      </c>
      <c r="D2960" t="s">
        <v>16831</v>
      </c>
      <c r="E2960" t="s">
        <v>16832</v>
      </c>
      <c r="F2960" t="s">
        <v>16833</v>
      </c>
      <c r="G2960" t="s">
        <v>2941</v>
      </c>
      <c r="H2960" t="s">
        <v>3942</v>
      </c>
      <c r="I2960" t="s">
        <v>15517</v>
      </c>
      <c r="J2960" t="s">
        <v>3962</v>
      </c>
      <c r="K2960" t="s">
        <v>519</v>
      </c>
      <c r="M2960" t="s">
        <v>2287</v>
      </c>
      <c r="N2960" t="s">
        <v>571</v>
      </c>
      <c r="O2960" t="s">
        <v>2942</v>
      </c>
      <c r="P2960" t="s">
        <v>654</v>
      </c>
      <c r="Q2960" t="s">
        <v>2943</v>
      </c>
      <c r="R2960" t="s">
        <v>2944</v>
      </c>
      <c r="S2960" t="s">
        <v>2965</v>
      </c>
      <c r="T2960" t="s">
        <v>2448</v>
      </c>
      <c r="U2960">
        <v>317600</v>
      </c>
      <c r="V2960" t="s">
        <v>16834</v>
      </c>
      <c r="W2960" t="s">
        <v>2986</v>
      </c>
      <c r="X2960" t="s">
        <v>16835</v>
      </c>
      <c r="Y2960" t="s">
        <v>16832</v>
      </c>
      <c r="Z2960" t="s">
        <v>16833</v>
      </c>
      <c r="AA2960" t="s">
        <v>11642</v>
      </c>
      <c r="AB2960" t="s">
        <v>16836</v>
      </c>
      <c r="AE2960">
        <v>-43.467823369999998</v>
      </c>
      <c r="AF2960">
        <v>172.60584729999999</v>
      </c>
      <c r="AG2960">
        <v>80</v>
      </c>
      <c r="AH2960">
        <v>20</v>
      </c>
      <c r="AI2960">
        <v>4</v>
      </c>
      <c r="AJ2960">
        <v>15</v>
      </c>
      <c r="AK2960">
        <v>11</v>
      </c>
      <c r="AL2960">
        <v>18</v>
      </c>
      <c r="AM2960">
        <v>10</v>
      </c>
      <c r="AN2960">
        <v>1</v>
      </c>
      <c r="AO2960">
        <v>59</v>
      </c>
      <c r="AP2960">
        <v>55</v>
      </c>
      <c r="AQ2960">
        <v>7</v>
      </c>
      <c r="AR2960">
        <v>3</v>
      </c>
      <c r="AS2960">
        <v>6</v>
      </c>
      <c r="AT2960">
        <v>1</v>
      </c>
    </row>
    <row r="2961" spans="1:46">
      <c r="A2961">
        <v>47692</v>
      </c>
      <c r="B2961" t="s">
        <v>16837</v>
      </c>
      <c r="C2961" t="s">
        <v>16838</v>
      </c>
      <c r="E2961" t="s">
        <v>16839</v>
      </c>
      <c r="G2961" t="s">
        <v>1987</v>
      </c>
      <c r="H2961" t="s">
        <v>3942</v>
      </c>
      <c r="J2961" t="s">
        <v>3962</v>
      </c>
      <c r="K2961" t="s">
        <v>519</v>
      </c>
      <c r="M2961" t="s">
        <v>1297</v>
      </c>
      <c r="N2961" t="s">
        <v>571</v>
      </c>
      <c r="O2961" t="s">
        <v>1988</v>
      </c>
      <c r="P2961" t="s">
        <v>1262</v>
      </c>
      <c r="Q2961" t="s">
        <v>1636</v>
      </c>
      <c r="R2961" t="s">
        <v>1760</v>
      </c>
      <c r="S2961" t="s">
        <v>1637</v>
      </c>
      <c r="T2961" t="s">
        <v>1485</v>
      </c>
      <c r="U2961">
        <v>228300</v>
      </c>
      <c r="V2961" t="s">
        <v>16840</v>
      </c>
      <c r="W2961" t="s">
        <v>1990</v>
      </c>
      <c r="X2961" t="s">
        <v>10349</v>
      </c>
      <c r="Y2961" t="s">
        <v>16841</v>
      </c>
      <c r="AA2961" t="s">
        <v>15176</v>
      </c>
      <c r="AB2961" t="s">
        <v>10345</v>
      </c>
      <c r="AC2961">
        <v>99134</v>
      </c>
      <c r="AD2961" t="s">
        <v>1991</v>
      </c>
      <c r="AE2961">
        <v>-40.219073600000002</v>
      </c>
      <c r="AF2961">
        <v>175.5773283</v>
      </c>
      <c r="AG2961">
        <v>90</v>
      </c>
      <c r="AH2961">
        <v>26</v>
      </c>
      <c r="AI2961">
        <v>4</v>
      </c>
      <c r="AJ2961">
        <v>16</v>
      </c>
      <c r="AK2961">
        <v>16</v>
      </c>
      <c r="AL2961">
        <v>29</v>
      </c>
      <c r="AM2961">
        <v>22</v>
      </c>
      <c r="AN2961">
        <v>0</v>
      </c>
      <c r="AO2961">
        <v>87</v>
      </c>
      <c r="AP2961">
        <v>79</v>
      </c>
      <c r="AQ2961">
        <v>26</v>
      </c>
      <c r="AR2961">
        <v>7</v>
      </c>
      <c r="AS2961">
        <v>3</v>
      </c>
      <c r="AT2961">
        <v>0</v>
      </c>
    </row>
    <row r="2962" spans="1:46">
      <c r="A2962">
        <v>47693</v>
      </c>
      <c r="B2962" t="s">
        <v>16842</v>
      </c>
      <c r="C2962" t="s">
        <v>16843</v>
      </c>
      <c r="D2962" t="s">
        <v>16844</v>
      </c>
      <c r="E2962" t="s">
        <v>16845</v>
      </c>
      <c r="F2962" t="s">
        <v>6014</v>
      </c>
      <c r="G2962" t="s">
        <v>652</v>
      </c>
      <c r="H2962" t="s">
        <v>4716</v>
      </c>
      <c r="J2962" t="s">
        <v>3962</v>
      </c>
      <c r="K2962" t="s">
        <v>519</v>
      </c>
      <c r="M2962" t="s">
        <v>520</v>
      </c>
      <c r="N2962" t="s">
        <v>557</v>
      </c>
      <c r="O2962" t="s">
        <v>1268</v>
      </c>
      <c r="P2962" t="s">
        <v>654</v>
      </c>
      <c r="Q2962" t="s">
        <v>638</v>
      </c>
      <c r="R2962" t="s">
        <v>729</v>
      </c>
      <c r="S2962" t="s">
        <v>1234</v>
      </c>
      <c r="T2962" t="s">
        <v>1235</v>
      </c>
      <c r="U2962">
        <v>163700</v>
      </c>
      <c r="V2962" t="s">
        <v>7596</v>
      </c>
      <c r="W2962" t="s">
        <v>1219</v>
      </c>
      <c r="X2962" t="s">
        <v>16846</v>
      </c>
      <c r="Y2962" t="s">
        <v>16847</v>
      </c>
      <c r="Z2962" t="s">
        <v>4204</v>
      </c>
      <c r="AA2962" t="s">
        <v>4585</v>
      </c>
      <c r="AE2962">
        <v>-37.07768875</v>
      </c>
      <c r="AF2962">
        <v>174.94052675</v>
      </c>
      <c r="AG2962">
        <v>50</v>
      </c>
      <c r="AH2962">
        <v>50</v>
      </c>
      <c r="AI2962">
        <v>4</v>
      </c>
      <c r="AJ2962">
        <v>11</v>
      </c>
      <c r="AK2962">
        <v>9</v>
      </c>
      <c r="AL2962">
        <v>8</v>
      </c>
      <c r="AM2962">
        <v>6</v>
      </c>
      <c r="AN2962">
        <v>1</v>
      </c>
      <c r="AO2962">
        <v>39</v>
      </c>
      <c r="AP2962">
        <v>2</v>
      </c>
      <c r="AQ2962">
        <v>0</v>
      </c>
      <c r="AR2962">
        <v>0</v>
      </c>
      <c r="AS2962">
        <v>37</v>
      </c>
      <c r="AT2962">
        <v>0</v>
      </c>
    </row>
    <row r="2963" spans="1:46">
      <c r="A2963">
        <v>47694</v>
      </c>
      <c r="B2963" t="s">
        <v>16848</v>
      </c>
      <c r="C2963" t="s">
        <v>16849</v>
      </c>
      <c r="D2963" t="s">
        <v>13558</v>
      </c>
      <c r="E2963" t="s">
        <v>16850</v>
      </c>
      <c r="F2963" t="s">
        <v>13107</v>
      </c>
      <c r="G2963" t="s">
        <v>652</v>
      </c>
      <c r="H2963" t="s">
        <v>3942</v>
      </c>
      <c r="J2963" t="s">
        <v>3962</v>
      </c>
      <c r="K2963" t="s">
        <v>519</v>
      </c>
      <c r="M2963" t="s">
        <v>520</v>
      </c>
      <c r="N2963" t="s">
        <v>539</v>
      </c>
      <c r="O2963" t="s">
        <v>829</v>
      </c>
      <c r="P2963" t="s">
        <v>654</v>
      </c>
      <c r="Q2963" t="s">
        <v>638</v>
      </c>
      <c r="R2963" t="s">
        <v>729</v>
      </c>
      <c r="S2963" t="s">
        <v>730</v>
      </c>
      <c r="T2963" t="s">
        <v>709</v>
      </c>
      <c r="U2963">
        <v>149100</v>
      </c>
      <c r="V2963" t="s">
        <v>14740</v>
      </c>
      <c r="W2963" t="s">
        <v>807</v>
      </c>
      <c r="X2963" t="s">
        <v>16851</v>
      </c>
      <c r="Y2963" t="s">
        <v>13561</v>
      </c>
      <c r="Z2963" t="s">
        <v>8218</v>
      </c>
      <c r="AA2963" t="s">
        <v>13562</v>
      </c>
      <c r="AE2963">
        <v>-36.927829410000001</v>
      </c>
      <c r="AF2963">
        <v>174.84273526999999</v>
      </c>
      <c r="AG2963">
        <v>56</v>
      </c>
      <c r="AH2963">
        <v>15</v>
      </c>
      <c r="AI2963">
        <v>2</v>
      </c>
      <c r="AJ2963">
        <v>13</v>
      </c>
      <c r="AK2963">
        <v>10</v>
      </c>
      <c r="AL2963">
        <v>20</v>
      </c>
      <c r="AM2963">
        <v>12</v>
      </c>
      <c r="AN2963">
        <v>0</v>
      </c>
      <c r="AO2963">
        <v>57</v>
      </c>
      <c r="AP2963">
        <v>10</v>
      </c>
      <c r="AQ2963">
        <v>7</v>
      </c>
      <c r="AR2963">
        <v>10</v>
      </c>
      <c r="AS2963">
        <v>40</v>
      </c>
      <c r="AT2963">
        <v>6</v>
      </c>
    </row>
    <row r="2964" spans="1:46">
      <c r="A2964">
        <v>47695</v>
      </c>
      <c r="B2964" t="s">
        <v>16852</v>
      </c>
      <c r="C2964" t="s">
        <v>16853</v>
      </c>
      <c r="D2964" t="s">
        <v>16854</v>
      </c>
      <c r="E2964" t="s">
        <v>16855</v>
      </c>
      <c r="F2964" t="s">
        <v>3987</v>
      </c>
      <c r="G2964" t="s">
        <v>652</v>
      </c>
      <c r="H2964" t="s">
        <v>3942</v>
      </c>
      <c r="J2964" t="s">
        <v>3962</v>
      </c>
      <c r="K2964" t="s">
        <v>519</v>
      </c>
      <c r="M2964" t="s">
        <v>520</v>
      </c>
      <c r="N2964" t="s">
        <v>571</v>
      </c>
      <c r="O2964" t="s">
        <v>1233</v>
      </c>
      <c r="P2964" t="s">
        <v>1262</v>
      </c>
      <c r="Q2964" t="s">
        <v>638</v>
      </c>
      <c r="R2964" t="s">
        <v>729</v>
      </c>
      <c r="S2964" t="s">
        <v>1246</v>
      </c>
      <c r="T2964" t="s">
        <v>1235</v>
      </c>
      <c r="U2964">
        <v>165302</v>
      </c>
      <c r="V2964" t="s">
        <v>5075</v>
      </c>
      <c r="W2964" t="s">
        <v>1237</v>
      </c>
      <c r="X2964" t="s">
        <v>16856</v>
      </c>
      <c r="Y2964" t="s">
        <v>4404</v>
      </c>
      <c r="Z2964" t="s">
        <v>4405</v>
      </c>
      <c r="AA2964" t="s">
        <v>4529</v>
      </c>
      <c r="AE2964">
        <v>-37.198005260000002</v>
      </c>
      <c r="AF2964">
        <v>174.90252224</v>
      </c>
      <c r="AG2964">
        <v>85</v>
      </c>
      <c r="AH2964">
        <v>25</v>
      </c>
      <c r="AI2964">
        <v>3</v>
      </c>
      <c r="AJ2964">
        <v>5</v>
      </c>
      <c r="AK2964">
        <v>8</v>
      </c>
      <c r="AL2964">
        <v>13</v>
      </c>
      <c r="AM2964">
        <v>10</v>
      </c>
      <c r="AN2964">
        <v>1</v>
      </c>
      <c r="AO2964">
        <v>40</v>
      </c>
      <c r="AP2964">
        <v>8</v>
      </c>
      <c r="AQ2964">
        <v>1</v>
      </c>
      <c r="AR2964">
        <v>4</v>
      </c>
      <c r="AS2964">
        <v>28</v>
      </c>
      <c r="AT2964">
        <v>1</v>
      </c>
    </row>
    <row r="2965" spans="1:46">
      <c r="A2965">
        <v>47700</v>
      </c>
      <c r="B2965" t="s">
        <v>16857</v>
      </c>
      <c r="C2965" t="s">
        <v>16858</v>
      </c>
      <c r="E2965" t="s">
        <v>16859</v>
      </c>
      <c r="F2965" t="s">
        <v>2941</v>
      </c>
      <c r="G2965" t="s">
        <v>2941</v>
      </c>
      <c r="H2965" t="s">
        <v>3942</v>
      </c>
      <c r="J2965" t="s">
        <v>3962</v>
      </c>
      <c r="K2965" t="s">
        <v>519</v>
      </c>
      <c r="M2965" t="s">
        <v>2287</v>
      </c>
      <c r="N2965" t="s">
        <v>571</v>
      </c>
      <c r="O2965" t="s">
        <v>2942</v>
      </c>
      <c r="P2965" t="s">
        <v>654</v>
      </c>
      <c r="Q2965" t="s">
        <v>2943</v>
      </c>
      <c r="R2965" t="s">
        <v>2944</v>
      </c>
      <c r="S2965" t="s">
        <v>2957</v>
      </c>
      <c r="T2965" t="s">
        <v>2448</v>
      </c>
      <c r="U2965">
        <v>326600</v>
      </c>
      <c r="V2965" t="s">
        <v>2957</v>
      </c>
      <c r="W2965" t="s">
        <v>2443</v>
      </c>
      <c r="X2965" t="s">
        <v>16860</v>
      </c>
      <c r="Y2965" t="s">
        <v>16861</v>
      </c>
      <c r="Z2965" t="s">
        <v>2957</v>
      </c>
      <c r="AA2965" t="s">
        <v>12325</v>
      </c>
      <c r="AC2965">
        <v>99215</v>
      </c>
      <c r="AD2965" t="s">
        <v>10972</v>
      </c>
      <c r="AE2965">
        <v>-43.528592660000001</v>
      </c>
      <c r="AF2965">
        <v>172.63420607</v>
      </c>
      <c r="AG2965">
        <v>100</v>
      </c>
      <c r="AH2965">
        <v>42</v>
      </c>
      <c r="AI2965">
        <v>8</v>
      </c>
      <c r="AJ2965">
        <v>33</v>
      </c>
      <c r="AK2965">
        <v>19</v>
      </c>
      <c r="AL2965">
        <v>18</v>
      </c>
      <c r="AM2965">
        <v>19</v>
      </c>
      <c r="AN2965">
        <v>2</v>
      </c>
      <c r="AO2965">
        <v>99</v>
      </c>
      <c r="AP2965">
        <v>78</v>
      </c>
      <c r="AQ2965">
        <v>13</v>
      </c>
      <c r="AR2965">
        <v>1</v>
      </c>
      <c r="AS2965">
        <v>24</v>
      </c>
      <c r="AT2965">
        <v>6</v>
      </c>
    </row>
    <row r="2966" spans="1:46">
      <c r="A2966">
        <v>47701</v>
      </c>
      <c r="B2966" t="s">
        <v>16862</v>
      </c>
      <c r="C2966" t="s">
        <v>16863</v>
      </c>
      <c r="E2966" t="s">
        <v>16864</v>
      </c>
      <c r="G2966" t="s">
        <v>2821</v>
      </c>
      <c r="H2966" t="s">
        <v>3942</v>
      </c>
      <c r="J2966" t="s">
        <v>3962</v>
      </c>
      <c r="K2966" t="s">
        <v>519</v>
      </c>
      <c r="M2966" t="s">
        <v>2287</v>
      </c>
      <c r="N2966" t="s">
        <v>571</v>
      </c>
      <c r="O2966" t="s">
        <v>2822</v>
      </c>
      <c r="P2966" t="s">
        <v>1262</v>
      </c>
      <c r="Q2966" t="s">
        <v>2823</v>
      </c>
      <c r="R2966" t="s">
        <v>2824</v>
      </c>
      <c r="S2966" t="s">
        <v>2825</v>
      </c>
      <c r="T2966" t="s">
        <v>2448</v>
      </c>
      <c r="U2966">
        <v>307802</v>
      </c>
      <c r="V2966" t="s">
        <v>16865</v>
      </c>
      <c r="W2966" t="s">
        <v>2826</v>
      </c>
      <c r="X2966" t="s">
        <v>16866</v>
      </c>
      <c r="Y2966" t="s">
        <v>16864</v>
      </c>
      <c r="Z2966" t="s">
        <v>16867</v>
      </c>
      <c r="AA2966" t="s">
        <v>2829</v>
      </c>
      <c r="AE2966">
        <v>-41.53174568</v>
      </c>
      <c r="AF2966">
        <v>173.93026860000001</v>
      </c>
      <c r="AG2966">
        <v>80</v>
      </c>
      <c r="AH2966">
        <v>27</v>
      </c>
      <c r="AI2966">
        <v>6</v>
      </c>
      <c r="AJ2966">
        <v>17</v>
      </c>
      <c r="AK2966">
        <v>18</v>
      </c>
      <c r="AL2966">
        <v>16</v>
      </c>
      <c r="AM2966">
        <v>12</v>
      </c>
      <c r="AN2966">
        <v>0</v>
      </c>
      <c r="AO2966">
        <v>69</v>
      </c>
      <c r="AP2966">
        <v>56</v>
      </c>
      <c r="AQ2966">
        <v>12</v>
      </c>
      <c r="AR2966">
        <v>1</v>
      </c>
      <c r="AS2966">
        <v>8</v>
      </c>
      <c r="AT2966">
        <v>7</v>
      </c>
    </row>
    <row r="2967" spans="1:46">
      <c r="A2967">
        <v>47703</v>
      </c>
      <c r="B2967" t="s">
        <v>16868</v>
      </c>
      <c r="C2967" t="s">
        <v>16869</v>
      </c>
      <c r="E2967" t="s">
        <v>16870</v>
      </c>
      <c r="G2967" t="s">
        <v>1598</v>
      </c>
      <c r="H2967" t="s">
        <v>3942</v>
      </c>
      <c r="J2967" t="s">
        <v>3962</v>
      </c>
      <c r="K2967" t="s">
        <v>519</v>
      </c>
      <c r="M2967" t="s">
        <v>1297</v>
      </c>
      <c r="N2967" t="s">
        <v>571</v>
      </c>
      <c r="O2967" t="s">
        <v>1698</v>
      </c>
      <c r="P2967" t="s">
        <v>654</v>
      </c>
      <c r="Q2967" t="s">
        <v>1471</v>
      </c>
      <c r="R2967" t="s">
        <v>1472</v>
      </c>
      <c r="S2967" t="s">
        <v>1598</v>
      </c>
      <c r="T2967" t="s">
        <v>1474</v>
      </c>
      <c r="U2967">
        <v>195200</v>
      </c>
      <c r="V2967" t="s">
        <v>8882</v>
      </c>
      <c r="W2967" t="s">
        <v>1717</v>
      </c>
      <c r="X2967" t="s">
        <v>16871</v>
      </c>
      <c r="Y2967" t="s">
        <v>16872</v>
      </c>
      <c r="AA2967" t="s">
        <v>10526</v>
      </c>
      <c r="AB2967" t="s">
        <v>16869</v>
      </c>
      <c r="AC2967">
        <v>99085</v>
      </c>
      <c r="AD2967" t="s">
        <v>1718</v>
      </c>
      <c r="AE2967">
        <v>-37.728319689999999</v>
      </c>
      <c r="AF2967">
        <v>176.13432334000001</v>
      </c>
      <c r="AG2967">
        <v>56</v>
      </c>
      <c r="AH2967">
        <v>16</v>
      </c>
      <c r="AI2967">
        <v>0</v>
      </c>
      <c r="AJ2967">
        <v>0</v>
      </c>
      <c r="AK2967">
        <v>6</v>
      </c>
      <c r="AL2967">
        <v>20</v>
      </c>
      <c r="AM2967">
        <v>23</v>
      </c>
      <c r="AN2967">
        <v>2</v>
      </c>
      <c r="AO2967">
        <v>51</v>
      </c>
      <c r="AP2967">
        <v>45</v>
      </c>
      <c r="AQ2967">
        <v>10</v>
      </c>
      <c r="AR2967">
        <v>3</v>
      </c>
      <c r="AS2967">
        <v>5</v>
      </c>
      <c r="AT2967">
        <v>0</v>
      </c>
    </row>
    <row r="2968" spans="1:46">
      <c r="A2968">
        <v>47704</v>
      </c>
      <c r="B2968" t="s">
        <v>16873</v>
      </c>
      <c r="C2968" t="s">
        <v>16874</v>
      </c>
      <c r="D2968" t="s">
        <v>16875</v>
      </c>
      <c r="E2968" t="s">
        <v>16876</v>
      </c>
      <c r="F2968" t="s">
        <v>2258</v>
      </c>
      <c r="G2968" t="s">
        <v>2197</v>
      </c>
      <c r="H2968" t="s">
        <v>343</v>
      </c>
      <c r="J2968" t="s">
        <v>518</v>
      </c>
      <c r="K2968" t="s">
        <v>519</v>
      </c>
      <c r="L2968" t="s">
        <v>4205</v>
      </c>
      <c r="M2968" t="s">
        <v>1297</v>
      </c>
      <c r="N2968" t="s">
        <v>521</v>
      </c>
      <c r="O2968" t="s">
        <v>2198</v>
      </c>
      <c r="P2968" t="s">
        <v>584</v>
      </c>
      <c r="Q2968" t="s">
        <v>2118</v>
      </c>
      <c r="R2968" t="s">
        <v>2084</v>
      </c>
      <c r="S2968" t="s">
        <v>2199</v>
      </c>
      <c r="T2968" t="s">
        <v>2085</v>
      </c>
      <c r="U2968">
        <v>210300</v>
      </c>
      <c r="V2968" t="s">
        <v>16877</v>
      </c>
      <c r="W2968" t="s">
        <v>2200</v>
      </c>
      <c r="X2968" t="s">
        <v>8804</v>
      </c>
      <c r="Y2968" t="s">
        <v>4208</v>
      </c>
      <c r="Z2968" t="s">
        <v>4209</v>
      </c>
      <c r="AA2968" t="s">
        <v>4210</v>
      </c>
      <c r="AB2968" t="s">
        <v>8805</v>
      </c>
      <c r="AE2968">
        <v>-39.648730749999999</v>
      </c>
      <c r="AF2968">
        <v>176.82981519000001</v>
      </c>
      <c r="AG2968">
        <v>25</v>
      </c>
      <c r="AH2968">
        <v>5</v>
      </c>
      <c r="AI2968">
        <v>1</v>
      </c>
      <c r="AJ2968">
        <v>4</v>
      </c>
      <c r="AK2968">
        <v>5</v>
      </c>
      <c r="AL2968">
        <v>3</v>
      </c>
      <c r="AM2968">
        <v>3</v>
      </c>
      <c r="AN2968">
        <v>0</v>
      </c>
      <c r="AO2968">
        <v>16</v>
      </c>
      <c r="AP2968">
        <v>0</v>
      </c>
      <c r="AQ2968">
        <v>15</v>
      </c>
      <c r="AR2968">
        <v>0</v>
      </c>
      <c r="AS2968">
        <v>0</v>
      </c>
      <c r="AT2968">
        <v>1</v>
      </c>
    </row>
    <row r="2969" spans="1:46">
      <c r="A2969">
        <v>47705</v>
      </c>
      <c r="B2969" t="s">
        <v>16878</v>
      </c>
      <c r="D2969" t="s">
        <v>13879</v>
      </c>
      <c r="E2969" t="s">
        <v>16879</v>
      </c>
      <c r="F2969" t="s">
        <v>5976</v>
      </c>
      <c r="G2969" t="s">
        <v>652</v>
      </c>
      <c r="H2969" t="s">
        <v>4716</v>
      </c>
      <c r="J2969" t="s">
        <v>3962</v>
      </c>
      <c r="K2969" t="s">
        <v>519</v>
      </c>
      <c r="M2969" t="s">
        <v>520</v>
      </c>
      <c r="N2969" t="s">
        <v>571</v>
      </c>
      <c r="O2969" t="s">
        <v>857</v>
      </c>
      <c r="P2969" t="s">
        <v>654</v>
      </c>
      <c r="Q2969" t="s">
        <v>638</v>
      </c>
      <c r="R2969" t="s">
        <v>708</v>
      </c>
      <c r="S2969" t="s">
        <v>858</v>
      </c>
      <c r="T2969" t="s">
        <v>709</v>
      </c>
      <c r="U2969">
        <v>129902</v>
      </c>
      <c r="V2969" t="s">
        <v>6520</v>
      </c>
      <c r="W2969" t="s">
        <v>860</v>
      </c>
      <c r="X2969" t="s">
        <v>13881</v>
      </c>
      <c r="Y2969" t="s">
        <v>13882</v>
      </c>
      <c r="AA2969" t="s">
        <v>6522</v>
      </c>
      <c r="AE2969">
        <v>-36.86544842</v>
      </c>
      <c r="AF2969">
        <v>174.70683951999999</v>
      </c>
      <c r="AG2969">
        <v>80</v>
      </c>
      <c r="AH2969">
        <v>80</v>
      </c>
      <c r="AI2969">
        <v>9</v>
      </c>
      <c r="AJ2969">
        <v>16</v>
      </c>
      <c r="AK2969">
        <v>14</v>
      </c>
      <c r="AL2969">
        <v>7</v>
      </c>
      <c r="AM2969">
        <v>2</v>
      </c>
      <c r="AN2969">
        <v>0</v>
      </c>
      <c r="AO2969">
        <v>48</v>
      </c>
      <c r="AP2969">
        <v>47</v>
      </c>
      <c r="AQ2969">
        <v>2</v>
      </c>
      <c r="AR2969">
        <v>1</v>
      </c>
      <c r="AS2969">
        <v>5</v>
      </c>
      <c r="AT2969">
        <v>0</v>
      </c>
    </row>
    <row r="2970" spans="1:46">
      <c r="A2970">
        <v>47706</v>
      </c>
      <c r="B2970" t="s">
        <v>16880</v>
      </c>
      <c r="C2970" t="s">
        <v>16881</v>
      </c>
      <c r="E2970" t="s">
        <v>16882</v>
      </c>
      <c r="F2970" t="s">
        <v>1379</v>
      </c>
      <c r="G2970" t="s">
        <v>1318</v>
      </c>
      <c r="H2970" t="s">
        <v>3942</v>
      </c>
      <c r="J2970" t="s">
        <v>518</v>
      </c>
      <c r="K2970" t="s">
        <v>519</v>
      </c>
      <c r="M2970" t="s">
        <v>1297</v>
      </c>
      <c r="N2970" t="s">
        <v>571</v>
      </c>
      <c r="O2970" t="s">
        <v>1319</v>
      </c>
      <c r="P2970" t="s">
        <v>1262</v>
      </c>
      <c r="Q2970" t="s">
        <v>1299</v>
      </c>
      <c r="R2970" t="s">
        <v>1300</v>
      </c>
      <c r="S2970" t="s">
        <v>1320</v>
      </c>
      <c r="T2970" t="s">
        <v>1235</v>
      </c>
      <c r="U2970">
        <v>183500</v>
      </c>
      <c r="V2970" t="s">
        <v>1389</v>
      </c>
      <c r="W2970" t="s">
        <v>1322</v>
      </c>
      <c r="X2970" t="s">
        <v>8377</v>
      </c>
      <c r="Y2970" t="s">
        <v>3944</v>
      </c>
      <c r="Z2970" t="s">
        <v>3945</v>
      </c>
      <c r="AA2970" t="s">
        <v>3946</v>
      </c>
      <c r="AB2970" t="s">
        <v>8378</v>
      </c>
      <c r="AE2970">
        <v>-37.900044479999998</v>
      </c>
      <c r="AF2970">
        <v>175.47803675</v>
      </c>
      <c r="AG2970">
        <v>60</v>
      </c>
      <c r="AH2970">
        <v>12</v>
      </c>
      <c r="AI2970">
        <v>3</v>
      </c>
      <c r="AJ2970">
        <v>9</v>
      </c>
      <c r="AK2970">
        <v>9</v>
      </c>
      <c r="AL2970">
        <v>20</v>
      </c>
      <c r="AM2970">
        <v>19</v>
      </c>
      <c r="AN2970">
        <v>0</v>
      </c>
      <c r="AO2970">
        <v>60</v>
      </c>
      <c r="AP2970">
        <v>48</v>
      </c>
      <c r="AQ2970">
        <v>12</v>
      </c>
      <c r="AR2970">
        <v>1</v>
      </c>
      <c r="AS2970">
        <v>7</v>
      </c>
      <c r="AT2970">
        <v>5</v>
      </c>
    </row>
    <row r="2971" spans="1:46">
      <c r="A2971">
        <v>47707</v>
      </c>
      <c r="B2971" t="s">
        <v>16883</v>
      </c>
      <c r="C2971" t="s">
        <v>7664</v>
      </c>
      <c r="E2971" t="s">
        <v>7659</v>
      </c>
      <c r="F2971" t="s">
        <v>777</v>
      </c>
      <c r="G2971" t="s">
        <v>652</v>
      </c>
      <c r="H2971" t="s">
        <v>3942</v>
      </c>
      <c r="J2971" t="s">
        <v>3962</v>
      </c>
      <c r="K2971" t="s">
        <v>519</v>
      </c>
      <c r="M2971" t="s">
        <v>520</v>
      </c>
      <c r="N2971" t="s">
        <v>571</v>
      </c>
      <c r="O2971" t="s">
        <v>707</v>
      </c>
      <c r="P2971" t="s">
        <v>654</v>
      </c>
      <c r="Q2971" t="s">
        <v>638</v>
      </c>
      <c r="R2971" t="s">
        <v>708</v>
      </c>
      <c r="S2971" t="s">
        <v>778</v>
      </c>
      <c r="T2971" t="s">
        <v>709</v>
      </c>
      <c r="U2971">
        <v>154701</v>
      </c>
      <c r="V2971" t="s">
        <v>7661</v>
      </c>
      <c r="W2971" t="s">
        <v>711</v>
      </c>
      <c r="X2971" t="s">
        <v>7662</v>
      </c>
      <c r="Y2971" t="s">
        <v>7663</v>
      </c>
      <c r="Z2971" t="s">
        <v>644</v>
      </c>
      <c r="AA2971" t="s">
        <v>645</v>
      </c>
      <c r="AB2971" t="s">
        <v>7664</v>
      </c>
      <c r="AE2971">
        <v>-36.921013459999998</v>
      </c>
      <c r="AF2971">
        <v>174.93123484</v>
      </c>
      <c r="AG2971">
        <v>50</v>
      </c>
      <c r="AH2971">
        <v>0</v>
      </c>
      <c r="AI2971">
        <v>0</v>
      </c>
      <c r="AJ2971">
        <v>0</v>
      </c>
      <c r="AK2971">
        <v>0</v>
      </c>
      <c r="AL2971">
        <v>6</v>
      </c>
      <c r="AM2971">
        <v>32</v>
      </c>
      <c r="AN2971">
        <v>0</v>
      </c>
      <c r="AO2971">
        <v>38</v>
      </c>
      <c r="AP2971">
        <v>4</v>
      </c>
      <c r="AQ2971">
        <v>1</v>
      </c>
      <c r="AR2971">
        <v>0</v>
      </c>
      <c r="AS2971">
        <v>33</v>
      </c>
      <c r="AT2971">
        <v>2</v>
      </c>
    </row>
    <row r="2972" spans="1:46">
      <c r="A2972">
        <v>47708</v>
      </c>
      <c r="B2972" t="s">
        <v>16884</v>
      </c>
      <c r="C2972" t="s">
        <v>16885</v>
      </c>
      <c r="E2972" t="s">
        <v>16886</v>
      </c>
      <c r="F2972" t="s">
        <v>2597</v>
      </c>
      <c r="G2972" t="s">
        <v>2289</v>
      </c>
      <c r="H2972" t="s">
        <v>3942</v>
      </c>
      <c r="J2972" t="s">
        <v>3962</v>
      </c>
      <c r="K2972" t="s">
        <v>519</v>
      </c>
      <c r="M2972" t="s">
        <v>2287</v>
      </c>
      <c r="N2972" t="s">
        <v>571</v>
      </c>
      <c r="O2972" t="s">
        <v>2536</v>
      </c>
      <c r="P2972" t="s">
        <v>654</v>
      </c>
      <c r="Q2972" t="s">
        <v>2319</v>
      </c>
      <c r="R2972" t="s">
        <v>2289</v>
      </c>
      <c r="S2972" t="s">
        <v>2545</v>
      </c>
      <c r="T2972" t="s">
        <v>2448</v>
      </c>
      <c r="U2972">
        <v>248600</v>
      </c>
      <c r="V2972" t="s">
        <v>16887</v>
      </c>
      <c r="W2972" t="s">
        <v>2547</v>
      </c>
      <c r="X2972" t="s">
        <v>16888</v>
      </c>
      <c r="Y2972" t="s">
        <v>16889</v>
      </c>
      <c r="Z2972" t="s">
        <v>2597</v>
      </c>
      <c r="AA2972" t="s">
        <v>12404</v>
      </c>
      <c r="AB2972" t="s">
        <v>16890</v>
      </c>
      <c r="AE2972">
        <v>-41.22154544</v>
      </c>
      <c r="AF2972">
        <v>174.80300507000001</v>
      </c>
      <c r="AG2972">
        <v>30</v>
      </c>
      <c r="AH2972">
        <v>0</v>
      </c>
      <c r="AI2972">
        <v>0</v>
      </c>
      <c r="AJ2972">
        <v>0</v>
      </c>
      <c r="AK2972">
        <v>6</v>
      </c>
      <c r="AL2972">
        <v>13</v>
      </c>
      <c r="AM2972">
        <v>12</v>
      </c>
      <c r="AN2972">
        <v>0</v>
      </c>
      <c r="AO2972">
        <v>31</v>
      </c>
      <c r="AP2972">
        <v>21</v>
      </c>
      <c r="AQ2972">
        <v>1</v>
      </c>
      <c r="AR2972">
        <v>1</v>
      </c>
      <c r="AS2972">
        <v>13</v>
      </c>
      <c r="AT2972">
        <v>1</v>
      </c>
    </row>
    <row r="2973" spans="1:46">
      <c r="A2973">
        <v>47709</v>
      </c>
      <c r="B2973" t="s">
        <v>16891</v>
      </c>
      <c r="E2973" t="s">
        <v>16892</v>
      </c>
      <c r="F2973" t="s">
        <v>919</v>
      </c>
      <c r="G2973" t="s">
        <v>652</v>
      </c>
      <c r="H2973" t="s">
        <v>3942</v>
      </c>
      <c r="J2973" t="s">
        <v>3962</v>
      </c>
      <c r="K2973" t="s">
        <v>519</v>
      </c>
      <c r="M2973" t="s">
        <v>520</v>
      </c>
      <c r="N2973" t="s">
        <v>571</v>
      </c>
      <c r="O2973" t="s">
        <v>1168</v>
      </c>
      <c r="P2973" t="s">
        <v>654</v>
      </c>
      <c r="Q2973" t="s">
        <v>638</v>
      </c>
      <c r="R2973" t="s">
        <v>639</v>
      </c>
      <c r="S2973" t="s">
        <v>739</v>
      </c>
      <c r="T2973" t="s">
        <v>527</v>
      </c>
      <c r="U2973">
        <v>120201</v>
      </c>
      <c r="V2973" t="s">
        <v>14025</v>
      </c>
      <c r="W2973" t="s">
        <v>657</v>
      </c>
      <c r="X2973" t="s">
        <v>5236</v>
      </c>
      <c r="Y2973" t="s">
        <v>4689</v>
      </c>
      <c r="Z2973" t="s">
        <v>4690</v>
      </c>
      <c r="AA2973" t="s">
        <v>4691</v>
      </c>
      <c r="AB2973" t="s">
        <v>5237</v>
      </c>
      <c r="AE2973">
        <v>-36.78710134</v>
      </c>
      <c r="AF2973">
        <v>174.66533240000001</v>
      </c>
      <c r="AG2973">
        <v>75</v>
      </c>
      <c r="AH2973">
        <v>25</v>
      </c>
      <c r="AI2973">
        <v>5</v>
      </c>
      <c r="AJ2973">
        <v>23</v>
      </c>
      <c r="AK2973">
        <v>25</v>
      </c>
      <c r="AL2973">
        <v>23</v>
      </c>
      <c r="AM2973">
        <v>11</v>
      </c>
      <c r="AN2973">
        <v>0</v>
      </c>
      <c r="AO2973">
        <v>87</v>
      </c>
      <c r="AP2973">
        <v>65</v>
      </c>
      <c r="AQ2973">
        <v>6</v>
      </c>
      <c r="AR2973">
        <v>1</v>
      </c>
      <c r="AS2973">
        <v>16</v>
      </c>
      <c r="AT2973">
        <v>12</v>
      </c>
    </row>
    <row r="2974" spans="1:46">
      <c r="A2974">
        <v>47710</v>
      </c>
      <c r="B2974" t="s">
        <v>16893</v>
      </c>
      <c r="C2974" t="s">
        <v>16894</v>
      </c>
      <c r="E2974" t="s">
        <v>16895</v>
      </c>
      <c r="F2974" t="s">
        <v>706</v>
      </c>
      <c r="G2974" t="s">
        <v>652</v>
      </c>
      <c r="H2974" t="s">
        <v>3942</v>
      </c>
      <c r="J2974" t="s">
        <v>3962</v>
      </c>
      <c r="K2974" t="s">
        <v>519</v>
      </c>
      <c r="M2974" t="s">
        <v>520</v>
      </c>
      <c r="N2974" t="s">
        <v>571</v>
      </c>
      <c r="O2974" t="s">
        <v>707</v>
      </c>
      <c r="P2974" t="s">
        <v>654</v>
      </c>
      <c r="Q2974" t="s">
        <v>638</v>
      </c>
      <c r="R2974" t="s">
        <v>708</v>
      </c>
      <c r="S2974" t="s">
        <v>706</v>
      </c>
      <c r="T2974" t="s">
        <v>709</v>
      </c>
      <c r="U2974">
        <v>150700</v>
      </c>
      <c r="V2974" t="s">
        <v>797</v>
      </c>
      <c r="W2974" t="s">
        <v>711</v>
      </c>
      <c r="X2974" t="s">
        <v>16896</v>
      </c>
      <c r="Y2974" t="s">
        <v>16897</v>
      </c>
      <c r="Z2974" t="s">
        <v>706</v>
      </c>
      <c r="AA2974" t="s">
        <v>4484</v>
      </c>
      <c r="AE2974">
        <v>-36.914965789999997</v>
      </c>
      <c r="AF2974">
        <v>174.8991067</v>
      </c>
      <c r="AG2974">
        <v>43</v>
      </c>
      <c r="AH2974">
        <v>20</v>
      </c>
      <c r="AI2974">
        <v>3</v>
      </c>
      <c r="AJ2974">
        <v>8</v>
      </c>
      <c r="AK2974">
        <v>8</v>
      </c>
      <c r="AL2974">
        <v>9</v>
      </c>
      <c r="AM2974">
        <v>7</v>
      </c>
      <c r="AN2974">
        <v>0</v>
      </c>
      <c r="AO2974">
        <v>35</v>
      </c>
      <c r="AP2974">
        <v>21</v>
      </c>
      <c r="AQ2974">
        <v>2</v>
      </c>
      <c r="AR2974">
        <v>4</v>
      </c>
      <c r="AS2974">
        <v>14</v>
      </c>
      <c r="AT2974">
        <v>2</v>
      </c>
    </row>
    <row r="2975" spans="1:46">
      <c r="A2975">
        <v>47711</v>
      </c>
      <c r="B2975" t="s">
        <v>16898</v>
      </c>
      <c r="E2975" t="s">
        <v>16899</v>
      </c>
      <c r="G2975" t="s">
        <v>5542</v>
      </c>
      <c r="H2975" t="s">
        <v>3942</v>
      </c>
      <c r="J2975" t="s">
        <v>3962</v>
      </c>
      <c r="K2975" t="s">
        <v>519</v>
      </c>
      <c r="M2975" t="s">
        <v>520</v>
      </c>
      <c r="N2975" t="s">
        <v>571</v>
      </c>
      <c r="O2975" t="s">
        <v>583</v>
      </c>
      <c r="P2975" t="s">
        <v>523</v>
      </c>
      <c r="Q2975" t="s">
        <v>524</v>
      </c>
      <c r="R2975" t="s">
        <v>525</v>
      </c>
      <c r="S2975" t="s">
        <v>585</v>
      </c>
      <c r="T2975" t="s">
        <v>527</v>
      </c>
      <c r="U2975">
        <v>108800</v>
      </c>
      <c r="V2975" t="s">
        <v>3741</v>
      </c>
      <c r="W2975" t="s">
        <v>618</v>
      </c>
      <c r="X2975" t="s">
        <v>16900</v>
      </c>
      <c r="Y2975" t="s">
        <v>16901</v>
      </c>
      <c r="AA2975" t="s">
        <v>16902</v>
      </c>
      <c r="AE2975">
        <v>-35.864381420000001</v>
      </c>
      <c r="AF2975">
        <v>174.44037761000001</v>
      </c>
      <c r="AG2975">
        <v>80</v>
      </c>
      <c r="AH2975">
        <v>20</v>
      </c>
      <c r="AI2975">
        <v>4</v>
      </c>
      <c r="AJ2975">
        <v>19</v>
      </c>
      <c r="AK2975">
        <v>19</v>
      </c>
      <c r="AL2975">
        <v>22</v>
      </c>
      <c r="AM2975">
        <v>29</v>
      </c>
      <c r="AN2975">
        <v>0</v>
      </c>
      <c r="AO2975">
        <v>93</v>
      </c>
      <c r="AP2975">
        <v>88</v>
      </c>
      <c r="AQ2975">
        <v>27</v>
      </c>
      <c r="AR2975">
        <v>8</v>
      </c>
      <c r="AS2975">
        <v>2</v>
      </c>
      <c r="AT2975">
        <v>4</v>
      </c>
    </row>
    <row r="2976" spans="1:46">
      <c r="A2976">
        <v>47714</v>
      </c>
      <c r="B2976" t="s">
        <v>16903</v>
      </c>
      <c r="D2976" t="s">
        <v>16904</v>
      </c>
      <c r="E2976" t="s">
        <v>16905</v>
      </c>
      <c r="F2976" t="s">
        <v>872</v>
      </c>
      <c r="G2976" t="s">
        <v>652</v>
      </c>
      <c r="H2976" t="s">
        <v>3942</v>
      </c>
      <c r="J2976" t="s">
        <v>3962</v>
      </c>
      <c r="K2976" t="s">
        <v>519</v>
      </c>
      <c r="M2976" t="s">
        <v>520</v>
      </c>
      <c r="N2976" t="s">
        <v>571</v>
      </c>
      <c r="O2976" t="s">
        <v>873</v>
      </c>
      <c r="P2976" t="s">
        <v>654</v>
      </c>
      <c r="Q2976" t="s">
        <v>638</v>
      </c>
      <c r="R2976" t="s">
        <v>639</v>
      </c>
      <c r="S2976" t="s">
        <v>719</v>
      </c>
      <c r="T2976" t="s">
        <v>709</v>
      </c>
      <c r="U2976">
        <v>131500</v>
      </c>
      <c r="V2976" t="s">
        <v>6246</v>
      </c>
      <c r="W2976" t="s">
        <v>815</v>
      </c>
      <c r="X2976" t="s">
        <v>5881</v>
      </c>
      <c r="Y2976" t="s">
        <v>5882</v>
      </c>
      <c r="Z2976" t="s">
        <v>1183</v>
      </c>
      <c r="AA2976" t="s">
        <v>4307</v>
      </c>
      <c r="AB2976" t="s">
        <v>5883</v>
      </c>
      <c r="AE2976">
        <v>-36.918003929999998</v>
      </c>
      <c r="AF2976">
        <v>174.65700049</v>
      </c>
      <c r="AG2976">
        <v>60</v>
      </c>
      <c r="AH2976">
        <v>18</v>
      </c>
      <c r="AI2976">
        <v>1</v>
      </c>
      <c r="AJ2976">
        <v>16</v>
      </c>
      <c r="AK2976">
        <v>13</v>
      </c>
      <c r="AL2976">
        <v>16</v>
      </c>
      <c r="AM2976">
        <v>17</v>
      </c>
      <c r="AN2976">
        <v>1</v>
      </c>
      <c r="AO2976">
        <v>64</v>
      </c>
      <c r="AP2976">
        <v>51</v>
      </c>
      <c r="AQ2976">
        <v>8</v>
      </c>
      <c r="AR2976">
        <v>7</v>
      </c>
      <c r="AS2976">
        <v>14</v>
      </c>
      <c r="AT2976">
        <v>2</v>
      </c>
    </row>
    <row r="2977" spans="1:46">
      <c r="A2977">
        <v>47715</v>
      </c>
      <c r="B2977" t="s">
        <v>16906</v>
      </c>
      <c r="C2977" t="s">
        <v>8761</v>
      </c>
      <c r="E2977" t="s">
        <v>8763</v>
      </c>
      <c r="F2977" t="s">
        <v>1313</v>
      </c>
      <c r="G2977" t="s">
        <v>1296</v>
      </c>
      <c r="H2977" t="s">
        <v>4716</v>
      </c>
      <c r="J2977" t="s">
        <v>3962</v>
      </c>
      <c r="K2977" t="s">
        <v>519</v>
      </c>
      <c r="M2977" t="s">
        <v>2287</v>
      </c>
      <c r="N2977" t="s">
        <v>571</v>
      </c>
      <c r="O2977" t="s">
        <v>1298</v>
      </c>
      <c r="P2977" t="s">
        <v>654</v>
      </c>
      <c r="Q2977" t="s">
        <v>1299</v>
      </c>
      <c r="R2977" t="s">
        <v>2289</v>
      </c>
      <c r="S2977" t="s">
        <v>1312</v>
      </c>
      <c r="T2977" t="s">
        <v>1235</v>
      </c>
      <c r="U2977">
        <v>177300</v>
      </c>
      <c r="V2977" t="s">
        <v>1313</v>
      </c>
      <c r="W2977" t="s">
        <v>1314</v>
      </c>
      <c r="X2977" t="s">
        <v>10965</v>
      </c>
      <c r="Y2977" t="s">
        <v>8763</v>
      </c>
      <c r="Z2977" t="s">
        <v>1313</v>
      </c>
      <c r="AA2977" t="s">
        <v>8511</v>
      </c>
      <c r="AE2977">
        <v>-37.749390910000002</v>
      </c>
      <c r="AF2977">
        <v>175.27364802</v>
      </c>
      <c r="AG2977">
        <v>80</v>
      </c>
      <c r="AH2977">
        <v>80</v>
      </c>
      <c r="AI2977">
        <v>3</v>
      </c>
      <c r="AJ2977">
        <v>12</v>
      </c>
      <c r="AK2977">
        <v>14</v>
      </c>
      <c r="AL2977">
        <v>11</v>
      </c>
      <c r="AM2977">
        <v>6</v>
      </c>
      <c r="AN2977">
        <v>1</v>
      </c>
      <c r="AO2977">
        <v>47</v>
      </c>
      <c r="AP2977">
        <v>37</v>
      </c>
      <c r="AQ2977">
        <v>12</v>
      </c>
      <c r="AR2977">
        <v>6</v>
      </c>
      <c r="AS2977">
        <v>4</v>
      </c>
      <c r="AT2977">
        <v>2</v>
      </c>
    </row>
    <row r="2978" spans="1:46">
      <c r="A2978">
        <v>47720</v>
      </c>
      <c r="B2978" t="s">
        <v>16907</v>
      </c>
      <c r="C2978" t="s">
        <v>16908</v>
      </c>
      <c r="D2978" t="s">
        <v>16909</v>
      </c>
      <c r="E2978" t="s">
        <v>16910</v>
      </c>
      <c r="F2978" t="s">
        <v>719</v>
      </c>
      <c r="G2978" t="s">
        <v>652</v>
      </c>
      <c r="H2978" t="s">
        <v>3942</v>
      </c>
      <c r="J2978" t="s">
        <v>3962</v>
      </c>
      <c r="K2978" t="s">
        <v>519</v>
      </c>
      <c r="M2978" t="s">
        <v>520</v>
      </c>
      <c r="N2978" t="s">
        <v>539</v>
      </c>
      <c r="O2978" t="s">
        <v>718</v>
      </c>
      <c r="P2978" t="s">
        <v>654</v>
      </c>
      <c r="Q2978" t="s">
        <v>638</v>
      </c>
      <c r="R2978" t="s">
        <v>639</v>
      </c>
      <c r="S2978" t="s">
        <v>719</v>
      </c>
      <c r="T2978" t="s">
        <v>709</v>
      </c>
      <c r="U2978">
        <v>131000</v>
      </c>
      <c r="V2978" t="s">
        <v>4114</v>
      </c>
      <c r="W2978" t="s">
        <v>721</v>
      </c>
      <c r="X2978" t="s">
        <v>16911</v>
      </c>
      <c r="Y2978" t="s">
        <v>16912</v>
      </c>
      <c r="Z2978" t="s">
        <v>1114</v>
      </c>
      <c r="AA2978" t="s">
        <v>4985</v>
      </c>
      <c r="AE2978">
        <v>-36.901656160000002</v>
      </c>
      <c r="AF2978">
        <v>174.66566405</v>
      </c>
      <c r="AG2978">
        <v>42</v>
      </c>
      <c r="AH2978">
        <v>8</v>
      </c>
      <c r="AI2978">
        <v>2</v>
      </c>
      <c r="AJ2978">
        <v>5</v>
      </c>
      <c r="AK2978">
        <v>8</v>
      </c>
      <c r="AL2978">
        <v>11</v>
      </c>
      <c r="AM2978">
        <v>11</v>
      </c>
      <c r="AN2978">
        <v>0</v>
      </c>
      <c r="AO2978">
        <v>37</v>
      </c>
      <c r="AP2978">
        <v>6</v>
      </c>
      <c r="AQ2978">
        <v>11</v>
      </c>
      <c r="AR2978">
        <v>15</v>
      </c>
      <c r="AS2978">
        <v>18</v>
      </c>
      <c r="AT2978">
        <v>0</v>
      </c>
    </row>
    <row r="2979" spans="1:46">
      <c r="A2979">
        <v>47722</v>
      </c>
      <c r="B2979" t="s">
        <v>16913</v>
      </c>
      <c r="C2979" t="s">
        <v>16914</v>
      </c>
      <c r="E2979" t="s">
        <v>16915</v>
      </c>
      <c r="G2979" t="s">
        <v>8963</v>
      </c>
      <c r="H2979" t="s">
        <v>3942</v>
      </c>
      <c r="J2979" t="s">
        <v>3962</v>
      </c>
      <c r="K2979" t="s">
        <v>519</v>
      </c>
      <c r="M2979" t="s">
        <v>1297</v>
      </c>
      <c r="N2979" t="s">
        <v>571</v>
      </c>
      <c r="O2979" t="s">
        <v>1319</v>
      </c>
      <c r="P2979" t="s">
        <v>523</v>
      </c>
      <c r="Q2979" t="s">
        <v>1299</v>
      </c>
      <c r="R2979" t="s">
        <v>1300</v>
      </c>
      <c r="S2979" t="s">
        <v>1417</v>
      </c>
      <c r="T2979" t="s">
        <v>1235</v>
      </c>
      <c r="U2979">
        <v>181900</v>
      </c>
      <c r="V2979" t="s">
        <v>8963</v>
      </c>
      <c r="W2979" t="s">
        <v>8964</v>
      </c>
      <c r="X2979" t="s">
        <v>16916</v>
      </c>
      <c r="Y2979" t="s">
        <v>16917</v>
      </c>
      <c r="AA2979" t="s">
        <v>16918</v>
      </c>
      <c r="AB2979" t="s">
        <v>16914</v>
      </c>
      <c r="AE2979">
        <v>-37.999326400000001</v>
      </c>
      <c r="AF2979">
        <v>175.2051611</v>
      </c>
      <c r="AG2979">
        <v>50</v>
      </c>
      <c r="AH2979">
        <v>20</v>
      </c>
      <c r="AI2979">
        <v>2</v>
      </c>
      <c r="AJ2979">
        <v>7</v>
      </c>
      <c r="AK2979">
        <v>13</v>
      </c>
      <c r="AL2979">
        <v>16</v>
      </c>
      <c r="AM2979">
        <v>16</v>
      </c>
      <c r="AN2979">
        <v>0</v>
      </c>
      <c r="AO2979">
        <v>54</v>
      </c>
      <c r="AP2979">
        <v>45</v>
      </c>
      <c r="AQ2979">
        <v>16</v>
      </c>
      <c r="AR2979">
        <v>1</v>
      </c>
      <c r="AS2979">
        <v>1</v>
      </c>
      <c r="AT2979">
        <v>3</v>
      </c>
    </row>
    <row r="2980" spans="1:46">
      <c r="A2980">
        <v>47724</v>
      </c>
      <c r="B2980" t="s">
        <v>16919</v>
      </c>
      <c r="C2980" t="s">
        <v>16920</v>
      </c>
      <c r="D2980" t="s">
        <v>16921</v>
      </c>
      <c r="E2980" t="s">
        <v>16922</v>
      </c>
      <c r="F2980" t="s">
        <v>16230</v>
      </c>
      <c r="G2980" t="s">
        <v>1757</v>
      </c>
      <c r="H2980" t="s">
        <v>3942</v>
      </c>
      <c r="J2980" t="s">
        <v>3962</v>
      </c>
      <c r="K2980" t="s">
        <v>519</v>
      </c>
      <c r="M2980" t="s">
        <v>1297</v>
      </c>
      <c r="N2980" t="s">
        <v>571</v>
      </c>
      <c r="O2980" t="s">
        <v>1758</v>
      </c>
      <c r="P2980" t="s">
        <v>584</v>
      </c>
      <c r="Q2980" t="s">
        <v>1759</v>
      </c>
      <c r="R2980" t="s">
        <v>1760</v>
      </c>
      <c r="S2980" t="s">
        <v>1757</v>
      </c>
      <c r="T2980" t="s">
        <v>1485</v>
      </c>
      <c r="U2980">
        <v>217901</v>
      </c>
      <c r="V2980" t="s">
        <v>16230</v>
      </c>
      <c r="W2980" t="s">
        <v>1762</v>
      </c>
      <c r="X2980" t="s">
        <v>16923</v>
      </c>
      <c r="Y2980" t="s">
        <v>16924</v>
      </c>
      <c r="Z2980" t="s">
        <v>16230</v>
      </c>
      <c r="AA2980" t="s">
        <v>14336</v>
      </c>
      <c r="AB2980" t="s">
        <v>16920</v>
      </c>
      <c r="AE2980">
        <v>-39.090067429999998</v>
      </c>
      <c r="AF2980">
        <v>174.05456035</v>
      </c>
      <c r="AG2980">
        <v>24</v>
      </c>
      <c r="AH2980">
        <v>0</v>
      </c>
      <c r="AI2980">
        <v>0</v>
      </c>
      <c r="AJ2980">
        <v>0</v>
      </c>
      <c r="AK2980">
        <v>0</v>
      </c>
      <c r="AL2980">
        <v>17</v>
      </c>
      <c r="AM2980">
        <v>18</v>
      </c>
      <c r="AN2980">
        <v>0</v>
      </c>
      <c r="AO2980">
        <v>35</v>
      </c>
      <c r="AP2980">
        <v>33</v>
      </c>
      <c r="AQ2980">
        <v>6</v>
      </c>
      <c r="AR2980">
        <v>0</v>
      </c>
      <c r="AS2980">
        <v>0</v>
      </c>
      <c r="AT2980">
        <v>1</v>
      </c>
    </row>
    <row r="2981" spans="1:46">
      <c r="A2981">
        <v>47725</v>
      </c>
      <c r="B2981" t="s">
        <v>16925</v>
      </c>
      <c r="C2981" t="s">
        <v>16926</v>
      </c>
      <c r="E2981" t="s">
        <v>16927</v>
      </c>
      <c r="F2981" t="s">
        <v>3156</v>
      </c>
      <c r="G2981" t="s">
        <v>2941</v>
      </c>
      <c r="H2981" t="s">
        <v>3942</v>
      </c>
      <c r="J2981" t="s">
        <v>518</v>
      </c>
      <c r="K2981" t="s">
        <v>519</v>
      </c>
      <c r="M2981" t="s">
        <v>2287</v>
      </c>
      <c r="N2981" t="s">
        <v>571</v>
      </c>
      <c r="O2981" t="s">
        <v>2942</v>
      </c>
      <c r="P2981" t="s">
        <v>654</v>
      </c>
      <c r="Q2981" t="s">
        <v>2943</v>
      </c>
      <c r="R2981" t="s">
        <v>2944</v>
      </c>
      <c r="S2981" t="s">
        <v>3019</v>
      </c>
      <c r="T2981" t="s">
        <v>2448</v>
      </c>
      <c r="U2981">
        <v>326900</v>
      </c>
      <c r="V2981" t="s">
        <v>12264</v>
      </c>
      <c r="W2981" t="s">
        <v>3088</v>
      </c>
      <c r="X2981" t="s">
        <v>10801</v>
      </c>
      <c r="Y2981" t="s">
        <v>3944</v>
      </c>
      <c r="Z2981" t="s">
        <v>3945</v>
      </c>
      <c r="AA2981" t="s">
        <v>3946</v>
      </c>
      <c r="AE2981">
        <v>-43.552138999999997</v>
      </c>
      <c r="AF2981">
        <v>172.61275777</v>
      </c>
      <c r="AG2981">
        <v>115</v>
      </c>
      <c r="AH2981">
        <v>25</v>
      </c>
      <c r="AI2981">
        <v>6</v>
      </c>
      <c r="AJ2981">
        <v>21</v>
      </c>
      <c r="AK2981">
        <v>25</v>
      </c>
      <c r="AL2981">
        <v>36</v>
      </c>
      <c r="AM2981">
        <v>34</v>
      </c>
      <c r="AN2981">
        <v>1</v>
      </c>
      <c r="AO2981">
        <v>123</v>
      </c>
      <c r="AP2981">
        <v>82</v>
      </c>
      <c r="AQ2981">
        <v>25</v>
      </c>
      <c r="AR2981">
        <v>8</v>
      </c>
      <c r="AS2981">
        <v>34</v>
      </c>
      <c r="AT2981">
        <v>13</v>
      </c>
    </row>
    <row r="2982" spans="1:46">
      <c r="A2982">
        <v>47726</v>
      </c>
      <c r="B2982" t="s">
        <v>16928</v>
      </c>
      <c r="C2982" t="s">
        <v>16929</v>
      </c>
      <c r="D2982" t="s">
        <v>13201</v>
      </c>
      <c r="E2982" t="s">
        <v>16930</v>
      </c>
      <c r="F2982" t="s">
        <v>4405</v>
      </c>
      <c r="G2982" t="s">
        <v>582</v>
      </c>
      <c r="H2982" t="s">
        <v>3942</v>
      </c>
      <c r="J2982" t="s">
        <v>3962</v>
      </c>
      <c r="K2982" t="s">
        <v>519</v>
      </c>
      <c r="M2982" t="s">
        <v>520</v>
      </c>
      <c r="N2982" t="s">
        <v>571</v>
      </c>
      <c r="O2982" t="s">
        <v>583</v>
      </c>
      <c r="P2982" t="s">
        <v>584</v>
      </c>
      <c r="Q2982" t="s">
        <v>524</v>
      </c>
      <c r="R2982" t="s">
        <v>525</v>
      </c>
      <c r="S2982" t="s">
        <v>585</v>
      </c>
      <c r="T2982" t="s">
        <v>527</v>
      </c>
      <c r="U2982">
        <v>106600</v>
      </c>
      <c r="V2982" t="s">
        <v>5034</v>
      </c>
      <c r="W2982" t="s">
        <v>587</v>
      </c>
      <c r="X2982" t="s">
        <v>13174</v>
      </c>
      <c r="Y2982" t="s">
        <v>13175</v>
      </c>
      <c r="Z2982" t="s">
        <v>737</v>
      </c>
      <c r="AA2982" t="s">
        <v>13176</v>
      </c>
      <c r="AE2982">
        <v>-35.713686719999998</v>
      </c>
      <c r="AF2982">
        <v>174.32523671000001</v>
      </c>
      <c r="AG2982">
        <v>19</v>
      </c>
      <c r="AH2982">
        <v>19</v>
      </c>
      <c r="AI2982">
        <v>4</v>
      </c>
      <c r="AJ2982">
        <v>16</v>
      </c>
      <c r="AK2982">
        <v>0</v>
      </c>
      <c r="AL2982">
        <v>0</v>
      </c>
      <c r="AM2982">
        <v>0</v>
      </c>
      <c r="AN2982">
        <v>0</v>
      </c>
      <c r="AO2982">
        <v>20</v>
      </c>
      <c r="AP2982">
        <v>14</v>
      </c>
      <c r="AQ2982">
        <v>4</v>
      </c>
      <c r="AR2982">
        <v>0</v>
      </c>
      <c r="AS2982">
        <v>4</v>
      </c>
      <c r="AT2982">
        <v>3</v>
      </c>
    </row>
    <row r="2983" spans="1:46">
      <c r="A2983">
        <v>47728</v>
      </c>
      <c r="B2983" t="s">
        <v>16931</v>
      </c>
      <c r="C2983" t="s">
        <v>16932</v>
      </c>
      <c r="D2983" t="s">
        <v>16933</v>
      </c>
      <c r="E2983" t="s">
        <v>16934</v>
      </c>
      <c r="F2983" t="s">
        <v>13207</v>
      </c>
      <c r="G2983" t="s">
        <v>2941</v>
      </c>
      <c r="H2983" t="s">
        <v>3942</v>
      </c>
      <c r="J2983" t="s">
        <v>518</v>
      </c>
      <c r="K2983" t="s">
        <v>519</v>
      </c>
      <c r="M2983" t="s">
        <v>2287</v>
      </c>
      <c r="N2983" t="s">
        <v>571</v>
      </c>
      <c r="O2983" t="s">
        <v>2942</v>
      </c>
      <c r="P2983" t="s">
        <v>654</v>
      </c>
      <c r="Q2983" t="s">
        <v>2943</v>
      </c>
      <c r="R2983" t="s">
        <v>2944</v>
      </c>
      <c r="S2983" t="s">
        <v>3019</v>
      </c>
      <c r="T2983" t="s">
        <v>2448</v>
      </c>
      <c r="U2983">
        <v>321000</v>
      </c>
      <c r="V2983" t="s">
        <v>16935</v>
      </c>
      <c r="W2983" t="s">
        <v>3076</v>
      </c>
      <c r="X2983" t="s">
        <v>16936</v>
      </c>
      <c r="Y2983" t="s">
        <v>5103</v>
      </c>
      <c r="Z2983" t="s">
        <v>5104</v>
      </c>
      <c r="AA2983" t="s">
        <v>5105</v>
      </c>
      <c r="AB2983" t="s">
        <v>16932</v>
      </c>
      <c r="AE2983">
        <v>-43.531169390000002</v>
      </c>
      <c r="AF2983">
        <v>172.56894141999999</v>
      </c>
      <c r="AG2983">
        <v>44</v>
      </c>
      <c r="AH2983">
        <v>8</v>
      </c>
      <c r="AI2983">
        <v>0</v>
      </c>
      <c r="AJ2983">
        <v>2</v>
      </c>
      <c r="AK2983">
        <v>6</v>
      </c>
      <c r="AL2983">
        <v>10</v>
      </c>
      <c r="AM2983">
        <v>14</v>
      </c>
      <c r="AN2983">
        <v>3</v>
      </c>
      <c r="AO2983">
        <v>35</v>
      </c>
      <c r="AP2983">
        <v>6</v>
      </c>
      <c r="AQ2983">
        <v>1</v>
      </c>
      <c r="AR2983">
        <v>1</v>
      </c>
      <c r="AS2983">
        <v>26</v>
      </c>
      <c r="AT2983">
        <v>4</v>
      </c>
    </row>
    <row r="2984" spans="1:46">
      <c r="A2984">
        <v>47729</v>
      </c>
      <c r="B2984" t="s">
        <v>16937</v>
      </c>
      <c r="C2984" t="s">
        <v>16938</v>
      </c>
      <c r="E2984" t="s">
        <v>16939</v>
      </c>
      <c r="F2984" t="s">
        <v>9750</v>
      </c>
      <c r="G2984" t="s">
        <v>1598</v>
      </c>
      <c r="H2984" t="s">
        <v>3942</v>
      </c>
      <c r="J2984" t="s">
        <v>3962</v>
      </c>
      <c r="K2984" t="s">
        <v>519</v>
      </c>
      <c r="M2984" t="s">
        <v>1297</v>
      </c>
      <c r="N2984" t="s">
        <v>571</v>
      </c>
      <c r="O2984" t="s">
        <v>1698</v>
      </c>
      <c r="P2984" t="s">
        <v>654</v>
      </c>
      <c r="Q2984" t="s">
        <v>1471</v>
      </c>
      <c r="R2984" t="s">
        <v>1472</v>
      </c>
      <c r="S2984" t="s">
        <v>1699</v>
      </c>
      <c r="T2984" t="s">
        <v>1474</v>
      </c>
      <c r="U2984">
        <v>194500</v>
      </c>
      <c r="V2984" t="s">
        <v>9750</v>
      </c>
      <c r="W2984" t="s">
        <v>1717</v>
      </c>
      <c r="X2984" t="s">
        <v>16940</v>
      </c>
      <c r="Y2984" t="s">
        <v>16941</v>
      </c>
      <c r="Z2984" t="s">
        <v>13150</v>
      </c>
      <c r="AA2984" t="s">
        <v>9922</v>
      </c>
      <c r="AB2984" t="s">
        <v>16942</v>
      </c>
      <c r="AC2984">
        <v>99085</v>
      </c>
      <c r="AD2984" t="s">
        <v>1718</v>
      </c>
      <c r="AE2984">
        <v>-37.750838420000001</v>
      </c>
      <c r="AF2984">
        <v>176.09710000000001</v>
      </c>
      <c r="AG2984">
        <v>80</v>
      </c>
      <c r="AH2984">
        <v>18</v>
      </c>
      <c r="AI2984">
        <v>2</v>
      </c>
      <c r="AJ2984">
        <v>11</v>
      </c>
      <c r="AK2984">
        <v>10</v>
      </c>
      <c r="AL2984">
        <v>22</v>
      </c>
      <c r="AM2984">
        <v>11</v>
      </c>
      <c r="AN2984">
        <v>1</v>
      </c>
      <c r="AO2984">
        <v>57</v>
      </c>
      <c r="AP2984">
        <v>27</v>
      </c>
      <c r="AQ2984">
        <v>14</v>
      </c>
      <c r="AR2984">
        <v>5</v>
      </c>
      <c r="AS2984">
        <v>25</v>
      </c>
      <c r="AT2984">
        <v>1</v>
      </c>
    </row>
    <row r="2985" spans="1:46">
      <c r="A2985">
        <v>47730</v>
      </c>
      <c r="B2985" t="s">
        <v>16943</v>
      </c>
      <c r="C2985" t="s">
        <v>16944</v>
      </c>
      <c r="D2985" t="s">
        <v>16945</v>
      </c>
      <c r="E2985" t="s">
        <v>16946</v>
      </c>
      <c r="F2985" t="s">
        <v>2676</v>
      </c>
      <c r="G2985" t="s">
        <v>2674</v>
      </c>
      <c r="H2985" t="s">
        <v>3942</v>
      </c>
      <c r="J2985" t="s">
        <v>3962</v>
      </c>
      <c r="K2985" t="s">
        <v>519</v>
      </c>
      <c r="M2985" t="s">
        <v>2287</v>
      </c>
      <c r="N2985" t="s">
        <v>571</v>
      </c>
      <c r="O2985" t="s">
        <v>2675</v>
      </c>
      <c r="P2985" t="s">
        <v>1262</v>
      </c>
      <c r="Q2985" t="s">
        <v>2319</v>
      </c>
      <c r="R2985" t="s">
        <v>2289</v>
      </c>
      <c r="S2985" t="s">
        <v>2067</v>
      </c>
      <c r="T2985" t="s">
        <v>1485</v>
      </c>
      <c r="U2985">
        <v>237500</v>
      </c>
      <c r="V2985" t="s">
        <v>14364</v>
      </c>
      <c r="W2985" t="s">
        <v>2677</v>
      </c>
      <c r="X2985" t="s">
        <v>12022</v>
      </c>
      <c r="Y2985" t="s">
        <v>4097</v>
      </c>
      <c r="Z2985" t="s">
        <v>4098</v>
      </c>
      <c r="AA2985" t="s">
        <v>4099</v>
      </c>
      <c r="AE2985">
        <v>-40.892563119999998</v>
      </c>
      <c r="AF2985">
        <v>175.0063107</v>
      </c>
      <c r="AG2985">
        <v>110</v>
      </c>
      <c r="AH2985">
        <v>35</v>
      </c>
      <c r="AI2985">
        <v>8</v>
      </c>
      <c r="AJ2985">
        <v>38</v>
      </c>
      <c r="AK2985">
        <v>26</v>
      </c>
      <c r="AL2985">
        <v>37</v>
      </c>
      <c r="AM2985">
        <v>24</v>
      </c>
      <c r="AN2985">
        <v>1</v>
      </c>
      <c r="AO2985">
        <v>134</v>
      </c>
      <c r="AP2985">
        <v>121</v>
      </c>
      <c r="AQ2985">
        <v>18</v>
      </c>
      <c r="AR2985">
        <v>8</v>
      </c>
      <c r="AS2985">
        <v>14</v>
      </c>
      <c r="AT2985">
        <v>7</v>
      </c>
    </row>
    <row r="2986" spans="1:46">
      <c r="A2986">
        <v>47731</v>
      </c>
      <c r="B2986" t="s">
        <v>16947</v>
      </c>
      <c r="C2986" t="s">
        <v>16948</v>
      </c>
      <c r="D2986" t="s">
        <v>16949</v>
      </c>
      <c r="E2986" t="s">
        <v>16950</v>
      </c>
      <c r="G2986" t="s">
        <v>2216</v>
      </c>
      <c r="H2986" t="s">
        <v>3942</v>
      </c>
      <c r="J2986" t="s">
        <v>3962</v>
      </c>
      <c r="K2986" t="s">
        <v>519</v>
      </c>
      <c r="M2986" t="s">
        <v>1297</v>
      </c>
      <c r="N2986" t="s">
        <v>571</v>
      </c>
      <c r="O2986" t="s">
        <v>2198</v>
      </c>
      <c r="P2986" t="s">
        <v>1262</v>
      </c>
      <c r="Q2986" t="s">
        <v>2118</v>
      </c>
      <c r="R2986" t="s">
        <v>2084</v>
      </c>
      <c r="S2986" t="s">
        <v>2199</v>
      </c>
      <c r="T2986" t="s">
        <v>2085</v>
      </c>
      <c r="U2986">
        <v>211800</v>
      </c>
      <c r="V2986" t="s">
        <v>16951</v>
      </c>
      <c r="W2986" t="s">
        <v>2200</v>
      </c>
      <c r="X2986" t="s">
        <v>16952</v>
      </c>
      <c r="Y2986" t="s">
        <v>16953</v>
      </c>
      <c r="Z2986" t="s">
        <v>2258</v>
      </c>
      <c r="AA2986" t="s">
        <v>2204</v>
      </c>
      <c r="AB2986" t="s">
        <v>16954</v>
      </c>
      <c r="AC2986">
        <v>99022</v>
      </c>
      <c r="AD2986" t="s">
        <v>2218</v>
      </c>
      <c r="AE2986">
        <v>-39.671756600000002</v>
      </c>
      <c r="AF2986">
        <v>176.87983636999999</v>
      </c>
      <c r="AG2986">
        <v>60</v>
      </c>
      <c r="AH2986">
        <v>10</v>
      </c>
      <c r="AI2986">
        <v>3</v>
      </c>
      <c r="AJ2986">
        <v>8</v>
      </c>
      <c r="AK2986">
        <v>11</v>
      </c>
      <c r="AL2986">
        <v>17</v>
      </c>
      <c r="AM2986">
        <v>12</v>
      </c>
      <c r="AN2986">
        <v>1</v>
      </c>
      <c r="AO2986">
        <v>52</v>
      </c>
      <c r="AP2986">
        <v>41</v>
      </c>
      <c r="AQ2986">
        <v>21</v>
      </c>
      <c r="AR2986">
        <v>0</v>
      </c>
      <c r="AS2986">
        <v>2</v>
      </c>
      <c r="AT2986">
        <v>0</v>
      </c>
    </row>
    <row r="2987" spans="1:46">
      <c r="A2987">
        <v>47732</v>
      </c>
      <c r="B2987" t="s">
        <v>16955</v>
      </c>
      <c r="C2987" t="s">
        <v>13293</v>
      </c>
      <c r="E2987" t="s">
        <v>5149</v>
      </c>
      <c r="F2987" t="s">
        <v>945</v>
      </c>
      <c r="G2987" t="s">
        <v>652</v>
      </c>
      <c r="H2987" t="s">
        <v>3942</v>
      </c>
      <c r="I2987" t="s">
        <v>4951</v>
      </c>
      <c r="J2987" t="s">
        <v>518</v>
      </c>
      <c r="K2987" t="s">
        <v>519</v>
      </c>
      <c r="M2987" t="s">
        <v>520</v>
      </c>
      <c r="N2987" t="s">
        <v>727</v>
      </c>
      <c r="O2987" t="s">
        <v>848</v>
      </c>
      <c r="P2987" t="s">
        <v>654</v>
      </c>
      <c r="Q2987" t="s">
        <v>638</v>
      </c>
      <c r="R2987" t="s">
        <v>729</v>
      </c>
      <c r="S2987" t="s">
        <v>849</v>
      </c>
      <c r="T2987" t="s">
        <v>709</v>
      </c>
      <c r="U2987">
        <v>151200</v>
      </c>
      <c r="V2987" t="s">
        <v>4576</v>
      </c>
      <c r="W2987" t="s">
        <v>732</v>
      </c>
      <c r="X2987" t="s">
        <v>13291</v>
      </c>
      <c r="Y2987" t="s">
        <v>13292</v>
      </c>
      <c r="Z2987" t="s">
        <v>4204</v>
      </c>
      <c r="AA2987" t="s">
        <v>4585</v>
      </c>
      <c r="AB2987" t="s">
        <v>13293</v>
      </c>
      <c r="AE2987">
        <v>-36.965569299999999</v>
      </c>
      <c r="AF2987">
        <v>174.81119179999999</v>
      </c>
      <c r="AG2987">
        <v>40</v>
      </c>
      <c r="AH2987">
        <v>10</v>
      </c>
      <c r="AI2987">
        <v>1</v>
      </c>
      <c r="AJ2987">
        <v>8</v>
      </c>
      <c r="AK2987">
        <v>12</v>
      </c>
      <c r="AL2987">
        <v>6</v>
      </c>
      <c r="AM2987">
        <v>10</v>
      </c>
      <c r="AN2987">
        <v>1</v>
      </c>
      <c r="AO2987">
        <v>38</v>
      </c>
      <c r="AP2987">
        <v>0</v>
      </c>
      <c r="AQ2987">
        <v>3</v>
      </c>
      <c r="AR2987">
        <v>36</v>
      </c>
      <c r="AS2987">
        <v>2</v>
      </c>
      <c r="AT2987">
        <v>0</v>
      </c>
    </row>
    <row r="2988" spans="1:46">
      <c r="A2988">
        <v>47733</v>
      </c>
      <c r="B2988" t="s">
        <v>16956</v>
      </c>
      <c r="C2988" t="s">
        <v>16957</v>
      </c>
      <c r="D2988" t="s">
        <v>16958</v>
      </c>
      <c r="E2988" t="s">
        <v>16959</v>
      </c>
      <c r="G2988" t="s">
        <v>1987</v>
      </c>
      <c r="H2988" t="s">
        <v>4716</v>
      </c>
      <c r="J2988" t="s">
        <v>3962</v>
      </c>
      <c r="K2988" t="s">
        <v>519</v>
      </c>
      <c r="M2988" t="s">
        <v>1297</v>
      </c>
      <c r="N2988" t="s">
        <v>571</v>
      </c>
      <c r="O2988" t="s">
        <v>1988</v>
      </c>
      <c r="P2988" t="s">
        <v>1262</v>
      </c>
      <c r="Q2988" t="s">
        <v>1636</v>
      </c>
      <c r="R2988" t="s">
        <v>1760</v>
      </c>
      <c r="S2988" t="s">
        <v>1637</v>
      </c>
      <c r="T2988" t="s">
        <v>1485</v>
      </c>
      <c r="U2988">
        <v>228400</v>
      </c>
      <c r="V2988" t="s">
        <v>12551</v>
      </c>
      <c r="W2988" t="s">
        <v>1990</v>
      </c>
      <c r="X2988" t="s">
        <v>16960</v>
      </c>
      <c r="Y2988" t="s">
        <v>8723</v>
      </c>
      <c r="Z2988" t="s">
        <v>2216</v>
      </c>
      <c r="AA2988" t="s">
        <v>8724</v>
      </c>
      <c r="AB2988" t="s">
        <v>16961</v>
      </c>
      <c r="AE2988">
        <v>-40.229630460000003</v>
      </c>
      <c r="AF2988">
        <v>175.56974367000001</v>
      </c>
      <c r="AG2988">
        <v>50</v>
      </c>
      <c r="AH2988">
        <v>50</v>
      </c>
      <c r="AI2988">
        <v>0</v>
      </c>
      <c r="AJ2988">
        <v>9</v>
      </c>
      <c r="AK2988">
        <v>11</v>
      </c>
      <c r="AL2988">
        <v>7</v>
      </c>
      <c r="AM2988">
        <v>7</v>
      </c>
      <c r="AN2988">
        <v>1</v>
      </c>
      <c r="AO2988">
        <v>35</v>
      </c>
      <c r="AP2988">
        <v>31</v>
      </c>
      <c r="AQ2988">
        <v>19</v>
      </c>
      <c r="AR2988">
        <v>2</v>
      </c>
      <c r="AS2988">
        <v>2</v>
      </c>
      <c r="AT2988">
        <v>0</v>
      </c>
    </row>
    <row r="2989" spans="1:46">
      <c r="A2989">
        <v>47734</v>
      </c>
      <c r="B2989" t="s">
        <v>16962</v>
      </c>
      <c r="E2989" t="s">
        <v>16963</v>
      </c>
      <c r="G2989" t="s">
        <v>16964</v>
      </c>
      <c r="H2989" t="s">
        <v>517</v>
      </c>
      <c r="J2989" t="s">
        <v>518</v>
      </c>
      <c r="K2989" t="s">
        <v>519</v>
      </c>
      <c r="M2989" t="s">
        <v>1297</v>
      </c>
      <c r="N2989" t="s">
        <v>571</v>
      </c>
      <c r="O2989" t="s">
        <v>1546</v>
      </c>
      <c r="P2989" t="s">
        <v>523</v>
      </c>
      <c r="Q2989" t="s">
        <v>1299</v>
      </c>
      <c r="R2989" t="s">
        <v>1472</v>
      </c>
      <c r="S2989" t="s">
        <v>1320</v>
      </c>
      <c r="T2989" t="s">
        <v>1474</v>
      </c>
      <c r="U2989">
        <v>188002</v>
      </c>
      <c r="V2989" t="s">
        <v>16965</v>
      </c>
      <c r="W2989" t="s">
        <v>1548</v>
      </c>
      <c r="X2989" t="s">
        <v>1549</v>
      </c>
      <c r="Y2989" t="s">
        <v>1441</v>
      </c>
      <c r="AA2989" t="s">
        <v>1442</v>
      </c>
      <c r="AC2989">
        <v>99020</v>
      </c>
      <c r="AD2989" t="s">
        <v>1550</v>
      </c>
      <c r="AE2989">
        <v>-38.661237100000001</v>
      </c>
      <c r="AF2989">
        <v>175.92088593</v>
      </c>
      <c r="AG2989">
        <v>20</v>
      </c>
      <c r="AH2989">
        <v>0</v>
      </c>
      <c r="AI2989">
        <v>0</v>
      </c>
      <c r="AJ2989">
        <v>0</v>
      </c>
      <c r="AK2989">
        <v>2</v>
      </c>
      <c r="AL2989">
        <v>4</v>
      </c>
      <c r="AM2989">
        <v>6</v>
      </c>
      <c r="AN2989">
        <v>2</v>
      </c>
      <c r="AO2989">
        <v>14</v>
      </c>
      <c r="AP2989">
        <v>10</v>
      </c>
      <c r="AQ2989">
        <v>2</v>
      </c>
      <c r="AR2989">
        <v>0</v>
      </c>
      <c r="AS2989">
        <v>2</v>
      </c>
      <c r="AT2989">
        <v>3</v>
      </c>
    </row>
    <row r="2990" spans="1:46">
      <c r="A2990">
        <v>47735</v>
      </c>
      <c r="B2990" t="s">
        <v>16966</v>
      </c>
      <c r="C2990" t="s">
        <v>16967</v>
      </c>
      <c r="E2990" t="s">
        <v>14758</v>
      </c>
      <c r="G2990" t="s">
        <v>516</v>
      </c>
      <c r="H2990" t="s">
        <v>4716</v>
      </c>
      <c r="J2990" t="s">
        <v>3962</v>
      </c>
      <c r="K2990" t="s">
        <v>519</v>
      </c>
      <c r="M2990" t="s">
        <v>520</v>
      </c>
      <c r="N2990" t="s">
        <v>521</v>
      </c>
      <c r="O2990" t="s">
        <v>522</v>
      </c>
      <c r="P2990" t="s">
        <v>523</v>
      </c>
      <c r="Q2990" t="s">
        <v>524</v>
      </c>
      <c r="R2990" t="s">
        <v>525</v>
      </c>
      <c r="S2990" t="s">
        <v>526</v>
      </c>
      <c r="T2990" t="s">
        <v>527</v>
      </c>
      <c r="U2990">
        <v>100700</v>
      </c>
      <c r="V2990" t="s">
        <v>546</v>
      </c>
      <c r="W2990" t="s">
        <v>529</v>
      </c>
      <c r="X2990" t="s">
        <v>14759</v>
      </c>
      <c r="Y2990" t="s">
        <v>14758</v>
      </c>
      <c r="AA2990" t="s">
        <v>5383</v>
      </c>
      <c r="AE2990">
        <v>-35.112010480000002</v>
      </c>
      <c r="AF2990">
        <v>173.26136639999999</v>
      </c>
      <c r="AG2990">
        <v>50</v>
      </c>
      <c r="AH2990">
        <v>50</v>
      </c>
      <c r="AI2990">
        <v>4</v>
      </c>
      <c r="AJ2990">
        <v>6</v>
      </c>
      <c r="AK2990">
        <v>11</v>
      </c>
      <c r="AL2990">
        <v>3</v>
      </c>
      <c r="AM2990">
        <v>10</v>
      </c>
      <c r="AN2990">
        <v>4</v>
      </c>
      <c r="AO2990">
        <v>38</v>
      </c>
      <c r="AP2990">
        <v>4</v>
      </c>
      <c r="AQ2990">
        <v>38</v>
      </c>
      <c r="AR2990">
        <v>1</v>
      </c>
      <c r="AS2990">
        <v>0</v>
      </c>
      <c r="AT2990">
        <v>0</v>
      </c>
    </row>
    <row r="2991" spans="1:46">
      <c r="A2991">
        <v>47737</v>
      </c>
      <c r="B2991" t="s">
        <v>16968</v>
      </c>
      <c r="C2991" t="s">
        <v>16969</v>
      </c>
      <c r="D2991" t="s">
        <v>16970</v>
      </c>
      <c r="E2991" t="s">
        <v>16971</v>
      </c>
      <c r="F2991" t="s">
        <v>3194</v>
      </c>
      <c r="G2991" t="s">
        <v>2941</v>
      </c>
      <c r="H2991" t="s">
        <v>3942</v>
      </c>
      <c r="I2991" t="s">
        <v>4065</v>
      </c>
      <c r="J2991" t="s">
        <v>3962</v>
      </c>
      <c r="K2991" t="s">
        <v>519</v>
      </c>
      <c r="M2991" t="s">
        <v>2287</v>
      </c>
      <c r="N2991" t="s">
        <v>571</v>
      </c>
      <c r="O2991" t="s">
        <v>2942</v>
      </c>
      <c r="P2991" t="s">
        <v>654</v>
      </c>
      <c r="Q2991" t="s">
        <v>2943</v>
      </c>
      <c r="R2991" t="s">
        <v>2944</v>
      </c>
      <c r="S2991" t="s">
        <v>2979</v>
      </c>
      <c r="T2991" t="s">
        <v>2448</v>
      </c>
      <c r="U2991">
        <v>326701</v>
      </c>
      <c r="V2991" t="s">
        <v>3087</v>
      </c>
      <c r="W2991" t="s">
        <v>3196</v>
      </c>
      <c r="X2991" t="s">
        <v>11417</v>
      </c>
      <c r="Y2991" t="s">
        <v>11418</v>
      </c>
      <c r="Z2991" t="s">
        <v>3019</v>
      </c>
      <c r="AA2991" t="s">
        <v>11419</v>
      </c>
      <c r="AB2991" t="s">
        <v>11420</v>
      </c>
      <c r="AE2991">
        <v>-43.563282170000001</v>
      </c>
      <c r="AF2991">
        <v>172.58093439999999</v>
      </c>
      <c r="AG2991">
        <v>120</v>
      </c>
      <c r="AH2991">
        <v>30</v>
      </c>
      <c r="AI2991">
        <v>4</v>
      </c>
      <c r="AJ2991">
        <v>21</v>
      </c>
      <c r="AK2991">
        <v>32</v>
      </c>
      <c r="AL2991">
        <v>44</v>
      </c>
      <c r="AM2991">
        <v>41</v>
      </c>
      <c r="AN2991">
        <v>1</v>
      </c>
      <c r="AO2991">
        <v>143</v>
      </c>
      <c r="AP2991">
        <v>94</v>
      </c>
      <c r="AQ2991">
        <v>14</v>
      </c>
      <c r="AR2991">
        <v>6</v>
      </c>
      <c r="AS2991">
        <v>49</v>
      </c>
      <c r="AT2991">
        <v>7</v>
      </c>
    </row>
    <row r="2992" spans="1:46">
      <c r="A2992">
        <v>47739</v>
      </c>
      <c r="B2992" t="s">
        <v>16972</v>
      </c>
      <c r="C2992" t="s">
        <v>16973</v>
      </c>
      <c r="E2992" t="s">
        <v>16974</v>
      </c>
      <c r="F2992" t="s">
        <v>2049</v>
      </c>
      <c r="G2992" t="s">
        <v>1974</v>
      </c>
      <c r="H2992" t="s">
        <v>3942</v>
      </c>
      <c r="J2992" t="s">
        <v>3962</v>
      </c>
      <c r="K2992" t="s">
        <v>519</v>
      </c>
      <c r="M2992" t="s">
        <v>1297</v>
      </c>
      <c r="N2992" t="s">
        <v>571</v>
      </c>
      <c r="O2992" t="s">
        <v>1956</v>
      </c>
      <c r="P2992" t="s">
        <v>584</v>
      </c>
      <c r="Q2992" t="s">
        <v>1636</v>
      </c>
      <c r="R2992" t="s">
        <v>1760</v>
      </c>
      <c r="S2992" t="s">
        <v>1974</v>
      </c>
      <c r="T2992" t="s">
        <v>1485</v>
      </c>
      <c r="U2992">
        <v>230200</v>
      </c>
      <c r="V2992" t="s">
        <v>10390</v>
      </c>
      <c r="W2992" t="s">
        <v>1957</v>
      </c>
      <c r="X2992" t="s">
        <v>16975</v>
      </c>
      <c r="Y2992" t="s">
        <v>4107</v>
      </c>
      <c r="AA2992" t="s">
        <v>3982</v>
      </c>
      <c r="AB2992" t="s">
        <v>16976</v>
      </c>
      <c r="AE2992">
        <v>-40.337514409999997</v>
      </c>
      <c r="AF2992">
        <v>175.63082272</v>
      </c>
      <c r="AG2992">
        <v>75</v>
      </c>
      <c r="AH2992">
        <v>30</v>
      </c>
      <c r="AI2992">
        <v>2</v>
      </c>
      <c r="AJ2992">
        <v>16</v>
      </c>
      <c r="AK2992">
        <v>21</v>
      </c>
      <c r="AL2992">
        <v>22</v>
      </c>
      <c r="AM2992">
        <v>19</v>
      </c>
      <c r="AN2992">
        <v>0</v>
      </c>
      <c r="AO2992">
        <v>80</v>
      </c>
      <c r="AP2992">
        <v>63</v>
      </c>
      <c r="AQ2992">
        <v>22</v>
      </c>
      <c r="AR2992">
        <v>2</v>
      </c>
      <c r="AS2992">
        <v>6</v>
      </c>
      <c r="AT2992">
        <v>4</v>
      </c>
    </row>
    <row r="2993" spans="1:46">
      <c r="A2993">
        <v>47741</v>
      </c>
      <c r="B2993" t="s">
        <v>16977</v>
      </c>
      <c r="C2993" t="s">
        <v>16978</v>
      </c>
      <c r="D2993" t="s">
        <v>16979</v>
      </c>
      <c r="E2993" t="s">
        <v>6763</v>
      </c>
      <c r="F2993" t="s">
        <v>6203</v>
      </c>
      <c r="G2993" t="s">
        <v>652</v>
      </c>
      <c r="H2993" t="s">
        <v>4716</v>
      </c>
      <c r="J2993" t="s">
        <v>3962</v>
      </c>
      <c r="K2993" t="s">
        <v>519</v>
      </c>
      <c r="M2993" t="s">
        <v>520</v>
      </c>
      <c r="N2993" t="s">
        <v>571</v>
      </c>
      <c r="O2993" t="s">
        <v>804</v>
      </c>
      <c r="P2993" t="s">
        <v>654</v>
      </c>
      <c r="Q2993" t="s">
        <v>638</v>
      </c>
      <c r="R2993" t="s">
        <v>708</v>
      </c>
      <c r="S2993" t="s">
        <v>880</v>
      </c>
      <c r="T2993" t="s">
        <v>709</v>
      </c>
      <c r="U2993">
        <v>144900</v>
      </c>
      <c r="V2993" t="s">
        <v>16980</v>
      </c>
      <c r="W2993" t="s">
        <v>824</v>
      </c>
      <c r="X2993" t="s">
        <v>6762</v>
      </c>
      <c r="Y2993" t="s">
        <v>6763</v>
      </c>
      <c r="Z2993" t="s">
        <v>6203</v>
      </c>
      <c r="AA2993" t="s">
        <v>4356</v>
      </c>
      <c r="AB2993" t="s">
        <v>6764</v>
      </c>
      <c r="AE2993">
        <v>-36.886397100000003</v>
      </c>
      <c r="AF2993">
        <v>174.83488363000001</v>
      </c>
      <c r="AG2993">
        <v>100</v>
      </c>
      <c r="AH2993">
        <v>100</v>
      </c>
      <c r="AI2993">
        <v>11</v>
      </c>
      <c r="AJ2993">
        <v>15</v>
      </c>
      <c r="AK2993">
        <v>11</v>
      </c>
      <c r="AL2993">
        <v>15</v>
      </c>
      <c r="AM2993">
        <v>11</v>
      </c>
      <c r="AN2993">
        <v>0</v>
      </c>
      <c r="AO2993">
        <v>63</v>
      </c>
      <c r="AP2993">
        <v>4</v>
      </c>
      <c r="AQ2993">
        <v>1</v>
      </c>
      <c r="AR2993">
        <v>0</v>
      </c>
      <c r="AS2993">
        <v>62</v>
      </c>
      <c r="AT2993">
        <v>4</v>
      </c>
    </row>
    <row r="2994" spans="1:46">
      <c r="A2994">
        <v>47742</v>
      </c>
      <c r="B2994" t="s">
        <v>16981</v>
      </c>
      <c r="C2994" t="s">
        <v>16982</v>
      </c>
      <c r="E2994" t="s">
        <v>16983</v>
      </c>
      <c r="F2994" t="s">
        <v>13150</v>
      </c>
      <c r="G2994" t="s">
        <v>1598</v>
      </c>
      <c r="H2994" t="s">
        <v>3942</v>
      </c>
      <c r="J2994" t="s">
        <v>3962</v>
      </c>
      <c r="K2994" t="s">
        <v>519</v>
      </c>
      <c r="M2994" t="s">
        <v>1297</v>
      </c>
      <c r="N2994" t="s">
        <v>571</v>
      </c>
      <c r="O2994" t="s">
        <v>1698</v>
      </c>
      <c r="P2994" t="s">
        <v>654</v>
      </c>
      <c r="Q2994" t="s">
        <v>1471</v>
      </c>
      <c r="R2994" t="s">
        <v>1472</v>
      </c>
      <c r="S2994" t="s">
        <v>1699</v>
      </c>
      <c r="T2994" t="s">
        <v>1474</v>
      </c>
      <c r="U2994">
        <v>195102</v>
      </c>
      <c r="V2994" t="s">
        <v>14941</v>
      </c>
      <c r="W2994" t="s">
        <v>1717</v>
      </c>
      <c r="X2994" t="s">
        <v>12190</v>
      </c>
      <c r="Y2994" t="s">
        <v>12191</v>
      </c>
      <c r="Z2994" t="s">
        <v>12192</v>
      </c>
      <c r="AA2994" t="s">
        <v>12193</v>
      </c>
      <c r="AB2994" t="s">
        <v>12187</v>
      </c>
      <c r="AC2994">
        <v>99085</v>
      </c>
      <c r="AD2994" t="s">
        <v>1718</v>
      </c>
      <c r="AE2994">
        <v>-37.754521199999999</v>
      </c>
      <c r="AF2994">
        <v>176.11127870000001</v>
      </c>
      <c r="AG2994">
        <v>90</v>
      </c>
      <c r="AH2994">
        <v>30</v>
      </c>
      <c r="AI2994">
        <v>6</v>
      </c>
      <c r="AJ2994">
        <v>24</v>
      </c>
      <c r="AK2994">
        <v>22</v>
      </c>
      <c r="AL2994">
        <v>27</v>
      </c>
      <c r="AM2994">
        <v>29</v>
      </c>
      <c r="AN2994">
        <v>0</v>
      </c>
      <c r="AO2994">
        <v>108</v>
      </c>
      <c r="AP2994">
        <v>98</v>
      </c>
      <c r="AQ2994">
        <v>13</v>
      </c>
      <c r="AR2994">
        <v>4</v>
      </c>
      <c r="AS2994">
        <v>9</v>
      </c>
      <c r="AT2994">
        <v>2</v>
      </c>
    </row>
    <row r="2995" spans="1:46">
      <c r="A2995">
        <v>47745</v>
      </c>
      <c r="B2995" t="s">
        <v>16984</v>
      </c>
      <c r="C2995" t="s">
        <v>16985</v>
      </c>
      <c r="D2995" t="s">
        <v>16986</v>
      </c>
      <c r="E2995" t="s">
        <v>16987</v>
      </c>
      <c r="F2995" t="s">
        <v>964</v>
      </c>
      <c r="G2995" t="s">
        <v>652</v>
      </c>
      <c r="H2995" t="s">
        <v>3942</v>
      </c>
      <c r="I2995" t="s">
        <v>4065</v>
      </c>
      <c r="J2995" t="s">
        <v>3962</v>
      </c>
      <c r="K2995" t="s">
        <v>519</v>
      </c>
      <c r="M2995" t="s">
        <v>520</v>
      </c>
      <c r="N2995" t="s">
        <v>571</v>
      </c>
      <c r="O2995" t="s">
        <v>912</v>
      </c>
      <c r="P2995" t="s">
        <v>654</v>
      </c>
      <c r="Q2995" t="s">
        <v>638</v>
      </c>
      <c r="R2995" t="s">
        <v>708</v>
      </c>
      <c r="S2995" t="s">
        <v>913</v>
      </c>
      <c r="T2995" t="s">
        <v>709</v>
      </c>
      <c r="U2995">
        <v>140901</v>
      </c>
      <c r="V2995" t="s">
        <v>965</v>
      </c>
      <c r="W2995" t="s">
        <v>860</v>
      </c>
      <c r="X2995" t="s">
        <v>16988</v>
      </c>
      <c r="Y2995" t="s">
        <v>16989</v>
      </c>
      <c r="Z2995" t="s">
        <v>803</v>
      </c>
      <c r="AA2995" t="s">
        <v>4768</v>
      </c>
      <c r="AE2995">
        <v>-36.930861210000003</v>
      </c>
      <c r="AF2995">
        <v>174.72549979999999</v>
      </c>
      <c r="AG2995">
        <v>40</v>
      </c>
      <c r="AH2995">
        <v>10</v>
      </c>
      <c r="AI2995">
        <v>1</v>
      </c>
      <c r="AJ2995">
        <v>9</v>
      </c>
      <c r="AK2995">
        <v>13</v>
      </c>
      <c r="AL2995">
        <v>14</v>
      </c>
      <c r="AM2995">
        <v>12</v>
      </c>
      <c r="AN2995">
        <v>0</v>
      </c>
      <c r="AO2995">
        <v>49</v>
      </c>
      <c r="AP2995">
        <v>6</v>
      </c>
      <c r="AQ2995">
        <v>1</v>
      </c>
      <c r="AR2995">
        <v>1</v>
      </c>
      <c r="AS2995">
        <v>42</v>
      </c>
      <c r="AT2995">
        <v>6</v>
      </c>
    </row>
    <row r="2996" spans="1:46">
      <c r="A2996">
        <v>47748</v>
      </c>
      <c r="B2996" t="s">
        <v>16990</v>
      </c>
      <c r="C2996" t="s">
        <v>16991</v>
      </c>
      <c r="E2996" t="s">
        <v>16992</v>
      </c>
      <c r="G2996" t="s">
        <v>5309</v>
      </c>
      <c r="H2996" t="s">
        <v>3942</v>
      </c>
      <c r="J2996" t="s">
        <v>3962</v>
      </c>
      <c r="K2996" t="s">
        <v>519</v>
      </c>
      <c r="M2996" t="s">
        <v>520</v>
      </c>
      <c r="N2996" t="s">
        <v>571</v>
      </c>
      <c r="O2996" t="s">
        <v>564</v>
      </c>
      <c r="P2996" t="s">
        <v>572</v>
      </c>
      <c r="Q2996" t="s">
        <v>524</v>
      </c>
      <c r="R2996" t="s">
        <v>525</v>
      </c>
      <c r="S2996" t="s">
        <v>526</v>
      </c>
      <c r="T2996" t="s">
        <v>527</v>
      </c>
      <c r="U2996">
        <v>109800</v>
      </c>
      <c r="V2996" t="s">
        <v>16993</v>
      </c>
      <c r="W2996" t="s">
        <v>5310</v>
      </c>
      <c r="X2996" t="s">
        <v>16994</v>
      </c>
      <c r="Y2996" t="s">
        <v>16995</v>
      </c>
      <c r="AA2996" t="s">
        <v>16996</v>
      </c>
      <c r="AB2996" t="s">
        <v>16991</v>
      </c>
      <c r="AC2996">
        <v>99118</v>
      </c>
      <c r="AD2996" t="s">
        <v>5315</v>
      </c>
      <c r="AE2996">
        <v>-36.080517909999998</v>
      </c>
      <c r="AF2996">
        <v>174.57114622</v>
      </c>
      <c r="AG2996">
        <v>50</v>
      </c>
      <c r="AH2996">
        <v>12</v>
      </c>
      <c r="AI2996">
        <v>4</v>
      </c>
      <c r="AJ2996">
        <v>9</v>
      </c>
      <c r="AK2996">
        <v>24</v>
      </c>
      <c r="AL2996">
        <v>19</v>
      </c>
      <c r="AM2996">
        <v>11</v>
      </c>
      <c r="AN2996">
        <v>0</v>
      </c>
      <c r="AO2996">
        <v>67</v>
      </c>
      <c r="AP2996">
        <v>63</v>
      </c>
      <c r="AQ2996">
        <v>15</v>
      </c>
      <c r="AR2996">
        <v>2</v>
      </c>
      <c r="AS2996">
        <v>2</v>
      </c>
      <c r="AT2996">
        <v>1</v>
      </c>
    </row>
    <row r="2997" spans="1:46">
      <c r="A2997">
        <v>47750</v>
      </c>
      <c r="B2997" t="s">
        <v>16997</v>
      </c>
      <c r="C2997" t="s">
        <v>16998</v>
      </c>
      <c r="E2997" t="s">
        <v>16999</v>
      </c>
      <c r="G2997" t="s">
        <v>9417</v>
      </c>
      <c r="H2997" t="s">
        <v>343</v>
      </c>
      <c r="J2997" t="s">
        <v>518</v>
      </c>
      <c r="K2997" t="s">
        <v>519</v>
      </c>
      <c r="L2997" t="s">
        <v>4205</v>
      </c>
      <c r="M2997" t="s">
        <v>1297</v>
      </c>
      <c r="N2997" t="s">
        <v>571</v>
      </c>
      <c r="O2997" t="s">
        <v>1351</v>
      </c>
      <c r="P2997" t="s">
        <v>572</v>
      </c>
      <c r="Q2997" t="s">
        <v>1299</v>
      </c>
      <c r="R2997" t="s">
        <v>1300</v>
      </c>
      <c r="S2997" t="s">
        <v>1300</v>
      </c>
      <c r="T2997" t="s">
        <v>1235</v>
      </c>
      <c r="U2997">
        <v>173300</v>
      </c>
      <c r="V2997" t="s">
        <v>9428</v>
      </c>
      <c r="W2997" t="s">
        <v>8358</v>
      </c>
      <c r="X2997" t="s">
        <v>7630</v>
      </c>
      <c r="Y2997" t="s">
        <v>4208</v>
      </c>
      <c r="Z2997" t="s">
        <v>4209</v>
      </c>
      <c r="AA2997" t="s">
        <v>4210</v>
      </c>
      <c r="AB2997" t="s">
        <v>7631</v>
      </c>
      <c r="AE2997">
        <v>-37.784694999999999</v>
      </c>
      <c r="AF2997">
        <v>175.42019250000001</v>
      </c>
      <c r="AG2997">
        <v>15</v>
      </c>
      <c r="AH2997">
        <v>4</v>
      </c>
      <c r="AI2997">
        <v>0</v>
      </c>
      <c r="AJ2997">
        <v>2</v>
      </c>
      <c r="AK2997">
        <v>1</v>
      </c>
      <c r="AL2997">
        <v>1</v>
      </c>
      <c r="AM2997">
        <v>4</v>
      </c>
      <c r="AN2997">
        <v>0</v>
      </c>
      <c r="AO2997">
        <v>8</v>
      </c>
      <c r="AP2997">
        <v>0</v>
      </c>
      <c r="AQ2997">
        <v>8</v>
      </c>
      <c r="AR2997">
        <v>0</v>
      </c>
      <c r="AS2997">
        <v>0</v>
      </c>
      <c r="AT2997">
        <v>0</v>
      </c>
    </row>
    <row r="2998" spans="1:46">
      <c r="A2998">
        <v>47751</v>
      </c>
      <c r="B2998" t="s">
        <v>17000</v>
      </c>
      <c r="C2998" t="s">
        <v>17001</v>
      </c>
      <c r="E2998" t="s">
        <v>17002</v>
      </c>
      <c r="G2998" t="s">
        <v>1697</v>
      </c>
      <c r="H2998" t="s">
        <v>3942</v>
      </c>
      <c r="J2998" t="s">
        <v>3962</v>
      </c>
      <c r="K2998" t="s">
        <v>519</v>
      </c>
      <c r="M2998" t="s">
        <v>1297</v>
      </c>
      <c r="N2998" t="s">
        <v>571</v>
      </c>
      <c r="O2998" t="s">
        <v>1698</v>
      </c>
      <c r="P2998" t="s">
        <v>654</v>
      </c>
      <c r="Q2998" t="s">
        <v>1471</v>
      </c>
      <c r="R2998" t="s">
        <v>1472</v>
      </c>
      <c r="S2998" t="s">
        <v>1598</v>
      </c>
      <c r="T2998" t="s">
        <v>1474</v>
      </c>
      <c r="U2998">
        <v>192800</v>
      </c>
      <c r="V2998" t="s">
        <v>10038</v>
      </c>
      <c r="W2998" t="s">
        <v>1724</v>
      </c>
      <c r="X2998" t="s">
        <v>14226</v>
      </c>
      <c r="Y2998" t="s">
        <v>14227</v>
      </c>
      <c r="Z2998" t="s">
        <v>10037</v>
      </c>
      <c r="AA2998" t="s">
        <v>13312</v>
      </c>
      <c r="AE2998">
        <v>-37.647615029999997</v>
      </c>
      <c r="AF2998">
        <v>176.19072198999999</v>
      </c>
      <c r="AG2998">
        <v>60</v>
      </c>
      <c r="AH2998">
        <v>15</v>
      </c>
      <c r="AI2998">
        <v>3</v>
      </c>
      <c r="AJ2998">
        <v>14</v>
      </c>
      <c r="AK2998">
        <v>24</v>
      </c>
      <c r="AL2998">
        <v>17</v>
      </c>
      <c r="AM2998">
        <v>13</v>
      </c>
      <c r="AN2998">
        <v>1</v>
      </c>
      <c r="AO2998">
        <v>72</v>
      </c>
      <c r="AP2998">
        <v>69</v>
      </c>
      <c r="AQ2998">
        <v>9</v>
      </c>
      <c r="AR2998">
        <v>1</v>
      </c>
      <c r="AS2998">
        <v>3</v>
      </c>
      <c r="AT2998">
        <v>1</v>
      </c>
    </row>
    <row r="2999" spans="1:46">
      <c r="A2999">
        <v>47752</v>
      </c>
      <c r="B2999" t="s">
        <v>17003</v>
      </c>
      <c r="C2999" t="s">
        <v>3947</v>
      </c>
      <c r="E2999" t="s">
        <v>17004</v>
      </c>
      <c r="F2999" t="s">
        <v>8616</v>
      </c>
      <c r="G2999" t="s">
        <v>1296</v>
      </c>
      <c r="H2999" t="s">
        <v>3942</v>
      </c>
      <c r="J2999" t="s">
        <v>518</v>
      </c>
      <c r="K2999" t="s">
        <v>519</v>
      </c>
      <c r="M2999" t="s">
        <v>1297</v>
      </c>
      <c r="N2999" t="s">
        <v>571</v>
      </c>
      <c r="O2999" t="s">
        <v>1298</v>
      </c>
      <c r="P2999" t="s">
        <v>654</v>
      </c>
      <c r="Q2999" t="s">
        <v>1299</v>
      </c>
      <c r="R2999" t="s">
        <v>1300</v>
      </c>
      <c r="S2999" t="s">
        <v>1312</v>
      </c>
      <c r="T2999" t="s">
        <v>1235</v>
      </c>
      <c r="U2999">
        <v>176101</v>
      </c>
      <c r="V2999" t="s">
        <v>8976</v>
      </c>
      <c r="W2999" t="s">
        <v>1314</v>
      </c>
      <c r="X2999" t="s">
        <v>8377</v>
      </c>
      <c r="Y2999" t="s">
        <v>3944</v>
      </c>
      <c r="Z2999" t="s">
        <v>3945</v>
      </c>
      <c r="AA2999" t="s">
        <v>3946</v>
      </c>
      <c r="AB2999" t="s">
        <v>8378</v>
      </c>
      <c r="AE2999">
        <v>-37.721769100000003</v>
      </c>
      <c r="AF2999">
        <v>175.28017249999999</v>
      </c>
      <c r="AG2999">
        <v>100</v>
      </c>
      <c r="AH2999">
        <v>25</v>
      </c>
      <c r="AI2999">
        <v>1</v>
      </c>
      <c r="AJ2999">
        <v>16</v>
      </c>
      <c r="AK2999">
        <v>23</v>
      </c>
      <c r="AL2999">
        <v>25</v>
      </c>
      <c r="AM2999">
        <v>35</v>
      </c>
      <c r="AN2999">
        <v>1</v>
      </c>
      <c r="AO2999">
        <v>101</v>
      </c>
      <c r="AP2999">
        <v>34</v>
      </c>
      <c r="AQ2999">
        <v>21</v>
      </c>
      <c r="AR2999">
        <v>3</v>
      </c>
      <c r="AS2999">
        <v>49</v>
      </c>
      <c r="AT2999">
        <v>9</v>
      </c>
    </row>
    <row r="3000" spans="1:46">
      <c r="A3000">
        <v>47754</v>
      </c>
      <c r="B3000" t="s">
        <v>17005</v>
      </c>
      <c r="C3000" t="s">
        <v>17006</v>
      </c>
      <c r="E3000" t="s">
        <v>17007</v>
      </c>
      <c r="G3000" t="s">
        <v>3673</v>
      </c>
      <c r="H3000" t="s">
        <v>3942</v>
      </c>
      <c r="I3000" t="s">
        <v>4065</v>
      </c>
      <c r="J3000" t="s">
        <v>3962</v>
      </c>
      <c r="K3000" t="s">
        <v>519</v>
      </c>
      <c r="M3000" t="s">
        <v>520</v>
      </c>
      <c r="N3000" t="s">
        <v>571</v>
      </c>
      <c r="O3000" t="s">
        <v>522</v>
      </c>
      <c r="P3000" t="s">
        <v>523</v>
      </c>
      <c r="Q3000" t="s">
        <v>524</v>
      </c>
      <c r="R3000" t="s">
        <v>525</v>
      </c>
      <c r="S3000" t="s">
        <v>526</v>
      </c>
      <c r="T3000" t="s">
        <v>527</v>
      </c>
      <c r="U3000">
        <v>103000</v>
      </c>
      <c r="V3000" t="s">
        <v>3674</v>
      </c>
      <c r="W3000" t="s">
        <v>558</v>
      </c>
      <c r="X3000" t="s">
        <v>17008</v>
      </c>
      <c r="Y3000" t="s">
        <v>17007</v>
      </c>
      <c r="AA3000" t="s">
        <v>5390</v>
      </c>
      <c r="AB3000" t="s">
        <v>17006</v>
      </c>
      <c r="AE3000">
        <v>-35.229769300000001</v>
      </c>
      <c r="AF3000">
        <v>173.949985</v>
      </c>
      <c r="AG3000">
        <v>44</v>
      </c>
      <c r="AH3000">
        <v>10</v>
      </c>
      <c r="AI3000">
        <v>1</v>
      </c>
      <c r="AJ3000">
        <v>8</v>
      </c>
      <c r="AK3000">
        <v>9</v>
      </c>
      <c r="AL3000">
        <v>12</v>
      </c>
      <c r="AM3000">
        <v>7</v>
      </c>
      <c r="AN3000">
        <v>1</v>
      </c>
      <c r="AO3000">
        <v>38</v>
      </c>
      <c r="AP3000">
        <v>29</v>
      </c>
      <c r="AQ3000">
        <v>13</v>
      </c>
      <c r="AR3000">
        <v>2</v>
      </c>
      <c r="AS3000">
        <v>4</v>
      </c>
      <c r="AT3000">
        <v>3</v>
      </c>
    </row>
    <row r="3001" spans="1:46">
      <c r="A3001">
        <v>47755</v>
      </c>
      <c r="B3001" t="s">
        <v>17009</v>
      </c>
      <c r="E3001" t="s">
        <v>17010</v>
      </c>
      <c r="G3001" t="s">
        <v>17011</v>
      </c>
      <c r="H3001" t="s">
        <v>343</v>
      </c>
      <c r="J3001" t="s">
        <v>518</v>
      </c>
      <c r="K3001" t="s">
        <v>519</v>
      </c>
      <c r="L3001" t="s">
        <v>4205</v>
      </c>
      <c r="M3001" t="s">
        <v>520</v>
      </c>
      <c r="N3001" t="s">
        <v>539</v>
      </c>
      <c r="O3001" t="s">
        <v>522</v>
      </c>
      <c r="P3001" t="s">
        <v>572</v>
      </c>
      <c r="Q3001" t="s">
        <v>524</v>
      </c>
      <c r="R3001" t="s">
        <v>525</v>
      </c>
      <c r="S3001" t="s">
        <v>526</v>
      </c>
      <c r="T3001" t="s">
        <v>527</v>
      </c>
      <c r="U3001">
        <v>103200</v>
      </c>
      <c r="V3001" t="s">
        <v>5575</v>
      </c>
      <c r="W3001" t="s">
        <v>551</v>
      </c>
      <c r="X3001" t="s">
        <v>4453</v>
      </c>
      <c r="Y3001" t="s">
        <v>4208</v>
      </c>
      <c r="Z3001" t="s">
        <v>4209</v>
      </c>
      <c r="AA3001" t="s">
        <v>4210</v>
      </c>
      <c r="AB3001" t="s">
        <v>4454</v>
      </c>
      <c r="AE3001">
        <v>-35.304783120000003</v>
      </c>
      <c r="AF3001">
        <v>173.87146149</v>
      </c>
      <c r="AG3001">
        <v>18</v>
      </c>
      <c r="AH3001">
        <v>6</v>
      </c>
      <c r="AI3001">
        <v>0</v>
      </c>
      <c r="AJ3001">
        <v>6</v>
      </c>
      <c r="AK3001">
        <v>3</v>
      </c>
      <c r="AL3001">
        <v>2</v>
      </c>
      <c r="AM3001">
        <v>3</v>
      </c>
      <c r="AN3001">
        <v>0</v>
      </c>
      <c r="AO3001">
        <v>14</v>
      </c>
      <c r="AP3001">
        <v>0</v>
      </c>
      <c r="AQ3001">
        <v>14</v>
      </c>
      <c r="AR3001">
        <v>0</v>
      </c>
      <c r="AS3001">
        <v>0</v>
      </c>
      <c r="AT3001">
        <v>0</v>
      </c>
    </row>
    <row r="3002" spans="1:46">
      <c r="A3002">
        <v>47757</v>
      </c>
      <c r="B3002" t="s">
        <v>17012</v>
      </c>
      <c r="E3002" t="s">
        <v>17013</v>
      </c>
      <c r="F3002" t="s">
        <v>3987</v>
      </c>
      <c r="G3002" t="s">
        <v>652</v>
      </c>
      <c r="H3002" t="s">
        <v>3942</v>
      </c>
      <c r="J3002" t="s">
        <v>3962</v>
      </c>
      <c r="K3002" t="s">
        <v>519</v>
      </c>
      <c r="M3002" t="s">
        <v>520</v>
      </c>
      <c r="N3002" t="s">
        <v>571</v>
      </c>
      <c r="O3002" t="s">
        <v>1233</v>
      </c>
      <c r="P3002" t="s">
        <v>1262</v>
      </c>
      <c r="Q3002" t="s">
        <v>638</v>
      </c>
      <c r="R3002" t="s">
        <v>729</v>
      </c>
      <c r="S3002" t="s">
        <v>1246</v>
      </c>
      <c r="T3002" t="s">
        <v>1235</v>
      </c>
      <c r="U3002">
        <v>165501</v>
      </c>
      <c r="V3002" t="s">
        <v>3987</v>
      </c>
      <c r="W3002" t="s">
        <v>1237</v>
      </c>
      <c r="X3002" t="s">
        <v>17014</v>
      </c>
      <c r="Y3002" t="s">
        <v>17015</v>
      </c>
      <c r="Z3002" t="s">
        <v>1023</v>
      </c>
      <c r="AA3002" t="s">
        <v>7512</v>
      </c>
      <c r="AE3002">
        <v>-37.201231749999998</v>
      </c>
      <c r="AF3002">
        <v>174.89464608</v>
      </c>
      <c r="AG3002">
        <v>110</v>
      </c>
      <c r="AH3002">
        <v>30</v>
      </c>
      <c r="AI3002">
        <v>3</v>
      </c>
      <c r="AJ3002">
        <v>17</v>
      </c>
      <c r="AK3002">
        <v>22</v>
      </c>
      <c r="AL3002">
        <v>24</v>
      </c>
      <c r="AM3002">
        <v>26</v>
      </c>
      <c r="AN3002">
        <v>1</v>
      </c>
      <c r="AO3002">
        <v>93</v>
      </c>
      <c r="AP3002">
        <v>59</v>
      </c>
      <c r="AQ3002">
        <v>13</v>
      </c>
      <c r="AR3002">
        <v>10</v>
      </c>
      <c r="AS3002">
        <v>31</v>
      </c>
      <c r="AT3002">
        <v>4</v>
      </c>
    </row>
    <row r="3003" spans="1:46">
      <c r="A3003">
        <v>47758</v>
      </c>
      <c r="B3003" t="s">
        <v>17016</v>
      </c>
      <c r="C3003" t="s">
        <v>2861</v>
      </c>
      <c r="E3003" t="s">
        <v>17017</v>
      </c>
      <c r="G3003" t="s">
        <v>17018</v>
      </c>
      <c r="H3003" t="s">
        <v>517</v>
      </c>
      <c r="J3003" t="s">
        <v>518</v>
      </c>
      <c r="K3003" t="s">
        <v>519</v>
      </c>
      <c r="M3003" t="s">
        <v>2287</v>
      </c>
      <c r="N3003" t="s">
        <v>571</v>
      </c>
      <c r="O3003" t="s">
        <v>2868</v>
      </c>
      <c r="P3003" t="s">
        <v>540</v>
      </c>
      <c r="Q3003" t="s">
        <v>2869</v>
      </c>
      <c r="R3003" t="s">
        <v>2824</v>
      </c>
      <c r="S3003" t="s">
        <v>2870</v>
      </c>
      <c r="T3003" t="s">
        <v>2448</v>
      </c>
      <c r="U3003">
        <v>301500</v>
      </c>
      <c r="V3003" t="s">
        <v>17019</v>
      </c>
      <c r="W3003" t="s">
        <v>15525</v>
      </c>
      <c r="X3003" t="s">
        <v>2858</v>
      </c>
      <c r="Y3003" t="s">
        <v>2859</v>
      </c>
      <c r="Z3003" t="s">
        <v>2853</v>
      </c>
      <c r="AA3003" t="s">
        <v>2860</v>
      </c>
      <c r="AB3003" t="s">
        <v>2861</v>
      </c>
      <c r="AE3003">
        <v>-41.392902470000003</v>
      </c>
      <c r="AF3003">
        <v>172.82382774000001</v>
      </c>
      <c r="AG3003">
        <v>35</v>
      </c>
      <c r="AH3003">
        <v>0</v>
      </c>
      <c r="AI3003">
        <v>0</v>
      </c>
      <c r="AJ3003">
        <v>0</v>
      </c>
      <c r="AK3003">
        <v>9</v>
      </c>
      <c r="AL3003">
        <v>11</v>
      </c>
      <c r="AM3003">
        <v>11</v>
      </c>
      <c r="AN3003">
        <v>3</v>
      </c>
      <c r="AO3003">
        <v>34</v>
      </c>
      <c r="AP3003">
        <v>31</v>
      </c>
      <c r="AQ3003">
        <v>6</v>
      </c>
      <c r="AR3003">
        <v>0</v>
      </c>
      <c r="AS3003">
        <v>2</v>
      </c>
      <c r="AT3003">
        <v>1</v>
      </c>
    </row>
    <row r="3004" spans="1:46">
      <c r="A3004">
        <v>47759</v>
      </c>
      <c r="B3004" t="s">
        <v>17020</v>
      </c>
      <c r="E3004" t="s">
        <v>17021</v>
      </c>
      <c r="F3004" t="s">
        <v>1393</v>
      </c>
      <c r="G3004" t="s">
        <v>1296</v>
      </c>
      <c r="H3004" t="s">
        <v>3942</v>
      </c>
      <c r="I3004" t="s">
        <v>4065</v>
      </c>
      <c r="J3004" t="s">
        <v>3962</v>
      </c>
      <c r="K3004" t="s">
        <v>519</v>
      </c>
      <c r="M3004" t="s">
        <v>1297</v>
      </c>
      <c r="N3004" t="s">
        <v>571</v>
      </c>
      <c r="O3004" t="s">
        <v>1298</v>
      </c>
      <c r="P3004" t="s">
        <v>654</v>
      </c>
      <c r="Q3004" t="s">
        <v>1299</v>
      </c>
      <c r="R3004" t="s">
        <v>1300</v>
      </c>
      <c r="S3004" t="s">
        <v>1301</v>
      </c>
      <c r="T3004" t="s">
        <v>1235</v>
      </c>
      <c r="U3004">
        <v>178901</v>
      </c>
      <c r="V3004" t="s">
        <v>8352</v>
      </c>
      <c r="W3004" t="s">
        <v>1303</v>
      </c>
      <c r="X3004" t="s">
        <v>14991</v>
      </c>
      <c r="Y3004" t="s">
        <v>14992</v>
      </c>
      <c r="Z3004" t="s">
        <v>1393</v>
      </c>
      <c r="AA3004" t="s">
        <v>8417</v>
      </c>
      <c r="AB3004" t="s">
        <v>14989</v>
      </c>
      <c r="AE3004">
        <v>-37.811465390000002</v>
      </c>
      <c r="AF3004">
        <v>175.27241524999999</v>
      </c>
      <c r="AG3004">
        <v>107</v>
      </c>
      <c r="AH3004">
        <v>25</v>
      </c>
      <c r="AI3004">
        <v>3</v>
      </c>
      <c r="AJ3004">
        <v>11</v>
      </c>
      <c r="AK3004">
        <v>13</v>
      </c>
      <c r="AL3004">
        <v>21</v>
      </c>
      <c r="AM3004">
        <v>15</v>
      </c>
      <c r="AN3004">
        <v>0</v>
      </c>
      <c r="AO3004">
        <v>63</v>
      </c>
      <c r="AP3004">
        <v>18</v>
      </c>
      <c r="AQ3004">
        <v>6</v>
      </c>
      <c r="AR3004">
        <v>0</v>
      </c>
      <c r="AS3004">
        <v>43</v>
      </c>
      <c r="AT3004">
        <v>7</v>
      </c>
    </row>
    <row r="3005" spans="1:46">
      <c r="A3005">
        <v>47761</v>
      </c>
      <c r="B3005" t="s">
        <v>17022</v>
      </c>
      <c r="C3005" t="s">
        <v>17023</v>
      </c>
      <c r="E3005" t="s">
        <v>11647</v>
      </c>
      <c r="G3005" t="s">
        <v>2197</v>
      </c>
      <c r="H3005" t="s">
        <v>4716</v>
      </c>
      <c r="J3005" t="s">
        <v>3962</v>
      </c>
      <c r="K3005" t="s">
        <v>519</v>
      </c>
      <c r="M3005" t="s">
        <v>1297</v>
      </c>
      <c r="N3005" t="s">
        <v>571</v>
      </c>
      <c r="O3005" t="s">
        <v>2198</v>
      </c>
      <c r="P3005" t="s">
        <v>584</v>
      </c>
      <c r="Q3005" t="s">
        <v>2118</v>
      </c>
      <c r="R3005" t="s">
        <v>2084</v>
      </c>
      <c r="S3005" t="s">
        <v>2199</v>
      </c>
      <c r="T3005" t="s">
        <v>2085</v>
      </c>
      <c r="U3005">
        <v>210500</v>
      </c>
      <c r="V3005" t="s">
        <v>11648</v>
      </c>
      <c r="W3005" t="s">
        <v>2200</v>
      </c>
      <c r="X3005" t="s">
        <v>17024</v>
      </c>
      <c r="Y3005" t="s">
        <v>11647</v>
      </c>
      <c r="AA3005" t="s">
        <v>11650</v>
      </c>
      <c r="AE3005">
        <v>-39.641762450000002</v>
      </c>
      <c r="AF3005">
        <v>176.84593545000001</v>
      </c>
      <c r="AG3005">
        <v>80</v>
      </c>
      <c r="AH3005">
        <v>80</v>
      </c>
      <c r="AI3005">
        <v>2</v>
      </c>
      <c r="AJ3005">
        <v>4</v>
      </c>
      <c r="AK3005">
        <v>5</v>
      </c>
      <c r="AL3005">
        <v>5</v>
      </c>
      <c r="AM3005">
        <v>1</v>
      </c>
      <c r="AN3005">
        <v>0</v>
      </c>
      <c r="AO3005">
        <v>17</v>
      </c>
      <c r="AP3005">
        <v>16</v>
      </c>
      <c r="AQ3005">
        <v>2</v>
      </c>
      <c r="AR3005">
        <v>0</v>
      </c>
      <c r="AS3005">
        <v>3</v>
      </c>
      <c r="AT3005">
        <v>2</v>
      </c>
    </row>
    <row r="3006" spans="1:46">
      <c r="A3006">
        <v>47762</v>
      </c>
      <c r="B3006" t="s">
        <v>17025</v>
      </c>
      <c r="C3006" t="s">
        <v>17026</v>
      </c>
      <c r="D3006" t="s">
        <v>17027</v>
      </c>
      <c r="E3006" t="s">
        <v>17028</v>
      </c>
      <c r="G3006" t="s">
        <v>17029</v>
      </c>
      <c r="H3006" t="s">
        <v>3942</v>
      </c>
      <c r="J3006" t="s">
        <v>3962</v>
      </c>
      <c r="K3006" t="s">
        <v>519</v>
      </c>
      <c r="M3006" t="s">
        <v>520</v>
      </c>
      <c r="N3006" t="s">
        <v>571</v>
      </c>
      <c r="O3006" t="s">
        <v>637</v>
      </c>
      <c r="P3006" t="s">
        <v>572</v>
      </c>
      <c r="Q3006" t="s">
        <v>638</v>
      </c>
      <c r="R3006" t="s">
        <v>639</v>
      </c>
      <c r="S3006" t="s">
        <v>640</v>
      </c>
      <c r="T3006" t="s">
        <v>527</v>
      </c>
      <c r="U3006">
        <v>111602</v>
      </c>
      <c r="V3006" t="s">
        <v>17030</v>
      </c>
      <c r="W3006" t="s">
        <v>641</v>
      </c>
      <c r="X3006" t="s">
        <v>16013</v>
      </c>
      <c r="Y3006" t="s">
        <v>17031</v>
      </c>
      <c r="AA3006" t="s">
        <v>17032</v>
      </c>
      <c r="AE3006">
        <v>-36.633924440000001</v>
      </c>
      <c r="AF3006">
        <v>174.5439915</v>
      </c>
      <c r="AG3006">
        <v>70</v>
      </c>
      <c r="AH3006">
        <v>20</v>
      </c>
      <c r="AI3006">
        <v>2</v>
      </c>
      <c r="AJ3006">
        <v>14</v>
      </c>
      <c r="AK3006">
        <v>19</v>
      </c>
      <c r="AL3006">
        <v>21</v>
      </c>
      <c r="AM3006">
        <v>17</v>
      </c>
      <c r="AN3006">
        <v>0</v>
      </c>
      <c r="AO3006">
        <v>73</v>
      </c>
      <c r="AP3006">
        <v>69</v>
      </c>
      <c r="AQ3006">
        <v>3</v>
      </c>
      <c r="AR3006">
        <v>7</v>
      </c>
      <c r="AS3006">
        <v>9</v>
      </c>
      <c r="AT3006">
        <v>0</v>
      </c>
    </row>
    <row r="3007" spans="1:46">
      <c r="A3007">
        <v>47764</v>
      </c>
      <c r="B3007" t="s">
        <v>17033</v>
      </c>
      <c r="C3007" t="s">
        <v>17034</v>
      </c>
      <c r="D3007" t="s">
        <v>17035</v>
      </c>
      <c r="E3007" t="s">
        <v>17036</v>
      </c>
      <c r="F3007" t="s">
        <v>1217</v>
      </c>
      <c r="G3007" t="s">
        <v>652</v>
      </c>
      <c r="H3007" t="s">
        <v>3942</v>
      </c>
      <c r="J3007" t="s">
        <v>518</v>
      </c>
      <c r="K3007" t="s">
        <v>519</v>
      </c>
      <c r="M3007" t="s">
        <v>520</v>
      </c>
      <c r="N3007" t="s">
        <v>571</v>
      </c>
      <c r="O3007" t="s">
        <v>1268</v>
      </c>
      <c r="P3007" t="s">
        <v>654</v>
      </c>
      <c r="Q3007" t="s">
        <v>638</v>
      </c>
      <c r="R3007" t="s">
        <v>729</v>
      </c>
      <c r="S3007" t="s">
        <v>1217</v>
      </c>
      <c r="T3007" t="s">
        <v>709</v>
      </c>
      <c r="U3007">
        <v>161800</v>
      </c>
      <c r="V3007" t="s">
        <v>3886</v>
      </c>
      <c r="W3007" t="s">
        <v>1219</v>
      </c>
      <c r="X3007" t="s">
        <v>3943</v>
      </c>
      <c r="Y3007" t="s">
        <v>3944</v>
      </c>
      <c r="Z3007" t="s">
        <v>3945</v>
      </c>
      <c r="AA3007" t="s">
        <v>3946</v>
      </c>
      <c r="AB3007" t="s">
        <v>3947</v>
      </c>
      <c r="AE3007">
        <v>-37.0375388</v>
      </c>
      <c r="AF3007">
        <v>174.90849936999999</v>
      </c>
      <c r="AG3007">
        <v>120</v>
      </c>
      <c r="AH3007">
        <v>25</v>
      </c>
      <c r="AI3007">
        <v>3</v>
      </c>
      <c r="AJ3007">
        <v>24</v>
      </c>
      <c r="AK3007">
        <v>25</v>
      </c>
      <c r="AL3007">
        <v>24</v>
      </c>
      <c r="AM3007">
        <v>29</v>
      </c>
      <c r="AN3007">
        <v>1</v>
      </c>
      <c r="AO3007">
        <v>106</v>
      </c>
      <c r="AP3007">
        <v>29</v>
      </c>
      <c r="AQ3007">
        <v>10</v>
      </c>
      <c r="AR3007">
        <v>13</v>
      </c>
      <c r="AS3007">
        <v>72</v>
      </c>
      <c r="AT3007">
        <v>5</v>
      </c>
    </row>
    <row r="3008" spans="1:46">
      <c r="A3008">
        <v>47765</v>
      </c>
      <c r="B3008" t="s">
        <v>17037</v>
      </c>
      <c r="C3008" t="s">
        <v>15700</v>
      </c>
      <c r="E3008" t="s">
        <v>17038</v>
      </c>
      <c r="G3008" t="s">
        <v>3834</v>
      </c>
      <c r="H3008" t="s">
        <v>3942</v>
      </c>
      <c r="J3008" t="s">
        <v>3962</v>
      </c>
      <c r="K3008" t="s">
        <v>519</v>
      </c>
      <c r="M3008" t="s">
        <v>2287</v>
      </c>
      <c r="N3008" t="s">
        <v>571</v>
      </c>
      <c r="O3008" t="s">
        <v>3835</v>
      </c>
      <c r="P3008" t="s">
        <v>1262</v>
      </c>
      <c r="Q3008" t="s">
        <v>3337</v>
      </c>
      <c r="R3008" t="s">
        <v>3338</v>
      </c>
      <c r="S3008" t="s">
        <v>3361</v>
      </c>
      <c r="T3008" t="s">
        <v>2448</v>
      </c>
      <c r="U3008">
        <v>348700</v>
      </c>
      <c r="V3008" t="s">
        <v>15703</v>
      </c>
      <c r="W3008" t="s">
        <v>11506</v>
      </c>
      <c r="X3008" t="s">
        <v>17039</v>
      </c>
      <c r="Y3008" t="s">
        <v>12396</v>
      </c>
      <c r="Z3008" t="s">
        <v>4555</v>
      </c>
      <c r="AA3008" t="s">
        <v>4556</v>
      </c>
      <c r="AB3008" t="s">
        <v>17040</v>
      </c>
      <c r="AE3008">
        <v>-45.001670140000002</v>
      </c>
      <c r="AF3008">
        <v>168.78219970000001</v>
      </c>
      <c r="AG3008">
        <v>67</v>
      </c>
      <c r="AH3008">
        <v>14</v>
      </c>
      <c r="AI3008">
        <v>1</v>
      </c>
      <c r="AJ3008">
        <v>15</v>
      </c>
      <c r="AK3008">
        <v>13</v>
      </c>
      <c r="AL3008">
        <v>17</v>
      </c>
      <c r="AM3008">
        <v>25</v>
      </c>
      <c r="AN3008">
        <v>0</v>
      </c>
      <c r="AO3008">
        <v>71</v>
      </c>
      <c r="AP3008">
        <v>57</v>
      </c>
      <c r="AQ3008">
        <v>4</v>
      </c>
      <c r="AR3008">
        <v>1</v>
      </c>
      <c r="AS3008">
        <v>15</v>
      </c>
      <c r="AT3008">
        <v>1</v>
      </c>
    </row>
    <row r="3009" spans="1:46">
      <c r="A3009">
        <v>47767</v>
      </c>
      <c r="B3009" t="s">
        <v>17041</v>
      </c>
      <c r="C3009" t="s">
        <v>17042</v>
      </c>
      <c r="D3009" t="s">
        <v>17043</v>
      </c>
      <c r="E3009" t="s">
        <v>17044</v>
      </c>
      <c r="F3009" t="s">
        <v>1234</v>
      </c>
      <c r="G3009" t="s">
        <v>652</v>
      </c>
      <c r="H3009" t="s">
        <v>3942</v>
      </c>
      <c r="J3009" t="s">
        <v>3962</v>
      </c>
      <c r="K3009" t="s">
        <v>519</v>
      </c>
      <c r="M3009" t="s">
        <v>520</v>
      </c>
      <c r="N3009" t="s">
        <v>557</v>
      </c>
      <c r="O3009" t="s">
        <v>1268</v>
      </c>
      <c r="P3009" t="s">
        <v>654</v>
      </c>
      <c r="Q3009" t="s">
        <v>638</v>
      </c>
      <c r="R3009" t="s">
        <v>729</v>
      </c>
      <c r="S3009" t="s">
        <v>1234</v>
      </c>
      <c r="T3009" t="s">
        <v>1235</v>
      </c>
      <c r="U3009">
        <v>163700</v>
      </c>
      <c r="V3009" t="s">
        <v>7596</v>
      </c>
      <c r="W3009" t="s">
        <v>1219</v>
      </c>
      <c r="X3009" t="s">
        <v>11151</v>
      </c>
      <c r="Y3009" t="s">
        <v>17044</v>
      </c>
      <c r="Z3009" t="s">
        <v>1234</v>
      </c>
      <c r="AA3009" t="s">
        <v>7740</v>
      </c>
      <c r="AB3009" t="s">
        <v>11148</v>
      </c>
      <c r="AE3009">
        <v>-37.073262110000002</v>
      </c>
      <c r="AF3009">
        <v>174.93903201000001</v>
      </c>
      <c r="AG3009">
        <v>65</v>
      </c>
      <c r="AH3009">
        <v>10</v>
      </c>
      <c r="AI3009">
        <v>3</v>
      </c>
      <c r="AJ3009">
        <v>9</v>
      </c>
      <c r="AK3009">
        <v>16</v>
      </c>
      <c r="AL3009">
        <v>12</v>
      </c>
      <c r="AM3009">
        <v>24</v>
      </c>
      <c r="AN3009">
        <v>2</v>
      </c>
      <c r="AO3009">
        <v>66</v>
      </c>
      <c r="AP3009">
        <v>35</v>
      </c>
      <c r="AQ3009">
        <v>15</v>
      </c>
      <c r="AR3009">
        <v>8</v>
      </c>
      <c r="AS3009">
        <v>25</v>
      </c>
      <c r="AT3009">
        <v>2</v>
      </c>
    </row>
    <row r="3010" spans="1:46">
      <c r="A3010">
        <v>47768</v>
      </c>
      <c r="B3010" t="s">
        <v>17045</v>
      </c>
      <c r="C3010" t="s">
        <v>17046</v>
      </c>
      <c r="D3010" t="s">
        <v>17047</v>
      </c>
      <c r="E3010" t="s">
        <v>17048</v>
      </c>
      <c r="G3010" t="s">
        <v>17049</v>
      </c>
      <c r="H3010" t="s">
        <v>3942</v>
      </c>
      <c r="J3010" t="s">
        <v>3962</v>
      </c>
      <c r="K3010" t="s">
        <v>519</v>
      </c>
      <c r="M3010" t="s">
        <v>520</v>
      </c>
      <c r="N3010" t="s">
        <v>571</v>
      </c>
      <c r="O3010" t="s">
        <v>583</v>
      </c>
      <c r="P3010" t="s">
        <v>523</v>
      </c>
      <c r="Q3010" t="s">
        <v>524</v>
      </c>
      <c r="R3010" t="s">
        <v>525</v>
      </c>
      <c r="S3010" t="s">
        <v>585</v>
      </c>
      <c r="T3010" t="s">
        <v>527</v>
      </c>
      <c r="U3010">
        <v>108701</v>
      </c>
      <c r="V3010" t="s">
        <v>17049</v>
      </c>
      <c r="W3010" t="s">
        <v>618</v>
      </c>
      <c r="X3010" t="s">
        <v>4403</v>
      </c>
      <c r="Y3010" t="s">
        <v>4404</v>
      </c>
      <c r="Z3010" t="s">
        <v>4405</v>
      </c>
      <c r="AA3010" t="s">
        <v>4529</v>
      </c>
      <c r="AB3010" t="s">
        <v>4407</v>
      </c>
      <c r="AE3010">
        <v>-35.827574849999998</v>
      </c>
      <c r="AF3010">
        <v>174.4592653</v>
      </c>
      <c r="AG3010">
        <v>80</v>
      </c>
      <c r="AH3010">
        <v>20</v>
      </c>
      <c r="AI3010">
        <v>1</v>
      </c>
      <c r="AJ3010">
        <v>11</v>
      </c>
      <c r="AK3010">
        <v>10</v>
      </c>
      <c r="AL3010">
        <v>13</v>
      </c>
      <c r="AM3010">
        <v>12</v>
      </c>
      <c r="AN3010">
        <v>0</v>
      </c>
      <c r="AO3010">
        <v>47</v>
      </c>
      <c r="AP3010">
        <v>37</v>
      </c>
      <c r="AQ3010">
        <v>15</v>
      </c>
      <c r="AR3010">
        <v>6</v>
      </c>
      <c r="AS3010">
        <v>4</v>
      </c>
      <c r="AT3010">
        <v>2</v>
      </c>
    </row>
    <row r="3011" spans="1:46">
      <c r="A3011">
        <v>47769</v>
      </c>
      <c r="B3011" t="s">
        <v>17050</v>
      </c>
      <c r="E3011" t="s">
        <v>17051</v>
      </c>
      <c r="F3011" t="s">
        <v>17052</v>
      </c>
      <c r="G3011" t="s">
        <v>3261</v>
      </c>
      <c r="H3011" t="s">
        <v>3942</v>
      </c>
      <c r="J3011" t="s">
        <v>3962</v>
      </c>
      <c r="K3011" t="s">
        <v>519</v>
      </c>
      <c r="M3011" t="s">
        <v>2287</v>
      </c>
      <c r="N3011" t="s">
        <v>571</v>
      </c>
      <c r="O3011" t="s">
        <v>3249</v>
      </c>
      <c r="P3011" t="s">
        <v>1262</v>
      </c>
      <c r="Q3011" t="s">
        <v>2943</v>
      </c>
      <c r="R3011" t="s">
        <v>2944</v>
      </c>
      <c r="S3011" t="s">
        <v>3219</v>
      </c>
      <c r="T3011" t="s">
        <v>2448</v>
      </c>
      <c r="U3011">
        <v>340000</v>
      </c>
      <c r="V3011" t="s">
        <v>3262</v>
      </c>
      <c r="W3011" t="s">
        <v>3263</v>
      </c>
      <c r="X3011" t="s">
        <v>17053</v>
      </c>
      <c r="Y3011" t="s">
        <v>17054</v>
      </c>
      <c r="Z3011" t="s">
        <v>17052</v>
      </c>
      <c r="AA3011" t="s">
        <v>17055</v>
      </c>
      <c r="AB3011" t="s">
        <v>17056</v>
      </c>
      <c r="AC3011">
        <v>99174</v>
      </c>
      <c r="AD3011" t="s">
        <v>3268</v>
      </c>
      <c r="AE3011">
        <v>-44.380197959999997</v>
      </c>
      <c r="AF3011">
        <v>171.19193794</v>
      </c>
      <c r="AG3011">
        <v>70</v>
      </c>
      <c r="AH3011">
        <v>20</v>
      </c>
      <c r="AI3011">
        <v>3</v>
      </c>
      <c r="AJ3011">
        <v>13</v>
      </c>
      <c r="AK3011">
        <v>16</v>
      </c>
      <c r="AL3011">
        <v>21</v>
      </c>
      <c r="AM3011">
        <v>21</v>
      </c>
      <c r="AN3011">
        <v>0</v>
      </c>
      <c r="AO3011">
        <v>74</v>
      </c>
      <c r="AP3011">
        <v>63</v>
      </c>
      <c r="AQ3011">
        <v>12</v>
      </c>
      <c r="AR3011">
        <v>2</v>
      </c>
      <c r="AS3011">
        <v>1</v>
      </c>
      <c r="AT3011">
        <v>11</v>
      </c>
    </row>
    <row r="3012" spans="1:46">
      <c r="A3012">
        <v>47770</v>
      </c>
      <c r="B3012" t="s">
        <v>17057</v>
      </c>
      <c r="C3012" t="s">
        <v>17058</v>
      </c>
      <c r="D3012" t="s">
        <v>17059</v>
      </c>
      <c r="E3012" t="s">
        <v>17060</v>
      </c>
      <c r="G3012" t="s">
        <v>4387</v>
      </c>
      <c r="H3012" t="s">
        <v>3942</v>
      </c>
      <c r="J3012" t="s">
        <v>3962</v>
      </c>
      <c r="K3012" t="s">
        <v>519</v>
      </c>
      <c r="M3012" t="s">
        <v>520</v>
      </c>
      <c r="N3012" t="s">
        <v>571</v>
      </c>
      <c r="O3012" t="s">
        <v>637</v>
      </c>
      <c r="P3012" t="s">
        <v>523</v>
      </c>
      <c r="Q3012" t="s">
        <v>638</v>
      </c>
      <c r="R3012" t="s">
        <v>639</v>
      </c>
      <c r="S3012" t="s">
        <v>640</v>
      </c>
      <c r="T3012" t="s">
        <v>527</v>
      </c>
      <c r="U3012">
        <v>115002</v>
      </c>
      <c r="V3012" t="s">
        <v>6986</v>
      </c>
      <c r="W3012" t="s">
        <v>641</v>
      </c>
      <c r="X3012" t="s">
        <v>17061</v>
      </c>
      <c r="Y3012" t="s">
        <v>17062</v>
      </c>
      <c r="Z3012" t="s">
        <v>4655</v>
      </c>
      <c r="AA3012" t="s">
        <v>4247</v>
      </c>
      <c r="AE3012">
        <v>-36.771870190000001</v>
      </c>
      <c r="AF3012">
        <v>174.54024480000001</v>
      </c>
      <c r="AG3012">
        <v>145</v>
      </c>
      <c r="AH3012">
        <v>40</v>
      </c>
      <c r="AI3012">
        <v>5</v>
      </c>
      <c r="AJ3012">
        <v>26</v>
      </c>
      <c r="AK3012">
        <v>39</v>
      </c>
      <c r="AL3012">
        <v>26</v>
      </c>
      <c r="AM3012">
        <v>35</v>
      </c>
      <c r="AN3012">
        <v>3</v>
      </c>
      <c r="AO3012">
        <v>134</v>
      </c>
      <c r="AP3012">
        <v>94</v>
      </c>
      <c r="AQ3012">
        <v>20</v>
      </c>
      <c r="AR3012">
        <v>6</v>
      </c>
      <c r="AS3012">
        <v>25</v>
      </c>
      <c r="AT3012">
        <v>24</v>
      </c>
    </row>
    <row r="3013" spans="1:46">
      <c r="A3013">
        <v>47771</v>
      </c>
      <c r="B3013" t="s">
        <v>17063</v>
      </c>
      <c r="C3013" t="s">
        <v>17064</v>
      </c>
      <c r="E3013" t="s">
        <v>17065</v>
      </c>
      <c r="G3013" t="s">
        <v>11192</v>
      </c>
      <c r="H3013" t="s">
        <v>4716</v>
      </c>
      <c r="J3013" t="s">
        <v>3962</v>
      </c>
      <c r="K3013" t="s">
        <v>519</v>
      </c>
      <c r="M3013" t="s">
        <v>2287</v>
      </c>
      <c r="N3013" t="s">
        <v>571</v>
      </c>
      <c r="O3013" t="s">
        <v>3835</v>
      </c>
      <c r="P3013" t="s">
        <v>1262</v>
      </c>
      <c r="Q3013" t="s">
        <v>3337</v>
      </c>
      <c r="R3013" t="s">
        <v>3338</v>
      </c>
      <c r="S3013" t="s">
        <v>3250</v>
      </c>
      <c r="T3013" t="s">
        <v>2448</v>
      </c>
      <c r="U3013">
        <v>346800</v>
      </c>
      <c r="V3013" t="s">
        <v>17066</v>
      </c>
      <c r="W3013" t="s">
        <v>11194</v>
      </c>
      <c r="X3013" t="s">
        <v>17067</v>
      </c>
      <c r="Y3013" t="s">
        <v>17065</v>
      </c>
      <c r="AA3013" t="s">
        <v>11196</v>
      </c>
      <c r="AB3013" t="s">
        <v>17068</v>
      </c>
      <c r="AE3013">
        <v>-44.714637140000001</v>
      </c>
      <c r="AF3013">
        <v>169.13540219999999</v>
      </c>
      <c r="AG3013">
        <v>50</v>
      </c>
      <c r="AH3013">
        <v>50</v>
      </c>
      <c r="AI3013">
        <v>2</v>
      </c>
      <c r="AJ3013">
        <v>12</v>
      </c>
      <c r="AK3013">
        <v>5</v>
      </c>
      <c r="AL3013">
        <v>2</v>
      </c>
      <c r="AM3013">
        <v>4</v>
      </c>
      <c r="AN3013">
        <v>0</v>
      </c>
      <c r="AO3013">
        <v>25</v>
      </c>
      <c r="AP3013">
        <v>24</v>
      </c>
      <c r="AQ3013">
        <v>1</v>
      </c>
      <c r="AR3013">
        <v>0</v>
      </c>
      <c r="AS3013">
        <v>2</v>
      </c>
      <c r="AT3013">
        <v>0</v>
      </c>
    </row>
    <row r="3014" spans="1:46">
      <c r="A3014">
        <v>47772</v>
      </c>
      <c r="B3014" t="s">
        <v>17069</v>
      </c>
      <c r="C3014" t="s">
        <v>17070</v>
      </c>
      <c r="D3014" t="s">
        <v>17071</v>
      </c>
      <c r="E3014" t="s">
        <v>17072</v>
      </c>
      <c r="F3014" t="s">
        <v>7810</v>
      </c>
      <c r="G3014" t="s">
        <v>652</v>
      </c>
      <c r="H3014" t="s">
        <v>3942</v>
      </c>
      <c r="J3014" t="s">
        <v>518</v>
      </c>
      <c r="K3014" t="s">
        <v>519</v>
      </c>
      <c r="M3014" t="s">
        <v>520</v>
      </c>
      <c r="N3014" t="s">
        <v>571</v>
      </c>
      <c r="O3014" t="s">
        <v>1233</v>
      </c>
      <c r="P3014" t="s">
        <v>523</v>
      </c>
      <c r="Q3014" t="s">
        <v>638</v>
      </c>
      <c r="R3014" t="s">
        <v>708</v>
      </c>
      <c r="S3014" t="s">
        <v>1234</v>
      </c>
      <c r="T3014" t="s">
        <v>1235</v>
      </c>
      <c r="U3014">
        <v>155000</v>
      </c>
      <c r="V3014" t="s">
        <v>7811</v>
      </c>
      <c r="W3014" t="s">
        <v>1237</v>
      </c>
      <c r="X3014" t="s">
        <v>3943</v>
      </c>
      <c r="Y3014" t="s">
        <v>3944</v>
      </c>
      <c r="Z3014" t="s">
        <v>3945</v>
      </c>
      <c r="AA3014" t="s">
        <v>3946</v>
      </c>
      <c r="AB3014" t="s">
        <v>3947</v>
      </c>
      <c r="AE3014">
        <v>-36.884984209999999</v>
      </c>
      <c r="AF3014">
        <v>175.00437735</v>
      </c>
      <c r="AG3014">
        <v>84</v>
      </c>
      <c r="AH3014">
        <v>20</v>
      </c>
      <c r="AI3014">
        <v>2</v>
      </c>
      <c r="AJ3014">
        <v>15</v>
      </c>
      <c r="AK3014">
        <v>23</v>
      </c>
      <c r="AL3014">
        <v>21</v>
      </c>
      <c r="AM3014">
        <v>22</v>
      </c>
      <c r="AN3014">
        <v>0</v>
      </c>
      <c r="AO3014">
        <v>83</v>
      </c>
      <c r="AP3014">
        <v>71</v>
      </c>
      <c r="AQ3014">
        <v>8</v>
      </c>
      <c r="AR3014">
        <v>3</v>
      </c>
      <c r="AS3014">
        <v>6</v>
      </c>
      <c r="AT3014">
        <v>14</v>
      </c>
    </row>
    <row r="3015" spans="1:46">
      <c r="A3015">
        <v>47774</v>
      </c>
      <c r="B3015" t="s">
        <v>17073</v>
      </c>
      <c r="C3015" t="s">
        <v>17074</v>
      </c>
      <c r="D3015" t="s">
        <v>4789</v>
      </c>
      <c r="E3015" t="s">
        <v>17075</v>
      </c>
      <c r="G3015" t="s">
        <v>1261</v>
      </c>
      <c r="H3015" t="s">
        <v>3942</v>
      </c>
      <c r="J3015" t="s">
        <v>3962</v>
      </c>
      <c r="K3015" t="s">
        <v>519</v>
      </c>
      <c r="M3015" t="s">
        <v>520</v>
      </c>
      <c r="N3015" t="s">
        <v>571</v>
      </c>
      <c r="O3015" t="s">
        <v>1233</v>
      </c>
      <c r="P3015" t="s">
        <v>1262</v>
      </c>
      <c r="Q3015" t="s">
        <v>638</v>
      </c>
      <c r="R3015" t="s">
        <v>729</v>
      </c>
      <c r="S3015" t="s">
        <v>1246</v>
      </c>
      <c r="T3015" t="s">
        <v>1235</v>
      </c>
      <c r="U3015">
        <v>165301</v>
      </c>
      <c r="V3015" t="s">
        <v>7621</v>
      </c>
      <c r="W3015" t="s">
        <v>1237</v>
      </c>
      <c r="X3015" t="s">
        <v>4792</v>
      </c>
      <c r="Y3015" t="s">
        <v>17076</v>
      </c>
      <c r="Z3015" t="s">
        <v>1261</v>
      </c>
      <c r="AA3015" t="s">
        <v>17077</v>
      </c>
      <c r="AB3015" t="s">
        <v>4796</v>
      </c>
      <c r="AE3015">
        <v>-37.183697420000001</v>
      </c>
      <c r="AF3015">
        <v>174.89921371</v>
      </c>
      <c r="AG3015">
        <v>100</v>
      </c>
      <c r="AH3015">
        <v>22</v>
      </c>
      <c r="AI3015">
        <v>2</v>
      </c>
      <c r="AJ3015">
        <v>12</v>
      </c>
      <c r="AK3015">
        <v>8</v>
      </c>
      <c r="AL3015">
        <v>15</v>
      </c>
      <c r="AM3015">
        <v>23</v>
      </c>
      <c r="AN3015">
        <v>0</v>
      </c>
      <c r="AO3015">
        <v>60</v>
      </c>
      <c r="AP3015">
        <v>42</v>
      </c>
      <c r="AQ3015">
        <v>15</v>
      </c>
      <c r="AR3015">
        <v>3</v>
      </c>
      <c r="AS3015">
        <v>16</v>
      </c>
      <c r="AT3015">
        <v>2</v>
      </c>
    </row>
    <row r="3016" spans="1:46">
      <c r="A3016">
        <v>47776</v>
      </c>
      <c r="B3016" t="s">
        <v>17078</v>
      </c>
      <c r="C3016" t="s">
        <v>4028</v>
      </c>
      <c r="D3016" t="s">
        <v>4022</v>
      </c>
      <c r="E3016" t="s">
        <v>17079</v>
      </c>
      <c r="G3016" t="s">
        <v>3915</v>
      </c>
      <c r="H3016" t="s">
        <v>3942</v>
      </c>
      <c r="J3016" t="s">
        <v>3962</v>
      </c>
      <c r="K3016" t="s">
        <v>519</v>
      </c>
      <c r="M3016" t="s">
        <v>520</v>
      </c>
      <c r="N3016" t="s">
        <v>571</v>
      </c>
      <c r="O3016" t="s">
        <v>1233</v>
      </c>
      <c r="P3016" t="s">
        <v>572</v>
      </c>
      <c r="Q3016" t="s">
        <v>638</v>
      </c>
      <c r="R3016" t="s">
        <v>729</v>
      </c>
      <c r="S3016" t="s">
        <v>1246</v>
      </c>
      <c r="T3016" t="s">
        <v>1235</v>
      </c>
      <c r="U3016">
        <v>159801</v>
      </c>
      <c r="V3016" t="s">
        <v>3916</v>
      </c>
      <c r="W3016" t="s">
        <v>1237</v>
      </c>
      <c r="X3016" t="s">
        <v>8022</v>
      </c>
      <c r="Y3016" t="s">
        <v>4026</v>
      </c>
      <c r="Z3016" t="s">
        <v>3915</v>
      </c>
      <c r="AA3016" t="s">
        <v>4027</v>
      </c>
      <c r="AB3016" t="s">
        <v>4028</v>
      </c>
      <c r="AE3016">
        <v>-37.137335880000002</v>
      </c>
      <c r="AF3016">
        <v>174.78414362000001</v>
      </c>
      <c r="AG3016">
        <v>54</v>
      </c>
      <c r="AH3016">
        <v>10</v>
      </c>
      <c r="AI3016">
        <v>0</v>
      </c>
      <c r="AJ3016">
        <v>8</v>
      </c>
      <c r="AK3016">
        <v>8</v>
      </c>
      <c r="AL3016">
        <v>15</v>
      </c>
      <c r="AM3016">
        <v>10</v>
      </c>
      <c r="AN3016">
        <v>0</v>
      </c>
      <c r="AO3016">
        <v>41</v>
      </c>
      <c r="AP3016">
        <v>36</v>
      </c>
      <c r="AQ3016">
        <v>17</v>
      </c>
      <c r="AR3016">
        <v>6</v>
      </c>
      <c r="AS3016">
        <v>3</v>
      </c>
      <c r="AT3016">
        <v>1</v>
      </c>
    </row>
    <row r="3017" spans="1:46">
      <c r="A3017">
        <v>47777</v>
      </c>
      <c r="B3017" t="s">
        <v>17080</v>
      </c>
      <c r="C3017" t="s">
        <v>17081</v>
      </c>
      <c r="D3017" t="s">
        <v>17082</v>
      </c>
      <c r="E3017" t="s">
        <v>17083</v>
      </c>
      <c r="F3017" t="s">
        <v>855</v>
      </c>
      <c r="G3017" t="s">
        <v>652</v>
      </c>
      <c r="H3017" t="s">
        <v>3942</v>
      </c>
      <c r="J3017" t="s">
        <v>3962</v>
      </c>
      <c r="K3017" t="s">
        <v>519</v>
      </c>
      <c r="M3017" t="s">
        <v>520</v>
      </c>
      <c r="N3017" t="s">
        <v>571</v>
      </c>
      <c r="O3017" t="s">
        <v>857</v>
      </c>
      <c r="P3017" t="s">
        <v>654</v>
      </c>
      <c r="Q3017" t="s">
        <v>638</v>
      </c>
      <c r="R3017" t="s">
        <v>708</v>
      </c>
      <c r="S3017" t="s">
        <v>858</v>
      </c>
      <c r="T3017" t="s">
        <v>709</v>
      </c>
      <c r="U3017">
        <v>134200</v>
      </c>
      <c r="V3017" t="s">
        <v>859</v>
      </c>
      <c r="W3017" t="s">
        <v>860</v>
      </c>
      <c r="X3017" t="s">
        <v>17084</v>
      </c>
      <c r="Y3017" t="s">
        <v>17083</v>
      </c>
      <c r="Z3017" t="s">
        <v>855</v>
      </c>
      <c r="AA3017" t="s">
        <v>4876</v>
      </c>
      <c r="AE3017">
        <v>-36.888819959999999</v>
      </c>
      <c r="AF3017">
        <v>174.72300122999999</v>
      </c>
      <c r="AG3017">
        <v>43</v>
      </c>
      <c r="AH3017">
        <v>8</v>
      </c>
      <c r="AI3017">
        <v>1</v>
      </c>
      <c r="AJ3017">
        <v>5</v>
      </c>
      <c r="AK3017">
        <v>11</v>
      </c>
      <c r="AL3017">
        <v>14</v>
      </c>
      <c r="AM3017">
        <v>11</v>
      </c>
      <c r="AN3017">
        <v>0</v>
      </c>
      <c r="AO3017">
        <v>42</v>
      </c>
      <c r="AP3017">
        <v>21</v>
      </c>
      <c r="AQ3017">
        <v>6</v>
      </c>
      <c r="AR3017">
        <v>2</v>
      </c>
      <c r="AS3017">
        <v>17</v>
      </c>
      <c r="AT3017">
        <v>9</v>
      </c>
    </row>
    <row r="3018" spans="1:46">
      <c r="A3018">
        <v>47778</v>
      </c>
      <c r="B3018" t="s">
        <v>17085</v>
      </c>
      <c r="E3018" t="s">
        <v>17086</v>
      </c>
      <c r="G3018" t="s">
        <v>17087</v>
      </c>
      <c r="H3018" t="s">
        <v>3942</v>
      </c>
      <c r="J3018" t="s">
        <v>3962</v>
      </c>
      <c r="K3018" t="s">
        <v>519</v>
      </c>
      <c r="M3018" t="s">
        <v>1297</v>
      </c>
      <c r="N3018" t="s">
        <v>571</v>
      </c>
      <c r="O3018" t="s">
        <v>1743</v>
      </c>
      <c r="P3018" t="s">
        <v>572</v>
      </c>
      <c r="Q3018" t="s">
        <v>1471</v>
      </c>
      <c r="R3018" t="s">
        <v>1472</v>
      </c>
      <c r="S3018" t="s">
        <v>1473</v>
      </c>
      <c r="T3018" t="s">
        <v>1474</v>
      </c>
      <c r="U3018">
        <v>192500</v>
      </c>
      <c r="V3018" t="s">
        <v>1751</v>
      </c>
      <c r="W3018" t="s">
        <v>1745</v>
      </c>
      <c r="X3018" t="s">
        <v>13240</v>
      </c>
      <c r="Y3018" t="s">
        <v>13241</v>
      </c>
      <c r="AA3018" t="s">
        <v>5078</v>
      </c>
      <c r="AE3018">
        <v>-37.845649700000003</v>
      </c>
      <c r="AF3018">
        <v>176.54270600000001</v>
      </c>
      <c r="AG3018">
        <v>22</v>
      </c>
      <c r="AH3018">
        <v>0</v>
      </c>
      <c r="AI3018">
        <v>0</v>
      </c>
      <c r="AJ3018">
        <v>0</v>
      </c>
      <c r="AK3018">
        <v>11</v>
      </c>
      <c r="AL3018">
        <v>13</v>
      </c>
      <c r="AM3018">
        <v>7</v>
      </c>
      <c r="AN3018">
        <v>0</v>
      </c>
      <c r="AO3018">
        <v>31</v>
      </c>
      <c r="AP3018">
        <v>27</v>
      </c>
      <c r="AQ3018">
        <v>12</v>
      </c>
      <c r="AR3018">
        <v>1</v>
      </c>
      <c r="AS3018">
        <v>1</v>
      </c>
      <c r="AT3018">
        <v>0</v>
      </c>
    </row>
    <row r="3019" spans="1:46">
      <c r="A3019">
        <v>47779</v>
      </c>
      <c r="B3019" t="s">
        <v>17088</v>
      </c>
      <c r="C3019" t="s">
        <v>17089</v>
      </c>
      <c r="E3019" t="s">
        <v>17090</v>
      </c>
      <c r="F3019" t="s">
        <v>6954</v>
      </c>
      <c r="G3019" t="s">
        <v>652</v>
      </c>
      <c r="H3019" t="s">
        <v>4716</v>
      </c>
      <c r="J3019" t="s">
        <v>3962</v>
      </c>
      <c r="K3019" t="s">
        <v>519</v>
      </c>
      <c r="M3019" t="s">
        <v>520</v>
      </c>
      <c r="N3019" t="s">
        <v>571</v>
      </c>
      <c r="O3019" t="s">
        <v>804</v>
      </c>
      <c r="P3019" t="s">
        <v>654</v>
      </c>
      <c r="Q3019" t="s">
        <v>638</v>
      </c>
      <c r="R3019" t="s">
        <v>708</v>
      </c>
      <c r="S3019" t="s">
        <v>880</v>
      </c>
      <c r="T3019" t="s">
        <v>709</v>
      </c>
      <c r="U3019">
        <v>144500</v>
      </c>
      <c r="V3019" t="s">
        <v>1152</v>
      </c>
      <c r="W3019" t="s">
        <v>807</v>
      </c>
      <c r="X3019" t="s">
        <v>17091</v>
      </c>
      <c r="Y3019" t="s">
        <v>17092</v>
      </c>
      <c r="Z3019" t="s">
        <v>855</v>
      </c>
      <c r="AA3019" t="s">
        <v>4876</v>
      </c>
      <c r="AE3019">
        <v>-36.872770350000003</v>
      </c>
      <c r="AF3019">
        <v>174.84419586000001</v>
      </c>
      <c r="AG3019">
        <v>50</v>
      </c>
      <c r="AH3019">
        <v>50</v>
      </c>
      <c r="AI3019">
        <v>8</v>
      </c>
      <c r="AJ3019">
        <v>13</v>
      </c>
      <c r="AK3019">
        <v>11</v>
      </c>
      <c r="AL3019">
        <v>11</v>
      </c>
      <c r="AM3019">
        <v>7</v>
      </c>
      <c r="AN3019">
        <v>0</v>
      </c>
      <c r="AO3019">
        <v>50</v>
      </c>
      <c r="AP3019">
        <v>0</v>
      </c>
      <c r="AQ3019">
        <v>0</v>
      </c>
      <c r="AR3019">
        <v>0</v>
      </c>
      <c r="AS3019">
        <v>50</v>
      </c>
      <c r="AT3019">
        <v>0</v>
      </c>
    </row>
    <row r="3020" spans="1:46">
      <c r="A3020">
        <v>47780</v>
      </c>
      <c r="B3020" t="s">
        <v>17093</v>
      </c>
      <c r="C3020" t="s">
        <v>17094</v>
      </c>
      <c r="D3020" t="s">
        <v>17095</v>
      </c>
      <c r="E3020" t="s">
        <v>17096</v>
      </c>
      <c r="G3020" t="s">
        <v>4459</v>
      </c>
      <c r="H3020" t="s">
        <v>3942</v>
      </c>
      <c r="J3020" t="s">
        <v>3962</v>
      </c>
      <c r="K3020" t="s">
        <v>519</v>
      </c>
      <c r="M3020" t="s">
        <v>520</v>
      </c>
      <c r="N3020" t="s">
        <v>571</v>
      </c>
      <c r="O3020" t="s">
        <v>637</v>
      </c>
      <c r="P3020" t="s">
        <v>572</v>
      </c>
      <c r="Q3020" t="s">
        <v>638</v>
      </c>
      <c r="R3020" t="s">
        <v>639</v>
      </c>
      <c r="S3020" t="s">
        <v>668</v>
      </c>
      <c r="T3020" t="s">
        <v>527</v>
      </c>
      <c r="U3020">
        <v>113402</v>
      </c>
      <c r="V3020" t="s">
        <v>17097</v>
      </c>
      <c r="W3020" t="s">
        <v>641</v>
      </c>
      <c r="X3020" t="s">
        <v>4511</v>
      </c>
      <c r="Y3020" t="s">
        <v>4512</v>
      </c>
      <c r="AA3020" t="s">
        <v>4513</v>
      </c>
      <c r="AB3020" t="s">
        <v>4514</v>
      </c>
      <c r="AE3020">
        <v>-36.62960253</v>
      </c>
      <c r="AF3020">
        <v>174.65368806000001</v>
      </c>
      <c r="AG3020">
        <v>150</v>
      </c>
      <c r="AH3020">
        <v>50</v>
      </c>
      <c r="AI3020">
        <v>2</v>
      </c>
      <c r="AJ3020">
        <v>29</v>
      </c>
      <c r="AK3020">
        <v>37</v>
      </c>
      <c r="AL3020">
        <v>41</v>
      </c>
      <c r="AM3020">
        <v>36</v>
      </c>
      <c r="AN3020">
        <v>1</v>
      </c>
      <c r="AO3020">
        <v>146</v>
      </c>
      <c r="AP3020">
        <v>99</v>
      </c>
      <c r="AQ3020">
        <v>15</v>
      </c>
      <c r="AR3020">
        <v>3</v>
      </c>
      <c r="AS3020">
        <v>48</v>
      </c>
      <c r="AT3020">
        <v>9</v>
      </c>
    </row>
    <row r="3021" spans="1:46">
      <c r="A3021">
        <v>47781</v>
      </c>
      <c r="B3021" t="s">
        <v>17098</v>
      </c>
      <c r="C3021" t="s">
        <v>17099</v>
      </c>
      <c r="E3021" t="s">
        <v>17100</v>
      </c>
      <c r="G3021" t="s">
        <v>1538</v>
      </c>
      <c r="H3021" t="s">
        <v>3942</v>
      </c>
      <c r="J3021" t="s">
        <v>3962</v>
      </c>
      <c r="K3021" t="s">
        <v>17101</v>
      </c>
      <c r="M3021" t="s">
        <v>1297</v>
      </c>
      <c r="N3021" t="s">
        <v>557</v>
      </c>
      <c r="O3021" t="s">
        <v>1319</v>
      </c>
      <c r="P3021" t="s">
        <v>1262</v>
      </c>
      <c r="Q3021" t="s">
        <v>1299</v>
      </c>
      <c r="R3021" t="s">
        <v>1300</v>
      </c>
      <c r="S3021" t="s">
        <v>1417</v>
      </c>
      <c r="T3021" t="s">
        <v>1235</v>
      </c>
      <c r="U3021">
        <v>184100</v>
      </c>
      <c r="V3021" t="s">
        <v>9353</v>
      </c>
      <c r="W3021" t="s">
        <v>1540</v>
      </c>
      <c r="X3021" t="s">
        <v>11597</v>
      </c>
      <c r="Y3021" t="s">
        <v>11598</v>
      </c>
      <c r="Z3021" t="s">
        <v>8510</v>
      </c>
      <c r="AA3021" t="s">
        <v>8662</v>
      </c>
      <c r="AB3021" t="s">
        <v>11599</v>
      </c>
      <c r="AE3021">
        <v>-38.009417679999999</v>
      </c>
      <c r="AF3021">
        <v>175.32051050000001</v>
      </c>
      <c r="AG3021">
        <v>29</v>
      </c>
      <c r="AH3021">
        <v>25</v>
      </c>
      <c r="AI3021">
        <v>6</v>
      </c>
      <c r="AJ3021">
        <v>23</v>
      </c>
      <c r="AK3021">
        <v>0</v>
      </c>
      <c r="AL3021">
        <v>0</v>
      </c>
      <c r="AM3021">
        <v>0</v>
      </c>
      <c r="AN3021">
        <v>0</v>
      </c>
      <c r="AO3021">
        <v>29</v>
      </c>
      <c r="AP3021">
        <v>19</v>
      </c>
      <c r="AQ3021">
        <v>6</v>
      </c>
      <c r="AR3021">
        <v>1</v>
      </c>
      <c r="AS3021">
        <v>4</v>
      </c>
      <c r="AT3021">
        <v>5</v>
      </c>
    </row>
    <row r="3022" spans="1:46">
      <c r="A3022">
        <v>47783</v>
      </c>
      <c r="B3022" t="s">
        <v>17102</v>
      </c>
      <c r="C3022" t="s">
        <v>17103</v>
      </c>
      <c r="D3022" t="s">
        <v>17104</v>
      </c>
      <c r="E3022" t="s">
        <v>17105</v>
      </c>
      <c r="F3022" t="s">
        <v>4441</v>
      </c>
      <c r="G3022" t="s">
        <v>652</v>
      </c>
      <c r="H3022" t="s">
        <v>3942</v>
      </c>
      <c r="J3022" t="s">
        <v>3962</v>
      </c>
      <c r="K3022" t="s">
        <v>519</v>
      </c>
      <c r="M3022" t="s">
        <v>520</v>
      </c>
      <c r="N3022" t="s">
        <v>539</v>
      </c>
      <c r="O3022" t="s">
        <v>829</v>
      </c>
      <c r="P3022" t="s">
        <v>654</v>
      </c>
      <c r="Q3022" t="s">
        <v>638</v>
      </c>
      <c r="R3022" t="s">
        <v>708</v>
      </c>
      <c r="S3022" t="s">
        <v>730</v>
      </c>
      <c r="T3022" t="s">
        <v>709</v>
      </c>
      <c r="U3022">
        <v>147001</v>
      </c>
      <c r="V3022" t="s">
        <v>6620</v>
      </c>
      <c r="W3022" t="s">
        <v>807</v>
      </c>
      <c r="X3022" t="s">
        <v>17106</v>
      </c>
      <c r="Y3022" t="s">
        <v>17105</v>
      </c>
      <c r="Z3022" t="s">
        <v>4441</v>
      </c>
      <c r="AA3022" t="s">
        <v>4356</v>
      </c>
      <c r="AB3022" t="s">
        <v>17107</v>
      </c>
      <c r="AE3022">
        <v>-36.891698699999999</v>
      </c>
      <c r="AF3022">
        <v>174.85652336999999</v>
      </c>
      <c r="AG3022">
        <v>55</v>
      </c>
      <c r="AH3022">
        <v>10</v>
      </c>
      <c r="AI3022">
        <v>2</v>
      </c>
      <c r="AJ3022">
        <v>12</v>
      </c>
      <c r="AK3022">
        <v>10</v>
      </c>
      <c r="AL3022">
        <v>19</v>
      </c>
      <c r="AM3022">
        <v>11</v>
      </c>
      <c r="AN3022">
        <v>0</v>
      </c>
      <c r="AO3022">
        <v>54</v>
      </c>
      <c r="AP3022">
        <v>14</v>
      </c>
      <c r="AQ3022">
        <v>7</v>
      </c>
      <c r="AR3022">
        <v>15</v>
      </c>
      <c r="AS3022">
        <v>27</v>
      </c>
      <c r="AT3022">
        <v>2</v>
      </c>
    </row>
    <row r="3023" spans="1:46">
      <c r="A3023">
        <v>47784</v>
      </c>
      <c r="B3023" t="s">
        <v>17108</v>
      </c>
      <c r="C3023" t="s">
        <v>15805</v>
      </c>
      <c r="D3023" t="s">
        <v>17109</v>
      </c>
      <c r="E3023" t="s">
        <v>17110</v>
      </c>
      <c r="F3023" t="s">
        <v>1756</v>
      </c>
      <c r="G3023" t="s">
        <v>1757</v>
      </c>
      <c r="H3023" t="s">
        <v>3942</v>
      </c>
      <c r="J3023" t="s">
        <v>3962</v>
      </c>
      <c r="K3023" t="s">
        <v>519</v>
      </c>
      <c r="M3023" t="s">
        <v>1297</v>
      </c>
      <c r="N3023" t="s">
        <v>571</v>
      </c>
      <c r="O3023" t="s">
        <v>1758</v>
      </c>
      <c r="P3023" t="s">
        <v>584</v>
      </c>
      <c r="Q3023" t="s">
        <v>1759</v>
      </c>
      <c r="R3023" t="s">
        <v>1760</v>
      </c>
      <c r="S3023" t="s">
        <v>1757</v>
      </c>
      <c r="T3023" t="s">
        <v>1485</v>
      </c>
      <c r="U3023">
        <v>217701</v>
      </c>
      <c r="V3023" t="s">
        <v>12569</v>
      </c>
      <c r="W3023" t="s">
        <v>1762</v>
      </c>
      <c r="X3023" t="s">
        <v>17111</v>
      </c>
      <c r="AB3023" t="s">
        <v>17112</v>
      </c>
      <c r="AE3023">
        <v>-39.034550940000003</v>
      </c>
      <c r="AF3023">
        <v>174.15810590000001</v>
      </c>
      <c r="AG3023">
        <v>120</v>
      </c>
      <c r="AH3023">
        <v>41</v>
      </c>
      <c r="AI3023">
        <v>12</v>
      </c>
      <c r="AJ3023">
        <v>37</v>
      </c>
      <c r="AK3023">
        <v>38</v>
      </c>
      <c r="AL3023">
        <v>22</v>
      </c>
      <c r="AM3023">
        <v>34</v>
      </c>
      <c r="AN3023">
        <v>2</v>
      </c>
      <c r="AO3023">
        <v>145</v>
      </c>
      <c r="AP3023">
        <v>132</v>
      </c>
      <c r="AQ3023">
        <v>45</v>
      </c>
      <c r="AR3023">
        <v>2</v>
      </c>
      <c r="AS3023">
        <v>5</v>
      </c>
      <c r="AT3023">
        <v>1</v>
      </c>
    </row>
    <row r="3024" spans="1:46">
      <c r="A3024">
        <v>47785</v>
      </c>
      <c r="B3024" t="s">
        <v>17113</v>
      </c>
      <c r="C3024" t="s">
        <v>17114</v>
      </c>
      <c r="D3024" t="s">
        <v>17115</v>
      </c>
      <c r="E3024" t="s">
        <v>17116</v>
      </c>
      <c r="F3024" t="s">
        <v>706</v>
      </c>
      <c r="G3024" t="s">
        <v>652</v>
      </c>
      <c r="H3024" t="s">
        <v>3942</v>
      </c>
      <c r="J3024" t="s">
        <v>3962</v>
      </c>
      <c r="K3024" t="s">
        <v>519</v>
      </c>
      <c r="M3024" t="s">
        <v>520</v>
      </c>
      <c r="N3024" t="s">
        <v>571</v>
      </c>
      <c r="O3024" t="s">
        <v>707</v>
      </c>
      <c r="P3024" t="s">
        <v>654</v>
      </c>
      <c r="Q3024" t="s">
        <v>638</v>
      </c>
      <c r="R3024" t="s">
        <v>708</v>
      </c>
      <c r="S3024" t="s">
        <v>706</v>
      </c>
      <c r="T3024" t="s">
        <v>709</v>
      </c>
      <c r="U3024">
        <v>150700</v>
      </c>
      <c r="V3024" t="s">
        <v>797</v>
      </c>
      <c r="W3024" t="s">
        <v>711</v>
      </c>
      <c r="X3024" t="s">
        <v>17117</v>
      </c>
      <c r="Y3024" t="s">
        <v>17116</v>
      </c>
      <c r="Z3024" t="s">
        <v>706</v>
      </c>
      <c r="AA3024" t="s">
        <v>4484</v>
      </c>
      <c r="AB3024" t="s">
        <v>17114</v>
      </c>
      <c r="AE3024">
        <v>-36.90854641</v>
      </c>
      <c r="AF3024">
        <v>174.89811872000001</v>
      </c>
      <c r="AG3024">
        <v>34</v>
      </c>
      <c r="AH3024">
        <v>10</v>
      </c>
      <c r="AI3024">
        <v>0</v>
      </c>
      <c r="AJ3024">
        <v>9</v>
      </c>
      <c r="AK3024">
        <v>6</v>
      </c>
      <c r="AL3024">
        <v>12</v>
      </c>
      <c r="AM3024">
        <v>9</v>
      </c>
      <c r="AN3024">
        <v>0</v>
      </c>
      <c r="AO3024">
        <v>36</v>
      </c>
      <c r="AP3024">
        <v>30</v>
      </c>
      <c r="AQ3024">
        <v>5</v>
      </c>
      <c r="AR3024">
        <v>0</v>
      </c>
      <c r="AS3024">
        <v>5</v>
      </c>
      <c r="AT3024">
        <v>4</v>
      </c>
    </row>
    <row r="3025" spans="1:46">
      <c r="A3025">
        <v>47787</v>
      </c>
      <c r="B3025" t="s">
        <v>17118</v>
      </c>
      <c r="C3025" t="s">
        <v>17119</v>
      </c>
      <c r="E3025" t="s">
        <v>17120</v>
      </c>
      <c r="F3025" t="s">
        <v>2945</v>
      </c>
      <c r="G3025" t="s">
        <v>2941</v>
      </c>
      <c r="H3025" t="s">
        <v>3942</v>
      </c>
      <c r="I3025" t="s">
        <v>4065</v>
      </c>
      <c r="J3025" t="s">
        <v>3962</v>
      </c>
      <c r="K3025" t="s">
        <v>519</v>
      </c>
      <c r="M3025" t="s">
        <v>2287</v>
      </c>
      <c r="N3025" t="s">
        <v>571</v>
      </c>
      <c r="O3025" t="s">
        <v>2942</v>
      </c>
      <c r="P3025" t="s">
        <v>654</v>
      </c>
      <c r="Q3025" t="s">
        <v>2943</v>
      </c>
      <c r="R3025" t="s">
        <v>2944</v>
      </c>
      <c r="S3025" t="s">
        <v>2945</v>
      </c>
      <c r="T3025" t="s">
        <v>2448</v>
      </c>
      <c r="U3025">
        <v>320200</v>
      </c>
      <c r="V3025" t="s">
        <v>17121</v>
      </c>
      <c r="W3025" t="s">
        <v>2999</v>
      </c>
      <c r="X3025" t="s">
        <v>17122</v>
      </c>
      <c r="Y3025" t="s">
        <v>17123</v>
      </c>
      <c r="Z3025" t="s">
        <v>3033</v>
      </c>
      <c r="AA3025" t="s">
        <v>11419</v>
      </c>
      <c r="AB3025" t="s">
        <v>17124</v>
      </c>
      <c r="AE3025">
        <v>-43.517825109999997</v>
      </c>
      <c r="AF3025">
        <v>172.5780877</v>
      </c>
      <c r="AG3025">
        <v>29</v>
      </c>
      <c r="AH3025">
        <v>0</v>
      </c>
      <c r="AI3025">
        <v>0</v>
      </c>
      <c r="AJ3025">
        <v>0</v>
      </c>
      <c r="AK3025">
        <v>3</v>
      </c>
      <c r="AL3025">
        <v>7</v>
      </c>
      <c r="AM3025">
        <v>11</v>
      </c>
      <c r="AN3025">
        <v>0</v>
      </c>
      <c r="AO3025">
        <v>21</v>
      </c>
      <c r="AP3025">
        <v>5</v>
      </c>
      <c r="AQ3025">
        <v>1</v>
      </c>
      <c r="AR3025">
        <v>0</v>
      </c>
      <c r="AS3025">
        <v>13</v>
      </c>
      <c r="AT3025">
        <v>6</v>
      </c>
    </row>
    <row r="3026" spans="1:46">
      <c r="A3026">
        <v>47788</v>
      </c>
      <c r="B3026" t="s">
        <v>17125</v>
      </c>
      <c r="E3026" t="s">
        <v>17126</v>
      </c>
      <c r="F3026" t="s">
        <v>8971</v>
      </c>
      <c r="G3026" t="s">
        <v>1296</v>
      </c>
      <c r="H3026" t="s">
        <v>3942</v>
      </c>
      <c r="J3026" t="s">
        <v>3962</v>
      </c>
      <c r="K3026" t="s">
        <v>519</v>
      </c>
      <c r="M3026" t="s">
        <v>1297</v>
      </c>
      <c r="N3026" t="s">
        <v>571</v>
      </c>
      <c r="O3026" t="s">
        <v>1351</v>
      </c>
      <c r="P3026" t="s">
        <v>572</v>
      </c>
      <c r="Q3026" t="s">
        <v>1299</v>
      </c>
      <c r="R3026" t="s">
        <v>1300</v>
      </c>
      <c r="S3026" t="s">
        <v>1300</v>
      </c>
      <c r="T3026" t="s">
        <v>1235</v>
      </c>
      <c r="U3026">
        <v>173201</v>
      </c>
      <c r="V3026" t="s">
        <v>17127</v>
      </c>
      <c r="W3026" t="s">
        <v>8358</v>
      </c>
      <c r="X3026" t="s">
        <v>17128</v>
      </c>
      <c r="Y3026" t="s">
        <v>17126</v>
      </c>
      <c r="AA3026" t="s">
        <v>17129</v>
      </c>
      <c r="AB3026" t="s">
        <v>17130</v>
      </c>
      <c r="AE3026">
        <v>-37.803296979999999</v>
      </c>
      <c r="AF3026">
        <v>175.34638262999999</v>
      </c>
      <c r="AG3026">
        <v>95</v>
      </c>
      <c r="AH3026">
        <v>25</v>
      </c>
      <c r="AI3026">
        <v>2</v>
      </c>
      <c r="AJ3026">
        <v>19</v>
      </c>
      <c r="AK3026">
        <v>31</v>
      </c>
      <c r="AL3026">
        <v>18</v>
      </c>
      <c r="AM3026">
        <v>21</v>
      </c>
      <c r="AN3026">
        <v>1</v>
      </c>
      <c r="AO3026">
        <v>92</v>
      </c>
      <c r="AP3026">
        <v>70</v>
      </c>
      <c r="AQ3026">
        <v>20</v>
      </c>
      <c r="AR3026">
        <v>10</v>
      </c>
      <c r="AS3026">
        <v>5</v>
      </c>
      <c r="AT3026">
        <v>18</v>
      </c>
    </row>
    <row r="3027" spans="1:46">
      <c r="A3027">
        <v>47789</v>
      </c>
      <c r="B3027" t="s">
        <v>17131</v>
      </c>
      <c r="C3027" t="s">
        <v>16598</v>
      </c>
      <c r="D3027" t="s">
        <v>17132</v>
      </c>
      <c r="E3027" t="s">
        <v>17133</v>
      </c>
      <c r="F3027" t="s">
        <v>872</v>
      </c>
      <c r="G3027" t="s">
        <v>652</v>
      </c>
      <c r="H3027" t="s">
        <v>3942</v>
      </c>
      <c r="J3027" t="s">
        <v>3962</v>
      </c>
      <c r="K3027" t="s">
        <v>519</v>
      </c>
      <c r="M3027" t="s">
        <v>520</v>
      </c>
      <c r="N3027" t="s">
        <v>557</v>
      </c>
      <c r="O3027" t="s">
        <v>718</v>
      </c>
      <c r="P3027" t="s">
        <v>654</v>
      </c>
      <c r="Q3027" t="s">
        <v>638</v>
      </c>
      <c r="R3027" t="s">
        <v>639</v>
      </c>
      <c r="S3027" t="s">
        <v>719</v>
      </c>
      <c r="T3027" t="s">
        <v>709</v>
      </c>
      <c r="U3027">
        <v>131000</v>
      </c>
      <c r="V3027" t="s">
        <v>4114</v>
      </c>
      <c r="W3027" t="s">
        <v>721</v>
      </c>
      <c r="X3027" t="s">
        <v>16597</v>
      </c>
      <c r="Y3027" t="s">
        <v>17134</v>
      </c>
      <c r="Z3027" t="s">
        <v>4012</v>
      </c>
      <c r="AA3027" t="s">
        <v>13850</v>
      </c>
      <c r="AB3027" t="s">
        <v>16598</v>
      </c>
      <c r="AE3027">
        <v>-36.90979428</v>
      </c>
      <c r="AF3027">
        <v>174.66279949</v>
      </c>
      <c r="AG3027">
        <v>90</v>
      </c>
      <c r="AH3027">
        <v>22</v>
      </c>
      <c r="AI3027">
        <v>1</v>
      </c>
      <c r="AJ3027">
        <v>18</v>
      </c>
      <c r="AK3027">
        <v>16</v>
      </c>
      <c r="AL3027">
        <v>25</v>
      </c>
      <c r="AM3027">
        <v>22</v>
      </c>
      <c r="AN3027">
        <v>1</v>
      </c>
      <c r="AO3027">
        <v>83</v>
      </c>
      <c r="AP3027">
        <v>12</v>
      </c>
      <c r="AQ3027">
        <v>10</v>
      </c>
      <c r="AR3027">
        <v>21</v>
      </c>
      <c r="AS3027">
        <v>56</v>
      </c>
      <c r="AT3027">
        <v>5</v>
      </c>
    </row>
    <row r="3028" spans="1:46">
      <c r="A3028">
        <v>47793</v>
      </c>
      <c r="B3028" t="s">
        <v>17135</v>
      </c>
      <c r="C3028" t="s">
        <v>17136</v>
      </c>
      <c r="D3028" t="s">
        <v>17137</v>
      </c>
      <c r="E3028" t="s">
        <v>17138</v>
      </c>
      <c r="G3028" t="s">
        <v>1513</v>
      </c>
      <c r="H3028" t="s">
        <v>3942</v>
      </c>
      <c r="J3028" t="s">
        <v>3962</v>
      </c>
      <c r="K3028" t="s">
        <v>519</v>
      </c>
      <c r="M3028" t="s">
        <v>1297</v>
      </c>
      <c r="N3028" t="s">
        <v>557</v>
      </c>
      <c r="O3028" t="s">
        <v>1470</v>
      </c>
      <c r="P3028" t="s">
        <v>523</v>
      </c>
      <c r="Q3028" t="s">
        <v>1471</v>
      </c>
      <c r="R3028" t="s">
        <v>1472</v>
      </c>
      <c r="S3028" t="s">
        <v>1473</v>
      </c>
      <c r="T3028" t="s">
        <v>1474</v>
      </c>
      <c r="U3028">
        <v>202200</v>
      </c>
      <c r="V3028" t="s">
        <v>1513</v>
      </c>
      <c r="W3028" t="s">
        <v>1514</v>
      </c>
      <c r="X3028" t="s">
        <v>17139</v>
      </c>
      <c r="Y3028" t="s">
        <v>17140</v>
      </c>
      <c r="AA3028" t="s">
        <v>11667</v>
      </c>
      <c r="AB3028" t="s">
        <v>17141</v>
      </c>
      <c r="AE3028">
        <v>-37.982192640000001</v>
      </c>
      <c r="AF3028">
        <v>176.82674663</v>
      </c>
      <c r="AG3028">
        <v>32</v>
      </c>
      <c r="AH3028">
        <v>10</v>
      </c>
      <c r="AI3028">
        <v>3</v>
      </c>
      <c r="AJ3028">
        <v>8</v>
      </c>
      <c r="AK3028">
        <v>11</v>
      </c>
      <c r="AL3028">
        <v>10</v>
      </c>
      <c r="AM3028">
        <v>12</v>
      </c>
      <c r="AN3028">
        <v>2</v>
      </c>
      <c r="AO3028">
        <v>46</v>
      </c>
      <c r="AP3028">
        <v>35</v>
      </c>
      <c r="AQ3028">
        <v>20</v>
      </c>
      <c r="AR3028">
        <v>2</v>
      </c>
      <c r="AS3028">
        <v>0</v>
      </c>
      <c r="AT3028">
        <v>2</v>
      </c>
    </row>
    <row r="3029" spans="1:46">
      <c r="A3029">
        <v>47794</v>
      </c>
      <c r="B3029" t="s">
        <v>17142</v>
      </c>
      <c r="C3029" t="s">
        <v>17143</v>
      </c>
      <c r="E3029" t="s">
        <v>17144</v>
      </c>
      <c r="F3029" t="s">
        <v>10612</v>
      </c>
      <c r="G3029" t="s">
        <v>1598</v>
      </c>
      <c r="H3029" t="s">
        <v>3942</v>
      </c>
      <c r="J3029" t="s">
        <v>3962</v>
      </c>
      <c r="K3029" t="s">
        <v>519</v>
      </c>
      <c r="M3029" t="s">
        <v>1297</v>
      </c>
      <c r="N3029" t="s">
        <v>571</v>
      </c>
      <c r="O3029" t="s">
        <v>1698</v>
      </c>
      <c r="P3029" t="s">
        <v>654</v>
      </c>
      <c r="Q3029" t="s">
        <v>1471</v>
      </c>
      <c r="R3029" t="s">
        <v>1472</v>
      </c>
      <c r="S3029" t="s">
        <v>1598</v>
      </c>
      <c r="T3029" t="s">
        <v>1474</v>
      </c>
      <c r="U3029">
        <v>193600</v>
      </c>
      <c r="V3029" t="s">
        <v>1708</v>
      </c>
      <c r="W3029" t="s">
        <v>1709</v>
      </c>
      <c r="X3029" t="s">
        <v>17145</v>
      </c>
      <c r="Y3029" t="s">
        <v>17144</v>
      </c>
      <c r="Z3029" t="s">
        <v>10612</v>
      </c>
      <c r="AA3029" t="s">
        <v>8404</v>
      </c>
      <c r="AC3029">
        <v>99036</v>
      </c>
      <c r="AD3029" t="s">
        <v>1710</v>
      </c>
      <c r="AE3029">
        <v>-37.695122699999999</v>
      </c>
      <c r="AF3029">
        <v>176.13659380000001</v>
      </c>
      <c r="AG3029">
        <v>54</v>
      </c>
      <c r="AH3029">
        <v>17</v>
      </c>
      <c r="AI3029">
        <v>0</v>
      </c>
      <c r="AJ3029">
        <v>22</v>
      </c>
      <c r="AK3029">
        <v>9</v>
      </c>
      <c r="AL3029">
        <v>11</v>
      </c>
      <c r="AM3029">
        <v>15</v>
      </c>
      <c r="AN3029">
        <v>2</v>
      </c>
      <c r="AO3029">
        <v>59</v>
      </c>
      <c r="AP3029">
        <v>55</v>
      </c>
      <c r="AQ3029">
        <v>11</v>
      </c>
      <c r="AR3029">
        <v>2</v>
      </c>
      <c r="AS3029">
        <v>2</v>
      </c>
      <c r="AT3029">
        <v>1</v>
      </c>
    </row>
    <row r="3030" spans="1:46">
      <c r="A3030">
        <v>47795</v>
      </c>
      <c r="B3030" t="s">
        <v>17146</v>
      </c>
      <c r="C3030" t="s">
        <v>17147</v>
      </c>
      <c r="D3030" t="s">
        <v>17148</v>
      </c>
      <c r="E3030" t="s">
        <v>17149</v>
      </c>
      <c r="F3030" t="s">
        <v>2411</v>
      </c>
      <c r="G3030" t="s">
        <v>2371</v>
      </c>
      <c r="H3030" t="s">
        <v>3942</v>
      </c>
      <c r="J3030" t="s">
        <v>518</v>
      </c>
      <c r="K3030" t="s">
        <v>519</v>
      </c>
      <c r="M3030" t="s">
        <v>2287</v>
      </c>
      <c r="N3030" t="s">
        <v>571</v>
      </c>
      <c r="O3030" t="s">
        <v>2372</v>
      </c>
      <c r="P3030" t="s">
        <v>584</v>
      </c>
      <c r="Q3030" t="s">
        <v>2319</v>
      </c>
      <c r="R3030" t="s">
        <v>2289</v>
      </c>
      <c r="S3030" t="s">
        <v>2373</v>
      </c>
      <c r="T3030" t="s">
        <v>2085</v>
      </c>
      <c r="U3030">
        <v>242100</v>
      </c>
      <c r="V3030" t="s">
        <v>2411</v>
      </c>
      <c r="W3030" t="s">
        <v>1652</v>
      </c>
      <c r="X3030" t="s">
        <v>10434</v>
      </c>
      <c r="Y3030" t="s">
        <v>3944</v>
      </c>
      <c r="Z3030" t="s">
        <v>3945</v>
      </c>
      <c r="AA3030" t="s">
        <v>3946</v>
      </c>
      <c r="AE3030">
        <v>-41.110277920000001</v>
      </c>
      <c r="AF3030">
        <v>175.08187222000001</v>
      </c>
      <c r="AG3030">
        <v>73</v>
      </c>
      <c r="AH3030">
        <v>14</v>
      </c>
      <c r="AI3030">
        <v>3</v>
      </c>
      <c r="AJ3030">
        <v>14</v>
      </c>
      <c r="AK3030">
        <v>18</v>
      </c>
      <c r="AL3030">
        <v>26</v>
      </c>
      <c r="AM3030">
        <v>25</v>
      </c>
      <c r="AN3030">
        <v>0</v>
      </c>
      <c r="AO3030">
        <v>86</v>
      </c>
      <c r="AP3030">
        <v>75</v>
      </c>
      <c r="AQ3030">
        <v>16</v>
      </c>
      <c r="AR3030">
        <v>7</v>
      </c>
      <c r="AS3030">
        <v>16</v>
      </c>
      <c r="AT3030">
        <v>0</v>
      </c>
    </row>
    <row r="3031" spans="1:46">
      <c r="A3031">
        <v>47796</v>
      </c>
      <c r="B3031" t="s">
        <v>17150</v>
      </c>
      <c r="C3031" t="s">
        <v>17151</v>
      </c>
      <c r="D3031" t="s">
        <v>17152</v>
      </c>
      <c r="E3031" t="s">
        <v>17153</v>
      </c>
      <c r="F3031" t="s">
        <v>17154</v>
      </c>
      <c r="G3031" t="s">
        <v>1757</v>
      </c>
      <c r="H3031" t="s">
        <v>3942</v>
      </c>
      <c r="J3031" t="s">
        <v>3962</v>
      </c>
      <c r="K3031" t="s">
        <v>519</v>
      </c>
      <c r="M3031" t="s">
        <v>1297</v>
      </c>
      <c r="N3031" t="s">
        <v>571</v>
      </c>
      <c r="O3031" t="s">
        <v>1758</v>
      </c>
      <c r="P3031" t="s">
        <v>584</v>
      </c>
      <c r="Q3031" t="s">
        <v>1759</v>
      </c>
      <c r="R3031" t="s">
        <v>1760</v>
      </c>
      <c r="S3031" t="s">
        <v>1757</v>
      </c>
      <c r="T3031" t="s">
        <v>1485</v>
      </c>
      <c r="U3031">
        <v>217201</v>
      </c>
      <c r="V3031" t="s">
        <v>17154</v>
      </c>
      <c r="W3031" t="s">
        <v>1762</v>
      </c>
      <c r="X3031" t="s">
        <v>17155</v>
      </c>
      <c r="Y3031" t="s">
        <v>17156</v>
      </c>
      <c r="AA3031" t="s">
        <v>7489</v>
      </c>
      <c r="AB3031" t="s">
        <v>17157</v>
      </c>
      <c r="AE3031">
        <v>-39.081225539999998</v>
      </c>
      <c r="AF3031">
        <v>174.0349985</v>
      </c>
      <c r="AG3031">
        <v>83</v>
      </c>
      <c r="AH3031">
        <v>25</v>
      </c>
      <c r="AI3031">
        <v>2</v>
      </c>
      <c r="AJ3031">
        <v>14</v>
      </c>
      <c r="AK3031">
        <v>25</v>
      </c>
      <c r="AL3031">
        <v>17</v>
      </c>
      <c r="AM3031">
        <v>19</v>
      </c>
      <c r="AN3031">
        <v>0</v>
      </c>
      <c r="AO3031">
        <v>77</v>
      </c>
      <c r="AP3031">
        <v>65</v>
      </c>
      <c r="AQ3031">
        <v>7</v>
      </c>
      <c r="AR3031">
        <v>1</v>
      </c>
      <c r="AS3031">
        <v>13</v>
      </c>
      <c r="AT3031">
        <v>5</v>
      </c>
    </row>
    <row r="3032" spans="1:46">
      <c r="A3032">
        <v>47797</v>
      </c>
      <c r="B3032" t="s">
        <v>17158</v>
      </c>
      <c r="C3032" t="s">
        <v>17159</v>
      </c>
      <c r="D3032" t="s">
        <v>17160</v>
      </c>
      <c r="E3032" t="s">
        <v>17161</v>
      </c>
      <c r="G3032" t="s">
        <v>11870</v>
      </c>
      <c r="H3032" t="s">
        <v>3942</v>
      </c>
      <c r="J3032" t="s">
        <v>3962</v>
      </c>
      <c r="K3032" t="s">
        <v>519</v>
      </c>
      <c r="M3032" t="s">
        <v>2287</v>
      </c>
      <c r="N3032" t="s">
        <v>571</v>
      </c>
      <c r="O3032" t="s">
        <v>3208</v>
      </c>
      <c r="P3032" t="s">
        <v>523</v>
      </c>
      <c r="Q3032" t="s">
        <v>2943</v>
      </c>
      <c r="R3032" t="s">
        <v>2944</v>
      </c>
      <c r="S3032" t="s">
        <v>3179</v>
      </c>
      <c r="T3032" t="s">
        <v>2448</v>
      </c>
      <c r="U3032">
        <v>335701</v>
      </c>
      <c r="V3032" t="s">
        <v>11867</v>
      </c>
      <c r="W3032" t="s">
        <v>3664</v>
      </c>
      <c r="X3032" t="s">
        <v>17162</v>
      </c>
      <c r="Y3032" t="s">
        <v>17163</v>
      </c>
      <c r="AA3032" t="s">
        <v>17164</v>
      </c>
      <c r="AB3032" t="s">
        <v>17159</v>
      </c>
      <c r="AC3032">
        <v>99113</v>
      </c>
      <c r="AD3032" t="s">
        <v>3665</v>
      </c>
      <c r="AE3032">
        <v>-43.57897088</v>
      </c>
      <c r="AF3032">
        <v>172.51107983</v>
      </c>
      <c r="AG3032">
        <v>60</v>
      </c>
      <c r="AH3032">
        <v>12</v>
      </c>
      <c r="AI3032">
        <v>2</v>
      </c>
      <c r="AJ3032">
        <v>14</v>
      </c>
      <c r="AK3032">
        <v>17</v>
      </c>
      <c r="AL3032">
        <v>19</v>
      </c>
      <c r="AM3032">
        <v>24</v>
      </c>
      <c r="AN3032">
        <v>0</v>
      </c>
      <c r="AO3032">
        <v>76</v>
      </c>
      <c r="AP3032">
        <v>70</v>
      </c>
      <c r="AQ3032">
        <v>7</v>
      </c>
      <c r="AR3032">
        <v>1</v>
      </c>
      <c r="AS3032">
        <v>5</v>
      </c>
      <c r="AT3032">
        <v>0</v>
      </c>
    </row>
    <row r="3033" spans="1:46">
      <c r="A3033">
        <v>47798</v>
      </c>
      <c r="B3033" t="s">
        <v>17165</v>
      </c>
      <c r="C3033" t="s">
        <v>17166</v>
      </c>
      <c r="D3033" t="s">
        <v>17167</v>
      </c>
      <c r="E3033" t="s">
        <v>17168</v>
      </c>
      <c r="G3033" t="s">
        <v>1840</v>
      </c>
      <c r="H3033" t="s">
        <v>3942</v>
      </c>
      <c r="J3033" t="s">
        <v>3962</v>
      </c>
      <c r="K3033" t="s">
        <v>519</v>
      </c>
      <c r="M3033" t="s">
        <v>1297</v>
      </c>
      <c r="N3033" t="s">
        <v>571</v>
      </c>
      <c r="O3033" t="s">
        <v>1841</v>
      </c>
      <c r="P3033" t="s">
        <v>523</v>
      </c>
      <c r="Q3033" t="s">
        <v>1759</v>
      </c>
      <c r="R3033" t="s">
        <v>1760</v>
      </c>
      <c r="S3033" t="s">
        <v>1842</v>
      </c>
      <c r="T3033" t="s">
        <v>1485</v>
      </c>
      <c r="U3033">
        <v>220301</v>
      </c>
      <c r="V3033" t="s">
        <v>1877</v>
      </c>
      <c r="W3033" t="s">
        <v>1844</v>
      </c>
      <c r="X3033" t="s">
        <v>17169</v>
      </c>
      <c r="Y3033" t="s">
        <v>17168</v>
      </c>
      <c r="AA3033" t="s">
        <v>17170</v>
      </c>
      <c r="AB3033" t="s">
        <v>17166</v>
      </c>
      <c r="AE3033">
        <v>-39.336521550000001</v>
      </c>
      <c r="AF3033">
        <v>174.28331969999999</v>
      </c>
      <c r="AG3033">
        <v>75</v>
      </c>
      <c r="AH3033">
        <v>16</v>
      </c>
      <c r="AI3033">
        <v>1</v>
      </c>
      <c r="AJ3033">
        <v>22</v>
      </c>
      <c r="AK3033">
        <v>17</v>
      </c>
      <c r="AL3033">
        <v>27</v>
      </c>
      <c r="AM3033">
        <v>23</v>
      </c>
      <c r="AN3033">
        <v>0</v>
      </c>
      <c r="AO3033">
        <v>90</v>
      </c>
      <c r="AP3033">
        <v>81</v>
      </c>
      <c r="AQ3033">
        <v>10</v>
      </c>
      <c r="AR3033">
        <v>0</v>
      </c>
      <c r="AS3033">
        <v>2</v>
      </c>
      <c r="AT3033">
        <v>9</v>
      </c>
    </row>
    <row r="3034" spans="1:46">
      <c r="A3034">
        <v>47799</v>
      </c>
      <c r="B3034" t="s">
        <v>17171</v>
      </c>
      <c r="C3034" t="s">
        <v>11499</v>
      </c>
      <c r="D3034" t="s">
        <v>17172</v>
      </c>
      <c r="E3034" t="s">
        <v>17173</v>
      </c>
      <c r="G3034" t="s">
        <v>2279</v>
      </c>
      <c r="H3034" t="s">
        <v>3942</v>
      </c>
      <c r="J3034" t="s">
        <v>3962</v>
      </c>
      <c r="K3034" t="s">
        <v>519</v>
      </c>
      <c r="M3034" t="s">
        <v>1297</v>
      </c>
      <c r="N3034" t="s">
        <v>557</v>
      </c>
      <c r="O3034" t="s">
        <v>2268</v>
      </c>
      <c r="P3034" t="s">
        <v>523</v>
      </c>
      <c r="Q3034" t="s">
        <v>2118</v>
      </c>
      <c r="R3034" t="s">
        <v>2084</v>
      </c>
      <c r="S3034" t="s">
        <v>2269</v>
      </c>
      <c r="T3034" t="s">
        <v>2085</v>
      </c>
      <c r="U3034">
        <v>215700</v>
      </c>
      <c r="V3034" t="s">
        <v>2280</v>
      </c>
      <c r="W3034" t="s">
        <v>2271</v>
      </c>
      <c r="X3034" t="s">
        <v>8934</v>
      </c>
      <c r="Y3034" t="s">
        <v>8935</v>
      </c>
      <c r="Z3034" t="s">
        <v>2267</v>
      </c>
      <c r="AA3034" t="s">
        <v>8936</v>
      </c>
      <c r="AB3034" t="s">
        <v>8937</v>
      </c>
      <c r="AE3034">
        <v>-39.928492429999999</v>
      </c>
      <c r="AF3034">
        <v>176.59572155000001</v>
      </c>
      <c r="AG3034">
        <v>30</v>
      </c>
      <c r="AH3034">
        <v>10</v>
      </c>
      <c r="AI3034">
        <v>1</v>
      </c>
      <c r="AJ3034">
        <v>2</v>
      </c>
      <c r="AK3034">
        <v>11</v>
      </c>
      <c r="AL3034">
        <v>10</v>
      </c>
      <c r="AM3034">
        <v>6</v>
      </c>
      <c r="AN3034">
        <v>0</v>
      </c>
      <c r="AO3034">
        <v>30</v>
      </c>
      <c r="AP3034">
        <v>21</v>
      </c>
      <c r="AQ3034">
        <v>16</v>
      </c>
      <c r="AR3034">
        <v>4</v>
      </c>
      <c r="AS3034">
        <v>0</v>
      </c>
      <c r="AT3034">
        <v>0</v>
      </c>
    </row>
    <row r="3035" spans="1:46">
      <c r="A3035">
        <v>47801</v>
      </c>
      <c r="B3035" t="s">
        <v>17174</v>
      </c>
      <c r="C3035" t="s">
        <v>17175</v>
      </c>
      <c r="E3035" t="s">
        <v>17176</v>
      </c>
      <c r="F3035" t="s">
        <v>8375</v>
      </c>
      <c r="G3035" t="s">
        <v>1598</v>
      </c>
      <c r="H3035" t="s">
        <v>3942</v>
      </c>
      <c r="J3035" t="s">
        <v>3962</v>
      </c>
      <c r="K3035" t="s">
        <v>519</v>
      </c>
      <c r="M3035" t="s">
        <v>1297</v>
      </c>
      <c r="N3035" t="s">
        <v>571</v>
      </c>
      <c r="O3035" t="s">
        <v>1698</v>
      </c>
      <c r="P3035" t="s">
        <v>654</v>
      </c>
      <c r="Q3035" t="s">
        <v>1471</v>
      </c>
      <c r="R3035" t="s">
        <v>1472</v>
      </c>
      <c r="S3035" t="s">
        <v>1598</v>
      </c>
      <c r="T3035" t="s">
        <v>1474</v>
      </c>
      <c r="U3035">
        <v>193700</v>
      </c>
      <c r="V3035" t="s">
        <v>10037</v>
      </c>
      <c r="W3035" t="s">
        <v>1724</v>
      </c>
      <c r="X3035" t="s">
        <v>17177</v>
      </c>
      <c r="Y3035" t="s">
        <v>17178</v>
      </c>
      <c r="Z3035" t="s">
        <v>3873</v>
      </c>
      <c r="AA3035" t="s">
        <v>8884</v>
      </c>
      <c r="AB3035" t="s">
        <v>17179</v>
      </c>
      <c r="AC3035">
        <v>99064</v>
      </c>
      <c r="AD3035" t="s">
        <v>1702</v>
      </c>
      <c r="AE3035">
        <v>-37.647064</v>
      </c>
      <c r="AF3035">
        <v>176.19106909999999</v>
      </c>
      <c r="AG3035">
        <v>60</v>
      </c>
      <c r="AH3035">
        <v>15</v>
      </c>
      <c r="AI3035">
        <v>2</v>
      </c>
      <c r="AJ3035">
        <v>18</v>
      </c>
      <c r="AK3035">
        <v>18</v>
      </c>
      <c r="AL3035">
        <v>13</v>
      </c>
      <c r="AM3035">
        <v>20</v>
      </c>
      <c r="AN3035">
        <v>0</v>
      </c>
      <c r="AO3035">
        <v>71</v>
      </c>
      <c r="AP3035">
        <v>66</v>
      </c>
      <c r="AQ3035">
        <v>12</v>
      </c>
      <c r="AR3035">
        <v>2</v>
      </c>
      <c r="AS3035">
        <v>6</v>
      </c>
      <c r="AT3035">
        <v>4</v>
      </c>
    </row>
    <row r="3036" spans="1:46">
      <c r="A3036">
        <v>47802</v>
      </c>
      <c r="B3036" t="s">
        <v>17180</v>
      </c>
      <c r="C3036" t="s">
        <v>17181</v>
      </c>
      <c r="E3036" t="s">
        <v>17182</v>
      </c>
      <c r="F3036" t="s">
        <v>1312</v>
      </c>
      <c r="G3036" t="s">
        <v>1296</v>
      </c>
      <c r="H3036" t="s">
        <v>3942</v>
      </c>
      <c r="J3036" t="s">
        <v>3962</v>
      </c>
      <c r="K3036" t="s">
        <v>519</v>
      </c>
      <c r="M3036" t="s">
        <v>1297</v>
      </c>
      <c r="N3036" t="s">
        <v>571</v>
      </c>
      <c r="O3036" t="s">
        <v>1298</v>
      </c>
      <c r="P3036" t="s">
        <v>654</v>
      </c>
      <c r="Q3036" t="s">
        <v>1299</v>
      </c>
      <c r="R3036" t="s">
        <v>1300</v>
      </c>
      <c r="S3036" t="s">
        <v>1312</v>
      </c>
      <c r="T3036" t="s">
        <v>1235</v>
      </c>
      <c r="U3036">
        <v>179600</v>
      </c>
      <c r="V3036" t="s">
        <v>8810</v>
      </c>
      <c r="W3036" t="s">
        <v>1314</v>
      </c>
      <c r="X3036" t="s">
        <v>17183</v>
      </c>
      <c r="Y3036" t="s">
        <v>4107</v>
      </c>
      <c r="AA3036" t="s">
        <v>3982</v>
      </c>
      <c r="AB3036" t="s">
        <v>17181</v>
      </c>
      <c r="AE3036">
        <v>-37.786906199999997</v>
      </c>
      <c r="AF3036">
        <v>175.29885189999999</v>
      </c>
      <c r="AG3036">
        <v>110</v>
      </c>
      <c r="AH3036">
        <v>25</v>
      </c>
      <c r="AI3036">
        <v>6</v>
      </c>
      <c r="AJ3036">
        <v>14</v>
      </c>
      <c r="AK3036">
        <v>24</v>
      </c>
      <c r="AL3036">
        <v>31</v>
      </c>
      <c r="AM3036">
        <v>26</v>
      </c>
      <c r="AN3036">
        <v>1</v>
      </c>
      <c r="AO3036">
        <v>102</v>
      </c>
      <c r="AP3036">
        <v>34</v>
      </c>
      <c r="AQ3036">
        <v>31</v>
      </c>
      <c r="AR3036">
        <v>13</v>
      </c>
      <c r="AS3036">
        <v>47</v>
      </c>
      <c r="AT3036">
        <v>10</v>
      </c>
    </row>
    <row r="3037" spans="1:46">
      <c r="A3037">
        <v>47803</v>
      </c>
      <c r="B3037" t="s">
        <v>17184</v>
      </c>
      <c r="E3037" t="s">
        <v>17185</v>
      </c>
      <c r="F3037" t="s">
        <v>14170</v>
      </c>
      <c r="G3037" t="s">
        <v>652</v>
      </c>
      <c r="H3037" t="s">
        <v>3942</v>
      </c>
      <c r="J3037" t="s">
        <v>3962</v>
      </c>
      <c r="K3037" t="s">
        <v>519</v>
      </c>
      <c r="M3037" t="s">
        <v>520</v>
      </c>
      <c r="N3037" t="s">
        <v>521</v>
      </c>
      <c r="O3037" t="s">
        <v>1216</v>
      </c>
      <c r="P3037" t="s">
        <v>654</v>
      </c>
      <c r="Q3037" t="s">
        <v>638</v>
      </c>
      <c r="R3037" t="s">
        <v>729</v>
      </c>
      <c r="S3037" t="s">
        <v>1036</v>
      </c>
      <c r="T3037" t="s">
        <v>709</v>
      </c>
      <c r="U3037">
        <v>158700</v>
      </c>
      <c r="V3037" t="s">
        <v>1287</v>
      </c>
      <c r="W3037" t="s">
        <v>1219</v>
      </c>
      <c r="X3037" t="s">
        <v>16225</v>
      </c>
      <c r="Y3037" t="s">
        <v>4773</v>
      </c>
      <c r="Z3037" t="s">
        <v>879</v>
      </c>
      <c r="AA3037" t="s">
        <v>4774</v>
      </c>
      <c r="AB3037" t="s">
        <v>4775</v>
      </c>
      <c r="AE3037">
        <v>-37.027909200000003</v>
      </c>
      <c r="AF3037">
        <v>174.86087409999999</v>
      </c>
      <c r="AG3037">
        <v>45</v>
      </c>
      <c r="AH3037">
        <v>5</v>
      </c>
      <c r="AI3037">
        <v>0</v>
      </c>
      <c r="AJ3037">
        <v>5</v>
      </c>
      <c r="AK3037">
        <v>10</v>
      </c>
      <c r="AL3037">
        <v>10</v>
      </c>
      <c r="AM3037">
        <v>13</v>
      </c>
      <c r="AN3037">
        <v>2</v>
      </c>
      <c r="AO3037">
        <v>40</v>
      </c>
      <c r="AP3037">
        <v>0</v>
      </c>
      <c r="AQ3037">
        <v>8</v>
      </c>
      <c r="AR3037">
        <v>25</v>
      </c>
      <c r="AS3037">
        <v>9</v>
      </c>
      <c r="AT3037">
        <v>3</v>
      </c>
    </row>
    <row r="3038" spans="1:46">
      <c r="A3038">
        <v>47805</v>
      </c>
      <c r="B3038" t="s">
        <v>17186</v>
      </c>
      <c r="C3038" t="s">
        <v>17187</v>
      </c>
      <c r="D3038" t="s">
        <v>17188</v>
      </c>
      <c r="E3038" t="s">
        <v>17189</v>
      </c>
      <c r="G3038" t="s">
        <v>3248</v>
      </c>
      <c r="H3038" t="s">
        <v>3942</v>
      </c>
      <c r="I3038" t="s">
        <v>4065</v>
      </c>
      <c r="J3038" t="s">
        <v>3962</v>
      </c>
      <c r="K3038" t="s">
        <v>519</v>
      </c>
      <c r="M3038" t="s">
        <v>2287</v>
      </c>
      <c r="N3038" t="s">
        <v>571</v>
      </c>
      <c r="O3038" t="s">
        <v>3249</v>
      </c>
      <c r="P3038" t="s">
        <v>523</v>
      </c>
      <c r="Q3038" t="s">
        <v>2943</v>
      </c>
      <c r="R3038" t="s">
        <v>2944</v>
      </c>
      <c r="S3038" t="s">
        <v>3250</v>
      </c>
      <c r="T3038" t="s">
        <v>2448</v>
      </c>
      <c r="U3038">
        <v>338901</v>
      </c>
      <c r="V3038" t="s">
        <v>3248</v>
      </c>
      <c r="W3038" t="s">
        <v>3251</v>
      </c>
      <c r="X3038" t="s">
        <v>14018</v>
      </c>
      <c r="Y3038" t="s">
        <v>14017</v>
      </c>
      <c r="AA3038" t="s">
        <v>14019</v>
      </c>
      <c r="AB3038" t="s">
        <v>14020</v>
      </c>
      <c r="AE3038">
        <v>-44.096568400000002</v>
      </c>
      <c r="AF3038">
        <v>171.24458440000001</v>
      </c>
      <c r="AG3038">
        <v>20</v>
      </c>
      <c r="AH3038">
        <v>20</v>
      </c>
      <c r="AI3038">
        <v>2</v>
      </c>
      <c r="AJ3038">
        <v>6</v>
      </c>
      <c r="AK3038">
        <v>5</v>
      </c>
      <c r="AL3038">
        <v>0</v>
      </c>
      <c r="AM3038">
        <v>0</v>
      </c>
      <c r="AN3038">
        <v>0</v>
      </c>
      <c r="AO3038">
        <v>13</v>
      </c>
      <c r="AP3038">
        <v>9</v>
      </c>
      <c r="AQ3038">
        <v>0</v>
      </c>
      <c r="AR3038">
        <v>0</v>
      </c>
      <c r="AS3038">
        <v>1</v>
      </c>
      <c r="AT3038">
        <v>3</v>
      </c>
    </row>
    <row r="3039" spans="1:46">
      <c r="A3039">
        <v>47806</v>
      </c>
      <c r="B3039" t="s">
        <v>17190</v>
      </c>
      <c r="C3039" t="s">
        <v>17191</v>
      </c>
      <c r="D3039" t="s">
        <v>17192</v>
      </c>
      <c r="E3039" t="s">
        <v>17193</v>
      </c>
      <c r="G3039" t="s">
        <v>1318</v>
      </c>
      <c r="H3039" t="s">
        <v>3942</v>
      </c>
      <c r="J3039" t="s">
        <v>3962</v>
      </c>
      <c r="K3039" t="s">
        <v>519</v>
      </c>
      <c r="M3039" t="s">
        <v>1297</v>
      </c>
      <c r="N3039" t="s">
        <v>571</v>
      </c>
      <c r="O3039" t="s">
        <v>1319</v>
      </c>
      <c r="P3039" t="s">
        <v>1262</v>
      </c>
      <c r="Q3039" t="s">
        <v>1299</v>
      </c>
      <c r="R3039" t="s">
        <v>1300</v>
      </c>
      <c r="S3039" t="s">
        <v>1320</v>
      </c>
      <c r="T3039" t="s">
        <v>1235</v>
      </c>
      <c r="U3039">
        <v>183200</v>
      </c>
      <c r="V3039" t="s">
        <v>8500</v>
      </c>
      <c r="W3039" t="s">
        <v>1322</v>
      </c>
      <c r="X3039" t="s">
        <v>17194</v>
      </c>
      <c r="Y3039" t="s">
        <v>4107</v>
      </c>
      <c r="AA3039" t="s">
        <v>3982</v>
      </c>
      <c r="AB3039" t="s">
        <v>17195</v>
      </c>
      <c r="AC3039">
        <v>99034</v>
      </c>
      <c r="AD3039" t="s">
        <v>8503</v>
      </c>
      <c r="AE3039">
        <v>-37.890876059999997</v>
      </c>
      <c r="AF3039">
        <v>175.47103195</v>
      </c>
      <c r="AG3039">
        <v>90</v>
      </c>
      <c r="AH3039">
        <v>25</v>
      </c>
      <c r="AI3039">
        <v>6</v>
      </c>
      <c r="AJ3039">
        <v>18</v>
      </c>
      <c r="AK3039">
        <v>29</v>
      </c>
      <c r="AL3039">
        <v>21</v>
      </c>
      <c r="AM3039">
        <v>19</v>
      </c>
      <c r="AN3039">
        <v>2</v>
      </c>
      <c r="AO3039">
        <v>95</v>
      </c>
      <c r="AP3039">
        <v>67</v>
      </c>
      <c r="AQ3039">
        <v>17</v>
      </c>
      <c r="AR3039">
        <v>5</v>
      </c>
      <c r="AS3039">
        <v>26</v>
      </c>
      <c r="AT3039">
        <v>4</v>
      </c>
    </row>
    <row r="3040" spans="1:46">
      <c r="A3040">
        <v>47807</v>
      </c>
      <c r="B3040" t="s">
        <v>17196</v>
      </c>
      <c r="C3040" t="s">
        <v>17197</v>
      </c>
      <c r="D3040" t="s">
        <v>17198</v>
      </c>
      <c r="E3040" t="s">
        <v>17199</v>
      </c>
      <c r="G3040" t="s">
        <v>4509</v>
      </c>
      <c r="H3040" t="s">
        <v>3942</v>
      </c>
      <c r="J3040" t="s">
        <v>3962</v>
      </c>
      <c r="K3040" t="s">
        <v>519</v>
      </c>
      <c r="M3040" t="s">
        <v>520</v>
      </c>
      <c r="N3040" t="s">
        <v>571</v>
      </c>
      <c r="O3040" t="s">
        <v>653</v>
      </c>
      <c r="P3040" t="s">
        <v>584</v>
      </c>
      <c r="Q3040" t="s">
        <v>638</v>
      </c>
      <c r="R3040" t="s">
        <v>639</v>
      </c>
      <c r="S3040" t="s">
        <v>668</v>
      </c>
      <c r="T3040" t="s">
        <v>527</v>
      </c>
      <c r="U3040">
        <v>113300</v>
      </c>
      <c r="V3040" t="s">
        <v>6082</v>
      </c>
      <c r="W3040" t="s">
        <v>657</v>
      </c>
      <c r="X3040" t="s">
        <v>17200</v>
      </c>
      <c r="Y3040" t="s">
        <v>17199</v>
      </c>
      <c r="AA3040" t="s">
        <v>12386</v>
      </c>
      <c r="AE3040">
        <v>-36.612337259999997</v>
      </c>
      <c r="AF3040">
        <v>174.6663015</v>
      </c>
      <c r="AG3040">
        <v>120</v>
      </c>
      <c r="AH3040">
        <v>45</v>
      </c>
      <c r="AI3040">
        <v>3</v>
      </c>
      <c r="AJ3040">
        <v>23</v>
      </c>
      <c r="AK3040">
        <v>24</v>
      </c>
      <c r="AL3040">
        <v>26</v>
      </c>
      <c r="AM3040">
        <v>24</v>
      </c>
      <c r="AN3040">
        <v>0</v>
      </c>
      <c r="AO3040">
        <v>100</v>
      </c>
      <c r="AP3040">
        <v>67</v>
      </c>
      <c r="AQ3040">
        <v>8</v>
      </c>
      <c r="AR3040">
        <v>2</v>
      </c>
      <c r="AS3040">
        <v>24</v>
      </c>
      <c r="AT3040">
        <v>7</v>
      </c>
    </row>
    <row r="3041" spans="1:46">
      <c r="A3041">
        <v>47808</v>
      </c>
      <c r="B3041" t="s">
        <v>17201</v>
      </c>
      <c r="C3041" t="s">
        <v>17202</v>
      </c>
      <c r="E3041" t="s">
        <v>17203</v>
      </c>
      <c r="G3041" t="s">
        <v>2267</v>
      </c>
      <c r="H3041" t="s">
        <v>3942</v>
      </c>
      <c r="J3041" t="s">
        <v>3962</v>
      </c>
      <c r="K3041" t="s">
        <v>519</v>
      </c>
      <c r="M3041" t="s">
        <v>1297</v>
      </c>
      <c r="N3041" t="s">
        <v>571</v>
      </c>
      <c r="O3041" t="s">
        <v>2268</v>
      </c>
      <c r="P3041" t="s">
        <v>523</v>
      </c>
      <c r="Q3041" t="s">
        <v>2118</v>
      </c>
      <c r="R3041" t="s">
        <v>2084</v>
      </c>
      <c r="S3041" t="s">
        <v>2269</v>
      </c>
      <c r="T3041" t="s">
        <v>2085</v>
      </c>
      <c r="U3041">
        <v>215801</v>
      </c>
      <c r="V3041" t="s">
        <v>2270</v>
      </c>
      <c r="W3041" t="s">
        <v>2271</v>
      </c>
      <c r="X3041" t="s">
        <v>17204</v>
      </c>
      <c r="Y3041" t="s">
        <v>15118</v>
      </c>
      <c r="Z3041" t="s">
        <v>8698</v>
      </c>
      <c r="AA3041" t="s">
        <v>2204</v>
      </c>
      <c r="AB3041" t="s">
        <v>17202</v>
      </c>
      <c r="AC3041">
        <v>99160</v>
      </c>
      <c r="AD3041" t="s">
        <v>2272</v>
      </c>
      <c r="AE3041">
        <v>-39.9934735</v>
      </c>
      <c r="AF3041">
        <v>176.5458605</v>
      </c>
      <c r="AG3041">
        <v>100</v>
      </c>
      <c r="AH3041">
        <v>40</v>
      </c>
      <c r="AI3041">
        <v>8</v>
      </c>
      <c r="AJ3041">
        <v>21</v>
      </c>
      <c r="AK3041">
        <v>32</v>
      </c>
      <c r="AL3041">
        <v>20</v>
      </c>
      <c r="AM3041">
        <v>18</v>
      </c>
      <c r="AN3041">
        <v>0</v>
      </c>
      <c r="AO3041">
        <v>99</v>
      </c>
      <c r="AP3041">
        <v>91</v>
      </c>
      <c r="AQ3041">
        <v>17</v>
      </c>
      <c r="AR3041">
        <v>0</v>
      </c>
      <c r="AS3041">
        <v>7</v>
      </c>
      <c r="AT3041">
        <v>1</v>
      </c>
    </row>
    <row r="3042" spans="1:46">
      <c r="A3042">
        <v>47809</v>
      </c>
      <c r="B3042" t="s">
        <v>17205</v>
      </c>
      <c r="C3042" t="s">
        <v>17206</v>
      </c>
      <c r="E3042" t="s">
        <v>17207</v>
      </c>
      <c r="F3042" t="s">
        <v>1384</v>
      </c>
      <c r="G3042" t="s">
        <v>1296</v>
      </c>
      <c r="H3042" t="s">
        <v>3942</v>
      </c>
      <c r="J3042" t="s">
        <v>518</v>
      </c>
      <c r="K3042" t="s">
        <v>519</v>
      </c>
      <c r="M3042" t="s">
        <v>1297</v>
      </c>
      <c r="N3042" t="s">
        <v>571</v>
      </c>
      <c r="O3042" t="s">
        <v>1298</v>
      </c>
      <c r="P3042" t="s">
        <v>654</v>
      </c>
      <c r="Q3042" t="s">
        <v>1299</v>
      </c>
      <c r="R3042" t="s">
        <v>1300</v>
      </c>
      <c r="S3042" t="s">
        <v>1301</v>
      </c>
      <c r="T3042" t="s">
        <v>1235</v>
      </c>
      <c r="U3042">
        <v>177400</v>
      </c>
      <c r="V3042" t="s">
        <v>1385</v>
      </c>
      <c r="W3042" t="s">
        <v>1303</v>
      </c>
      <c r="X3042" t="s">
        <v>17208</v>
      </c>
      <c r="Y3042" t="s">
        <v>6369</v>
      </c>
      <c r="Z3042" t="s">
        <v>4555</v>
      </c>
      <c r="AA3042" t="s">
        <v>4556</v>
      </c>
      <c r="AE3042">
        <v>-37.7676406</v>
      </c>
      <c r="AF3042">
        <v>175.25980630000001</v>
      </c>
      <c r="AG3042">
        <v>42</v>
      </c>
      <c r="AH3042">
        <v>12</v>
      </c>
      <c r="AI3042">
        <v>0</v>
      </c>
      <c r="AJ3042">
        <v>6</v>
      </c>
      <c r="AK3042">
        <v>6</v>
      </c>
      <c r="AL3042">
        <v>6</v>
      </c>
      <c r="AM3042">
        <v>8</v>
      </c>
      <c r="AN3042">
        <v>0</v>
      </c>
      <c r="AO3042">
        <v>26</v>
      </c>
      <c r="AP3042">
        <v>10</v>
      </c>
      <c r="AQ3042">
        <v>7</v>
      </c>
      <c r="AR3042">
        <v>3</v>
      </c>
      <c r="AS3042">
        <v>11</v>
      </c>
      <c r="AT3042">
        <v>0</v>
      </c>
    </row>
    <row r="3043" spans="1:46">
      <c r="A3043">
        <v>47811</v>
      </c>
      <c r="B3043" t="s">
        <v>17209</v>
      </c>
      <c r="C3043" t="s">
        <v>17210</v>
      </c>
      <c r="D3043" t="s">
        <v>17211</v>
      </c>
      <c r="E3043" t="s">
        <v>17212</v>
      </c>
      <c r="F3043" t="s">
        <v>803</v>
      </c>
      <c r="G3043" t="s">
        <v>652</v>
      </c>
      <c r="H3043" t="s">
        <v>4716</v>
      </c>
      <c r="J3043" t="s">
        <v>3962</v>
      </c>
      <c r="K3043" t="s">
        <v>519</v>
      </c>
      <c r="M3043" t="s">
        <v>520</v>
      </c>
      <c r="N3043" t="s">
        <v>571</v>
      </c>
      <c r="O3043" t="s">
        <v>804</v>
      </c>
      <c r="P3043" t="s">
        <v>654</v>
      </c>
      <c r="Q3043" t="s">
        <v>638</v>
      </c>
      <c r="R3043" t="s">
        <v>708</v>
      </c>
      <c r="S3043" t="s">
        <v>805</v>
      </c>
      <c r="T3043" t="s">
        <v>709</v>
      </c>
      <c r="U3043">
        <v>143301</v>
      </c>
      <c r="V3043" t="s">
        <v>4232</v>
      </c>
      <c r="W3043" t="s">
        <v>807</v>
      </c>
      <c r="X3043" t="s">
        <v>17213</v>
      </c>
      <c r="Y3043" t="s">
        <v>17212</v>
      </c>
      <c r="Z3043" t="s">
        <v>803</v>
      </c>
      <c r="AA3043" t="s">
        <v>4768</v>
      </c>
      <c r="AE3043">
        <v>-36.891588650000003</v>
      </c>
      <c r="AF3043">
        <v>174.81122689</v>
      </c>
      <c r="AG3043">
        <v>80</v>
      </c>
      <c r="AH3043">
        <v>80</v>
      </c>
      <c r="AI3043">
        <v>10</v>
      </c>
      <c r="AJ3043">
        <v>20</v>
      </c>
      <c r="AK3043">
        <v>19</v>
      </c>
      <c r="AL3043">
        <v>13</v>
      </c>
      <c r="AM3043">
        <v>13</v>
      </c>
      <c r="AN3043">
        <v>0</v>
      </c>
      <c r="AO3043">
        <v>75</v>
      </c>
      <c r="AP3043">
        <v>0</v>
      </c>
      <c r="AQ3043">
        <v>0</v>
      </c>
      <c r="AR3043">
        <v>0</v>
      </c>
      <c r="AS3043">
        <v>75</v>
      </c>
      <c r="AT3043">
        <v>2</v>
      </c>
    </row>
    <row r="3044" spans="1:46">
      <c r="A3044">
        <v>47812</v>
      </c>
      <c r="B3044" t="s">
        <v>17214</v>
      </c>
      <c r="C3044" t="s">
        <v>17215</v>
      </c>
      <c r="D3044" t="s">
        <v>17216</v>
      </c>
      <c r="E3044" t="s">
        <v>17217</v>
      </c>
      <c r="F3044" t="s">
        <v>4031</v>
      </c>
      <c r="G3044" t="s">
        <v>652</v>
      </c>
      <c r="H3044" t="s">
        <v>3942</v>
      </c>
      <c r="J3044" t="s">
        <v>3962</v>
      </c>
      <c r="K3044" t="s">
        <v>519</v>
      </c>
      <c r="M3044" t="s">
        <v>520</v>
      </c>
      <c r="N3044" t="s">
        <v>571</v>
      </c>
      <c r="O3044" t="s">
        <v>873</v>
      </c>
      <c r="P3044" t="s">
        <v>654</v>
      </c>
      <c r="Q3044" t="s">
        <v>638</v>
      </c>
      <c r="R3044" t="s">
        <v>708</v>
      </c>
      <c r="S3044" t="s">
        <v>770</v>
      </c>
      <c r="T3044" t="s">
        <v>709</v>
      </c>
      <c r="U3044">
        <v>136700</v>
      </c>
      <c r="V3044" t="s">
        <v>7171</v>
      </c>
      <c r="W3044" t="s">
        <v>815</v>
      </c>
      <c r="X3044" t="s">
        <v>17218</v>
      </c>
      <c r="Y3044" t="s">
        <v>7663</v>
      </c>
      <c r="Z3044" t="s">
        <v>644</v>
      </c>
      <c r="AA3044" t="s">
        <v>645</v>
      </c>
      <c r="AB3044" t="s">
        <v>17215</v>
      </c>
      <c r="AE3044">
        <v>-36.864964280000002</v>
      </c>
      <c r="AF3044">
        <v>174.77091899999999</v>
      </c>
      <c r="AG3044">
        <v>118</v>
      </c>
      <c r="AH3044">
        <v>20</v>
      </c>
      <c r="AI3044">
        <v>3</v>
      </c>
      <c r="AJ3044">
        <v>11</v>
      </c>
      <c r="AK3044">
        <v>19</v>
      </c>
      <c r="AL3044">
        <v>21</v>
      </c>
      <c r="AM3044">
        <v>23</v>
      </c>
      <c r="AN3044">
        <v>1</v>
      </c>
      <c r="AO3044">
        <v>78</v>
      </c>
      <c r="AP3044">
        <v>19</v>
      </c>
      <c r="AQ3044">
        <v>3</v>
      </c>
      <c r="AR3044">
        <v>0</v>
      </c>
      <c r="AS3044">
        <v>66</v>
      </c>
      <c r="AT3044">
        <v>1</v>
      </c>
    </row>
    <row r="3045" spans="1:46">
      <c r="A3045">
        <v>47814</v>
      </c>
      <c r="B3045" t="s">
        <v>17219</v>
      </c>
      <c r="C3045" t="s">
        <v>17220</v>
      </c>
      <c r="E3045" t="s">
        <v>17221</v>
      </c>
      <c r="F3045" t="s">
        <v>1234</v>
      </c>
      <c r="G3045" t="s">
        <v>652</v>
      </c>
      <c r="H3045" t="s">
        <v>3942</v>
      </c>
      <c r="J3045" t="s">
        <v>3962</v>
      </c>
      <c r="K3045" t="s">
        <v>519</v>
      </c>
      <c r="M3045" t="s">
        <v>520</v>
      </c>
      <c r="N3045" t="s">
        <v>521</v>
      </c>
      <c r="O3045" t="s">
        <v>1268</v>
      </c>
      <c r="P3045" t="s">
        <v>654</v>
      </c>
      <c r="Q3045" t="s">
        <v>638</v>
      </c>
      <c r="R3045" t="s">
        <v>729</v>
      </c>
      <c r="S3045" t="s">
        <v>1234</v>
      </c>
      <c r="T3045" t="s">
        <v>1235</v>
      </c>
      <c r="U3045">
        <v>163001</v>
      </c>
      <c r="V3045" t="s">
        <v>1277</v>
      </c>
      <c r="W3045" t="s">
        <v>1219</v>
      </c>
      <c r="X3045" t="s">
        <v>17222</v>
      </c>
      <c r="Y3045" t="s">
        <v>17221</v>
      </c>
      <c r="Z3045" t="s">
        <v>1234</v>
      </c>
      <c r="AA3045" t="s">
        <v>11025</v>
      </c>
      <c r="AE3045">
        <v>-37.054561649999997</v>
      </c>
      <c r="AF3045">
        <v>174.95044224</v>
      </c>
      <c r="AG3045">
        <v>64</v>
      </c>
      <c r="AH3045">
        <v>16</v>
      </c>
      <c r="AI3045">
        <v>3</v>
      </c>
      <c r="AJ3045">
        <v>10</v>
      </c>
      <c r="AK3045">
        <v>16</v>
      </c>
      <c r="AL3045">
        <v>21</v>
      </c>
      <c r="AM3045">
        <v>13</v>
      </c>
      <c r="AN3045">
        <v>0</v>
      </c>
      <c r="AO3045">
        <v>63</v>
      </c>
      <c r="AP3045">
        <v>5</v>
      </c>
      <c r="AQ3045">
        <v>4</v>
      </c>
      <c r="AR3045">
        <v>5</v>
      </c>
      <c r="AS3045">
        <v>55</v>
      </c>
      <c r="AT3045">
        <v>0</v>
      </c>
    </row>
    <row r="3046" spans="1:46">
      <c r="A3046">
        <v>47816</v>
      </c>
      <c r="B3046" t="s">
        <v>17223</v>
      </c>
      <c r="C3046" t="s">
        <v>17224</v>
      </c>
      <c r="E3046" t="s">
        <v>17225</v>
      </c>
      <c r="F3046" t="s">
        <v>3770</v>
      </c>
      <c r="G3046" t="s">
        <v>1598</v>
      </c>
      <c r="H3046" t="s">
        <v>3942</v>
      </c>
      <c r="J3046" t="s">
        <v>518</v>
      </c>
      <c r="K3046" t="s">
        <v>519</v>
      </c>
      <c r="M3046" t="s">
        <v>1297</v>
      </c>
      <c r="N3046" t="s">
        <v>571</v>
      </c>
      <c r="O3046" t="s">
        <v>1698</v>
      </c>
      <c r="P3046" t="s">
        <v>654</v>
      </c>
      <c r="Q3046" t="s">
        <v>1471</v>
      </c>
      <c r="R3046" t="s">
        <v>1472</v>
      </c>
      <c r="S3046" t="s">
        <v>1699</v>
      </c>
      <c r="T3046" t="s">
        <v>1474</v>
      </c>
      <c r="U3046">
        <v>197100</v>
      </c>
      <c r="V3046" t="s">
        <v>17226</v>
      </c>
      <c r="W3046" t="s">
        <v>3772</v>
      </c>
      <c r="X3046" t="s">
        <v>8377</v>
      </c>
      <c r="Y3046" t="s">
        <v>3944</v>
      </c>
      <c r="Z3046" t="s">
        <v>3945</v>
      </c>
      <c r="AA3046" t="s">
        <v>3946</v>
      </c>
      <c r="AB3046" t="s">
        <v>8378</v>
      </c>
      <c r="AE3046">
        <v>-37.700498029999999</v>
      </c>
      <c r="AF3046">
        <v>176.28382894000001</v>
      </c>
      <c r="AG3046">
        <v>90</v>
      </c>
      <c r="AH3046">
        <v>20</v>
      </c>
      <c r="AI3046">
        <v>2</v>
      </c>
      <c r="AJ3046">
        <v>12</v>
      </c>
      <c r="AK3046">
        <v>32</v>
      </c>
      <c r="AL3046">
        <v>23</v>
      </c>
      <c r="AM3046">
        <v>24</v>
      </c>
      <c r="AN3046">
        <v>6</v>
      </c>
      <c r="AO3046">
        <v>99</v>
      </c>
      <c r="AP3046">
        <v>45</v>
      </c>
      <c r="AQ3046">
        <v>44</v>
      </c>
      <c r="AR3046">
        <v>7</v>
      </c>
      <c r="AS3046">
        <v>19</v>
      </c>
      <c r="AT3046">
        <v>17</v>
      </c>
    </row>
    <row r="3047" spans="1:46">
      <c r="A3047">
        <v>47818</v>
      </c>
      <c r="B3047" t="s">
        <v>17227</v>
      </c>
      <c r="C3047" t="s">
        <v>17228</v>
      </c>
      <c r="D3047" t="s">
        <v>17229</v>
      </c>
      <c r="E3047" t="s">
        <v>17230</v>
      </c>
      <c r="F3047" t="s">
        <v>1167</v>
      </c>
      <c r="G3047" t="s">
        <v>652</v>
      </c>
      <c r="H3047" t="s">
        <v>3942</v>
      </c>
      <c r="J3047" t="s">
        <v>3962</v>
      </c>
      <c r="K3047" t="s">
        <v>519</v>
      </c>
      <c r="M3047" t="s">
        <v>520</v>
      </c>
      <c r="N3047" t="s">
        <v>571</v>
      </c>
      <c r="O3047" t="s">
        <v>813</v>
      </c>
      <c r="P3047" t="s">
        <v>654</v>
      </c>
      <c r="Q3047" t="s">
        <v>638</v>
      </c>
      <c r="R3047" t="s">
        <v>639</v>
      </c>
      <c r="S3047" t="s">
        <v>640</v>
      </c>
      <c r="T3047" t="s">
        <v>527</v>
      </c>
      <c r="U3047">
        <v>118800</v>
      </c>
      <c r="V3047" t="s">
        <v>14684</v>
      </c>
      <c r="W3047" t="s">
        <v>815</v>
      </c>
      <c r="X3047" t="s">
        <v>17231</v>
      </c>
      <c r="Y3047" t="s">
        <v>17230</v>
      </c>
      <c r="Z3047" t="s">
        <v>1167</v>
      </c>
      <c r="AA3047" t="s">
        <v>6050</v>
      </c>
      <c r="AB3047" t="s">
        <v>17228</v>
      </c>
      <c r="AE3047">
        <v>-36.80672071</v>
      </c>
      <c r="AF3047">
        <v>174.6006691</v>
      </c>
      <c r="AG3047">
        <v>100</v>
      </c>
      <c r="AH3047">
        <v>25</v>
      </c>
      <c r="AI3047">
        <v>2</v>
      </c>
      <c r="AJ3047">
        <v>15</v>
      </c>
      <c r="AK3047">
        <v>20</v>
      </c>
      <c r="AL3047">
        <v>16</v>
      </c>
      <c r="AM3047">
        <v>11</v>
      </c>
      <c r="AN3047">
        <v>2</v>
      </c>
      <c r="AO3047">
        <v>66</v>
      </c>
      <c r="AP3047">
        <v>13</v>
      </c>
      <c r="AQ3047">
        <v>1</v>
      </c>
      <c r="AR3047">
        <v>6</v>
      </c>
      <c r="AS3047">
        <v>51</v>
      </c>
      <c r="AT3047">
        <v>4</v>
      </c>
    </row>
    <row r="3048" spans="1:46">
      <c r="A3048">
        <v>47820</v>
      </c>
      <c r="B3048" t="s">
        <v>17232</v>
      </c>
      <c r="C3048" t="s">
        <v>17233</v>
      </c>
      <c r="E3048" t="s">
        <v>17234</v>
      </c>
      <c r="F3048" t="s">
        <v>660</v>
      </c>
      <c r="G3048" t="s">
        <v>652</v>
      </c>
      <c r="H3048" t="s">
        <v>3942</v>
      </c>
      <c r="J3048" t="s">
        <v>518</v>
      </c>
      <c r="K3048" t="s">
        <v>519</v>
      </c>
      <c r="M3048" t="s">
        <v>520</v>
      </c>
      <c r="N3048" t="s">
        <v>571</v>
      </c>
      <c r="O3048" t="s">
        <v>1168</v>
      </c>
      <c r="P3048" t="s">
        <v>654</v>
      </c>
      <c r="Q3048" t="s">
        <v>638</v>
      </c>
      <c r="R3048" t="s">
        <v>639</v>
      </c>
      <c r="S3048" t="s">
        <v>655</v>
      </c>
      <c r="T3048" t="s">
        <v>527</v>
      </c>
      <c r="U3048">
        <v>117600</v>
      </c>
      <c r="V3048" t="s">
        <v>3997</v>
      </c>
      <c r="W3048" t="s">
        <v>657</v>
      </c>
      <c r="X3048" t="s">
        <v>17235</v>
      </c>
      <c r="Y3048" t="s">
        <v>3999</v>
      </c>
      <c r="Z3048" t="s">
        <v>660</v>
      </c>
      <c r="AA3048" t="s">
        <v>6125</v>
      </c>
      <c r="AB3048" t="s">
        <v>3994</v>
      </c>
      <c r="AE3048">
        <v>-36.722118520000002</v>
      </c>
      <c r="AF3048">
        <v>174.72313294</v>
      </c>
      <c r="AG3048">
        <v>150</v>
      </c>
      <c r="AH3048">
        <v>30</v>
      </c>
      <c r="AI3048">
        <v>6</v>
      </c>
      <c r="AJ3048">
        <v>16</v>
      </c>
      <c r="AK3048">
        <v>32</v>
      </c>
      <c r="AL3048">
        <v>33</v>
      </c>
      <c r="AM3048">
        <v>44</v>
      </c>
      <c r="AN3048">
        <v>6</v>
      </c>
      <c r="AO3048">
        <v>137</v>
      </c>
      <c r="AP3048">
        <v>43</v>
      </c>
      <c r="AQ3048">
        <v>3</v>
      </c>
      <c r="AR3048">
        <v>1</v>
      </c>
      <c r="AS3048">
        <v>90</v>
      </c>
      <c r="AT3048">
        <v>7</v>
      </c>
    </row>
    <row r="3049" spans="1:46">
      <c r="A3049">
        <v>47821</v>
      </c>
      <c r="B3049" t="s">
        <v>17236</v>
      </c>
      <c r="C3049" t="s">
        <v>15882</v>
      </c>
      <c r="D3049" t="s">
        <v>15883</v>
      </c>
      <c r="E3049" t="s">
        <v>17237</v>
      </c>
      <c r="F3049" t="s">
        <v>1017</v>
      </c>
      <c r="G3049" t="s">
        <v>652</v>
      </c>
      <c r="H3049" t="s">
        <v>4716</v>
      </c>
      <c r="J3049" t="s">
        <v>3962</v>
      </c>
      <c r="K3049" t="s">
        <v>519</v>
      </c>
      <c r="M3049" t="s">
        <v>520</v>
      </c>
      <c r="N3049" t="s">
        <v>571</v>
      </c>
      <c r="O3049" t="s">
        <v>857</v>
      </c>
      <c r="P3049" t="s">
        <v>654</v>
      </c>
      <c r="Q3049" t="s">
        <v>638</v>
      </c>
      <c r="R3049" t="s">
        <v>708</v>
      </c>
      <c r="S3049" t="s">
        <v>858</v>
      </c>
      <c r="T3049" t="s">
        <v>709</v>
      </c>
      <c r="U3049">
        <v>136900</v>
      </c>
      <c r="V3049" t="s">
        <v>5822</v>
      </c>
      <c r="W3049" t="s">
        <v>860</v>
      </c>
      <c r="X3049" t="s">
        <v>17238</v>
      </c>
      <c r="Y3049" t="s">
        <v>9026</v>
      </c>
      <c r="Z3049" t="s">
        <v>2427</v>
      </c>
      <c r="AA3049" t="s">
        <v>9029</v>
      </c>
      <c r="AE3049">
        <v>-36.871378890000003</v>
      </c>
      <c r="AF3049">
        <v>174.75240645</v>
      </c>
      <c r="AG3049">
        <v>50</v>
      </c>
      <c r="AH3049">
        <v>50</v>
      </c>
      <c r="AI3049">
        <v>1</v>
      </c>
      <c r="AJ3049">
        <v>5</v>
      </c>
      <c r="AK3049">
        <v>2</v>
      </c>
      <c r="AL3049">
        <v>2</v>
      </c>
      <c r="AM3049">
        <v>3</v>
      </c>
      <c r="AN3049">
        <v>0</v>
      </c>
      <c r="AO3049">
        <v>13</v>
      </c>
      <c r="AP3049">
        <v>3</v>
      </c>
      <c r="AQ3049">
        <v>0</v>
      </c>
      <c r="AR3049">
        <v>0</v>
      </c>
      <c r="AS3049">
        <v>13</v>
      </c>
      <c r="AT3049">
        <v>0</v>
      </c>
    </row>
    <row r="3050" spans="1:46">
      <c r="A3050">
        <v>47822</v>
      </c>
      <c r="B3050" t="s">
        <v>17239</v>
      </c>
      <c r="C3050" t="s">
        <v>17240</v>
      </c>
      <c r="E3050" t="s">
        <v>17241</v>
      </c>
      <c r="F3050" t="s">
        <v>651</v>
      </c>
      <c r="G3050" t="s">
        <v>652</v>
      </c>
      <c r="H3050" t="s">
        <v>4716</v>
      </c>
      <c r="J3050" t="s">
        <v>3962</v>
      </c>
      <c r="K3050" t="s">
        <v>519</v>
      </c>
      <c r="M3050" t="s">
        <v>520</v>
      </c>
      <c r="N3050" t="s">
        <v>571</v>
      </c>
      <c r="O3050" t="s">
        <v>653</v>
      </c>
      <c r="P3050" t="s">
        <v>654</v>
      </c>
      <c r="Q3050" t="s">
        <v>638</v>
      </c>
      <c r="R3050" t="s">
        <v>708</v>
      </c>
      <c r="S3050" t="s">
        <v>655</v>
      </c>
      <c r="T3050" t="s">
        <v>527</v>
      </c>
      <c r="U3050">
        <v>117201</v>
      </c>
      <c r="V3050" t="s">
        <v>7232</v>
      </c>
      <c r="W3050" t="s">
        <v>657</v>
      </c>
      <c r="X3050" t="s">
        <v>17242</v>
      </c>
      <c r="Y3050" t="s">
        <v>17241</v>
      </c>
      <c r="Z3050" t="s">
        <v>651</v>
      </c>
      <c r="AA3050" t="s">
        <v>4084</v>
      </c>
      <c r="AE3050">
        <v>-36.69505942</v>
      </c>
      <c r="AF3050">
        <v>174.74532843</v>
      </c>
      <c r="AG3050">
        <v>80</v>
      </c>
      <c r="AH3050">
        <v>80</v>
      </c>
      <c r="AI3050">
        <v>5</v>
      </c>
      <c r="AJ3050">
        <v>10</v>
      </c>
      <c r="AK3050">
        <v>13</v>
      </c>
      <c r="AL3050">
        <v>14</v>
      </c>
      <c r="AM3050">
        <v>10</v>
      </c>
      <c r="AN3050">
        <v>0</v>
      </c>
      <c r="AO3050">
        <v>52</v>
      </c>
      <c r="AP3050">
        <v>3</v>
      </c>
      <c r="AQ3050">
        <v>0</v>
      </c>
      <c r="AR3050">
        <v>0</v>
      </c>
      <c r="AS3050">
        <v>51</v>
      </c>
      <c r="AT3050">
        <v>0</v>
      </c>
    </row>
    <row r="3051" spans="1:46">
      <c r="A3051">
        <v>47826</v>
      </c>
      <c r="B3051" t="s">
        <v>17243</v>
      </c>
      <c r="C3051" t="s">
        <v>17244</v>
      </c>
      <c r="D3051" t="s">
        <v>11646</v>
      </c>
      <c r="E3051" t="s">
        <v>14176</v>
      </c>
      <c r="G3051" t="s">
        <v>2197</v>
      </c>
      <c r="H3051" t="s">
        <v>4716</v>
      </c>
      <c r="J3051" t="s">
        <v>3962</v>
      </c>
      <c r="K3051" t="s">
        <v>519</v>
      </c>
      <c r="M3051" t="s">
        <v>1297</v>
      </c>
      <c r="N3051" t="s">
        <v>571</v>
      </c>
      <c r="O3051" t="s">
        <v>2198</v>
      </c>
      <c r="P3051" t="s">
        <v>584</v>
      </c>
      <c r="Q3051" t="s">
        <v>2118</v>
      </c>
      <c r="R3051" t="s">
        <v>1760</v>
      </c>
      <c r="S3051" t="s">
        <v>2199</v>
      </c>
      <c r="T3051" t="s">
        <v>2085</v>
      </c>
      <c r="U3051">
        <v>210500</v>
      </c>
      <c r="V3051" t="s">
        <v>11648</v>
      </c>
      <c r="W3051" t="s">
        <v>2200</v>
      </c>
      <c r="X3051" t="s">
        <v>17245</v>
      </c>
      <c r="Y3051" t="s">
        <v>11647</v>
      </c>
      <c r="AA3051" t="s">
        <v>11650</v>
      </c>
      <c r="AB3051" t="s">
        <v>17246</v>
      </c>
      <c r="AE3051">
        <v>-39.641397910000002</v>
      </c>
      <c r="AF3051">
        <v>176.84700644</v>
      </c>
      <c r="AG3051">
        <v>80</v>
      </c>
      <c r="AH3051">
        <v>80</v>
      </c>
      <c r="AI3051">
        <v>2</v>
      </c>
      <c r="AJ3051">
        <v>10</v>
      </c>
      <c r="AK3051">
        <v>12</v>
      </c>
      <c r="AL3051">
        <v>14</v>
      </c>
      <c r="AM3051">
        <v>11</v>
      </c>
      <c r="AN3051">
        <v>1</v>
      </c>
      <c r="AO3051">
        <v>50</v>
      </c>
      <c r="AP3051">
        <v>48</v>
      </c>
      <c r="AQ3051">
        <v>9</v>
      </c>
      <c r="AR3051">
        <v>1</v>
      </c>
      <c r="AS3051">
        <v>1</v>
      </c>
      <c r="AT3051">
        <v>0</v>
      </c>
    </row>
    <row r="3052" spans="1:46">
      <c r="A3052">
        <v>47827</v>
      </c>
      <c r="B3052" t="s">
        <v>17247</v>
      </c>
      <c r="C3052" t="s">
        <v>17248</v>
      </c>
      <c r="E3052" t="s">
        <v>17249</v>
      </c>
      <c r="F3052" t="s">
        <v>8375</v>
      </c>
      <c r="G3052" t="s">
        <v>1598</v>
      </c>
      <c r="H3052" t="s">
        <v>3942</v>
      </c>
      <c r="J3052" t="s">
        <v>3962</v>
      </c>
      <c r="K3052" t="s">
        <v>519</v>
      </c>
      <c r="M3052" t="s">
        <v>1297</v>
      </c>
      <c r="N3052" t="s">
        <v>557</v>
      </c>
      <c r="O3052" t="s">
        <v>1698</v>
      </c>
      <c r="P3052" t="s">
        <v>654</v>
      </c>
      <c r="Q3052" t="s">
        <v>1471</v>
      </c>
      <c r="R3052" t="s">
        <v>1472</v>
      </c>
      <c r="S3052" t="s">
        <v>1699</v>
      </c>
      <c r="T3052" t="s">
        <v>1474</v>
      </c>
      <c r="U3052">
        <v>195500</v>
      </c>
      <c r="V3052" t="s">
        <v>9870</v>
      </c>
      <c r="W3052" t="s">
        <v>1724</v>
      </c>
      <c r="X3052" t="s">
        <v>12190</v>
      </c>
      <c r="Y3052" t="s">
        <v>12191</v>
      </c>
      <c r="Z3052" t="s">
        <v>12192</v>
      </c>
      <c r="AA3052" t="s">
        <v>12193</v>
      </c>
      <c r="AB3052" t="s">
        <v>12187</v>
      </c>
      <c r="AC3052">
        <v>99064</v>
      </c>
      <c r="AD3052" t="s">
        <v>1702</v>
      </c>
      <c r="AE3052">
        <v>-37.672013210000003</v>
      </c>
      <c r="AF3052">
        <v>176.2304192</v>
      </c>
      <c r="AG3052">
        <v>85</v>
      </c>
      <c r="AH3052">
        <v>35</v>
      </c>
      <c r="AI3052">
        <v>7</v>
      </c>
      <c r="AJ3052">
        <v>18</v>
      </c>
      <c r="AK3052">
        <v>33</v>
      </c>
      <c r="AL3052">
        <v>20</v>
      </c>
      <c r="AM3052">
        <v>19</v>
      </c>
      <c r="AN3052">
        <v>1</v>
      </c>
      <c r="AO3052">
        <v>98</v>
      </c>
      <c r="AP3052">
        <v>79</v>
      </c>
      <c r="AQ3052">
        <v>21</v>
      </c>
      <c r="AR3052">
        <v>0</v>
      </c>
      <c r="AS3052">
        <v>11</v>
      </c>
      <c r="AT3052">
        <v>12</v>
      </c>
    </row>
    <row r="3053" spans="1:46">
      <c r="A3053">
        <v>47828</v>
      </c>
      <c r="B3053" t="s">
        <v>17250</v>
      </c>
      <c r="C3053" t="s">
        <v>17251</v>
      </c>
      <c r="D3053" t="s">
        <v>17252</v>
      </c>
      <c r="E3053" t="s">
        <v>17253</v>
      </c>
      <c r="F3053" t="s">
        <v>17254</v>
      </c>
      <c r="G3053" t="s">
        <v>1974</v>
      </c>
      <c r="H3053" t="s">
        <v>517</v>
      </c>
      <c r="J3053" t="s">
        <v>518</v>
      </c>
      <c r="K3053" t="s">
        <v>519</v>
      </c>
      <c r="M3053" t="s">
        <v>1297</v>
      </c>
      <c r="N3053" t="s">
        <v>571</v>
      </c>
      <c r="O3053" t="s">
        <v>1956</v>
      </c>
      <c r="P3053" t="s">
        <v>584</v>
      </c>
      <c r="Q3053" t="s">
        <v>1636</v>
      </c>
      <c r="R3053" t="s">
        <v>1760</v>
      </c>
      <c r="S3053" t="s">
        <v>1637</v>
      </c>
      <c r="T3053" t="s">
        <v>1485</v>
      </c>
      <c r="U3053">
        <v>232701</v>
      </c>
      <c r="V3053" t="s">
        <v>17255</v>
      </c>
      <c r="W3053" t="s">
        <v>1957</v>
      </c>
      <c r="X3053" t="s">
        <v>1958</v>
      </c>
      <c r="Y3053" t="s">
        <v>1959</v>
      </c>
      <c r="AA3053" t="s">
        <v>1960</v>
      </c>
      <c r="AB3053" t="s">
        <v>1961</v>
      </c>
      <c r="AE3053">
        <v>-40.386927360000001</v>
      </c>
      <c r="AF3053">
        <v>175.63973684999999</v>
      </c>
      <c r="AG3053">
        <v>65</v>
      </c>
      <c r="AH3053">
        <v>20</v>
      </c>
      <c r="AI3053">
        <v>1</v>
      </c>
      <c r="AJ3053">
        <v>20</v>
      </c>
      <c r="AK3053">
        <v>11</v>
      </c>
      <c r="AL3053">
        <v>18</v>
      </c>
      <c r="AM3053">
        <v>16</v>
      </c>
      <c r="AN3053">
        <v>1</v>
      </c>
      <c r="AO3053">
        <v>67</v>
      </c>
      <c r="AP3053">
        <v>58</v>
      </c>
      <c r="AQ3053">
        <v>21</v>
      </c>
      <c r="AR3053">
        <v>2</v>
      </c>
      <c r="AS3053">
        <v>13</v>
      </c>
      <c r="AT3053">
        <v>3</v>
      </c>
    </row>
    <row r="3054" spans="1:46">
      <c r="A3054">
        <v>47829</v>
      </c>
      <c r="B3054" t="s">
        <v>17256</v>
      </c>
      <c r="C3054" t="s">
        <v>16394</v>
      </c>
      <c r="D3054" t="s">
        <v>17257</v>
      </c>
      <c r="E3054" t="s">
        <v>17258</v>
      </c>
      <c r="F3054" t="s">
        <v>1067</v>
      </c>
      <c r="G3054" t="s">
        <v>652</v>
      </c>
      <c r="H3054" t="s">
        <v>3942</v>
      </c>
      <c r="J3054" t="s">
        <v>3962</v>
      </c>
      <c r="K3054" t="s">
        <v>519</v>
      </c>
      <c r="M3054" t="s">
        <v>520</v>
      </c>
      <c r="N3054" t="s">
        <v>571</v>
      </c>
      <c r="O3054" t="s">
        <v>637</v>
      </c>
      <c r="P3054" t="s">
        <v>523</v>
      </c>
      <c r="Q3054" t="s">
        <v>638</v>
      </c>
      <c r="R3054" t="s">
        <v>639</v>
      </c>
      <c r="S3054" t="s">
        <v>640</v>
      </c>
      <c r="T3054" t="s">
        <v>527</v>
      </c>
      <c r="U3054">
        <v>115002</v>
      </c>
      <c r="V3054" t="s">
        <v>6986</v>
      </c>
      <c r="W3054" t="s">
        <v>641</v>
      </c>
      <c r="X3054" t="s">
        <v>16393</v>
      </c>
      <c r="Y3054" t="s">
        <v>9044</v>
      </c>
      <c r="Z3054" t="s">
        <v>8001</v>
      </c>
      <c r="AA3054" t="s">
        <v>9045</v>
      </c>
      <c r="AB3054" t="s">
        <v>16394</v>
      </c>
      <c r="AE3054">
        <v>-36.778497960000003</v>
      </c>
      <c r="AF3054">
        <v>174.55603840000001</v>
      </c>
      <c r="AG3054">
        <v>100</v>
      </c>
      <c r="AH3054">
        <v>25</v>
      </c>
      <c r="AI3054">
        <v>1</v>
      </c>
      <c r="AJ3054">
        <v>14</v>
      </c>
      <c r="AK3054">
        <v>14</v>
      </c>
      <c r="AL3054">
        <v>15</v>
      </c>
      <c r="AM3054">
        <v>15</v>
      </c>
      <c r="AN3054">
        <v>2</v>
      </c>
      <c r="AO3054">
        <v>61</v>
      </c>
      <c r="AP3054">
        <v>48</v>
      </c>
      <c r="AQ3054">
        <v>10</v>
      </c>
      <c r="AR3054">
        <v>1</v>
      </c>
      <c r="AS3054">
        <v>14</v>
      </c>
      <c r="AT3054">
        <v>3</v>
      </c>
    </row>
    <row r="3055" spans="1:46">
      <c r="A3055">
        <v>47830</v>
      </c>
      <c r="B3055" t="s">
        <v>17259</v>
      </c>
      <c r="C3055" t="s">
        <v>17260</v>
      </c>
      <c r="D3055" t="s">
        <v>17261</v>
      </c>
      <c r="E3055" t="s">
        <v>17262</v>
      </c>
      <c r="F3055" t="s">
        <v>770</v>
      </c>
      <c r="G3055" t="s">
        <v>652</v>
      </c>
      <c r="H3055" t="s">
        <v>3942</v>
      </c>
      <c r="J3055" t="s">
        <v>3962</v>
      </c>
      <c r="K3055" t="s">
        <v>519</v>
      </c>
      <c r="M3055" t="s">
        <v>520</v>
      </c>
      <c r="N3055" t="s">
        <v>571</v>
      </c>
      <c r="O3055" t="s">
        <v>718</v>
      </c>
      <c r="P3055" t="s">
        <v>654</v>
      </c>
      <c r="Q3055" t="s">
        <v>638</v>
      </c>
      <c r="R3055" t="s">
        <v>639</v>
      </c>
      <c r="S3055" t="s">
        <v>770</v>
      </c>
      <c r="T3055" t="s">
        <v>709</v>
      </c>
      <c r="U3055">
        <v>136501</v>
      </c>
      <c r="V3055" t="s">
        <v>4625</v>
      </c>
      <c r="W3055" t="s">
        <v>721</v>
      </c>
      <c r="X3055" t="s">
        <v>17263</v>
      </c>
      <c r="Y3055" t="s">
        <v>17262</v>
      </c>
      <c r="Z3055" t="s">
        <v>770</v>
      </c>
      <c r="AA3055" t="s">
        <v>4333</v>
      </c>
      <c r="AB3055" t="s">
        <v>17260</v>
      </c>
      <c r="AE3055">
        <v>-36.926360639999999</v>
      </c>
      <c r="AF3055">
        <v>174.67911341999999</v>
      </c>
      <c r="AG3055">
        <v>66</v>
      </c>
      <c r="AH3055">
        <v>15</v>
      </c>
      <c r="AI3055">
        <v>2</v>
      </c>
      <c r="AJ3055">
        <v>13</v>
      </c>
      <c r="AK3055">
        <v>15</v>
      </c>
      <c r="AL3055">
        <v>9</v>
      </c>
      <c r="AM3055">
        <v>7</v>
      </c>
      <c r="AN3055">
        <v>0</v>
      </c>
      <c r="AO3055">
        <v>46</v>
      </c>
      <c r="AP3055">
        <v>11</v>
      </c>
      <c r="AQ3055">
        <v>5</v>
      </c>
      <c r="AR3055">
        <v>6</v>
      </c>
      <c r="AS3055">
        <v>31</v>
      </c>
      <c r="AT3055">
        <v>4</v>
      </c>
    </row>
    <row r="3056" spans="1:46">
      <c r="A3056">
        <v>47832</v>
      </c>
      <c r="B3056" t="s">
        <v>17264</v>
      </c>
      <c r="C3056" t="s">
        <v>17265</v>
      </c>
      <c r="D3056" t="s">
        <v>17266</v>
      </c>
      <c r="E3056" t="s">
        <v>17267</v>
      </c>
      <c r="F3056" t="s">
        <v>879</v>
      </c>
      <c r="G3056" t="s">
        <v>652</v>
      </c>
      <c r="H3056" t="s">
        <v>3942</v>
      </c>
      <c r="J3056" t="s">
        <v>3962</v>
      </c>
      <c r="K3056" t="s">
        <v>519</v>
      </c>
      <c r="M3056" t="s">
        <v>520</v>
      </c>
      <c r="N3056" t="s">
        <v>571</v>
      </c>
      <c r="O3056" t="s">
        <v>829</v>
      </c>
      <c r="P3056" t="s">
        <v>654</v>
      </c>
      <c r="Q3056" t="s">
        <v>638</v>
      </c>
      <c r="R3056" t="s">
        <v>708</v>
      </c>
      <c r="S3056" t="s">
        <v>880</v>
      </c>
      <c r="T3056" t="s">
        <v>709</v>
      </c>
      <c r="U3056">
        <v>144700</v>
      </c>
      <c r="V3056" t="s">
        <v>4826</v>
      </c>
      <c r="W3056" t="s">
        <v>807</v>
      </c>
      <c r="X3056" t="s">
        <v>17268</v>
      </c>
      <c r="Y3056" t="s">
        <v>17269</v>
      </c>
      <c r="Z3056" t="s">
        <v>6161</v>
      </c>
      <c r="AA3056" t="s">
        <v>6162</v>
      </c>
      <c r="AB3056" t="s">
        <v>17270</v>
      </c>
      <c r="AE3056">
        <v>-36.872199029999997</v>
      </c>
      <c r="AF3056">
        <v>174.85731290999999</v>
      </c>
      <c r="AG3056">
        <v>112</v>
      </c>
      <c r="AH3056">
        <v>35</v>
      </c>
      <c r="AI3056">
        <v>5</v>
      </c>
      <c r="AJ3056">
        <v>27</v>
      </c>
      <c r="AK3056">
        <v>32</v>
      </c>
      <c r="AL3056">
        <v>38</v>
      </c>
      <c r="AM3056">
        <v>22</v>
      </c>
      <c r="AN3056">
        <v>2</v>
      </c>
      <c r="AO3056">
        <v>126</v>
      </c>
      <c r="AP3056">
        <v>93</v>
      </c>
      <c r="AQ3056">
        <v>10</v>
      </c>
      <c r="AR3056">
        <v>1</v>
      </c>
      <c r="AS3056">
        <v>22</v>
      </c>
      <c r="AT3056">
        <v>16</v>
      </c>
    </row>
    <row r="3057" spans="1:46">
      <c r="A3057">
        <v>47834</v>
      </c>
      <c r="B3057" t="s">
        <v>17271</v>
      </c>
      <c r="C3057" t="s">
        <v>17272</v>
      </c>
      <c r="E3057" t="s">
        <v>12031</v>
      </c>
      <c r="F3057" t="s">
        <v>1345</v>
      </c>
      <c r="G3057" t="s">
        <v>1296</v>
      </c>
      <c r="H3057" t="s">
        <v>4716</v>
      </c>
      <c r="J3057" t="s">
        <v>3962</v>
      </c>
      <c r="K3057" t="s">
        <v>519</v>
      </c>
      <c r="M3057" t="s">
        <v>1297</v>
      </c>
      <c r="N3057" t="s">
        <v>557</v>
      </c>
      <c r="O3057" t="s">
        <v>1298</v>
      </c>
      <c r="P3057" t="s">
        <v>654</v>
      </c>
      <c r="Q3057" t="s">
        <v>1299</v>
      </c>
      <c r="R3057" t="s">
        <v>1300</v>
      </c>
      <c r="S3057" t="s">
        <v>1301</v>
      </c>
      <c r="T3057" t="s">
        <v>1235</v>
      </c>
      <c r="U3057">
        <v>178901</v>
      </c>
      <c r="V3057" t="s">
        <v>8352</v>
      </c>
      <c r="W3057" t="s">
        <v>1303</v>
      </c>
      <c r="X3057" t="s">
        <v>8403</v>
      </c>
      <c r="Y3057" t="s">
        <v>8401</v>
      </c>
      <c r="AA3057" t="s">
        <v>8404</v>
      </c>
      <c r="AE3057">
        <v>-37.80308866</v>
      </c>
      <c r="AF3057">
        <v>175.25596379999999</v>
      </c>
      <c r="AG3057">
        <v>50</v>
      </c>
      <c r="AH3057">
        <v>50</v>
      </c>
      <c r="AI3057">
        <v>3</v>
      </c>
      <c r="AJ3057">
        <v>6</v>
      </c>
      <c r="AK3057">
        <v>8</v>
      </c>
      <c r="AL3057">
        <v>4</v>
      </c>
      <c r="AM3057">
        <v>5</v>
      </c>
      <c r="AN3057">
        <v>0</v>
      </c>
      <c r="AO3057">
        <v>26</v>
      </c>
      <c r="AP3057">
        <v>20</v>
      </c>
      <c r="AQ3057">
        <v>6</v>
      </c>
      <c r="AR3057">
        <v>1</v>
      </c>
      <c r="AS3057">
        <v>4</v>
      </c>
      <c r="AT3057">
        <v>2</v>
      </c>
    </row>
    <row r="3058" spans="1:46">
      <c r="A3058">
        <v>47835</v>
      </c>
      <c r="B3058" t="s">
        <v>17273</v>
      </c>
      <c r="C3058" t="s">
        <v>14510</v>
      </c>
      <c r="E3058" t="s">
        <v>17274</v>
      </c>
      <c r="F3058" t="s">
        <v>14507</v>
      </c>
      <c r="G3058" t="s">
        <v>1842</v>
      </c>
      <c r="H3058" t="s">
        <v>3942</v>
      </c>
      <c r="J3058" t="s">
        <v>3962</v>
      </c>
      <c r="K3058" t="s">
        <v>519</v>
      </c>
      <c r="M3058" t="s">
        <v>1297</v>
      </c>
      <c r="N3058" t="s">
        <v>539</v>
      </c>
      <c r="O3058" t="s">
        <v>1887</v>
      </c>
      <c r="P3058" t="s">
        <v>584</v>
      </c>
      <c r="Q3058" t="s">
        <v>1636</v>
      </c>
      <c r="R3058" t="s">
        <v>1760</v>
      </c>
      <c r="S3058" t="s">
        <v>1842</v>
      </c>
      <c r="T3058" t="s">
        <v>1485</v>
      </c>
      <c r="U3058">
        <v>225300</v>
      </c>
      <c r="V3058" t="s">
        <v>1912</v>
      </c>
      <c r="W3058" t="s">
        <v>1652</v>
      </c>
      <c r="X3058" t="s">
        <v>14508</v>
      </c>
      <c r="Y3058" t="s">
        <v>14506</v>
      </c>
      <c r="Z3058" t="s">
        <v>14507</v>
      </c>
      <c r="AA3058" t="s">
        <v>13842</v>
      </c>
      <c r="AB3058" t="s">
        <v>14510</v>
      </c>
      <c r="AE3058">
        <v>-39.936374479999998</v>
      </c>
      <c r="AF3058">
        <v>175.0303917</v>
      </c>
      <c r="AG3058">
        <v>20</v>
      </c>
      <c r="AH3058">
        <v>20</v>
      </c>
      <c r="AI3058">
        <v>7</v>
      </c>
      <c r="AJ3058">
        <v>14</v>
      </c>
      <c r="AK3058">
        <v>6</v>
      </c>
      <c r="AL3058">
        <v>0</v>
      </c>
      <c r="AM3058">
        <v>0</v>
      </c>
      <c r="AN3058">
        <v>0</v>
      </c>
      <c r="AO3058">
        <v>27</v>
      </c>
      <c r="AP3058">
        <v>20</v>
      </c>
      <c r="AQ3058">
        <v>5</v>
      </c>
      <c r="AR3058">
        <v>1</v>
      </c>
      <c r="AS3058">
        <v>1</v>
      </c>
      <c r="AT3058">
        <v>5</v>
      </c>
    </row>
    <row r="3059" spans="1:46">
      <c r="A3059">
        <v>47836</v>
      </c>
      <c r="B3059" t="s">
        <v>17275</v>
      </c>
      <c r="C3059" t="s">
        <v>14604</v>
      </c>
      <c r="E3059" t="s">
        <v>8254</v>
      </c>
      <c r="F3059" t="s">
        <v>8255</v>
      </c>
      <c r="G3059" t="s">
        <v>652</v>
      </c>
      <c r="H3059" t="s">
        <v>4716</v>
      </c>
      <c r="J3059" t="s">
        <v>3962</v>
      </c>
      <c r="K3059" t="s">
        <v>519</v>
      </c>
      <c r="M3059" t="s">
        <v>520</v>
      </c>
      <c r="N3059" t="s">
        <v>571</v>
      </c>
      <c r="O3059" t="s">
        <v>1168</v>
      </c>
      <c r="P3059" t="s">
        <v>654</v>
      </c>
      <c r="Q3059" t="s">
        <v>638</v>
      </c>
      <c r="R3059" t="s">
        <v>639</v>
      </c>
      <c r="S3059" t="s">
        <v>655</v>
      </c>
      <c r="T3059" t="s">
        <v>527</v>
      </c>
      <c r="U3059">
        <v>118600</v>
      </c>
      <c r="V3059" t="s">
        <v>4012</v>
      </c>
      <c r="W3059" t="s">
        <v>657</v>
      </c>
      <c r="X3059" t="s">
        <v>6268</v>
      </c>
      <c r="Y3059" t="s">
        <v>6269</v>
      </c>
      <c r="Z3059" t="s">
        <v>3706</v>
      </c>
      <c r="AA3059" t="s">
        <v>6270</v>
      </c>
      <c r="AB3059" t="s">
        <v>6271</v>
      </c>
      <c r="AE3059">
        <v>-36.745908890000003</v>
      </c>
      <c r="AF3059">
        <v>174.70435560000001</v>
      </c>
      <c r="AG3059">
        <v>50</v>
      </c>
      <c r="AH3059">
        <v>50</v>
      </c>
      <c r="AI3059">
        <v>2</v>
      </c>
      <c r="AJ3059">
        <v>1</v>
      </c>
      <c r="AK3059">
        <v>2</v>
      </c>
      <c r="AL3059">
        <v>7</v>
      </c>
      <c r="AM3059">
        <v>7</v>
      </c>
      <c r="AN3059">
        <v>0</v>
      </c>
      <c r="AO3059">
        <v>19</v>
      </c>
      <c r="AP3059">
        <v>0</v>
      </c>
      <c r="AQ3059">
        <v>0</v>
      </c>
      <c r="AR3059">
        <v>0</v>
      </c>
      <c r="AS3059">
        <v>19</v>
      </c>
      <c r="AT3059">
        <v>0</v>
      </c>
    </row>
    <row r="3060" spans="1:46">
      <c r="A3060">
        <v>47837</v>
      </c>
      <c r="B3060" t="s">
        <v>17276</v>
      </c>
      <c r="C3060" t="s">
        <v>17277</v>
      </c>
      <c r="D3060" t="s">
        <v>17278</v>
      </c>
      <c r="E3060" t="s">
        <v>17279</v>
      </c>
      <c r="F3060" t="s">
        <v>769</v>
      </c>
      <c r="G3060" t="s">
        <v>652</v>
      </c>
      <c r="H3060" t="s">
        <v>3942</v>
      </c>
      <c r="J3060" t="s">
        <v>3962</v>
      </c>
      <c r="K3060" t="s">
        <v>519</v>
      </c>
      <c r="M3060" t="s">
        <v>520</v>
      </c>
      <c r="N3060" t="s">
        <v>571</v>
      </c>
      <c r="O3060" t="s">
        <v>718</v>
      </c>
      <c r="P3060" t="s">
        <v>654</v>
      </c>
      <c r="Q3060" t="s">
        <v>638</v>
      </c>
      <c r="R3060" t="s">
        <v>708</v>
      </c>
      <c r="S3060" t="s">
        <v>770</v>
      </c>
      <c r="T3060" t="s">
        <v>709</v>
      </c>
      <c r="U3060">
        <v>138901</v>
      </c>
      <c r="V3060" t="s">
        <v>6840</v>
      </c>
      <c r="W3060" t="s">
        <v>721</v>
      </c>
      <c r="X3060" t="s">
        <v>17280</v>
      </c>
      <c r="Y3060" t="s">
        <v>17281</v>
      </c>
      <c r="Z3060" t="s">
        <v>6161</v>
      </c>
      <c r="AA3060" t="s">
        <v>4431</v>
      </c>
      <c r="AB3060" t="s">
        <v>17282</v>
      </c>
      <c r="AE3060">
        <v>-36.923077370000001</v>
      </c>
      <c r="AF3060">
        <v>174.70027260000001</v>
      </c>
      <c r="AG3060">
        <v>65</v>
      </c>
      <c r="AH3060">
        <v>20</v>
      </c>
      <c r="AI3060">
        <v>2</v>
      </c>
      <c r="AJ3060">
        <v>10</v>
      </c>
      <c r="AK3060">
        <v>22</v>
      </c>
      <c r="AL3060">
        <v>11</v>
      </c>
      <c r="AM3060">
        <v>24</v>
      </c>
      <c r="AN3060">
        <v>0</v>
      </c>
      <c r="AO3060">
        <v>69</v>
      </c>
      <c r="AP3060">
        <v>28</v>
      </c>
      <c r="AQ3060">
        <v>4</v>
      </c>
      <c r="AR3060">
        <v>3</v>
      </c>
      <c r="AS3060">
        <v>47</v>
      </c>
      <c r="AT3060">
        <v>6</v>
      </c>
    </row>
    <row r="3061" spans="1:46">
      <c r="A3061">
        <v>47839</v>
      </c>
      <c r="B3061" t="s">
        <v>17283</v>
      </c>
      <c r="C3061" t="s">
        <v>17284</v>
      </c>
      <c r="D3061" t="s">
        <v>17285</v>
      </c>
      <c r="E3061" t="s">
        <v>17286</v>
      </c>
      <c r="F3061" t="s">
        <v>1036</v>
      </c>
      <c r="G3061" t="s">
        <v>652</v>
      </c>
      <c r="H3061" t="s">
        <v>517</v>
      </c>
      <c r="J3061" t="s">
        <v>518</v>
      </c>
      <c r="K3061" t="s">
        <v>519</v>
      </c>
      <c r="M3061" t="s">
        <v>520</v>
      </c>
      <c r="N3061" t="s">
        <v>727</v>
      </c>
      <c r="O3061" t="s">
        <v>1216</v>
      </c>
      <c r="P3061" t="s">
        <v>654</v>
      </c>
      <c r="Q3061" t="s">
        <v>638</v>
      </c>
      <c r="R3061" t="s">
        <v>729</v>
      </c>
      <c r="S3061" t="s">
        <v>1036</v>
      </c>
      <c r="T3061" t="s">
        <v>709</v>
      </c>
      <c r="U3061">
        <v>159201</v>
      </c>
      <c r="V3061" t="s">
        <v>12492</v>
      </c>
      <c r="W3061" t="s">
        <v>1219</v>
      </c>
      <c r="X3061" t="s">
        <v>1220</v>
      </c>
      <c r="Y3061" t="s">
        <v>1221</v>
      </c>
      <c r="Z3061" t="s">
        <v>1217</v>
      </c>
      <c r="AA3061" t="s">
        <v>1222</v>
      </c>
      <c r="AB3061" t="s">
        <v>1223</v>
      </c>
      <c r="AE3061">
        <v>-37.020742480000003</v>
      </c>
      <c r="AF3061">
        <v>174.87228236999999</v>
      </c>
      <c r="AG3061">
        <v>30</v>
      </c>
      <c r="AH3061">
        <v>0</v>
      </c>
      <c r="AI3061">
        <v>0</v>
      </c>
      <c r="AJ3061">
        <v>0</v>
      </c>
      <c r="AK3061">
        <v>5</v>
      </c>
      <c r="AL3061">
        <v>9</v>
      </c>
      <c r="AM3061">
        <v>14</v>
      </c>
      <c r="AN3061">
        <v>1</v>
      </c>
      <c r="AO3061">
        <v>29</v>
      </c>
      <c r="AP3061">
        <v>8</v>
      </c>
      <c r="AQ3061">
        <v>17</v>
      </c>
      <c r="AR3061">
        <v>17</v>
      </c>
      <c r="AS3061">
        <v>6</v>
      </c>
      <c r="AT3061">
        <v>0</v>
      </c>
    </row>
    <row r="3062" spans="1:46">
      <c r="A3062">
        <v>47840</v>
      </c>
      <c r="B3062" t="s">
        <v>17287</v>
      </c>
      <c r="C3062" t="s">
        <v>17288</v>
      </c>
      <c r="D3062" t="s">
        <v>17289</v>
      </c>
      <c r="E3062" t="s">
        <v>17290</v>
      </c>
      <c r="F3062" t="s">
        <v>3629</v>
      </c>
      <c r="G3062" t="s">
        <v>2119</v>
      </c>
      <c r="H3062" t="s">
        <v>3942</v>
      </c>
      <c r="J3062" t="s">
        <v>3962</v>
      </c>
      <c r="K3062" t="s">
        <v>519</v>
      </c>
      <c r="M3062" t="s">
        <v>1297</v>
      </c>
      <c r="N3062" t="s">
        <v>571</v>
      </c>
      <c r="O3062" t="s">
        <v>2131</v>
      </c>
      <c r="P3062" t="s">
        <v>584</v>
      </c>
      <c r="Q3062" t="s">
        <v>2118</v>
      </c>
      <c r="R3062" t="s">
        <v>2084</v>
      </c>
      <c r="S3062" t="s">
        <v>2119</v>
      </c>
      <c r="T3062" t="s">
        <v>2085</v>
      </c>
      <c r="U3062">
        <v>213400</v>
      </c>
      <c r="V3062" t="s">
        <v>17291</v>
      </c>
      <c r="W3062" t="s">
        <v>3736</v>
      </c>
      <c r="X3062" t="s">
        <v>17292</v>
      </c>
      <c r="Y3062" t="s">
        <v>17293</v>
      </c>
      <c r="Z3062" t="s">
        <v>1096</v>
      </c>
      <c r="AA3062" t="s">
        <v>4077</v>
      </c>
      <c r="AB3062" t="s">
        <v>17294</v>
      </c>
      <c r="AE3062">
        <v>-39.493750120000001</v>
      </c>
      <c r="AF3062">
        <v>176.90399907</v>
      </c>
      <c r="AG3062">
        <v>75</v>
      </c>
      <c r="AH3062">
        <v>20</v>
      </c>
      <c r="AI3062">
        <v>3</v>
      </c>
      <c r="AJ3062">
        <v>20</v>
      </c>
      <c r="AK3062">
        <v>16</v>
      </c>
      <c r="AL3062">
        <v>19</v>
      </c>
      <c r="AM3062">
        <v>18</v>
      </c>
      <c r="AN3062">
        <v>0</v>
      </c>
      <c r="AO3062">
        <v>76</v>
      </c>
      <c r="AP3062">
        <v>69</v>
      </c>
      <c r="AQ3062">
        <v>11</v>
      </c>
      <c r="AR3062">
        <v>4</v>
      </c>
      <c r="AS3062">
        <v>5</v>
      </c>
      <c r="AT3062">
        <v>2</v>
      </c>
    </row>
    <row r="3063" spans="1:46">
      <c r="A3063">
        <v>47841</v>
      </c>
      <c r="B3063" t="s">
        <v>17295</v>
      </c>
      <c r="C3063" t="s">
        <v>17296</v>
      </c>
      <c r="D3063" t="s">
        <v>17297</v>
      </c>
      <c r="E3063" t="s">
        <v>17298</v>
      </c>
      <c r="F3063" t="s">
        <v>17299</v>
      </c>
      <c r="G3063" t="s">
        <v>2941</v>
      </c>
      <c r="H3063" t="s">
        <v>3942</v>
      </c>
      <c r="J3063" t="s">
        <v>3962</v>
      </c>
      <c r="K3063" t="s">
        <v>519</v>
      </c>
      <c r="M3063" t="s">
        <v>2287</v>
      </c>
      <c r="N3063" t="s">
        <v>539</v>
      </c>
      <c r="O3063" t="s">
        <v>2942</v>
      </c>
      <c r="P3063" t="s">
        <v>654</v>
      </c>
      <c r="Q3063" t="s">
        <v>2943</v>
      </c>
      <c r="R3063" t="s">
        <v>2944</v>
      </c>
      <c r="S3063" t="s">
        <v>2957</v>
      </c>
      <c r="T3063" t="s">
        <v>2448</v>
      </c>
      <c r="U3063">
        <v>328800</v>
      </c>
      <c r="V3063" t="s">
        <v>17300</v>
      </c>
      <c r="W3063" t="s">
        <v>2443</v>
      </c>
      <c r="X3063" t="s">
        <v>17301</v>
      </c>
      <c r="Y3063" t="s">
        <v>15118</v>
      </c>
      <c r="Z3063" t="s">
        <v>8698</v>
      </c>
      <c r="AA3063" t="s">
        <v>2204</v>
      </c>
      <c r="AB3063" t="s">
        <v>17302</v>
      </c>
      <c r="AC3063">
        <v>99215</v>
      </c>
      <c r="AD3063" t="s">
        <v>10972</v>
      </c>
      <c r="AE3063">
        <v>-43.533655979999999</v>
      </c>
      <c r="AF3063">
        <v>172.65259545000001</v>
      </c>
      <c r="AG3063">
        <v>100</v>
      </c>
      <c r="AH3063">
        <v>30</v>
      </c>
      <c r="AI3063">
        <v>6</v>
      </c>
      <c r="AJ3063">
        <v>25</v>
      </c>
      <c r="AK3063">
        <v>23</v>
      </c>
      <c r="AL3063">
        <v>27</v>
      </c>
      <c r="AM3063">
        <v>17</v>
      </c>
      <c r="AN3063">
        <v>2</v>
      </c>
      <c r="AO3063">
        <v>100</v>
      </c>
      <c r="AP3063">
        <v>81</v>
      </c>
      <c r="AQ3063">
        <v>16</v>
      </c>
      <c r="AR3063">
        <v>2</v>
      </c>
      <c r="AS3063">
        <v>20</v>
      </c>
      <c r="AT3063">
        <v>7</v>
      </c>
    </row>
    <row r="3064" spans="1:46">
      <c r="A3064">
        <v>47842</v>
      </c>
      <c r="B3064" t="s">
        <v>17303</v>
      </c>
      <c r="C3064" t="s">
        <v>17304</v>
      </c>
      <c r="D3064" t="s">
        <v>17305</v>
      </c>
      <c r="E3064" t="s">
        <v>17306</v>
      </c>
      <c r="G3064" t="s">
        <v>1436</v>
      </c>
      <c r="H3064" t="s">
        <v>3942</v>
      </c>
      <c r="J3064" t="s">
        <v>3962</v>
      </c>
      <c r="K3064" t="s">
        <v>519</v>
      </c>
      <c r="M3064" t="s">
        <v>1297</v>
      </c>
      <c r="N3064" t="s">
        <v>557</v>
      </c>
      <c r="O3064" t="s">
        <v>1437</v>
      </c>
      <c r="P3064" t="s">
        <v>523</v>
      </c>
      <c r="Q3064" t="s">
        <v>1299</v>
      </c>
      <c r="R3064" t="s">
        <v>1300</v>
      </c>
      <c r="S3064" t="s">
        <v>1438</v>
      </c>
      <c r="T3064" t="s">
        <v>1235</v>
      </c>
      <c r="U3064">
        <v>169200</v>
      </c>
      <c r="V3064" t="s">
        <v>1436</v>
      </c>
      <c r="W3064" t="s">
        <v>1439</v>
      </c>
      <c r="X3064" t="s">
        <v>13979</v>
      </c>
      <c r="Y3064" t="s">
        <v>17306</v>
      </c>
      <c r="AA3064" t="s">
        <v>9347</v>
      </c>
      <c r="AB3064" t="s">
        <v>13976</v>
      </c>
      <c r="AE3064">
        <v>-37.375272940000002</v>
      </c>
      <c r="AF3064">
        <v>175.68200265999999</v>
      </c>
      <c r="AG3064">
        <v>60</v>
      </c>
      <c r="AH3064">
        <v>20</v>
      </c>
      <c r="AI3064">
        <v>0</v>
      </c>
      <c r="AJ3064">
        <v>9</v>
      </c>
      <c r="AK3064">
        <v>11</v>
      </c>
      <c r="AL3064">
        <v>19</v>
      </c>
      <c r="AM3064">
        <v>14</v>
      </c>
      <c r="AN3064">
        <v>1</v>
      </c>
      <c r="AO3064">
        <v>54</v>
      </c>
      <c r="AP3064">
        <v>42</v>
      </c>
      <c r="AQ3064">
        <v>15</v>
      </c>
      <c r="AR3064">
        <v>4</v>
      </c>
      <c r="AS3064">
        <v>6</v>
      </c>
      <c r="AT3064">
        <v>2</v>
      </c>
    </row>
    <row r="3065" spans="1:46">
      <c r="A3065">
        <v>47845</v>
      </c>
      <c r="B3065" t="s">
        <v>17307</v>
      </c>
      <c r="C3065" t="s">
        <v>17308</v>
      </c>
      <c r="D3065" t="s">
        <v>17309</v>
      </c>
      <c r="E3065" t="s">
        <v>17310</v>
      </c>
      <c r="G3065" t="s">
        <v>4387</v>
      </c>
      <c r="H3065" t="s">
        <v>3942</v>
      </c>
      <c r="J3065" t="s">
        <v>3962</v>
      </c>
      <c r="K3065" t="s">
        <v>519</v>
      </c>
      <c r="M3065" t="s">
        <v>520</v>
      </c>
      <c r="N3065" t="s">
        <v>571</v>
      </c>
      <c r="O3065" t="s">
        <v>637</v>
      </c>
      <c r="P3065" t="s">
        <v>572</v>
      </c>
      <c r="Q3065" t="s">
        <v>638</v>
      </c>
      <c r="R3065" t="s">
        <v>639</v>
      </c>
      <c r="S3065" t="s">
        <v>640</v>
      </c>
      <c r="T3065" t="s">
        <v>527</v>
      </c>
      <c r="U3065">
        <v>116101</v>
      </c>
      <c r="V3065" t="s">
        <v>4388</v>
      </c>
      <c r="W3065" t="s">
        <v>641</v>
      </c>
      <c r="X3065" t="s">
        <v>17311</v>
      </c>
      <c r="Y3065" t="s">
        <v>17312</v>
      </c>
      <c r="AA3065" t="s">
        <v>17313</v>
      </c>
      <c r="AB3065" t="s">
        <v>17308</v>
      </c>
      <c r="AE3065">
        <v>-36.788900419999997</v>
      </c>
      <c r="AF3065">
        <v>174.57652282999999</v>
      </c>
      <c r="AG3065">
        <v>120</v>
      </c>
      <c r="AH3065">
        <v>32</v>
      </c>
      <c r="AI3065">
        <v>6</v>
      </c>
      <c r="AJ3065">
        <v>25</v>
      </c>
      <c r="AK3065">
        <v>21</v>
      </c>
      <c r="AL3065">
        <v>39</v>
      </c>
      <c r="AM3065">
        <v>30</v>
      </c>
      <c r="AN3065">
        <v>1</v>
      </c>
      <c r="AO3065">
        <v>122</v>
      </c>
      <c r="AP3065">
        <v>107</v>
      </c>
      <c r="AQ3065">
        <v>22</v>
      </c>
      <c r="AR3065">
        <v>12</v>
      </c>
      <c r="AS3065">
        <v>13</v>
      </c>
      <c r="AT3065">
        <v>10</v>
      </c>
    </row>
    <row r="3066" spans="1:46">
      <c r="A3066">
        <v>47846</v>
      </c>
      <c r="B3066" t="s">
        <v>17314</v>
      </c>
      <c r="C3066" t="s">
        <v>17315</v>
      </c>
      <c r="E3066" t="s">
        <v>17316</v>
      </c>
      <c r="F3066" t="s">
        <v>919</v>
      </c>
      <c r="G3066" t="s">
        <v>652</v>
      </c>
      <c r="H3066" t="s">
        <v>3942</v>
      </c>
      <c r="J3066" t="s">
        <v>3962</v>
      </c>
      <c r="K3066" t="s">
        <v>519</v>
      </c>
      <c r="M3066" t="s">
        <v>520</v>
      </c>
      <c r="N3066" t="s">
        <v>571</v>
      </c>
      <c r="O3066" t="s">
        <v>1168</v>
      </c>
      <c r="P3066" t="s">
        <v>654</v>
      </c>
      <c r="Q3066" t="s">
        <v>638</v>
      </c>
      <c r="R3066" t="s">
        <v>639</v>
      </c>
      <c r="S3066" t="s">
        <v>739</v>
      </c>
      <c r="T3066" t="s">
        <v>527</v>
      </c>
      <c r="U3066">
        <v>119201</v>
      </c>
      <c r="V3066" t="s">
        <v>919</v>
      </c>
      <c r="W3066" t="s">
        <v>657</v>
      </c>
      <c r="X3066" t="s">
        <v>17317</v>
      </c>
      <c r="Y3066" t="s">
        <v>17293</v>
      </c>
      <c r="Z3066" t="s">
        <v>1096</v>
      </c>
      <c r="AA3066" t="s">
        <v>4077</v>
      </c>
      <c r="AB3066" t="s">
        <v>17318</v>
      </c>
      <c r="AE3066">
        <v>-36.804835310000001</v>
      </c>
      <c r="AF3066">
        <v>174.63760439999999</v>
      </c>
      <c r="AG3066">
        <v>150</v>
      </c>
      <c r="AH3066">
        <v>35</v>
      </c>
      <c r="AI3066">
        <v>10</v>
      </c>
      <c r="AJ3066">
        <v>26</v>
      </c>
      <c r="AK3066">
        <v>37</v>
      </c>
      <c r="AL3066">
        <v>33</v>
      </c>
      <c r="AM3066">
        <v>36</v>
      </c>
      <c r="AN3066">
        <v>0</v>
      </c>
      <c r="AO3066">
        <v>142</v>
      </c>
      <c r="AP3066">
        <v>75</v>
      </c>
      <c r="AQ3066">
        <v>8</v>
      </c>
      <c r="AR3066">
        <v>7</v>
      </c>
      <c r="AS3066">
        <v>64</v>
      </c>
      <c r="AT3066">
        <v>11</v>
      </c>
    </row>
    <row r="3067" spans="1:46">
      <c r="A3067">
        <v>47847</v>
      </c>
      <c r="B3067" t="s">
        <v>17319</v>
      </c>
      <c r="C3067" t="s">
        <v>17320</v>
      </c>
      <c r="D3067" t="s">
        <v>17321</v>
      </c>
      <c r="E3067" t="s">
        <v>17322</v>
      </c>
      <c r="F3067" t="s">
        <v>1036</v>
      </c>
      <c r="G3067" t="s">
        <v>652</v>
      </c>
      <c r="H3067" t="s">
        <v>3942</v>
      </c>
      <c r="J3067" t="s">
        <v>3962</v>
      </c>
      <c r="K3067" t="s">
        <v>519</v>
      </c>
      <c r="M3067" t="s">
        <v>520</v>
      </c>
      <c r="N3067" t="s">
        <v>521</v>
      </c>
      <c r="O3067" t="s">
        <v>1216</v>
      </c>
      <c r="P3067" t="s">
        <v>654</v>
      </c>
      <c r="Q3067" t="s">
        <v>638</v>
      </c>
      <c r="R3067" t="s">
        <v>729</v>
      </c>
      <c r="S3067" t="s">
        <v>1217</v>
      </c>
      <c r="T3067" t="s">
        <v>709</v>
      </c>
      <c r="U3067">
        <v>161201</v>
      </c>
      <c r="V3067" t="s">
        <v>7908</v>
      </c>
      <c r="W3067" t="s">
        <v>1219</v>
      </c>
      <c r="X3067" t="s">
        <v>7616</v>
      </c>
      <c r="Y3067" t="s">
        <v>7617</v>
      </c>
      <c r="Z3067" t="s">
        <v>3945</v>
      </c>
      <c r="AA3067" t="s">
        <v>4585</v>
      </c>
      <c r="AE3067">
        <v>-37.035610570000003</v>
      </c>
      <c r="AF3067">
        <v>174.89752594000001</v>
      </c>
      <c r="AG3067">
        <v>60</v>
      </c>
      <c r="AH3067">
        <v>10</v>
      </c>
      <c r="AI3067">
        <v>2</v>
      </c>
      <c r="AJ3067">
        <v>8</v>
      </c>
      <c r="AK3067">
        <v>6</v>
      </c>
      <c r="AL3067">
        <v>10</v>
      </c>
      <c r="AM3067">
        <v>22</v>
      </c>
      <c r="AN3067">
        <v>0</v>
      </c>
      <c r="AO3067">
        <v>48</v>
      </c>
      <c r="AP3067">
        <v>6</v>
      </c>
      <c r="AQ3067">
        <v>10</v>
      </c>
      <c r="AR3067">
        <v>28</v>
      </c>
      <c r="AS3067">
        <v>14</v>
      </c>
      <c r="AT3067">
        <v>2</v>
      </c>
    </row>
    <row r="3068" spans="1:46">
      <c r="A3068">
        <v>47849</v>
      </c>
      <c r="B3068" t="s">
        <v>17323</v>
      </c>
      <c r="C3068" t="s">
        <v>17324</v>
      </c>
      <c r="E3068" t="s">
        <v>17325</v>
      </c>
      <c r="G3068" t="s">
        <v>1987</v>
      </c>
      <c r="H3068" t="s">
        <v>3942</v>
      </c>
      <c r="J3068" t="s">
        <v>3962</v>
      </c>
      <c r="K3068" t="s">
        <v>519</v>
      </c>
      <c r="M3068" t="s">
        <v>1297</v>
      </c>
      <c r="N3068" t="s">
        <v>571</v>
      </c>
      <c r="O3068" t="s">
        <v>1988</v>
      </c>
      <c r="P3068" t="s">
        <v>1262</v>
      </c>
      <c r="Q3068" t="s">
        <v>1636</v>
      </c>
      <c r="R3068" t="s">
        <v>1760</v>
      </c>
      <c r="S3068" t="s">
        <v>1637</v>
      </c>
      <c r="T3068" t="s">
        <v>1485</v>
      </c>
      <c r="U3068">
        <v>228400</v>
      </c>
      <c r="V3068" t="s">
        <v>12551</v>
      </c>
      <c r="W3068" t="s">
        <v>1990</v>
      </c>
      <c r="X3068" t="s">
        <v>17326</v>
      </c>
      <c r="Y3068" t="s">
        <v>4107</v>
      </c>
      <c r="AA3068" t="s">
        <v>3982</v>
      </c>
      <c r="AB3068" t="s">
        <v>17327</v>
      </c>
      <c r="AE3068">
        <v>-40.229140209999997</v>
      </c>
      <c r="AF3068">
        <v>175.56868752</v>
      </c>
      <c r="AG3068">
        <v>79</v>
      </c>
      <c r="AH3068">
        <v>30</v>
      </c>
      <c r="AI3068">
        <v>3</v>
      </c>
      <c r="AJ3068">
        <v>22</v>
      </c>
      <c r="AK3068">
        <v>23</v>
      </c>
      <c r="AL3068">
        <v>26</v>
      </c>
      <c r="AM3068">
        <v>13</v>
      </c>
      <c r="AN3068">
        <v>0</v>
      </c>
      <c r="AO3068">
        <v>87</v>
      </c>
      <c r="AP3068">
        <v>72</v>
      </c>
      <c r="AQ3068">
        <v>16</v>
      </c>
      <c r="AR3068">
        <v>2</v>
      </c>
      <c r="AS3068">
        <v>8</v>
      </c>
      <c r="AT3068">
        <v>4</v>
      </c>
    </row>
    <row r="3069" spans="1:46">
      <c r="A3069">
        <v>47850</v>
      </c>
      <c r="B3069" t="s">
        <v>17328</v>
      </c>
      <c r="C3069" t="s">
        <v>11249</v>
      </c>
      <c r="D3069" t="s">
        <v>17329</v>
      </c>
      <c r="E3069" t="s">
        <v>17330</v>
      </c>
      <c r="F3069" t="s">
        <v>898</v>
      </c>
      <c r="G3069" t="s">
        <v>652</v>
      </c>
      <c r="H3069" t="s">
        <v>3942</v>
      </c>
      <c r="J3069" t="s">
        <v>3962</v>
      </c>
      <c r="K3069" t="s">
        <v>519</v>
      </c>
      <c r="M3069" t="s">
        <v>520</v>
      </c>
      <c r="N3069" t="s">
        <v>539</v>
      </c>
      <c r="O3069" t="s">
        <v>813</v>
      </c>
      <c r="P3069" t="s">
        <v>654</v>
      </c>
      <c r="Q3069" t="s">
        <v>638</v>
      </c>
      <c r="R3069" t="s">
        <v>639</v>
      </c>
      <c r="S3069" t="s">
        <v>899</v>
      </c>
      <c r="T3069" t="s">
        <v>527</v>
      </c>
      <c r="U3069">
        <v>125701</v>
      </c>
      <c r="V3069" t="s">
        <v>5792</v>
      </c>
      <c r="W3069" t="s">
        <v>815</v>
      </c>
      <c r="X3069" t="s">
        <v>11248</v>
      </c>
      <c r="Y3069" t="s">
        <v>17330</v>
      </c>
      <c r="Z3069" t="s">
        <v>898</v>
      </c>
      <c r="AA3069" t="s">
        <v>4307</v>
      </c>
      <c r="AB3069" t="s">
        <v>11249</v>
      </c>
      <c r="AE3069">
        <v>-36.865839540000003</v>
      </c>
      <c r="AF3069">
        <v>174.62147078000001</v>
      </c>
      <c r="AG3069">
        <v>56</v>
      </c>
      <c r="AH3069">
        <v>9</v>
      </c>
      <c r="AI3069">
        <v>0</v>
      </c>
      <c r="AJ3069">
        <v>2</v>
      </c>
      <c r="AK3069">
        <v>9</v>
      </c>
      <c r="AL3069">
        <v>13</v>
      </c>
      <c r="AM3069">
        <v>7</v>
      </c>
      <c r="AN3069">
        <v>1</v>
      </c>
      <c r="AO3069">
        <v>32</v>
      </c>
      <c r="AP3069">
        <v>8</v>
      </c>
      <c r="AQ3069">
        <v>5</v>
      </c>
      <c r="AR3069">
        <v>5</v>
      </c>
      <c r="AS3069">
        <v>19</v>
      </c>
      <c r="AT3069">
        <v>2</v>
      </c>
    </row>
    <row r="3070" spans="1:46">
      <c r="A3070">
        <v>47851</v>
      </c>
      <c r="B3070" t="s">
        <v>17331</v>
      </c>
      <c r="C3070" t="s">
        <v>17332</v>
      </c>
      <c r="D3070" t="s">
        <v>17333</v>
      </c>
      <c r="E3070" t="s">
        <v>17334</v>
      </c>
      <c r="G3070" t="s">
        <v>4509</v>
      </c>
      <c r="H3070" t="s">
        <v>3942</v>
      </c>
      <c r="J3070" t="s">
        <v>3962</v>
      </c>
      <c r="K3070" t="s">
        <v>519</v>
      </c>
      <c r="M3070" t="s">
        <v>520</v>
      </c>
      <c r="N3070" t="s">
        <v>571</v>
      </c>
      <c r="O3070" t="s">
        <v>653</v>
      </c>
      <c r="P3070" t="s">
        <v>584</v>
      </c>
      <c r="Q3070" t="s">
        <v>638</v>
      </c>
      <c r="R3070" t="s">
        <v>639</v>
      </c>
      <c r="S3070" t="s">
        <v>668</v>
      </c>
      <c r="T3070" t="s">
        <v>527</v>
      </c>
      <c r="U3070">
        <v>113800</v>
      </c>
      <c r="V3070" t="s">
        <v>7220</v>
      </c>
      <c r="W3070" t="s">
        <v>657</v>
      </c>
      <c r="X3070" t="s">
        <v>17317</v>
      </c>
      <c r="Y3070" t="s">
        <v>17293</v>
      </c>
      <c r="Z3070" t="s">
        <v>1096</v>
      </c>
      <c r="AA3070" t="s">
        <v>4077</v>
      </c>
      <c r="AB3070" t="s">
        <v>17318</v>
      </c>
      <c r="AE3070">
        <v>-36.620094289999997</v>
      </c>
      <c r="AF3070">
        <v>174.67047889</v>
      </c>
      <c r="AG3070">
        <v>150</v>
      </c>
      <c r="AH3070">
        <v>32</v>
      </c>
      <c r="AI3070">
        <v>5</v>
      </c>
      <c r="AJ3070">
        <v>35</v>
      </c>
      <c r="AK3070">
        <v>28</v>
      </c>
      <c r="AL3070">
        <v>28</v>
      </c>
      <c r="AM3070">
        <v>24</v>
      </c>
      <c r="AN3070">
        <v>1</v>
      </c>
      <c r="AO3070">
        <v>121</v>
      </c>
      <c r="AP3070">
        <v>105</v>
      </c>
      <c r="AQ3070">
        <v>13</v>
      </c>
      <c r="AR3070">
        <v>8</v>
      </c>
      <c r="AS3070">
        <v>15</v>
      </c>
      <c r="AT3070">
        <v>5</v>
      </c>
    </row>
    <row r="3071" spans="1:46">
      <c r="A3071">
        <v>47852</v>
      </c>
      <c r="B3071" t="s">
        <v>17335</v>
      </c>
      <c r="C3071" t="s">
        <v>17336</v>
      </c>
      <c r="E3071" t="s">
        <v>12138</v>
      </c>
      <c r="F3071" t="s">
        <v>2852</v>
      </c>
      <c r="G3071" t="s">
        <v>2853</v>
      </c>
      <c r="H3071" t="s">
        <v>4716</v>
      </c>
      <c r="J3071" t="s">
        <v>3962</v>
      </c>
      <c r="K3071" t="s">
        <v>519</v>
      </c>
      <c r="M3071" t="s">
        <v>2287</v>
      </c>
      <c r="N3071" t="s">
        <v>571</v>
      </c>
      <c r="O3071" t="s">
        <v>2854</v>
      </c>
      <c r="P3071" t="s">
        <v>584</v>
      </c>
      <c r="Q3071" t="s">
        <v>2855</v>
      </c>
      <c r="R3071" t="s">
        <v>2824</v>
      </c>
      <c r="S3071" t="s">
        <v>2853</v>
      </c>
      <c r="T3071" t="s">
        <v>2448</v>
      </c>
      <c r="U3071">
        <v>304400</v>
      </c>
      <c r="V3071" t="s">
        <v>2856</v>
      </c>
      <c r="W3071" t="s">
        <v>2857</v>
      </c>
      <c r="X3071" t="s">
        <v>14061</v>
      </c>
      <c r="Y3071" t="s">
        <v>12138</v>
      </c>
      <c r="Z3071" t="s">
        <v>2852</v>
      </c>
      <c r="AA3071" t="s">
        <v>11528</v>
      </c>
      <c r="AB3071" t="s">
        <v>14062</v>
      </c>
      <c r="AE3071">
        <v>-41.307494429999998</v>
      </c>
      <c r="AF3071">
        <v>173.22951463999999</v>
      </c>
      <c r="AG3071">
        <v>50</v>
      </c>
      <c r="AH3071">
        <v>50</v>
      </c>
      <c r="AI3071">
        <v>0</v>
      </c>
      <c r="AJ3071">
        <v>4</v>
      </c>
      <c r="AK3071">
        <v>7</v>
      </c>
      <c r="AL3071">
        <v>1</v>
      </c>
      <c r="AM3071">
        <v>3</v>
      </c>
      <c r="AN3071">
        <v>2</v>
      </c>
      <c r="AO3071">
        <v>17</v>
      </c>
      <c r="AP3071">
        <v>16</v>
      </c>
      <c r="AQ3071">
        <v>3</v>
      </c>
      <c r="AR3071">
        <v>0</v>
      </c>
      <c r="AS3071">
        <v>1</v>
      </c>
      <c r="AT3071">
        <v>0</v>
      </c>
    </row>
    <row r="3072" spans="1:46">
      <c r="A3072">
        <v>47853</v>
      </c>
      <c r="B3072" t="s">
        <v>17337</v>
      </c>
      <c r="C3072" t="s">
        <v>13791</v>
      </c>
      <c r="E3072" t="s">
        <v>17338</v>
      </c>
      <c r="F3072" t="s">
        <v>17339</v>
      </c>
      <c r="G3072" t="s">
        <v>3261</v>
      </c>
      <c r="H3072" t="s">
        <v>298</v>
      </c>
      <c r="J3072" t="s">
        <v>518</v>
      </c>
      <c r="K3072" t="s">
        <v>519</v>
      </c>
      <c r="M3072" t="s">
        <v>2287</v>
      </c>
      <c r="N3072" t="s">
        <v>571</v>
      </c>
      <c r="O3072" t="s">
        <v>3249</v>
      </c>
      <c r="P3072" t="s">
        <v>1262</v>
      </c>
      <c r="Q3072" t="s">
        <v>2943</v>
      </c>
      <c r="R3072" t="s">
        <v>2944</v>
      </c>
      <c r="S3072" t="s">
        <v>3219</v>
      </c>
      <c r="T3072" t="s">
        <v>2448</v>
      </c>
      <c r="U3072">
        <v>341300</v>
      </c>
      <c r="V3072" t="s">
        <v>17339</v>
      </c>
      <c r="W3072" t="s">
        <v>3263</v>
      </c>
      <c r="X3072" t="s">
        <v>13795</v>
      </c>
      <c r="Y3072" t="s">
        <v>5187</v>
      </c>
      <c r="AA3072" t="s">
        <v>5188</v>
      </c>
      <c r="AB3072" t="s">
        <v>13796</v>
      </c>
      <c r="AE3072">
        <v>-44.404114300000003</v>
      </c>
      <c r="AF3072">
        <v>171.24215172999999</v>
      </c>
      <c r="AG3072">
        <v>30</v>
      </c>
      <c r="AH3072">
        <v>15</v>
      </c>
      <c r="AI3072">
        <v>1</v>
      </c>
      <c r="AJ3072">
        <v>4</v>
      </c>
      <c r="AK3072">
        <v>4</v>
      </c>
      <c r="AL3072">
        <v>3</v>
      </c>
      <c r="AM3072">
        <v>3</v>
      </c>
      <c r="AN3072">
        <v>0</v>
      </c>
      <c r="AO3072">
        <v>15</v>
      </c>
      <c r="AP3072">
        <v>15</v>
      </c>
      <c r="AQ3072">
        <v>0</v>
      </c>
      <c r="AR3072">
        <v>0</v>
      </c>
      <c r="AS3072">
        <v>0</v>
      </c>
      <c r="AT3072">
        <v>0</v>
      </c>
    </row>
    <row r="3073" spans="1:46">
      <c r="A3073">
        <v>47854</v>
      </c>
      <c r="B3073" t="s">
        <v>17340</v>
      </c>
      <c r="C3073" t="s">
        <v>17341</v>
      </c>
      <c r="E3073" t="s">
        <v>17342</v>
      </c>
      <c r="F3073" t="s">
        <v>1427</v>
      </c>
      <c r="G3073" t="s">
        <v>1296</v>
      </c>
      <c r="H3073" t="s">
        <v>3942</v>
      </c>
      <c r="J3073" t="s">
        <v>518</v>
      </c>
      <c r="K3073" t="s">
        <v>519</v>
      </c>
      <c r="M3073" t="s">
        <v>1297</v>
      </c>
      <c r="N3073" t="s">
        <v>571</v>
      </c>
      <c r="O3073" t="s">
        <v>1298</v>
      </c>
      <c r="P3073" t="s">
        <v>654</v>
      </c>
      <c r="Q3073" t="s">
        <v>1299</v>
      </c>
      <c r="R3073" t="s">
        <v>1300</v>
      </c>
      <c r="S3073" t="s">
        <v>1301</v>
      </c>
      <c r="T3073" t="s">
        <v>1235</v>
      </c>
      <c r="U3073">
        <v>181101</v>
      </c>
      <c r="V3073" t="s">
        <v>8414</v>
      </c>
      <c r="W3073" t="s">
        <v>1303</v>
      </c>
      <c r="X3073" t="s">
        <v>8377</v>
      </c>
      <c r="Y3073" t="s">
        <v>3944</v>
      </c>
      <c r="Z3073" t="s">
        <v>3945</v>
      </c>
      <c r="AA3073" t="s">
        <v>3946</v>
      </c>
      <c r="AB3073" t="s">
        <v>8378</v>
      </c>
      <c r="AE3073">
        <v>-37.822900869999998</v>
      </c>
      <c r="AF3073">
        <v>175.3017304</v>
      </c>
      <c r="AG3073">
        <v>70</v>
      </c>
      <c r="AH3073">
        <v>13</v>
      </c>
      <c r="AI3073">
        <v>3</v>
      </c>
      <c r="AJ3073">
        <v>15</v>
      </c>
      <c r="AK3073">
        <v>19</v>
      </c>
      <c r="AL3073">
        <v>23</v>
      </c>
      <c r="AM3073">
        <v>29</v>
      </c>
      <c r="AN3073">
        <v>1</v>
      </c>
      <c r="AO3073">
        <v>90</v>
      </c>
      <c r="AP3073">
        <v>28</v>
      </c>
      <c r="AQ3073">
        <v>14</v>
      </c>
      <c r="AR3073">
        <v>6</v>
      </c>
      <c r="AS3073">
        <v>62</v>
      </c>
      <c r="AT3073">
        <v>4</v>
      </c>
    </row>
    <row r="3074" spans="1:46">
      <c r="A3074">
        <v>47857</v>
      </c>
      <c r="B3074" t="s">
        <v>17343</v>
      </c>
      <c r="C3074" t="s">
        <v>17344</v>
      </c>
      <c r="E3074" t="s">
        <v>17345</v>
      </c>
      <c r="F3074" t="s">
        <v>763</v>
      </c>
      <c r="G3074" t="s">
        <v>652</v>
      </c>
      <c r="H3074" t="s">
        <v>343</v>
      </c>
      <c r="J3074" t="s">
        <v>518</v>
      </c>
      <c r="K3074" t="s">
        <v>519</v>
      </c>
      <c r="L3074" t="s">
        <v>4205</v>
      </c>
      <c r="M3074" t="s">
        <v>520</v>
      </c>
      <c r="N3074" t="s">
        <v>571</v>
      </c>
      <c r="O3074" t="s">
        <v>738</v>
      </c>
      <c r="P3074" t="s">
        <v>654</v>
      </c>
      <c r="Q3074" t="s">
        <v>638</v>
      </c>
      <c r="R3074" t="s">
        <v>639</v>
      </c>
      <c r="S3074" t="s">
        <v>756</v>
      </c>
      <c r="T3074" t="s">
        <v>527</v>
      </c>
      <c r="U3074">
        <v>122802</v>
      </c>
      <c r="V3074" t="s">
        <v>5767</v>
      </c>
      <c r="W3074" t="s">
        <v>741</v>
      </c>
      <c r="X3074" t="s">
        <v>6607</v>
      </c>
      <c r="Y3074" t="s">
        <v>4208</v>
      </c>
      <c r="Z3074" t="s">
        <v>4209</v>
      </c>
      <c r="AA3074" t="s">
        <v>4210</v>
      </c>
      <c r="AB3074" t="s">
        <v>6608</v>
      </c>
      <c r="AE3074">
        <v>-36.799328520000003</v>
      </c>
      <c r="AF3074">
        <v>174.70144733999999</v>
      </c>
      <c r="AG3074">
        <v>45</v>
      </c>
      <c r="AH3074">
        <v>12</v>
      </c>
      <c r="AI3074">
        <v>1</v>
      </c>
      <c r="AJ3074">
        <v>6</v>
      </c>
      <c r="AK3074">
        <v>14</v>
      </c>
      <c r="AL3074">
        <v>10</v>
      </c>
      <c r="AM3074">
        <v>8</v>
      </c>
      <c r="AN3074">
        <v>0</v>
      </c>
      <c r="AO3074">
        <v>39</v>
      </c>
      <c r="AP3074">
        <v>0</v>
      </c>
      <c r="AQ3074">
        <v>38</v>
      </c>
      <c r="AR3074">
        <v>0</v>
      </c>
      <c r="AS3074">
        <v>0</v>
      </c>
      <c r="AT3074">
        <v>1</v>
      </c>
    </row>
    <row r="3075" spans="1:46">
      <c r="A3075">
        <v>47861</v>
      </c>
      <c r="B3075" t="s">
        <v>17346</v>
      </c>
      <c r="C3075" t="s">
        <v>17347</v>
      </c>
      <c r="D3075" t="s">
        <v>17348</v>
      </c>
      <c r="E3075" t="s">
        <v>17349</v>
      </c>
      <c r="F3075" t="s">
        <v>1177</v>
      </c>
      <c r="G3075" t="s">
        <v>652</v>
      </c>
      <c r="H3075" t="s">
        <v>4716</v>
      </c>
      <c r="J3075" t="s">
        <v>3962</v>
      </c>
      <c r="K3075" t="s">
        <v>519</v>
      </c>
      <c r="M3075" t="s">
        <v>520</v>
      </c>
      <c r="N3075" t="s">
        <v>571</v>
      </c>
      <c r="O3075" t="s">
        <v>748</v>
      </c>
      <c r="P3075" t="s">
        <v>654</v>
      </c>
      <c r="Q3075" t="s">
        <v>638</v>
      </c>
      <c r="R3075" t="s">
        <v>639</v>
      </c>
      <c r="S3075" t="s">
        <v>682</v>
      </c>
      <c r="T3075" t="s">
        <v>527</v>
      </c>
      <c r="U3075">
        <v>126801</v>
      </c>
      <c r="V3075" t="s">
        <v>1178</v>
      </c>
      <c r="W3075" t="s">
        <v>741</v>
      </c>
      <c r="X3075" t="s">
        <v>4909</v>
      </c>
      <c r="Y3075" t="s">
        <v>17349</v>
      </c>
      <c r="Z3075" t="s">
        <v>1177</v>
      </c>
      <c r="AA3075" t="s">
        <v>4289</v>
      </c>
      <c r="AE3075">
        <v>-36.792996029999998</v>
      </c>
      <c r="AF3075">
        <v>174.77127770000001</v>
      </c>
      <c r="AG3075">
        <v>80</v>
      </c>
      <c r="AH3075">
        <v>80</v>
      </c>
      <c r="AI3075">
        <v>15</v>
      </c>
      <c r="AJ3075">
        <v>17</v>
      </c>
      <c r="AK3075">
        <v>13</v>
      </c>
      <c r="AL3075">
        <v>9</v>
      </c>
      <c r="AM3075">
        <v>8</v>
      </c>
      <c r="AN3075">
        <v>0</v>
      </c>
      <c r="AO3075">
        <v>62</v>
      </c>
      <c r="AP3075">
        <v>4</v>
      </c>
      <c r="AQ3075">
        <v>0</v>
      </c>
      <c r="AR3075">
        <v>0</v>
      </c>
      <c r="AS3075">
        <v>61</v>
      </c>
      <c r="AT3075">
        <v>0</v>
      </c>
    </row>
    <row r="3076" spans="1:46">
      <c r="A3076">
        <v>47862</v>
      </c>
      <c r="B3076" t="s">
        <v>17350</v>
      </c>
      <c r="C3076" t="s">
        <v>17351</v>
      </c>
      <c r="E3076" t="s">
        <v>17352</v>
      </c>
      <c r="G3076" t="s">
        <v>8817</v>
      </c>
      <c r="H3076" t="s">
        <v>3942</v>
      </c>
      <c r="J3076" t="s">
        <v>3962</v>
      </c>
      <c r="K3076" t="s">
        <v>519</v>
      </c>
      <c r="M3076" t="s">
        <v>1297</v>
      </c>
      <c r="N3076" t="s">
        <v>557</v>
      </c>
      <c r="O3076" t="s">
        <v>1351</v>
      </c>
      <c r="P3076" t="s">
        <v>540</v>
      </c>
      <c r="Q3076" t="s">
        <v>1299</v>
      </c>
      <c r="R3076" t="s">
        <v>1300</v>
      </c>
      <c r="S3076" t="s">
        <v>1417</v>
      </c>
      <c r="T3076" t="s">
        <v>1235</v>
      </c>
      <c r="U3076">
        <v>172601</v>
      </c>
      <c r="V3076" t="s">
        <v>8817</v>
      </c>
      <c r="W3076" t="s">
        <v>1353</v>
      </c>
      <c r="X3076" t="s">
        <v>9115</v>
      </c>
      <c r="Y3076" t="s">
        <v>9116</v>
      </c>
      <c r="Z3076" t="s">
        <v>4125</v>
      </c>
      <c r="AA3076" t="s">
        <v>4564</v>
      </c>
      <c r="AB3076" t="s">
        <v>9117</v>
      </c>
      <c r="AE3076">
        <v>-37.70588497</v>
      </c>
      <c r="AF3076">
        <v>175.20270360999999</v>
      </c>
      <c r="AG3076">
        <v>100</v>
      </c>
      <c r="AH3076">
        <v>30</v>
      </c>
      <c r="AI3076">
        <v>1</v>
      </c>
      <c r="AJ3076">
        <v>11</v>
      </c>
      <c r="AK3076">
        <v>14</v>
      </c>
      <c r="AL3076">
        <v>14</v>
      </c>
      <c r="AM3076">
        <v>16</v>
      </c>
      <c r="AN3076">
        <v>0</v>
      </c>
      <c r="AO3076">
        <v>56</v>
      </c>
      <c r="AP3076">
        <v>23</v>
      </c>
      <c r="AQ3076">
        <v>11</v>
      </c>
      <c r="AR3076">
        <v>2</v>
      </c>
      <c r="AS3076">
        <v>20</v>
      </c>
      <c r="AT3076">
        <v>0</v>
      </c>
    </row>
    <row r="3077" spans="1:46">
      <c r="A3077">
        <v>47863</v>
      </c>
      <c r="B3077" t="s">
        <v>17353</v>
      </c>
      <c r="C3077" t="s">
        <v>17354</v>
      </c>
      <c r="D3077" t="s">
        <v>17355</v>
      </c>
      <c r="E3077" t="s">
        <v>11647</v>
      </c>
      <c r="F3077" t="s">
        <v>11648</v>
      </c>
      <c r="G3077" t="s">
        <v>2197</v>
      </c>
      <c r="H3077" t="s">
        <v>4716</v>
      </c>
      <c r="J3077" t="s">
        <v>3962</v>
      </c>
      <c r="K3077" t="s">
        <v>519</v>
      </c>
      <c r="M3077" t="s">
        <v>2287</v>
      </c>
      <c r="N3077" t="s">
        <v>571</v>
      </c>
      <c r="O3077" t="s">
        <v>2198</v>
      </c>
      <c r="P3077" t="s">
        <v>584</v>
      </c>
      <c r="Q3077" t="s">
        <v>2118</v>
      </c>
      <c r="R3077" t="s">
        <v>2824</v>
      </c>
      <c r="S3077" t="s">
        <v>2199</v>
      </c>
      <c r="T3077" t="s">
        <v>2085</v>
      </c>
      <c r="U3077">
        <v>210500</v>
      </c>
      <c r="V3077" t="s">
        <v>11648</v>
      </c>
      <c r="W3077" t="s">
        <v>2200</v>
      </c>
      <c r="X3077" t="s">
        <v>17356</v>
      </c>
      <c r="Y3077" t="s">
        <v>11647</v>
      </c>
      <c r="AA3077" t="s">
        <v>11650</v>
      </c>
      <c r="AE3077">
        <v>-39.641745919999998</v>
      </c>
      <c r="AF3077">
        <v>176.84603200999999</v>
      </c>
      <c r="AG3077">
        <v>50</v>
      </c>
      <c r="AH3077">
        <v>50</v>
      </c>
      <c r="AI3077">
        <v>0</v>
      </c>
      <c r="AJ3077">
        <v>8</v>
      </c>
      <c r="AK3077">
        <v>8</v>
      </c>
      <c r="AL3077">
        <v>7</v>
      </c>
      <c r="AM3077">
        <v>11</v>
      </c>
      <c r="AN3077">
        <v>0</v>
      </c>
      <c r="AO3077">
        <v>34</v>
      </c>
      <c r="AP3077">
        <v>34</v>
      </c>
      <c r="AQ3077">
        <v>4</v>
      </c>
      <c r="AR3077">
        <v>3</v>
      </c>
      <c r="AS3077">
        <v>1</v>
      </c>
      <c r="AT3077">
        <v>0</v>
      </c>
    </row>
    <row r="3078" spans="1:46">
      <c r="A3078">
        <v>47864</v>
      </c>
      <c r="B3078" t="s">
        <v>17357</v>
      </c>
      <c r="C3078" t="s">
        <v>10643</v>
      </c>
      <c r="E3078" t="s">
        <v>17358</v>
      </c>
      <c r="G3078" t="s">
        <v>1598</v>
      </c>
      <c r="H3078" t="s">
        <v>3942</v>
      </c>
      <c r="J3078" t="s">
        <v>3962</v>
      </c>
      <c r="K3078" t="s">
        <v>519</v>
      </c>
      <c r="M3078" t="s">
        <v>1297</v>
      </c>
      <c r="N3078" t="s">
        <v>571</v>
      </c>
      <c r="O3078" t="s">
        <v>1698</v>
      </c>
      <c r="P3078" t="s">
        <v>654</v>
      </c>
      <c r="Q3078" t="s">
        <v>1471</v>
      </c>
      <c r="R3078" t="s">
        <v>1472</v>
      </c>
      <c r="S3078" t="s">
        <v>1598</v>
      </c>
      <c r="T3078" t="s">
        <v>1474</v>
      </c>
      <c r="U3078">
        <v>193800</v>
      </c>
      <c r="V3078" t="s">
        <v>8402</v>
      </c>
      <c r="W3078" t="s">
        <v>3724</v>
      </c>
      <c r="X3078" t="s">
        <v>14942</v>
      </c>
      <c r="Y3078" t="s">
        <v>10647</v>
      </c>
      <c r="Z3078" t="s">
        <v>1715</v>
      </c>
      <c r="AA3078" t="s">
        <v>8884</v>
      </c>
      <c r="AB3078" t="s">
        <v>10643</v>
      </c>
      <c r="AE3078">
        <v>-37.68490998</v>
      </c>
      <c r="AF3078">
        <v>176.16476728000001</v>
      </c>
      <c r="AG3078">
        <v>50</v>
      </c>
      <c r="AH3078">
        <v>18</v>
      </c>
      <c r="AI3078">
        <v>3</v>
      </c>
      <c r="AJ3078">
        <v>14</v>
      </c>
      <c r="AK3078">
        <v>14</v>
      </c>
      <c r="AL3078">
        <v>7</v>
      </c>
      <c r="AM3078">
        <v>12</v>
      </c>
      <c r="AN3078">
        <v>0</v>
      </c>
      <c r="AO3078">
        <v>50</v>
      </c>
      <c r="AP3078">
        <v>44</v>
      </c>
      <c r="AQ3078">
        <v>11</v>
      </c>
      <c r="AR3078">
        <v>1</v>
      </c>
      <c r="AS3078">
        <v>5</v>
      </c>
      <c r="AT3078">
        <v>2</v>
      </c>
    </row>
    <row r="3079" spans="1:46">
      <c r="A3079">
        <v>47865</v>
      </c>
      <c r="B3079" t="s">
        <v>17359</v>
      </c>
      <c r="C3079" t="s">
        <v>17360</v>
      </c>
      <c r="E3079" t="s">
        <v>17361</v>
      </c>
      <c r="F3079" t="s">
        <v>10367</v>
      </c>
      <c r="G3079" t="s">
        <v>1438</v>
      </c>
      <c r="H3079" t="s">
        <v>3942</v>
      </c>
      <c r="I3079" t="s">
        <v>6218</v>
      </c>
      <c r="J3079" t="s">
        <v>518</v>
      </c>
      <c r="K3079" t="s">
        <v>519</v>
      </c>
      <c r="M3079" t="s">
        <v>1297</v>
      </c>
      <c r="N3079" t="s">
        <v>539</v>
      </c>
      <c r="O3079" t="s">
        <v>1461</v>
      </c>
      <c r="P3079" t="s">
        <v>572</v>
      </c>
      <c r="Q3079" t="s">
        <v>1299</v>
      </c>
      <c r="R3079" t="s">
        <v>1300</v>
      </c>
      <c r="S3079" t="s">
        <v>1438</v>
      </c>
      <c r="T3079" t="s">
        <v>1235</v>
      </c>
      <c r="U3079">
        <v>166500</v>
      </c>
      <c r="V3079" t="s">
        <v>9327</v>
      </c>
      <c r="W3079" t="s">
        <v>8982</v>
      </c>
      <c r="X3079" t="s">
        <v>17362</v>
      </c>
      <c r="Y3079" t="s">
        <v>17361</v>
      </c>
      <c r="AA3079" t="s">
        <v>17363</v>
      </c>
      <c r="AB3079" t="s">
        <v>17360</v>
      </c>
      <c r="AE3079">
        <v>-36.851249369999998</v>
      </c>
      <c r="AF3079">
        <v>175.47916850999999</v>
      </c>
      <c r="AG3079">
        <v>25</v>
      </c>
      <c r="AH3079">
        <v>5</v>
      </c>
      <c r="AI3079">
        <v>1</v>
      </c>
      <c r="AJ3079">
        <v>0</v>
      </c>
      <c r="AK3079">
        <v>0</v>
      </c>
      <c r="AL3079">
        <v>6</v>
      </c>
      <c r="AM3079">
        <v>3</v>
      </c>
      <c r="AN3079">
        <v>0</v>
      </c>
      <c r="AO3079">
        <v>10</v>
      </c>
      <c r="AP3079">
        <v>1</v>
      </c>
      <c r="AQ3079">
        <v>7</v>
      </c>
      <c r="AR3079">
        <v>1</v>
      </c>
      <c r="AS3079">
        <v>0</v>
      </c>
      <c r="AT3079">
        <v>3</v>
      </c>
    </row>
    <row r="3080" spans="1:46">
      <c r="A3080">
        <v>47866</v>
      </c>
      <c r="B3080" t="s">
        <v>17364</v>
      </c>
      <c r="C3080" t="s">
        <v>17365</v>
      </c>
      <c r="E3080" t="s">
        <v>17366</v>
      </c>
      <c r="F3080" t="s">
        <v>3585</v>
      </c>
      <c r="G3080" t="s">
        <v>3498</v>
      </c>
      <c r="H3080" t="s">
        <v>3942</v>
      </c>
      <c r="I3080" t="s">
        <v>4065</v>
      </c>
      <c r="J3080" t="s">
        <v>3962</v>
      </c>
      <c r="K3080" t="s">
        <v>519</v>
      </c>
      <c r="M3080" t="s">
        <v>2287</v>
      </c>
      <c r="N3080" t="s">
        <v>571</v>
      </c>
      <c r="O3080" t="s">
        <v>3496</v>
      </c>
      <c r="P3080" t="s">
        <v>584</v>
      </c>
      <c r="Q3080" t="s">
        <v>3497</v>
      </c>
      <c r="R3080" t="s">
        <v>3338</v>
      </c>
      <c r="S3080" t="s">
        <v>3498</v>
      </c>
      <c r="T3080" t="s">
        <v>2448</v>
      </c>
      <c r="U3080">
        <v>361501</v>
      </c>
      <c r="V3080" t="s">
        <v>3585</v>
      </c>
      <c r="W3080" t="s">
        <v>1652</v>
      </c>
      <c r="X3080" t="s">
        <v>17367</v>
      </c>
      <c r="Y3080" t="s">
        <v>17368</v>
      </c>
      <c r="Z3080" t="s">
        <v>3585</v>
      </c>
      <c r="AA3080" t="s">
        <v>11903</v>
      </c>
      <c r="AB3080" t="s">
        <v>17365</v>
      </c>
      <c r="AE3080">
        <v>-46.392079340000002</v>
      </c>
      <c r="AF3080">
        <v>168.37041146999999</v>
      </c>
      <c r="AG3080">
        <v>20</v>
      </c>
      <c r="AH3080">
        <v>0</v>
      </c>
      <c r="AI3080">
        <v>0</v>
      </c>
      <c r="AJ3080">
        <v>0</v>
      </c>
      <c r="AK3080">
        <v>2</v>
      </c>
      <c r="AL3080">
        <v>6</v>
      </c>
      <c r="AM3080">
        <v>9</v>
      </c>
      <c r="AN3080">
        <v>1</v>
      </c>
      <c r="AO3080">
        <v>18</v>
      </c>
      <c r="AP3080">
        <v>14</v>
      </c>
      <c r="AQ3080">
        <v>2</v>
      </c>
      <c r="AR3080">
        <v>1</v>
      </c>
      <c r="AS3080">
        <v>2</v>
      </c>
      <c r="AT3080">
        <v>0</v>
      </c>
    </row>
    <row r="3081" spans="1:46">
      <c r="A3081">
        <v>47869</v>
      </c>
      <c r="B3081" t="s">
        <v>17369</v>
      </c>
      <c r="C3081" t="s">
        <v>17370</v>
      </c>
      <c r="E3081" t="s">
        <v>17371</v>
      </c>
      <c r="G3081" t="s">
        <v>2725</v>
      </c>
      <c r="H3081" t="s">
        <v>3942</v>
      </c>
      <c r="J3081" t="s">
        <v>3962</v>
      </c>
      <c r="K3081" t="s">
        <v>519</v>
      </c>
      <c r="M3081" t="s">
        <v>2287</v>
      </c>
      <c r="N3081" t="s">
        <v>557</v>
      </c>
      <c r="O3081" t="s">
        <v>2066</v>
      </c>
      <c r="P3081" t="s">
        <v>572</v>
      </c>
      <c r="Q3081" t="s">
        <v>1636</v>
      </c>
      <c r="R3081" t="s">
        <v>2289</v>
      </c>
      <c r="S3081" t="s">
        <v>2067</v>
      </c>
      <c r="T3081" t="s">
        <v>1485</v>
      </c>
      <c r="U3081">
        <v>234400</v>
      </c>
      <c r="V3081" t="s">
        <v>17372</v>
      </c>
      <c r="W3081" t="s">
        <v>10412</v>
      </c>
      <c r="X3081" t="s">
        <v>10292</v>
      </c>
      <c r="Y3081" t="s">
        <v>10293</v>
      </c>
      <c r="AA3081" t="s">
        <v>10294</v>
      </c>
      <c r="AB3081" t="s">
        <v>10295</v>
      </c>
      <c r="AE3081">
        <v>-40.613729550000002</v>
      </c>
      <c r="AF3081">
        <v>175.31714270000001</v>
      </c>
      <c r="AG3081">
        <v>115</v>
      </c>
      <c r="AH3081">
        <v>25</v>
      </c>
      <c r="AI3081">
        <v>6</v>
      </c>
      <c r="AJ3081">
        <v>16</v>
      </c>
      <c r="AK3081">
        <v>22</v>
      </c>
      <c r="AL3081">
        <v>37</v>
      </c>
      <c r="AM3081">
        <v>21</v>
      </c>
      <c r="AN3081">
        <v>0</v>
      </c>
      <c r="AO3081">
        <v>102</v>
      </c>
      <c r="AP3081">
        <v>78</v>
      </c>
      <c r="AQ3081">
        <v>48</v>
      </c>
      <c r="AR3081">
        <v>16</v>
      </c>
      <c r="AS3081">
        <v>7</v>
      </c>
      <c r="AT3081">
        <v>0</v>
      </c>
    </row>
    <row r="3082" spans="1:46">
      <c r="A3082">
        <v>47870</v>
      </c>
      <c r="B3082" t="s">
        <v>17373</v>
      </c>
      <c r="E3082" t="s">
        <v>17374</v>
      </c>
      <c r="F3082" t="s">
        <v>13107</v>
      </c>
      <c r="G3082" t="s">
        <v>652</v>
      </c>
      <c r="H3082" t="s">
        <v>3942</v>
      </c>
      <c r="J3082" t="s">
        <v>3962</v>
      </c>
      <c r="K3082" t="s">
        <v>519</v>
      </c>
      <c r="M3082" t="s">
        <v>520</v>
      </c>
      <c r="N3082" t="s">
        <v>571</v>
      </c>
      <c r="O3082" t="s">
        <v>829</v>
      </c>
      <c r="P3082" t="s">
        <v>654</v>
      </c>
      <c r="Q3082" t="s">
        <v>638</v>
      </c>
      <c r="R3082" t="s">
        <v>708</v>
      </c>
      <c r="S3082" t="s">
        <v>730</v>
      </c>
      <c r="T3082" t="s">
        <v>709</v>
      </c>
      <c r="U3082">
        <v>146700</v>
      </c>
      <c r="V3082" t="s">
        <v>13589</v>
      </c>
      <c r="W3082" t="s">
        <v>807</v>
      </c>
      <c r="X3082" t="s">
        <v>17375</v>
      </c>
      <c r="Y3082" t="s">
        <v>17376</v>
      </c>
      <c r="Z3082" t="s">
        <v>791</v>
      </c>
      <c r="AA3082" t="s">
        <v>7318</v>
      </c>
      <c r="AE3082">
        <v>-36.898264500000003</v>
      </c>
      <c r="AF3082">
        <v>174.84594915</v>
      </c>
      <c r="AG3082">
        <v>100</v>
      </c>
      <c r="AH3082">
        <v>24</v>
      </c>
      <c r="AI3082">
        <v>0</v>
      </c>
      <c r="AJ3082">
        <v>18</v>
      </c>
      <c r="AK3082">
        <v>22</v>
      </c>
      <c r="AL3082">
        <v>15</v>
      </c>
      <c r="AM3082">
        <v>23</v>
      </c>
      <c r="AN3082">
        <v>2</v>
      </c>
      <c r="AO3082">
        <v>80</v>
      </c>
      <c r="AP3082">
        <v>25</v>
      </c>
      <c r="AQ3082">
        <v>3</v>
      </c>
      <c r="AR3082">
        <v>1</v>
      </c>
      <c r="AS3082">
        <v>65</v>
      </c>
      <c r="AT3082">
        <v>4</v>
      </c>
    </row>
    <row r="3083" spans="1:46">
      <c r="A3083">
        <v>47871</v>
      </c>
      <c r="B3083" t="s">
        <v>17377</v>
      </c>
      <c r="C3083" t="s">
        <v>17378</v>
      </c>
      <c r="D3083" t="s">
        <v>11797</v>
      </c>
      <c r="E3083" t="s">
        <v>17379</v>
      </c>
      <c r="F3083" t="s">
        <v>2479</v>
      </c>
      <c r="G3083" t="s">
        <v>2427</v>
      </c>
      <c r="H3083" t="s">
        <v>3942</v>
      </c>
      <c r="I3083" t="s">
        <v>3644</v>
      </c>
      <c r="J3083" t="s">
        <v>3962</v>
      </c>
      <c r="K3083" t="s">
        <v>519</v>
      </c>
      <c r="M3083" t="s">
        <v>2287</v>
      </c>
      <c r="N3083" t="s">
        <v>539</v>
      </c>
      <c r="O3083" t="s">
        <v>2428</v>
      </c>
      <c r="P3083" t="s">
        <v>654</v>
      </c>
      <c r="Q3083" t="s">
        <v>2319</v>
      </c>
      <c r="R3083" t="s">
        <v>2289</v>
      </c>
      <c r="S3083" t="s">
        <v>2373</v>
      </c>
      <c r="T3083" t="s">
        <v>2085</v>
      </c>
      <c r="U3083">
        <v>245400</v>
      </c>
      <c r="V3083" t="s">
        <v>2480</v>
      </c>
      <c r="W3083" t="s">
        <v>2455</v>
      </c>
      <c r="X3083" t="s">
        <v>17380</v>
      </c>
      <c r="Y3083" t="s">
        <v>4584</v>
      </c>
      <c r="Z3083" t="s">
        <v>3945</v>
      </c>
      <c r="AA3083" t="s">
        <v>4585</v>
      </c>
      <c r="AB3083" t="s">
        <v>17381</v>
      </c>
      <c r="AE3083">
        <v>-41.203679340000001</v>
      </c>
      <c r="AF3083">
        <v>174.94595819</v>
      </c>
      <c r="AG3083">
        <v>27</v>
      </c>
      <c r="AH3083">
        <v>5</v>
      </c>
      <c r="AI3083">
        <v>0</v>
      </c>
      <c r="AJ3083">
        <v>3</v>
      </c>
      <c r="AK3083">
        <v>8</v>
      </c>
      <c r="AL3083">
        <v>5</v>
      </c>
      <c r="AM3083">
        <v>7</v>
      </c>
      <c r="AN3083">
        <v>0</v>
      </c>
      <c r="AO3083">
        <v>23</v>
      </c>
      <c r="AP3083">
        <v>7</v>
      </c>
      <c r="AQ3083">
        <v>6</v>
      </c>
      <c r="AR3083">
        <v>18</v>
      </c>
      <c r="AS3083">
        <v>1</v>
      </c>
      <c r="AT3083">
        <v>0</v>
      </c>
    </row>
    <row r="3084" spans="1:46">
      <c r="A3084">
        <v>47872</v>
      </c>
      <c r="B3084" t="s">
        <v>17382</v>
      </c>
      <c r="C3084" t="s">
        <v>17383</v>
      </c>
      <c r="E3084" t="s">
        <v>17384</v>
      </c>
      <c r="F3084" t="s">
        <v>1277</v>
      </c>
      <c r="G3084" t="s">
        <v>652</v>
      </c>
      <c r="H3084" t="s">
        <v>343</v>
      </c>
      <c r="J3084" t="s">
        <v>518</v>
      </c>
      <c r="K3084" t="s">
        <v>519</v>
      </c>
      <c r="L3084" t="s">
        <v>4205</v>
      </c>
      <c r="M3084" t="s">
        <v>520</v>
      </c>
      <c r="N3084" t="s">
        <v>539</v>
      </c>
      <c r="O3084" t="s">
        <v>1268</v>
      </c>
      <c r="P3084" t="s">
        <v>654</v>
      </c>
      <c r="Q3084" t="s">
        <v>638</v>
      </c>
      <c r="R3084" t="s">
        <v>729</v>
      </c>
      <c r="S3084" t="s">
        <v>1234</v>
      </c>
      <c r="T3084" t="s">
        <v>1235</v>
      </c>
      <c r="U3084">
        <v>163600</v>
      </c>
      <c r="V3084" t="s">
        <v>7555</v>
      </c>
      <c r="W3084" t="s">
        <v>1219</v>
      </c>
      <c r="X3084" t="s">
        <v>4207</v>
      </c>
      <c r="Y3084" t="s">
        <v>4208</v>
      </c>
      <c r="Z3084" t="s">
        <v>4209</v>
      </c>
      <c r="AA3084" t="s">
        <v>4210</v>
      </c>
      <c r="AE3084">
        <v>-37.066068919999999</v>
      </c>
      <c r="AF3084">
        <v>174.95401892999999</v>
      </c>
      <c r="AG3084">
        <v>25</v>
      </c>
      <c r="AH3084">
        <v>8</v>
      </c>
      <c r="AI3084">
        <v>2</v>
      </c>
      <c r="AJ3084">
        <v>2</v>
      </c>
      <c r="AK3084">
        <v>5</v>
      </c>
      <c r="AL3084">
        <v>4</v>
      </c>
      <c r="AM3084">
        <v>6</v>
      </c>
      <c r="AN3084">
        <v>0</v>
      </c>
      <c r="AO3084">
        <v>19</v>
      </c>
      <c r="AP3084">
        <v>0</v>
      </c>
      <c r="AQ3084">
        <v>19</v>
      </c>
      <c r="AR3084">
        <v>0</v>
      </c>
      <c r="AS3084">
        <v>0</v>
      </c>
      <c r="AT3084">
        <v>0</v>
      </c>
    </row>
    <row r="3085" spans="1:46">
      <c r="A3085">
        <v>47873</v>
      </c>
      <c r="B3085" t="s">
        <v>17385</v>
      </c>
      <c r="D3085" t="s">
        <v>9113</v>
      </c>
      <c r="E3085" t="s">
        <v>17386</v>
      </c>
      <c r="F3085" t="s">
        <v>1029</v>
      </c>
      <c r="G3085" t="s">
        <v>652</v>
      </c>
      <c r="H3085" t="s">
        <v>3942</v>
      </c>
      <c r="J3085" t="s">
        <v>3962</v>
      </c>
      <c r="K3085" t="s">
        <v>519</v>
      </c>
      <c r="M3085" t="s">
        <v>520</v>
      </c>
      <c r="N3085" t="s">
        <v>557</v>
      </c>
      <c r="O3085" t="s">
        <v>829</v>
      </c>
      <c r="P3085" t="s">
        <v>654</v>
      </c>
      <c r="Q3085" t="s">
        <v>638</v>
      </c>
      <c r="R3085" t="s">
        <v>708</v>
      </c>
      <c r="S3085" t="s">
        <v>805</v>
      </c>
      <c r="T3085" t="s">
        <v>709</v>
      </c>
      <c r="U3085">
        <v>147201</v>
      </c>
      <c r="V3085" t="s">
        <v>17387</v>
      </c>
      <c r="W3085" t="s">
        <v>807</v>
      </c>
      <c r="X3085" t="s">
        <v>17388</v>
      </c>
      <c r="Y3085" t="s">
        <v>9116</v>
      </c>
      <c r="Z3085" t="s">
        <v>4125</v>
      </c>
      <c r="AA3085" t="s">
        <v>5171</v>
      </c>
      <c r="AB3085" t="s">
        <v>17389</v>
      </c>
      <c r="AE3085">
        <v>-36.90824258</v>
      </c>
      <c r="AF3085">
        <v>174.8393451</v>
      </c>
      <c r="AG3085">
        <v>80</v>
      </c>
      <c r="AH3085">
        <v>20</v>
      </c>
      <c r="AI3085">
        <v>1</v>
      </c>
      <c r="AJ3085">
        <v>6</v>
      </c>
      <c r="AK3085">
        <v>8</v>
      </c>
      <c r="AL3085">
        <v>13</v>
      </c>
      <c r="AM3085">
        <v>13</v>
      </c>
      <c r="AN3085">
        <v>0</v>
      </c>
      <c r="AO3085">
        <v>41</v>
      </c>
      <c r="AP3085">
        <v>2</v>
      </c>
      <c r="AQ3085">
        <v>3</v>
      </c>
      <c r="AR3085">
        <v>10</v>
      </c>
      <c r="AS3085">
        <v>31</v>
      </c>
      <c r="AT3085">
        <v>2</v>
      </c>
    </row>
    <row r="3086" spans="1:46">
      <c r="A3086">
        <v>47874</v>
      </c>
      <c r="B3086" t="s">
        <v>17390</v>
      </c>
      <c r="C3086" t="s">
        <v>17391</v>
      </c>
      <c r="D3086" t="s">
        <v>17392</v>
      </c>
      <c r="E3086" t="s">
        <v>17393</v>
      </c>
      <c r="F3086" t="s">
        <v>898</v>
      </c>
      <c r="G3086" t="s">
        <v>652</v>
      </c>
      <c r="H3086" t="s">
        <v>3942</v>
      </c>
      <c r="J3086" t="s">
        <v>3962</v>
      </c>
      <c r="K3086" t="s">
        <v>519</v>
      </c>
      <c r="M3086" t="s">
        <v>520</v>
      </c>
      <c r="N3086" t="s">
        <v>557</v>
      </c>
      <c r="O3086" t="s">
        <v>813</v>
      </c>
      <c r="P3086" t="s">
        <v>654</v>
      </c>
      <c r="Q3086" t="s">
        <v>638</v>
      </c>
      <c r="R3086" t="s">
        <v>639</v>
      </c>
      <c r="S3086" t="s">
        <v>899</v>
      </c>
      <c r="T3086" t="s">
        <v>527</v>
      </c>
      <c r="U3086">
        <v>125100</v>
      </c>
      <c r="V3086" t="s">
        <v>4305</v>
      </c>
      <c r="W3086" t="s">
        <v>815</v>
      </c>
      <c r="X3086" t="s">
        <v>17394</v>
      </c>
      <c r="Y3086" t="s">
        <v>17393</v>
      </c>
      <c r="Z3086" t="s">
        <v>898</v>
      </c>
      <c r="AA3086" t="s">
        <v>3964</v>
      </c>
      <c r="AE3086">
        <v>-36.863799999999998</v>
      </c>
      <c r="AF3086">
        <v>174.62950000000001</v>
      </c>
      <c r="AG3086">
        <v>44</v>
      </c>
      <c r="AH3086">
        <v>12</v>
      </c>
      <c r="AI3086">
        <v>1</v>
      </c>
      <c r="AJ3086">
        <v>5</v>
      </c>
      <c r="AK3086">
        <v>8</v>
      </c>
      <c r="AL3086">
        <v>9</v>
      </c>
      <c r="AM3086">
        <v>7</v>
      </c>
      <c r="AN3086">
        <v>0</v>
      </c>
      <c r="AO3086">
        <v>30</v>
      </c>
      <c r="AP3086">
        <v>2</v>
      </c>
      <c r="AQ3086">
        <v>0</v>
      </c>
      <c r="AR3086">
        <v>9</v>
      </c>
      <c r="AS3086">
        <v>21</v>
      </c>
      <c r="AT3086">
        <v>1</v>
      </c>
    </row>
    <row r="3087" spans="1:46">
      <c r="A3087">
        <v>47875</v>
      </c>
      <c r="B3087" t="s">
        <v>17395</v>
      </c>
      <c r="D3087" t="s">
        <v>9113</v>
      </c>
      <c r="E3087" t="s">
        <v>17396</v>
      </c>
      <c r="F3087" t="s">
        <v>4122</v>
      </c>
      <c r="G3087" t="s">
        <v>652</v>
      </c>
      <c r="H3087" t="s">
        <v>3942</v>
      </c>
      <c r="J3087" t="s">
        <v>3962</v>
      </c>
      <c r="K3087" t="s">
        <v>519</v>
      </c>
      <c r="M3087" t="s">
        <v>520</v>
      </c>
      <c r="N3087" t="s">
        <v>571</v>
      </c>
      <c r="O3087" t="s">
        <v>707</v>
      </c>
      <c r="P3087" t="s">
        <v>654</v>
      </c>
      <c r="Q3087" t="s">
        <v>638</v>
      </c>
      <c r="R3087" t="s">
        <v>708</v>
      </c>
      <c r="S3087" t="s">
        <v>706</v>
      </c>
      <c r="T3087" t="s">
        <v>709</v>
      </c>
      <c r="U3087">
        <v>150700</v>
      </c>
      <c r="V3087" t="s">
        <v>797</v>
      </c>
      <c r="W3087" t="s">
        <v>711</v>
      </c>
      <c r="X3087" t="s">
        <v>17388</v>
      </c>
      <c r="Y3087" t="s">
        <v>9116</v>
      </c>
      <c r="Z3087" t="s">
        <v>4125</v>
      </c>
      <c r="AA3087" t="s">
        <v>5171</v>
      </c>
      <c r="AB3087" t="s">
        <v>17389</v>
      </c>
      <c r="AE3087">
        <v>-36.898986350000001</v>
      </c>
      <c r="AF3087">
        <v>174.9040085</v>
      </c>
      <c r="AG3087">
        <v>100</v>
      </c>
      <c r="AH3087">
        <v>25</v>
      </c>
      <c r="AI3087">
        <v>2</v>
      </c>
      <c r="AJ3087">
        <v>8</v>
      </c>
      <c r="AK3087">
        <v>24</v>
      </c>
      <c r="AL3087">
        <v>26</v>
      </c>
      <c r="AM3087">
        <v>19</v>
      </c>
      <c r="AN3087">
        <v>2</v>
      </c>
      <c r="AO3087">
        <v>81</v>
      </c>
      <c r="AP3087">
        <v>6</v>
      </c>
      <c r="AQ3087">
        <v>4</v>
      </c>
      <c r="AR3087">
        <v>7</v>
      </c>
      <c r="AS3087">
        <v>66</v>
      </c>
      <c r="AT3087">
        <v>8</v>
      </c>
    </row>
    <row r="3088" spans="1:46">
      <c r="A3088">
        <v>47876</v>
      </c>
      <c r="B3088" t="s">
        <v>17397</v>
      </c>
      <c r="C3088" t="s">
        <v>17398</v>
      </c>
      <c r="D3088" t="s">
        <v>9113</v>
      </c>
      <c r="E3088" t="s">
        <v>17399</v>
      </c>
      <c r="F3088" t="s">
        <v>682</v>
      </c>
      <c r="G3088" t="s">
        <v>652</v>
      </c>
      <c r="H3088" t="s">
        <v>3942</v>
      </c>
      <c r="J3088" t="s">
        <v>3962</v>
      </c>
      <c r="K3088" t="s">
        <v>519</v>
      </c>
      <c r="M3088" t="s">
        <v>520</v>
      </c>
      <c r="N3088" t="s">
        <v>571</v>
      </c>
      <c r="O3088" t="s">
        <v>738</v>
      </c>
      <c r="P3088" t="s">
        <v>654</v>
      </c>
      <c r="Q3088" t="s">
        <v>638</v>
      </c>
      <c r="R3088" t="s">
        <v>639</v>
      </c>
      <c r="S3088" t="s">
        <v>739</v>
      </c>
      <c r="T3088" t="s">
        <v>527</v>
      </c>
      <c r="U3088">
        <v>123500</v>
      </c>
      <c r="V3088" t="s">
        <v>17400</v>
      </c>
      <c r="W3088" t="s">
        <v>741</v>
      </c>
      <c r="X3088" t="s">
        <v>17388</v>
      </c>
      <c r="Y3088" t="s">
        <v>9116</v>
      </c>
      <c r="Z3088" t="s">
        <v>4125</v>
      </c>
      <c r="AA3088" t="s">
        <v>5171</v>
      </c>
      <c r="AB3088" t="s">
        <v>17389</v>
      </c>
      <c r="AE3088">
        <v>-36.766473900000001</v>
      </c>
      <c r="AF3088">
        <v>174.73480369999999</v>
      </c>
      <c r="AG3088">
        <v>100</v>
      </c>
      <c r="AH3088">
        <v>25</v>
      </c>
      <c r="AI3088">
        <v>2</v>
      </c>
      <c r="AJ3088">
        <v>10</v>
      </c>
      <c r="AK3088">
        <v>9</v>
      </c>
      <c r="AL3088">
        <v>30</v>
      </c>
      <c r="AM3088">
        <v>25</v>
      </c>
      <c r="AN3088">
        <v>2</v>
      </c>
      <c r="AO3088">
        <v>78</v>
      </c>
      <c r="AP3088">
        <v>3</v>
      </c>
      <c r="AQ3088">
        <v>4</v>
      </c>
      <c r="AR3088">
        <v>8</v>
      </c>
      <c r="AS3088">
        <v>61</v>
      </c>
      <c r="AT3088">
        <v>8</v>
      </c>
    </row>
    <row r="3089" spans="1:46">
      <c r="A3089">
        <v>47878</v>
      </c>
      <c r="B3089" t="s">
        <v>17401</v>
      </c>
      <c r="D3089" t="s">
        <v>9113</v>
      </c>
      <c r="E3089" t="s">
        <v>17402</v>
      </c>
      <c r="F3089" t="s">
        <v>898</v>
      </c>
      <c r="G3089" t="s">
        <v>652</v>
      </c>
      <c r="H3089" t="s">
        <v>3942</v>
      </c>
      <c r="J3089" t="s">
        <v>3962</v>
      </c>
      <c r="K3089" t="s">
        <v>519</v>
      </c>
      <c r="M3089" t="s">
        <v>520</v>
      </c>
      <c r="N3089" t="s">
        <v>571</v>
      </c>
      <c r="O3089" t="s">
        <v>813</v>
      </c>
      <c r="P3089" t="s">
        <v>654</v>
      </c>
      <c r="Q3089" t="s">
        <v>638</v>
      </c>
      <c r="R3089" t="s">
        <v>639</v>
      </c>
      <c r="S3089" t="s">
        <v>899</v>
      </c>
      <c r="T3089" t="s">
        <v>527</v>
      </c>
      <c r="U3089">
        <v>124500</v>
      </c>
      <c r="V3089" t="s">
        <v>1184</v>
      </c>
      <c r="W3089" t="s">
        <v>815</v>
      </c>
      <c r="X3089" t="s">
        <v>17403</v>
      </c>
      <c r="Y3089" t="s">
        <v>9116</v>
      </c>
      <c r="Z3089" t="s">
        <v>4125</v>
      </c>
      <c r="AA3089" t="s">
        <v>5171</v>
      </c>
      <c r="AB3089" t="s">
        <v>17404</v>
      </c>
      <c r="AE3089">
        <v>-36.844668300000002</v>
      </c>
      <c r="AF3089">
        <v>174.65196309999999</v>
      </c>
      <c r="AG3089">
        <v>55</v>
      </c>
      <c r="AH3089">
        <v>15</v>
      </c>
      <c r="AI3089">
        <v>0</v>
      </c>
      <c r="AJ3089">
        <v>9</v>
      </c>
      <c r="AK3089">
        <v>5</v>
      </c>
      <c r="AL3089">
        <v>11</v>
      </c>
      <c r="AM3089">
        <v>10</v>
      </c>
      <c r="AN3089">
        <v>0</v>
      </c>
      <c r="AO3089">
        <v>35</v>
      </c>
      <c r="AP3089">
        <v>6</v>
      </c>
      <c r="AQ3089">
        <v>8</v>
      </c>
      <c r="AR3089">
        <v>9</v>
      </c>
      <c r="AS3089">
        <v>19</v>
      </c>
      <c r="AT3089">
        <v>3</v>
      </c>
    </row>
    <row r="3090" spans="1:46">
      <c r="A3090">
        <v>47879</v>
      </c>
      <c r="B3090" t="s">
        <v>17405</v>
      </c>
      <c r="D3090" t="s">
        <v>9113</v>
      </c>
      <c r="E3090" t="s">
        <v>17406</v>
      </c>
      <c r="F3090" t="s">
        <v>719</v>
      </c>
      <c r="G3090" t="s">
        <v>652</v>
      </c>
      <c r="H3090" t="s">
        <v>3942</v>
      </c>
      <c r="J3090" t="s">
        <v>3962</v>
      </c>
      <c r="K3090" t="s">
        <v>519</v>
      </c>
      <c r="M3090" t="s">
        <v>520</v>
      </c>
      <c r="N3090" t="s">
        <v>557</v>
      </c>
      <c r="O3090" t="s">
        <v>873</v>
      </c>
      <c r="P3090" t="s">
        <v>654</v>
      </c>
      <c r="Q3090" t="s">
        <v>638</v>
      </c>
      <c r="R3090" t="s">
        <v>639</v>
      </c>
      <c r="S3090" t="s">
        <v>719</v>
      </c>
      <c r="T3090" t="s">
        <v>709</v>
      </c>
      <c r="U3090">
        <v>130801</v>
      </c>
      <c r="V3090" t="s">
        <v>874</v>
      </c>
      <c r="W3090" t="s">
        <v>815</v>
      </c>
      <c r="X3090" t="s">
        <v>17403</v>
      </c>
      <c r="Y3090" t="s">
        <v>9116</v>
      </c>
      <c r="Z3090" t="s">
        <v>4125</v>
      </c>
      <c r="AA3090" t="s">
        <v>5171</v>
      </c>
      <c r="AB3090" t="s">
        <v>17404</v>
      </c>
      <c r="AE3090">
        <v>-36.906496519999997</v>
      </c>
      <c r="AF3090">
        <v>174.6611073</v>
      </c>
      <c r="AG3090">
        <v>60</v>
      </c>
      <c r="AH3090">
        <v>20</v>
      </c>
      <c r="AI3090">
        <v>0</v>
      </c>
      <c r="AJ3090">
        <v>4</v>
      </c>
      <c r="AK3090">
        <v>8</v>
      </c>
      <c r="AL3090">
        <v>13</v>
      </c>
      <c r="AM3090">
        <v>13</v>
      </c>
      <c r="AN3090">
        <v>0</v>
      </c>
      <c r="AO3090">
        <v>38</v>
      </c>
      <c r="AP3090">
        <v>2</v>
      </c>
      <c r="AQ3090">
        <v>4</v>
      </c>
      <c r="AR3090">
        <v>2</v>
      </c>
      <c r="AS3090">
        <v>32</v>
      </c>
      <c r="AT3090">
        <v>1</v>
      </c>
    </row>
    <row r="3091" spans="1:46">
      <c r="A3091">
        <v>47880</v>
      </c>
      <c r="B3091" t="s">
        <v>17407</v>
      </c>
      <c r="D3091" t="s">
        <v>9113</v>
      </c>
      <c r="E3091" t="s">
        <v>17408</v>
      </c>
      <c r="F3091" t="s">
        <v>1035</v>
      </c>
      <c r="G3091" t="s">
        <v>652</v>
      </c>
      <c r="H3091" t="s">
        <v>3942</v>
      </c>
      <c r="J3091" t="s">
        <v>3962</v>
      </c>
      <c r="K3091" t="s">
        <v>519</v>
      </c>
      <c r="M3091" t="s">
        <v>520</v>
      </c>
      <c r="N3091" t="s">
        <v>571</v>
      </c>
      <c r="O3091" t="s">
        <v>728</v>
      </c>
      <c r="P3091" t="s">
        <v>654</v>
      </c>
      <c r="Q3091" t="s">
        <v>638</v>
      </c>
      <c r="R3091" t="s">
        <v>729</v>
      </c>
      <c r="S3091" t="s">
        <v>730</v>
      </c>
      <c r="T3091" t="s">
        <v>709</v>
      </c>
      <c r="U3091">
        <v>154902</v>
      </c>
      <c r="V3091" t="s">
        <v>7832</v>
      </c>
      <c r="W3091" t="s">
        <v>732</v>
      </c>
      <c r="X3091" t="s">
        <v>17388</v>
      </c>
      <c r="Y3091" t="s">
        <v>9116</v>
      </c>
      <c r="Z3091" t="s">
        <v>4125</v>
      </c>
      <c r="AA3091" t="s">
        <v>5171</v>
      </c>
      <c r="AB3091" t="s">
        <v>17389</v>
      </c>
      <c r="AE3091">
        <v>-36.974119010000003</v>
      </c>
      <c r="AF3091">
        <v>174.85681869999999</v>
      </c>
      <c r="AG3091">
        <v>58</v>
      </c>
      <c r="AH3091">
        <v>20</v>
      </c>
      <c r="AI3091">
        <v>2</v>
      </c>
      <c r="AJ3091">
        <v>9</v>
      </c>
      <c r="AK3091">
        <v>5</v>
      </c>
      <c r="AL3091">
        <v>15</v>
      </c>
      <c r="AM3091">
        <v>22</v>
      </c>
      <c r="AN3091">
        <v>1</v>
      </c>
      <c r="AO3091">
        <v>54</v>
      </c>
      <c r="AP3091">
        <v>0</v>
      </c>
      <c r="AQ3091">
        <v>0</v>
      </c>
      <c r="AR3091">
        <v>7</v>
      </c>
      <c r="AS3091">
        <v>50</v>
      </c>
      <c r="AT3091">
        <v>0</v>
      </c>
    </row>
    <row r="3092" spans="1:46">
      <c r="A3092">
        <v>47881</v>
      </c>
      <c r="B3092" t="s">
        <v>17409</v>
      </c>
      <c r="D3092" t="s">
        <v>9113</v>
      </c>
      <c r="E3092" t="s">
        <v>17410</v>
      </c>
      <c r="F3092" t="s">
        <v>770</v>
      </c>
      <c r="G3092" t="s">
        <v>652</v>
      </c>
      <c r="H3092" t="s">
        <v>3942</v>
      </c>
      <c r="J3092" t="s">
        <v>3962</v>
      </c>
      <c r="K3092" t="s">
        <v>519</v>
      </c>
      <c r="M3092" t="s">
        <v>520</v>
      </c>
      <c r="N3092" t="s">
        <v>571</v>
      </c>
      <c r="O3092" t="s">
        <v>718</v>
      </c>
      <c r="P3092" t="s">
        <v>654</v>
      </c>
      <c r="Q3092" t="s">
        <v>638</v>
      </c>
      <c r="R3092" t="s">
        <v>639</v>
      </c>
      <c r="S3092" t="s">
        <v>770</v>
      </c>
      <c r="T3092" t="s">
        <v>709</v>
      </c>
      <c r="U3092">
        <v>133900</v>
      </c>
      <c r="V3092" t="s">
        <v>4330</v>
      </c>
      <c r="W3092" t="s">
        <v>721</v>
      </c>
      <c r="X3092" t="s">
        <v>17403</v>
      </c>
      <c r="Y3092" t="s">
        <v>9116</v>
      </c>
      <c r="Z3092" t="s">
        <v>4125</v>
      </c>
      <c r="AA3092" t="s">
        <v>5171</v>
      </c>
      <c r="AB3092" t="s">
        <v>17404</v>
      </c>
      <c r="AE3092">
        <v>-36.907302000000001</v>
      </c>
      <c r="AF3092">
        <v>174.67865409999999</v>
      </c>
      <c r="AG3092">
        <v>40</v>
      </c>
      <c r="AH3092">
        <v>8</v>
      </c>
      <c r="AI3092">
        <v>0</v>
      </c>
      <c r="AJ3092">
        <v>9</v>
      </c>
      <c r="AK3092">
        <v>6</v>
      </c>
      <c r="AL3092">
        <v>9</v>
      </c>
      <c r="AM3092">
        <v>12</v>
      </c>
      <c r="AN3092">
        <v>1</v>
      </c>
      <c r="AO3092">
        <v>37</v>
      </c>
      <c r="AP3092">
        <v>0</v>
      </c>
      <c r="AQ3092">
        <v>0</v>
      </c>
      <c r="AR3092">
        <v>1</v>
      </c>
      <c r="AS3092">
        <v>35</v>
      </c>
      <c r="AT3092">
        <v>4</v>
      </c>
    </row>
    <row r="3093" spans="1:46">
      <c r="A3093">
        <v>47884</v>
      </c>
      <c r="B3093" t="s">
        <v>17411</v>
      </c>
      <c r="C3093" t="s">
        <v>17412</v>
      </c>
      <c r="E3093" t="s">
        <v>17413</v>
      </c>
      <c r="F3093" t="s">
        <v>726</v>
      </c>
      <c r="G3093" t="s">
        <v>652</v>
      </c>
      <c r="H3093" t="s">
        <v>3942</v>
      </c>
      <c r="J3093" t="s">
        <v>3962</v>
      </c>
      <c r="K3093" t="s">
        <v>519</v>
      </c>
      <c r="M3093" t="s">
        <v>520</v>
      </c>
      <c r="N3093" t="s">
        <v>727</v>
      </c>
      <c r="O3093" t="s">
        <v>728</v>
      </c>
      <c r="P3093" t="s">
        <v>654</v>
      </c>
      <c r="Q3093" t="s">
        <v>638</v>
      </c>
      <c r="R3093" t="s">
        <v>729</v>
      </c>
      <c r="S3093" t="s">
        <v>730</v>
      </c>
      <c r="T3093" t="s">
        <v>709</v>
      </c>
      <c r="U3093">
        <v>155701</v>
      </c>
      <c r="V3093" t="s">
        <v>5005</v>
      </c>
      <c r="W3093" t="s">
        <v>732</v>
      </c>
      <c r="X3093" t="s">
        <v>8037</v>
      </c>
      <c r="Y3093" t="s">
        <v>15567</v>
      </c>
      <c r="Z3093" t="s">
        <v>15568</v>
      </c>
      <c r="AA3093" t="s">
        <v>15569</v>
      </c>
      <c r="AB3093" t="s">
        <v>8040</v>
      </c>
      <c r="AE3093">
        <v>-36.964505209999999</v>
      </c>
      <c r="AF3093">
        <v>174.87412236</v>
      </c>
      <c r="AG3093">
        <v>100</v>
      </c>
      <c r="AH3093">
        <v>30</v>
      </c>
      <c r="AI3093">
        <v>7</v>
      </c>
      <c r="AJ3093">
        <v>15</v>
      </c>
      <c r="AK3093">
        <v>23</v>
      </c>
      <c r="AL3093">
        <v>24</v>
      </c>
      <c r="AM3093">
        <v>21</v>
      </c>
      <c r="AN3093">
        <v>3</v>
      </c>
      <c r="AO3093">
        <v>93</v>
      </c>
      <c r="AP3093">
        <v>7</v>
      </c>
      <c r="AQ3093">
        <v>24</v>
      </c>
      <c r="AR3093">
        <v>65</v>
      </c>
      <c r="AS3093">
        <v>18</v>
      </c>
      <c r="AT3093">
        <v>7</v>
      </c>
    </row>
    <row r="3094" spans="1:46">
      <c r="A3094">
        <v>47885</v>
      </c>
      <c r="B3094" t="s">
        <v>17414</v>
      </c>
      <c r="C3094" t="s">
        <v>17415</v>
      </c>
      <c r="E3094" t="s">
        <v>17416</v>
      </c>
      <c r="F3094" t="s">
        <v>1114</v>
      </c>
      <c r="G3094" t="s">
        <v>652</v>
      </c>
      <c r="H3094" t="s">
        <v>3942</v>
      </c>
      <c r="J3094" t="s">
        <v>518</v>
      </c>
      <c r="K3094" t="s">
        <v>519</v>
      </c>
      <c r="M3094" t="s">
        <v>520</v>
      </c>
      <c r="N3094" t="s">
        <v>521</v>
      </c>
      <c r="O3094" t="s">
        <v>813</v>
      </c>
      <c r="P3094" t="s">
        <v>654</v>
      </c>
      <c r="Q3094" t="s">
        <v>638</v>
      </c>
      <c r="R3094" t="s">
        <v>639</v>
      </c>
      <c r="S3094" t="s">
        <v>899</v>
      </c>
      <c r="T3094" t="s">
        <v>527</v>
      </c>
      <c r="U3094">
        <v>123800</v>
      </c>
      <c r="V3094" t="s">
        <v>1115</v>
      </c>
      <c r="W3094" t="s">
        <v>815</v>
      </c>
      <c r="X3094" t="s">
        <v>17417</v>
      </c>
      <c r="Y3094" t="s">
        <v>5103</v>
      </c>
      <c r="Z3094" t="s">
        <v>5104</v>
      </c>
      <c r="AA3094" t="s">
        <v>5105</v>
      </c>
      <c r="AB3094" t="s">
        <v>17418</v>
      </c>
      <c r="AE3094">
        <v>-36.864745470000003</v>
      </c>
      <c r="AF3094">
        <v>174.60282140000001</v>
      </c>
      <c r="AG3094">
        <v>52</v>
      </c>
      <c r="AH3094">
        <v>0</v>
      </c>
      <c r="AI3094">
        <v>0</v>
      </c>
      <c r="AJ3094">
        <v>0</v>
      </c>
      <c r="AK3094">
        <v>9</v>
      </c>
      <c r="AL3094">
        <v>16</v>
      </c>
      <c r="AM3094">
        <v>14</v>
      </c>
      <c r="AN3094">
        <v>8</v>
      </c>
      <c r="AO3094">
        <v>47</v>
      </c>
      <c r="AP3094">
        <v>7</v>
      </c>
      <c r="AQ3094">
        <v>21</v>
      </c>
      <c r="AR3094">
        <v>30</v>
      </c>
      <c r="AS3094">
        <v>8</v>
      </c>
      <c r="AT3094">
        <v>3</v>
      </c>
    </row>
    <row r="3095" spans="1:46">
      <c r="A3095">
        <v>47886</v>
      </c>
      <c r="B3095" t="s">
        <v>17419</v>
      </c>
      <c r="C3095" t="s">
        <v>17420</v>
      </c>
      <c r="D3095" t="s">
        <v>17421</v>
      </c>
      <c r="E3095" t="s">
        <v>17422</v>
      </c>
      <c r="F3095" t="s">
        <v>777</v>
      </c>
      <c r="G3095" t="s">
        <v>652</v>
      </c>
      <c r="H3095" t="s">
        <v>3942</v>
      </c>
      <c r="J3095" t="s">
        <v>3962</v>
      </c>
      <c r="K3095" t="s">
        <v>519</v>
      </c>
      <c r="M3095" t="s">
        <v>520</v>
      </c>
      <c r="N3095" t="s">
        <v>571</v>
      </c>
      <c r="O3095" t="s">
        <v>707</v>
      </c>
      <c r="P3095" t="s">
        <v>654</v>
      </c>
      <c r="Q3095" t="s">
        <v>638</v>
      </c>
      <c r="R3095" t="s">
        <v>708</v>
      </c>
      <c r="S3095" t="s">
        <v>706</v>
      </c>
      <c r="T3095" t="s">
        <v>709</v>
      </c>
      <c r="U3095">
        <v>152000</v>
      </c>
      <c r="V3095" t="s">
        <v>926</v>
      </c>
      <c r="W3095" t="s">
        <v>711</v>
      </c>
      <c r="X3095" t="s">
        <v>14775</v>
      </c>
      <c r="Y3095" t="s">
        <v>15755</v>
      </c>
      <c r="Z3095" t="s">
        <v>4804</v>
      </c>
      <c r="AA3095" t="s">
        <v>3991</v>
      </c>
      <c r="AB3095" t="s">
        <v>14776</v>
      </c>
      <c r="AE3095">
        <v>-36.895637010000002</v>
      </c>
      <c r="AF3095">
        <v>174.92269285</v>
      </c>
      <c r="AG3095">
        <v>110</v>
      </c>
      <c r="AH3095">
        <v>23</v>
      </c>
      <c r="AI3095">
        <v>2</v>
      </c>
      <c r="AJ3095">
        <v>10</v>
      </c>
      <c r="AK3095">
        <v>23</v>
      </c>
      <c r="AL3095">
        <v>26</v>
      </c>
      <c r="AM3095">
        <v>33</v>
      </c>
      <c r="AN3095">
        <v>0</v>
      </c>
      <c r="AO3095">
        <v>94</v>
      </c>
      <c r="AP3095">
        <v>50</v>
      </c>
      <c r="AQ3095">
        <v>6</v>
      </c>
      <c r="AR3095">
        <v>3</v>
      </c>
      <c r="AS3095">
        <v>50</v>
      </c>
      <c r="AT3095">
        <v>2</v>
      </c>
    </row>
    <row r="3096" spans="1:46">
      <c r="A3096">
        <v>47887</v>
      </c>
      <c r="B3096" t="s">
        <v>17423</v>
      </c>
      <c r="E3096" t="s">
        <v>11647</v>
      </c>
      <c r="G3096" t="s">
        <v>2197</v>
      </c>
      <c r="H3096" t="s">
        <v>4716</v>
      </c>
      <c r="J3096" t="s">
        <v>3962</v>
      </c>
      <c r="K3096" t="s">
        <v>519</v>
      </c>
      <c r="M3096" t="s">
        <v>2287</v>
      </c>
      <c r="N3096" t="s">
        <v>571</v>
      </c>
      <c r="O3096" t="s">
        <v>2198</v>
      </c>
      <c r="P3096" t="s">
        <v>584</v>
      </c>
      <c r="Q3096" t="s">
        <v>2118</v>
      </c>
      <c r="R3096" t="s">
        <v>3338</v>
      </c>
      <c r="S3096" t="s">
        <v>2199</v>
      </c>
      <c r="T3096" t="s">
        <v>2085</v>
      </c>
      <c r="U3096">
        <v>210500</v>
      </c>
      <c r="V3096" t="s">
        <v>11648</v>
      </c>
      <c r="W3096" t="s">
        <v>2200</v>
      </c>
      <c r="X3096" t="s">
        <v>17424</v>
      </c>
      <c r="Y3096" t="s">
        <v>11647</v>
      </c>
      <c r="AA3096" t="s">
        <v>11650</v>
      </c>
      <c r="AE3096">
        <v>-39.641745919999998</v>
      </c>
      <c r="AF3096">
        <v>176.84603200999999</v>
      </c>
      <c r="AG3096">
        <v>80</v>
      </c>
      <c r="AH3096">
        <v>80</v>
      </c>
      <c r="AI3096">
        <v>5</v>
      </c>
      <c r="AJ3096">
        <v>6</v>
      </c>
      <c r="AK3096">
        <v>18</v>
      </c>
      <c r="AL3096">
        <v>17</v>
      </c>
      <c r="AM3096">
        <v>8</v>
      </c>
      <c r="AN3096">
        <v>0</v>
      </c>
      <c r="AO3096">
        <v>54</v>
      </c>
      <c r="AP3096">
        <v>41</v>
      </c>
      <c r="AQ3096">
        <v>13</v>
      </c>
      <c r="AR3096">
        <v>1</v>
      </c>
      <c r="AS3096">
        <v>3</v>
      </c>
      <c r="AT3096">
        <v>0</v>
      </c>
    </row>
    <row r="3097" spans="1:46">
      <c r="A3097">
        <v>47889</v>
      </c>
      <c r="B3097" t="s">
        <v>17425</v>
      </c>
      <c r="C3097" t="s">
        <v>17426</v>
      </c>
      <c r="D3097" t="s">
        <v>17427</v>
      </c>
      <c r="E3097" t="s">
        <v>17428</v>
      </c>
      <c r="F3097" t="s">
        <v>3194</v>
      </c>
      <c r="G3097" t="s">
        <v>2941</v>
      </c>
      <c r="H3097" t="s">
        <v>3942</v>
      </c>
      <c r="J3097" t="s">
        <v>3962</v>
      </c>
      <c r="K3097" t="s">
        <v>519</v>
      </c>
      <c r="M3097" t="s">
        <v>2287</v>
      </c>
      <c r="N3097" t="s">
        <v>571</v>
      </c>
      <c r="O3097" t="s">
        <v>2942</v>
      </c>
      <c r="P3097" t="s">
        <v>654</v>
      </c>
      <c r="Q3097" t="s">
        <v>2943</v>
      </c>
      <c r="R3097" t="s">
        <v>2944</v>
      </c>
      <c r="S3097" t="s">
        <v>2979</v>
      </c>
      <c r="T3097" t="s">
        <v>2448</v>
      </c>
      <c r="U3097">
        <v>324502</v>
      </c>
      <c r="V3097" t="s">
        <v>17429</v>
      </c>
      <c r="W3097" t="s">
        <v>3196</v>
      </c>
      <c r="X3097" t="s">
        <v>17430</v>
      </c>
      <c r="Y3097" t="s">
        <v>17428</v>
      </c>
      <c r="Z3097" t="s">
        <v>3194</v>
      </c>
      <c r="AA3097" t="s">
        <v>12954</v>
      </c>
      <c r="AB3097" t="s">
        <v>17431</v>
      </c>
      <c r="AE3097">
        <v>-43.580925049999998</v>
      </c>
      <c r="AF3097">
        <v>172.54986410000001</v>
      </c>
      <c r="AG3097">
        <v>55</v>
      </c>
      <c r="AH3097">
        <v>15</v>
      </c>
      <c r="AI3097">
        <v>0</v>
      </c>
      <c r="AJ3097">
        <v>6</v>
      </c>
      <c r="AK3097">
        <v>11</v>
      </c>
      <c r="AL3097">
        <v>4</v>
      </c>
      <c r="AM3097">
        <v>13</v>
      </c>
      <c r="AN3097">
        <v>0</v>
      </c>
      <c r="AO3097">
        <v>34</v>
      </c>
      <c r="AP3097">
        <v>28</v>
      </c>
      <c r="AQ3097">
        <v>3</v>
      </c>
      <c r="AR3097">
        <v>0</v>
      </c>
      <c r="AS3097">
        <v>9</v>
      </c>
      <c r="AT3097">
        <v>2</v>
      </c>
    </row>
    <row r="3098" spans="1:46">
      <c r="A3098">
        <v>47891</v>
      </c>
      <c r="B3098" t="s">
        <v>17432</v>
      </c>
      <c r="C3098" t="s">
        <v>17433</v>
      </c>
      <c r="D3098" t="s">
        <v>11646</v>
      </c>
      <c r="E3098" t="s">
        <v>11647</v>
      </c>
      <c r="G3098" t="s">
        <v>2197</v>
      </c>
      <c r="H3098" t="s">
        <v>4716</v>
      </c>
      <c r="J3098" t="s">
        <v>3962</v>
      </c>
      <c r="K3098" t="s">
        <v>519</v>
      </c>
      <c r="M3098" t="s">
        <v>2287</v>
      </c>
      <c r="N3098" t="s">
        <v>571</v>
      </c>
      <c r="O3098" t="s">
        <v>2198</v>
      </c>
      <c r="P3098" t="s">
        <v>584</v>
      </c>
      <c r="Q3098" t="s">
        <v>2118</v>
      </c>
      <c r="R3098" t="s">
        <v>2289</v>
      </c>
      <c r="S3098" t="s">
        <v>2199</v>
      </c>
      <c r="T3098" t="s">
        <v>2085</v>
      </c>
      <c r="U3098">
        <v>210500</v>
      </c>
      <c r="V3098" t="s">
        <v>11648</v>
      </c>
      <c r="W3098" t="s">
        <v>2200</v>
      </c>
      <c r="X3098" t="s">
        <v>17434</v>
      </c>
      <c r="Y3098" t="s">
        <v>11647</v>
      </c>
      <c r="AA3098" t="s">
        <v>11650</v>
      </c>
      <c r="AB3098" t="s">
        <v>17435</v>
      </c>
      <c r="AE3098">
        <v>-39.641745919999998</v>
      </c>
      <c r="AF3098">
        <v>176.84603200999999</v>
      </c>
      <c r="AG3098">
        <v>100</v>
      </c>
      <c r="AH3098">
        <v>100</v>
      </c>
      <c r="AI3098">
        <v>2</v>
      </c>
      <c r="AJ3098">
        <v>12</v>
      </c>
      <c r="AK3098">
        <v>21</v>
      </c>
      <c r="AL3098">
        <v>17</v>
      </c>
      <c r="AM3098">
        <v>3</v>
      </c>
      <c r="AN3098">
        <v>2</v>
      </c>
      <c r="AO3098">
        <v>57</v>
      </c>
      <c r="AP3098">
        <v>47</v>
      </c>
      <c r="AQ3098">
        <v>10</v>
      </c>
      <c r="AR3098">
        <v>6</v>
      </c>
      <c r="AS3098">
        <v>2</v>
      </c>
      <c r="AT3098">
        <v>3</v>
      </c>
    </row>
    <row r="3099" spans="1:46">
      <c r="A3099">
        <v>47894</v>
      </c>
      <c r="B3099" t="s">
        <v>17436</v>
      </c>
      <c r="C3099" t="s">
        <v>17437</v>
      </c>
      <c r="D3099" t="s">
        <v>17438</v>
      </c>
      <c r="E3099" t="s">
        <v>17439</v>
      </c>
      <c r="F3099" t="s">
        <v>3194</v>
      </c>
      <c r="G3099" t="s">
        <v>2941</v>
      </c>
      <c r="H3099" t="s">
        <v>3942</v>
      </c>
      <c r="J3099" t="s">
        <v>3962</v>
      </c>
      <c r="K3099" t="s">
        <v>519</v>
      </c>
      <c r="M3099" t="s">
        <v>2287</v>
      </c>
      <c r="N3099" t="s">
        <v>571</v>
      </c>
      <c r="O3099" t="s">
        <v>2942</v>
      </c>
      <c r="P3099" t="s">
        <v>654</v>
      </c>
      <c r="Q3099" t="s">
        <v>2943</v>
      </c>
      <c r="R3099" t="s">
        <v>2944</v>
      </c>
      <c r="S3099" t="s">
        <v>2979</v>
      </c>
      <c r="T3099" t="s">
        <v>2448</v>
      </c>
      <c r="U3099">
        <v>329002</v>
      </c>
      <c r="V3099" t="s">
        <v>17440</v>
      </c>
      <c r="W3099" t="s">
        <v>3196</v>
      </c>
      <c r="X3099" t="s">
        <v>17441</v>
      </c>
      <c r="Y3099" t="s">
        <v>17442</v>
      </c>
      <c r="Z3099" t="s">
        <v>3194</v>
      </c>
      <c r="AA3099" t="s">
        <v>12954</v>
      </c>
      <c r="AB3099" t="s">
        <v>17443</v>
      </c>
      <c r="AE3099">
        <v>-43.587591959999997</v>
      </c>
      <c r="AF3099">
        <v>172.57174447</v>
      </c>
      <c r="AG3099">
        <v>104</v>
      </c>
      <c r="AH3099">
        <v>25</v>
      </c>
      <c r="AI3099">
        <v>7</v>
      </c>
      <c r="AJ3099">
        <v>25</v>
      </c>
      <c r="AK3099">
        <v>29</v>
      </c>
      <c r="AL3099">
        <v>26</v>
      </c>
      <c r="AM3099">
        <v>29</v>
      </c>
      <c r="AN3099">
        <v>2</v>
      </c>
      <c r="AO3099">
        <v>118</v>
      </c>
      <c r="AP3099">
        <v>98</v>
      </c>
      <c r="AQ3099">
        <v>13</v>
      </c>
      <c r="AR3099">
        <v>3</v>
      </c>
      <c r="AS3099">
        <v>18</v>
      </c>
      <c r="AT3099">
        <v>6</v>
      </c>
    </row>
    <row r="3100" spans="1:46">
      <c r="A3100">
        <v>47899</v>
      </c>
      <c r="B3100" t="s">
        <v>17444</v>
      </c>
      <c r="C3100" t="s">
        <v>17445</v>
      </c>
      <c r="E3100" t="s">
        <v>17446</v>
      </c>
      <c r="F3100" t="s">
        <v>6559</v>
      </c>
      <c r="G3100" t="s">
        <v>652</v>
      </c>
      <c r="H3100" t="s">
        <v>3942</v>
      </c>
      <c r="J3100" t="s">
        <v>3962</v>
      </c>
      <c r="K3100" t="s">
        <v>519</v>
      </c>
      <c r="M3100" t="s">
        <v>520</v>
      </c>
      <c r="N3100" t="s">
        <v>557</v>
      </c>
      <c r="O3100" t="s">
        <v>873</v>
      </c>
      <c r="P3100" t="s">
        <v>654</v>
      </c>
      <c r="Q3100" t="s">
        <v>638</v>
      </c>
      <c r="R3100" t="s">
        <v>639</v>
      </c>
      <c r="S3100" t="s">
        <v>719</v>
      </c>
      <c r="T3100" t="s">
        <v>709</v>
      </c>
      <c r="U3100">
        <v>129000</v>
      </c>
      <c r="V3100" t="s">
        <v>5954</v>
      </c>
      <c r="W3100" t="s">
        <v>815</v>
      </c>
      <c r="X3100" t="s">
        <v>11976</v>
      </c>
      <c r="Y3100" t="s">
        <v>17447</v>
      </c>
      <c r="Z3100" t="s">
        <v>769</v>
      </c>
      <c r="AA3100" t="s">
        <v>4333</v>
      </c>
      <c r="AE3100">
        <v>-36.904497149999997</v>
      </c>
      <c r="AF3100">
        <v>174.62709942000001</v>
      </c>
      <c r="AG3100">
        <v>63</v>
      </c>
      <c r="AH3100">
        <v>12</v>
      </c>
      <c r="AI3100">
        <v>4</v>
      </c>
      <c r="AJ3100">
        <v>9</v>
      </c>
      <c r="AK3100">
        <v>17</v>
      </c>
      <c r="AL3100">
        <v>18</v>
      </c>
      <c r="AM3100">
        <v>24</v>
      </c>
      <c r="AN3100">
        <v>0</v>
      </c>
      <c r="AO3100">
        <v>72</v>
      </c>
      <c r="AP3100">
        <v>31</v>
      </c>
      <c r="AQ3100">
        <v>13</v>
      </c>
      <c r="AR3100">
        <v>11</v>
      </c>
      <c r="AS3100">
        <v>42</v>
      </c>
      <c r="AT3100">
        <v>1</v>
      </c>
    </row>
    <row r="3101" spans="1:46">
      <c r="A3101">
        <v>47900</v>
      </c>
      <c r="B3101" t="s">
        <v>17448</v>
      </c>
      <c r="C3101" t="s">
        <v>17449</v>
      </c>
      <c r="E3101" t="s">
        <v>17450</v>
      </c>
      <c r="F3101" t="s">
        <v>5766</v>
      </c>
      <c r="G3101" t="s">
        <v>652</v>
      </c>
      <c r="H3101" t="s">
        <v>3942</v>
      </c>
      <c r="J3101" t="s">
        <v>3962</v>
      </c>
      <c r="K3101" t="s">
        <v>519</v>
      </c>
      <c r="M3101" t="s">
        <v>520</v>
      </c>
      <c r="N3101" t="s">
        <v>571</v>
      </c>
      <c r="O3101" t="s">
        <v>738</v>
      </c>
      <c r="P3101" t="s">
        <v>654</v>
      </c>
      <c r="Q3101" t="s">
        <v>638</v>
      </c>
      <c r="R3101" t="s">
        <v>639</v>
      </c>
      <c r="S3101" t="s">
        <v>756</v>
      </c>
      <c r="T3101" t="s">
        <v>527</v>
      </c>
      <c r="U3101">
        <v>122802</v>
      </c>
      <c r="V3101" t="s">
        <v>5767</v>
      </c>
      <c r="W3101" t="s">
        <v>741</v>
      </c>
      <c r="X3101" t="s">
        <v>17451</v>
      </c>
      <c r="Y3101" t="s">
        <v>14630</v>
      </c>
      <c r="Z3101" t="s">
        <v>763</v>
      </c>
      <c r="AA3101" t="s">
        <v>4365</v>
      </c>
      <c r="AB3101" t="s">
        <v>14631</v>
      </c>
      <c r="AE3101">
        <v>-36.800258929999998</v>
      </c>
      <c r="AF3101">
        <v>174.70232024000001</v>
      </c>
      <c r="AG3101">
        <v>54</v>
      </c>
      <c r="AH3101">
        <v>14</v>
      </c>
      <c r="AI3101">
        <v>0</v>
      </c>
      <c r="AJ3101">
        <v>17</v>
      </c>
      <c r="AK3101">
        <v>17</v>
      </c>
      <c r="AL3101">
        <v>11</v>
      </c>
      <c r="AM3101">
        <v>10</v>
      </c>
      <c r="AN3101">
        <v>1</v>
      </c>
      <c r="AO3101">
        <v>56</v>
      </c>
      <c r="AP3101">
        <v>53</v>
      </c>
      <c r="AQ3101">
        <v>4</v>
      </c>
      <c r="AR3101">
        <v>4</v>
      </c>
      <c r="AS3101">
        <v>4</v>
      </c>
      <c r="AT3101">
        <v>2</v>
      </c>
    </row>
    <row r="3102" spans="1:46">
      <c r="A3102">
        <v>47901</v>
      </c>
      <c r="B3102" t="s">
        <v>17452</v>
      </c>
      <c r="C3102" t="s">
        <v>17453</v>
      </c>
      <c r="E3102" t="s">
        <v>17454</v>
      </c>
      <c r="F3102" t="s">
        <v>17455</v>
      </c>
      <c r="G3102" t="s">
        <v>2427</v>
      </c>
      <c r="H3102" t="s">
        <v>517</v>
      </c>
      <c r="J3102" t="s">
        <v>518</v>
      </c>
      <c r="K3102" t="s">
        <v>519</v>
      </c>
      <c r="M3102" t="s">
        <v>2287</v>
      </c>
      <c r="N3102" t="s">
        <v>571</v>
      </c>
      <c r="O3102" t="s">
        <v>2428</v>
      </c>
      <c r="P3102" t="s">
        <v>654</v>
      </c>
      <c r="Q3102" t="s">
        <v>2319</v>
      </c>
      <c r="R3102" t="s">
        <v>2289</v>
      </c>
      <c r="S3102" t="s">
        <v>2429</v>
      </c>
      <c r="T3102" t="s">
        <v>2448</v>
      </c>
      <c r="U3102">
        <v>245100</v>
      </c>
      <c r="V3102" t="s">
        <v>2449</v>
      </c>
      <c r="W3102" t="s">
        <v>2443</v>
      </c>
      <c r="X3102" t="s">
        <v>2432</v>
      </c>
      <c r="Y3102" t="s">
        <v>2433</v>
      </c>
      <c r="AA3102" t="s">
        <v>2434</v>
      </c>
      <c r="AB3102" t="s">
        <v>2435</v>
      </c>
      <c r="AE3102">
        <v>-41.204799280000003</v>
      </c>
      <c r="AF3102">
        <v>174.92668137000001</v>
      </c>
      <c r="AG3102">
        <v>60</v>
      </c>
      <c r="AH3102">
        <v>0</v>
      </c>
      <c r="AI3102">
        <v>0</v>
      </c>
      <c r="AJ3102">
        <v>0</v>
      </c>
      <c r="AK3102">
        <v>4</v>
      </c>
      <c r="AL3102">
        <v>28</v>
      </c>
      <c r="AM3102">
        <v>19</v>
      </c>
      <c r="AN3102">
        <v>0</v>
      </c>
      <c r="AO3102">
        <v>51</v>
      </c>
      <c r="AP3102">
        <v>30</v>
      </c>
      <c r="AQ3102">
        <v>11</v>
      </c>
      <c r="AR3102">
        <v>5</v>
      </c>
      <c r="AS3102">
        <v>20</v>
      </c>
      <c r="AT3102">
        <v>2</v>
      </c>
    </row>
    <row r="3103" spans="1:46">
      <c r="A3103">
        <v>47903</v>
      </c>
      <c r="B3103" t="s">
        <v>17456</v>
      </c>
      <c r="C3103" t="s">
        <v>17457</v>
      </c>
      <c r="E3103" t="s">
        <v>17458</v>
      </c>
      <c r="F3103" t="s">
        <v>2427</v>
      </c>
      <c r="G3103" t="s">
        <v>2427</v>
      </c>
      <c r="H3103" t="s">
        <v>3942</v>
      </c>
      <c r="J3103" t="s">
        <v>518</v>
      </c>
      <c r="K3103" t="s">
        <v>519</v>
      </c>
      <c r="M3103" t="s">
        <v>2287</v>
      </c>
      <c r="N3103" t="s">
        <v>571</v>
      </c>
      <c r="O3103" t="s">
        <v>2428</v>
      </c>
      <c r="P3103" t="s">
        <v>654</v>
      </c>
      <c r="Q3103" t="s">
        <v>2319</v>
      </c>
      <c r="R3103" t="s">
        <v>2289</v>
      </c>
      <c r="S3103" t="s">
        <v>2429</v>
      </c>
      <c r="T3103" t="s">
        <v>2448</v>
      </c>
      <c r="U3103">
        <v>245500</v>
      </c>
      <c r="V3103" t="s">
        <v>2520</v>
      </c>
      <c r="W3103" t="s">
        <v>2443</v>
      </c>
      <c r="X3103" t="s">
        <v>17459</v>
      </c>
      <c r="Y3103" t="s">
        <v>6369</v>
      </c>
      <c r="Z3103" t="s">
        <v>4555</v>
      </c>
      <c r="AA3103" t="s">
        <v>4556</v>
      </c>
      <c r="AE3103">
        <v>-41.211727539999998</v>
      </c>
      <c r="AF3103">
        <v>174.92164102999999</v>
      </c>
      <c r="AG3103">
        <v>60</v>
      </c>
      <c r="AH3103">
        <v>20</v>
      </c>
      <c r="AI3103">
        <v>1</v>
      </c>
      <c r="AJ3103">
        <v>19</v>
      </c>
      <c r="AK3103">
        <v>21</v>
      </c>
      <c r="AL3103">
        <v>11</v>
      </c>
      <c r="AM3103">
        <v>22</v>
      </c>
      <c r="AN3103">
        <v>1</v>
      </c>
      <c r="AO3103">
        <v>75</v>
      </c>
      <c r="AP3103">
        <v>48</v>
      </c>
      <c r="AQ3103">
        <v>3</v>
      </c>
      <c r="AR3103">
        <v>6</v>
      </c>
      <c r="AS3103">
        <v>26</v>
      </c>
      <c r="AT3103">
        <v>4</v>
      </c>
    </row>
    <row r="3104" spans="1:46">
      <c r="A3104">
        <v>47905</v>
      </c>
      <c r="B3104" t="s">
        <v>17460</v>
      </c>
      <c r="C3104" t="s">
        <v>17461</v>
      </c>
      <c r="E3104" t="s">
        <v>17462</v>
      </c>
      <c r="F3104" t="s">
        <v>8483</v>
      </c>
      <c r="G3104" t="s">
        <v>1598</v>
      </c>
      <c r="H3104" t="s">
        <v>517</v>
      </c>
      <c r="J3104" t="s">
        <v>518</v>
      </c>
      <c r="K3104" t="s">
        <v>519</v>
      </c>
      <c r="M3104" t="s">
        <v>1297</v>
      </c>
      <c r="N3104" t="s">
        <v>557</v>
      </c>
      <c r="O3104" t="s">
        <v>1698</v>
      </c>
      <c r="P3104" t="s">
        <v>654</v>
      </c>
      <c r="Q3104" t="s">
        <v>1471</v>
      </c>
      <c r="R3104" t="s">
        <v>1472</v>
      </c>
      <c r="S3104" t="s">
        <v>1598</v>
      </c>
      <c r="T3104" t="s">
        <v>1474</v>
      </c>
      <c r="U3104">
        <v>194802</v>
      </c>
      <c r="V3104" t="s">
        <v>3723</v>
      </c>
      <c r="W3104" t="s">
        <v>3724</v>
      </c>
      <c r="X3104" t="s">
        <v>1596</v>
      </c>
      <c r="Y3104" t="s">
        <v>1597</v>
      </c>
      <c r="Z3104" t="s">
        <v>1598</v>
      </c>
      <c r="AA3104" t="s">
        <v>1599</v>
      </c>
      <c r="AB3104" t="s">
        <v>1600</v>
      </c>
      <c r="AC3104">
        <v>99085</v>
      </c>
      <c r="AD3104" t="s">
        <v>1718</v>
      </c>
      <c r="AE3104">
        <v>-37.714374300000003</v>
      </c>
      <c r="AF3104">
        <v>176.1450116</v>
      </c>
      <c r="AG3104">
        <v>30</v>
      </c>
      <c r="AH3104">
        <v>5</v>
      </c>
      <c r="AI3104">
        <v>0</v>
      </c>
      <c r="AJ3104">
        <v>5</v>
      </c>
      <c r="AK3104">
        <v>7</v>
      </c>
      <c r="AL3104">
        <v>10</v>
      </c>
      <c r="AM3104">
        <v>6</v>
      </c>
      <c r="AN3104">
        <v>0</v>
      </c>
      <c r="AO3104">
        <v>28</v>
      </c>
      <c r="AP3104">
        <v>7</v>
      </c>
      <c r="AQ3104">
        <v>5</v>
      </c>
      <c r="AR3104">
        <v>26</v>
      </c>
      <c r="AS3104">
        <v>0</v>
      </c>
      <c r="AT3104">
        <v>1</v>
      </c>
    </row>
    <row r="3105" spans="1:46">
      <c r="A3105">
        <v>47907</v>
      </c>
      <c r="B3105" t="s">
        <v>17463</v>
      </c>
      <c r="C3105" t="s">
        <v>17464</v>
      </c>
      <c r="E3105" t="s">
        <v>17465</v>
      </c>
      <c r="G3105" t="s">
        <v>3673</v>
      </c>
      <c r="H3105" t="s">
        <v>3942</v>
      </c>
      <c r="J3105" t="s">
        <v>3962</v>
      </c>
      <c r="K3105" t="s">
        <v>519</v>
      </c>
      <c r="M3105" t="s">
        <v>520</v>
      </c>
      <c r="N3105" t="s">
        <v>571</v>
      </c>
      <c r="O3105" t="s">
        <v>522</v>
      </c>
      <c r="P3105" t="s">
        <v>523</v>
      </c>
      <c r="Q3105" t="s">
        <v>524</v>
      </c>
      <c r="R3105" t="s">
        <v>525</v>
      </c>
      <c r="S3105" t="s">
        <v>526</v>
      </c>
      <c r="T3105" t="s">
        <v>527</v>
      </c>
      <c r="U3105">
        <v>103000</v>
      </c>
      <c r="V3105" t="s">
        <v>3674</v>
      </c>
      <c r="W3105" t="s">
        <v>558</v>
      </c>
      <c r="X3105" t="s">
        <v>17466</v>
      </c>
      <c r="Y3105" t="s">
        <v>12191</v>
      </c>
      <c r="Z3105" t="s">
        <v>12192</v>
      </c>
      <c r="AA3105" t="s">
        <v>12193</v>
      </c>
      <c r="AB3105" t="s">
        <v>17467</v>
      </c>
      <c r="AE3105">
        <v>-35.230446039999997</v>
      </c>
      <c r="AF3105">
        <v>173.94586902</v>
      </c>
      <c r="AG3105">
        <v>90</v>
      </c>
      <c r="AH3105">
        <v>30</v>
      </c>
      <c r="AI3105">
        <v>3</v>
      </c>
      <c r="AJ3105">
        <v>28</v>
      </c>
      <c r="AK3105">
        <v>13</v>
      </c>
      <c r="AL3105">
        <v>27</v>
      </c>
      <c r="AM3105">
        <v>18</v>
      </c>
      <c r="AN3105">
        <v>1</v>
      </c>
      <c r="AO3105">
        <v>90</v>
      </c>
      <c r="AP3105">
        <v>71</v>
      </c>
      <c r="AQ3105">
        <v>37</v>
      </c>
      <c r="AR3105">
        <v>1</v>
      </c>
      <c r="AS3105">
        <v>8</v>
      </c>
      <c r="AT3105">
        <v>3</v>
      </c>
    </row>
    <row r="3106" spans="1:46">
      <c r="A3106">
        <v>47908</v>
      </c>
      <c r="B3106" t="s">
        <v>17468</v>
      </c>
      <c r="C3106" t="s">
        <v>17469</v>
      </c>
      <c r="E3106" t="s">
        <v>17470</v>
      </c>
      <c r="F3106" t="s">
        <v>726</v>
      </c>
      <c r="G3106" t="s">
        <v>652</v>
      </c>
      <c r="H3106" t="s">
        <v>3942</v>
      </c>
      <c r="J3106" t="s">
        <v>3962</v>
      </c>
      <c r="K3106" t="s">
        <v>519</v>
      </c>
      <c r="M3106" t="s">
        <v>520</v>
      </c>
      <c r="N3106" t="s">
        <v>727</v>
      </c>
      <c r="O3106" t="s">
        <v>728</v>
      </c>
      <c r="P3106" t="s">
        <v>654</v>
      </c>
      <c r="Q3106" t="s">
        <v>638</v>
      </c>
      <c r="R3106" t="s">
        <v>729</v>
      </c>
      <c r="S3106" t="s">
        <v>730</v>
      </c>
      <c r="T3106" t="s">
        <v>709</v>
      </c>
      <c r="U3106">
        <v>155801</v>
      </c>
      <c r="V3106" t="s">
        <v>1212</v>
      </c>
      <c r="W3106" t="s">
        <v>732</v>
      </c>
      <c r="X3106" t="s">
        <v>15005</v>
      </c>
      <c r="Y3106" t="s">
        <v>17471</v>
      </c>
      <c r="Z3106" t="s">
        <v>3990</v>
      </c>
      <c r="AA3106" t="s">
        <v>17472</v>
      </c>
      <c r="AB3106" t="s">
        <v>15006</v>
      </c>
      <c r="AE3106">
        <v>-36.96547365</v>
      </c>
      <c r="AF3106">
        <v>174.88111819</v>
      </c>
      <c r="AG3106">
        <v>62</v>
      </c>
      <c r="AH3106">
        <v>13</v>
      </c>
      <c r="AI3106">
        <v>2</v>
      </c>
      <c r="AJ3106">
        <v>10</v>
      </c>
      <c r="AK3106">
        <v>3</v>
      </c>
      <c r="AL3106">
        <v>17</v>
      </c>
      <c r="AM3106">
        <v>26</v>
      </c>
      <c r="AN3106">
        <v>0</v>
      </c>
      <c r="AO3106">
        <v>58</v>
      </c>
      <c r="AP3106">
        <v>1</v>
      </c>
      <c r="AQ3106">
        <v>7</v>
      </c>
      <c r="AR3106">
        <v>51</v>
      </c>
      <c r="AS3106">
        <v>6</v>
      </c>
      <c r="AT3106">
        <v>1</v>
      </c>
    </row>
    <row r="3107" spans="1:46">
      <c r="A3107">
        <v>47910</v>
      </c>
      <c r="B3107" t="s">
        <v>17473</v>
      </c>
      <c r="C3107" t="s">
        <v>17474</v>
      </c>
      <c r="D3107" t="s">
        <v>17475</v>
      </c>
      <c r="E3107" t="s">
        <v>17476</v>
      </c>
      <c r="F3107" t="s">
        <v>1036</v>
      </c>
      <c r="G3107" t="s">
        <v>652</v>
      </c>
      <c r="H3107" t="s">
        <v>4716</v>
      </c>
      <c r="J3107" t="s">
        <v>3962</v>
      </c>
      <c r="K3107" t="s">
        <v>519</v>
      </c>
      <c r="M3107" t="s">
        <v>520</v>
      </c>
      <c r="N3107" t="s">
        <v>521</v>
      </c>
      <c r="O3107" t="s">
        <v>1216</v>
      </c>
      <c r="P3107" t="s">
        <v>654</v>
      </c>
      <c r="Q3107" t="s">
        <v>638</v>
      </c>
      <c r="R3107" t="s">
        <v>729</v>
      </c>
      <c r="S3107" t="s">
        <v>1217</v>
      </c>
      <c r="T3107" t="s">
        <v>709</v>
      </c>
      <c r="U3107">
        <v>160800</v>
      </c>
      <c r="V3107" t="s">
        <v>1218</v>
      </c>
      <c r="W3107" t="s">
        <v>1219</v>
      </c>
      <c r="X3107" t="s">
        <v>17477</v>
      </c>
      <c r="Y3107" t="s">
        <v>17478</v>
      </c>
      <c r="Z3107" t="s">
        <v>1036</v>
      </c>
      <c r="AA3107" t="s">
        <v>5202</v>
      </c>
      <c r="AE3107">
        <v>-37.031044960000003</v>
      </c>
      <c r="AF3107">
        <v>174.90671394</v>
      </c>
      <c r="AG3107">
        <v>50</v>
      </c>
      <c r="AH3107">
        <v>50</v>
      </c>
      <c r="AI3107">
        <v>3</v>
      </c>
      <c r="AJ3107">
        <v>2</v>
      </c>
      <c r="AK3107">
        <v>2</v>
      </c>
      <c r="AL3107">
        <v>1</v>
      </c>
      <c r="AM3107">
        <v>1</v>
      </c>
      <c r="AN3107">
        <v>0</v>
      </c>
      <c r="AO3107">
        <v>9</v>
      </c>
      <c r="AP3107">
        <v>0</v>
      </c>
      <c r="AQ3107">
        <v>0</v>
      </c>
      <c r="AR3107">
        <v>9</v>
      </c>
      <c r="AS3107">
        <v>0</v>
      </c>
      <c r="AT3107">
        <v>0</v>
      </c>
    </row>
    <row r="3108" spans="1:46">
      <c r="A3108">
        <v>47911</v>
      </c>
      <c r="B3108" t="s">
        <v>17479</v>
      </c>
      <c r="C3108" t="s">
        <v>8761</v>
      </c>
      <c r="D3108" t="s">
        <v>10964</v>
      </c>
      <c r="E3108" t="s">
        <v>8763</v>
      </c>
      <c r="F3108" t="s">
        <v>1313</v>
      </c>
      <c r="G3108" t="s">
        <v>1296</v>
      </c>
      <c r="H3108" t="s">
        <v>4716</v>
      </c>
      <c r="J3108" t="s">
        <v>3962</v>
      </c>
      <c r="K3108" t="s">
        <v>519</v>
      </c>
      <c r="M3108" t="s">
        <v>2287</v>
      </c>
      <c r="N3108" t="s">
        <v>571</v>
      </c>
      <c r="O3108" t="s">
        <v>1298</v>
      </c>
      <c r="P3108" t="s">
        <v>654</v>
      </c>
      <c r="Q3108" t="s">
        <v>1299</v>
      </c>
      <c r="R3108" t="s">
        <v>2289</v>
      </c>
      <c r="S3108" t="s">
        <v>1312</v>
      </c>
      <c r="T3108" t="s">
        <v>1235</v>
      </c>
      <c r="U3108">
        <v>177300</v>
      </c>
      <c r="V3108" t="s">
        <v>1313</v>
      </c>
      <c r="W3108" t="s">
        <v>1314</v>
      </c>
      <c r="X3108" t="s">
        <v>10965</v>
      </c>
      <c r="Y3108" t="s">
        <v>8763</v>
      </c>
      <c r="Z3108" t="s">
        <v>1313</v>
      </c>
      <c r="AA3108" t="s">
        <v>8511</v>
      </c>
      <c r="AE3108">
        <v>-37.749390910000002</v>
      </c>
      <c r="AF3108">
        <v>175.27364802</v>
      </c>
      <c r="AG3108">
        <v>80</v>
      </c>
      <c r="AH3108">
        <v>80</v>
      </c>
      <c r="AI3108">
        <v>1</v>
      </c>
      <c r="AJ3108">
        <v>11</v>
      </c>
      <c r="AK3108">
        <v>18</v>
      </c>
      <c r="AL3108">
        <v>15</v>
      </c>
      <c r="AM3108">
        <v>14</v>
      </c>
      <c r="AN3108">
        <v>0</v>
      </c>
      <c r="AO3108">
        <v>59</v>
      </c>
      <c r="AP3108">
        <v>47</v>
      </c>
      <c r="AQ3108">
        <v>22</v>
      </c>
      <c r="AR3108">
        <v>6</v>
      </c>
      <c r="AS3108">
        <v>4</v>
      </c>
      <c r="AT3108">
        <v>2</v>
      </c>
    </row>
    <row r="3109" spans="1:46">
      <c r="A3109">
        <v>47913</v>
      </c>
      <c r="B3109" t="s">
        <v>17480</v>
      </c>
      <c r="D3109" t="s">
        <v>17481</v>
      </c>
      <c r="E3109" t="s">
        <v>17482</v>
      </c>
      <c r="G3109" t="s">
        <v>5579</v>
      </c>
      <c r="H3109" t="s">
        <v>343</v>
      </c>
      <c r="J3109" t="s">
        <v>518</v>
      </c>
      <c r="K3109" t="s">
        <v>519</v>
      </c>
      <c r="L3109" t="s">
        <v>4205</v>
      </c>
      <c r="M3109" t="s">
        <v>520</v>
      </c>
      <c r="N3109" t="s">
        <v>727</v>
      </c>
      <c r="O3109" t="s">
        <v>522</v>
      </c>
      <c r="P3109" t="s">
        <v>572</v>
      </c>
      <c r="Q3109" t="s">
        <v>524</v>
      </c>
      <c r="R3109" t="s">
        <v>525</v>
      </c>
      <c r="S3109" t="s">
        <v>526</v>
      </c>
      <c r="T3109" t="s">
        <v>527</v>
      </c>
      <c r="U3109">
        <v>102900</v>
      </c>
      <c r="V3109" t="s">
        <v>5580</v>
      </c>
      <c r="W3109" t="s">
        <v>551</v>
      </c>
      <c r="X3109" t="s">
        <v>4453</v>
      </c>
      <c r="Y3109" t="s">
        <v>4208</v>
      </c>
      <c r="Z3109" t="s">
        <v>4209</v>
      </c>
      <c r="AA3109" t="s">
        <v>4210</v>
      </c>
      <c r="AB3109" t="s">
        <v>4454</v>
      </c>
      <c r="AE3109">
        <v>-35.561268069999997</v>
      </c>
      <c r="AF3109">
        <v>173.41663148999999</v>
      </c>
      <c r="AG3109">
        <v>25</v>
      </c>
      <c r="AH3109">
        <v>6</v>
      </c>
      <c r="AI3109">
        <v>2</v>
      </c>
      <c r="AJ3109">
        <v>3</v>
      </c>
      <c r="AK3109">
        <v>9</v>
      </c>
      <c r="AL3109">
        <v>5</v>
      </c>
      <c r="AM3109">
        <v>4</v>
      </c>
      <c r="AN3109">
        <v>0</v>
      </c>
      <c r="AO3109">
        <v>23</v>
      </c>
      <c r="AP3109">
        <v>0</v>
      </c>
      <c r="AQ3109">
        <v>18</v>
      </c>
      <c r="AR3109">
        <v>0</v>
      </c>
      <c r="AS3109">
        <v>0</v>
      </c>
      <c r="AT3109">
        <v>5</v>
      </c>
    </row>
    <row r="3110" spans="1:46">
      <c r="A3110">
        <v>47914</v>
      </c>
      <c r="B3110" t="s">
        <v>17483</v>
      </c>
      <c r="C3110" t="s">
        <v>17484</v>
      </c>
      <c r="D3110" t="s">
        <v>17485</v>
      </c>
      <c r="E3110" t="s">
        <v>17486</v>
      </c>
      <c r="F3110" t="s">
        <v>2105</v>
      </c>
      <c r="G3110" t="s">
        <v>2081</v>
      </c>
      <c r="H3110" t="s">
        <v>8824</v>
      </c>
      <c r="J3110" t="s">
        <v>3962</v>
      </c>
      <c r="K3110" t="s">
        <v>519</v>
      </c>
      <c r="M3110" t="s">
        <v>1297</v>
      </c>
      <c r="N3110" t="s">
        <v>521</v>
      </c>
      <c r="O3110" t="s">
        <v>2082</v>
      </c>
      <c r="P3110" t="s">
        <v>584</v>
      </c>
      <c r="Q3110" t="s">
        <v>2083</v>
      </c>
      <c r="R3110" t="s">
        <v>2084</v>
      </c>
      <c r="S3110" t="s">
        <v>1473</v>
      </c>
      <c r="T3110" t="s">
        <v>2085</v>
      </c>
      <c r="U3110">
        <v>207200</v>
      </c>
      <c r="V3110" t="s">
        <v>17487</v>
      </c>
      <c r="W3110" t="s">
        <v>2087</v>
      </c>
      <c r="X3110" t="s">
        <v>17488</v>
      </c>
      <c r="Y3110" t="s">
        <v>17489</v>
      </c>
      <c r="Z3110" t="s">
        <v>2104</v>
      </c>
      <c r="AA3110" t="s">
        <v>10864</v>
      </c>
      <c r="AB3110" t="s">
        <v>17490</v>
      </c>
      <c r="AE3110">
        <v>-38.67915309</v>
      </c>
      <c r="AF3110">
        <v>178.05454495000001</v>
      </c>
      <c r="AG3110">
        <v>40</v>
      </c>
      <c r="AH3110">
        <v>10</v>
      </c>
      <c r="AI3110">
        <v>1</v>
      </c>
      <c r="AJ3110">
        <v>6</v>
      </c>
      <c r="AK3110">
        <v>7</v>
      </c>
      <c r="AL3110">
        <v>10</v>
      </c>
      <c r="AM3110">
        <v>11</v>
      </c>
      <c r="AN3110">
        <v>0</v>
      </c>
      <c r="AO3110">
        <v>35</v>
      </c>
      <c r="AP3110">
        <v>13</v>
      </c>
      <c r="AQ3110">
        <v>35</v>
      </c>
      <c r="AR3110">
        <v>8</v>
      </c>
      <c r="AS3110">
        <v>0</v>
      </c>
      <c r="AT3110">
        <v>0</v>
      </c>
    </row>
    <row r="3111" spans="1:46">
      <c r="A3111">
        <v>47915</v>
      </c>
      <c r="B3111" t="s">
        <v>17491</v>
      </c>
      <c r="C3111" t="s">
        <v>17492</v>
      </c>
      <c r="E3111" t="s">
        <v>17493</v>
      </c>
      <c r="G3111" t="s">
        <v>1842</v>
      </c>
      <c r="H3111" t="s">
        <v>3942</v>
      </c>
      <c r="J3111" t="s">
        <v>3962</v>
      </c>
      <c r="K3111" t="s">
        <v>519</v>
      </c>
      <c r="M3111" t="s">
        <v>1297</v>
      </c>
      <c r="N3111" t="s">
        <v>539</v>
      </c>
      <c r="O3111" t="s">
        <v>1887</v>
      </c>
      <c r="P3111" t="s">
        <v>584</v>
      </c>
      <c r="Q3111" t="s">
        <v>1636</v>
      </c>
      <c r="R3111" t="s">
        <v>1760</v>
      </c>
      <c r="S3111" t="s">
        <v>1842</v>
      </c>
      <c r="T3111" t="s">
        <v>1485</v>
      </c>
      <c r="U3111">
        <v>225400</v>
      </c>
      <c r="V3111" t="s">
        <v>16069</v>
      </c>
      <c r="W3111" t="s">
        <v>1652</v>
      </c>
      <c r="X3111" t="s">
        <v>17494</v>
      </c>
      <c r="Y3111" t="s">
        <v>17493</v>
      </c>
      <c r="AA3111" t="s">
        <v>14509</v>
      </c>
      <c r="AB3111" t="s">
        <v>17495</v>
      </c>
      <c r="AC3111">
        <v>99218</v>
      </c>
      <c r="AD3111" t="s">
        <v>1893</v>
      </c>
      <c r="AE3111">
        <v>-39.924625550000002</v>
      </c>
      <c r="AF3111">
        <v>175.0482026</v>
      </c>
      <c r="AG3111">
        <v>36</v>
      </c>
      <c r="AH3111">
        <v>13</v>
      </c>
      <c r="AI3111">
        <v>4</v>
      </c>
      <c r="AJ3111">
        <v>9</v>
      </c>
      <c r="AK3111">
        <v>13</v>
      </c>
      <c r="AL3111">
        <v>5</v>
      </c>
      <c r="AM3111">
        <v>7</v>
      </c>
      <c r="AN3111">
        <v>0</v>
      </c>
      <c r="AO3111">
        <v>38</v>
      </c>
      <c r="AP3111">
        <v>32</v>
      </c>
      <c r="AQ3111">
        <v>10</v>
      </c>
      <c r="AR3111">
        <v>2</v>
      </c>
      <c r="AS3111">
        <v>1</v>
      </c>
      <c r="AT3111">
        <v>0</v>
      </c>
    </row>
    <row r="3112" spans="1:46">
      <c r="A3112">
        <v>47916</v>
      </c>
      <c r="B3112" t="s">
        <v>17496</v>
      </c>
      <c r="C3112" t="s">
        <v>17497</v>
      </c>
      <c r="E3112" t="s">
        <v>17498</v>
      </c>
      <c r="G3112" t="s">
        <v>17499</v>
      </c>
      <c r="H3112" t="s">
        <v>517</v>
      </c>
      <c r="J3112" t="s">
        <v>518</v>
      </c>
      <c r="K3112" t="s">
        <v>519</v>
      </c>
      <c r="M3112" t="s">
        <v>2287</v>
      </c>
      <c r="N3112" t="s">
        <v>571</v>
      </c>
      <c r="O3112" t="s">
        <v>3481</v>
      </c>
      <c r="P3112" t="s">
        <v>540</v>
      </c>
      <c r="Q3112" t="s">
        <v>3337</v>
      </c>
      <c r="R3112" t="s">
        <v>3338</v>
      </c>
      <c r="S3112" t="s">
        <v>3361</v>
      </c>
      <c r="T3112" t="s">
        <v>2448</v>
      </c>
      <c r="U3112">
        <v>356000</v>
      </c>
      <c r="V3112" t="s">
        <v>17499</v>
      </c>
      <c r="W3112" t="s">
        <v>17500</v>
      </c>
      <c r="X3112" t="s">
        <v>3484</v>
      </c>
      <c r="Y3112" t="s">
        <v>1890</v>
      </c>
      <c r="AA3112" t="s">
        <v>1891</v>
      </c>
      <c r="AB3112" t="s">
        <v>3485</v>
      </c>
      <c r="AC3112">
        <v>99080</v>
      </c>
      <c r="AD3112" t="s">
        <v>3486</v>
      </c>
      <c r="AE3112">
        <v>-46.201653569999998</v>
      </c>
      <c r="AF3112">
        <v>169.37540455000001</v>
      </c>
      <c r="AG3112">
        <v>40</v>
      </c>
      <c r="AH3112">
        <v>10</v>
      </c>
      <c r="AI3112">
        <v>0</v>
      </c>
      <c r="AJ3112">
        <v>6</v>
      </c>
      <c r="AK3112">
        <v>6</v>
      </c>
      <c r="AL3112">
        <v>11</v>
      </c>
      <c r="AM3112">
        <v>15</v>
      </c>
      <c r="AN3112">
        <v>1</v>
      </c>
      <c r="AO3112">
        <v>39</v>
      </c>
      <c r="AP3112">
        <v>36</v>
      </c>
      <c r="AQ3112">
        <v>14</v>
      </c>
      <c r="AR3112">
        <v>1</v>
      </c>
      <c r="AS3112">
        <v>3</v>
      </c>
      <c r="AT3112">
        <v>2</v>
      </c>
    </row>
    <row r="3113" spans="1:46">
      <c r="A3113">
        <v>47918</v>
      </c>
      <c r="B3113" t="s">
        <v>17501</v>
      </c>
      <c r="C3113" t="s">
        <v>17502</v>
      </c>
      <c r="D3113" t="s">
        <v>17071</v>
      </c>
      <c r="E3113" t="s">
        <v>17503</v>
      </c>
      <c r="G3113" t="s">
        <v>17504</v>
      </c>
      <c r="H3113" t="s">
        <v>3942</v>
      </c>
      <c r="J3113" t="s">
        <v>518</v>
      </c>
      <c r="K3113" t="s">
        <v>519</v>
      </c>
      <c r="M3113" t="s">
        <v>520</v>
      </c>
      <c r="N3113" t="s">
        <v>571</v>
      </c>
      <c r="O3113" t="s">
        <v>653</v>
      </c>
      <c r="P3113" t="s">
        <v>584</v>
      </c>
      <c r="Q3113" t="s">
        <v>638</v>
      </c>
      <c r="R3113" t="s">
        <v>639</v>
      </c>
      <c r="S3113" t="s">
        <v>668</v>
      </c>
      <c r="T3113" t="s">
        <v>527</v>
      </c>
      <c r="U3113">
        <v>114901</v>
      </c>
      <c r="V3113" t="s">
        <v>5068</v>
      </c>
      <c r="W3113" t="s">
        <v>657</v>
      </c>
      <c r="X3113" t="s">
        <v>3943</v>
      </c>
      <c r="Y3113" t="s">
        <v>3944</v>
      </c>
      <c r="Z3113" t="s">
        <v>3945</v>
      </c>
      <c r="AA3113" t="s">
        <v>3946</v>
      </c>
      <c r="AB3113" t="s">
        <v>3947</v>
      </c>
      <c r="AE3113">
        <v>-36.636258269999999</v>
      </c>
      <c r="AF3113">
        <v>174.74813187000001</v>
      </c>
      <c r="AG3113">
        <v>125</v>
      </c>
      <c r="AH3113">
        <v>25</v>
      </c>
      <c r="AI3113">
        <v>3</v>
      </c>
      <c r="AJ3113">
        <v>25</v>
      </c>
      <c r="AK3113">
        <v>35</v>
      </c>
      <c r="AL3113">
        <v>29</v>
      </c>
      <c r="AM3113">
        <v>32</v>
      </c>
      <c r="AN3113">
        <v>1</v>
      </c>
      <c r="AO3113">
        <v>125</v>
      </c>
      <c r="AP3113">
        <v>93</v>
      </c>
      <c r="AQ3113">
        <v>24</v>
      </c>
      <c r="AR3113">
        <v>6</v>
      </c>
      <c r="AS3113">
        <v>24</v>
      </c>
      <c r="AT3113">
        <v>16</v>
      </c>
    </row>
    <row r="3114" spans="1:46">
      <c r="A3114">
        <v>47920</v>
      </c>
      <c r="B3114" t="s">
        <v>17505</v>
      </c>
      <c r="C3114" t="s">
        <v>17506</v>
      </c>
      <c r="D3114" t="s">
        <v>17507</v>
      </c>
      <c r="E3114" t="s">
        <v>17508</v>
      </c>
      <c r="F3114" t="s">
        <v>651</v>
      </c>
      <c r="G3114" t="s">
        <v>652</v>
      </c>
      <c r="H3114" t="s">
        <v>3942</v>
      </c>
      <c r="J3114" t="s">
        <v>518</v>
      </c>
      <c r="K3114" t="s">
        <v>519</v>
      </c>
      <c r="M3114" t="s">
        <v>520</v>
      </c>
      <c r="N3114" t="s">
        <v>571</v>
      </c>
      <c r="O3114" t="s">
        <v>653</v>
      </c>
      <c r="P3114" t="s">
        <v>654</v>
      </c>
      <c r="Q3114" t="s">
        <v>638</v>
      </c>
      <c r="R3114" t="s">
        <v>639</v>
      </c>
      <c r="S3114" t="s">
        <v>655</v>
      </c>
      <c r="T3114" t="s">
        <v>527</v>
      </c>
      <c r="U3114">
        <v>116801</v>
      </c>
      <c r="V3114" t="s">
        <v>17509</v>
      </c>
      <c r="W3114" t="s">
        <v>657</v>
      </c>
      <c r="X3114" t="s">
        <v>17510</v>
      </c>
      <c r="Y3114" t="s">
        <v>17508</v>
      </c>
      <c r="Z3114" t="s">
        <v>651</v>
      </c>
      <c r="AA3114" t="s">
        <v>4084</v>
      </c>
      <c r="AB3114" t="s">
        <v>17511</v>
      </c>
      <c r="AC3114">
        <v>99121</v>
      </c>
      <c r="AD3114" t="s">
        <v>662</v>
      </c>
      <c r="AE3114">
        <v>-36.6944157</v>
      </c>
      <c r="AF3114">
        <v>174.72868174999999</v>
      </c>
      <c r="AG3114">
        <v>74</v>
      </c>
      <c r="AH3114">
        <v>14</v>
      </c>
      <c r="AI3114">
        <v>3</v>
      </c>
      <c r="AJ3114">
        <v>12</v>
      </c>
      <c r="AK3114">
        <v>16</v>
      </c>
      <c r="AL3114">
        <v>22</v>
      </c>
      <c r="AM3114">
        <v>18</v>
      </c>
      <c r="AN3114">
        <v>3</v>
      </c>
      <c r="AO3114">
        <v>74</v>
      </c>
      <c r="AP3114">
        <v>51</v>
      </c>
      <c r="AQ3114">
        <v>3</v>
      </c>
      <c r="AR3114">
        <v>0</v>
      </c>
      <c r="AS3114">
        <v>26</v>
      </c>
      <c r="AT3114">
        <v>5</v>
      </c>
    </row>
    <row r="3115" spans="1:46">
      <c r="A3115">
        <v>47922</v>
      </c>
      <c r="B3115" t="s">
        <v>17512</v>
      </c>
      <c r="C3115" t="s">
        <v>15236</v>
      </c>
      <c r="D3115" t="s">
        <v>12320</v>
      </c>
      <c r="E3115" t="s">
        <v>12321</v>
      </c>
      <c r="F3115" t="s">
        <v>12322</v>
      </c>
      <c r="G3115" t="s">
        <v>2941</v>
      </c>
      <c r="H3115" t="s">
        <v>4716</v>
      </c>
      <c r="J3115" t="s">
        <v>3962</v>
      </c>
      <c r="K3115" t="s">
        <v>519</v>
      </c>
      <c r="M3115" t="s">
        <v>2287</v>
      </c>
      <c r="N3115" t="s">
        <v>571</v>
      </c>
      <c r="O3115" t="s">
        <v>2942</v>
      </c>
      <c r="P3115" t="s">
        <v>654</v>
      </c>
      <c r="Q3115" t="s">
        <v>2943</v>
      </c>
      <c r="R3115" t="s">
        <v>2944</v>
      </c>
      <c r="S3115" t="s">
        <v>2973</v>
      </c>
      <c r="T3115" t="s">
        <v>2448</v>
      </c>
      <c r="U3115">
        <v>326000</v>
      </c>
      <c r="V3115" t="s">
        <v>12322</v>
      </c>
      <c r="W3115" t="s">
        <v>2974</v>
      </c>
      <c r="X3115" t="s">
        <v>12323</v>
      </c>
      <c r="Y3115" t="s">
        <v>12324</v>
      </c>
      <c r="Z3115" t="s">
        <v>2972</v>
      </c>
      <c r="AA3115" t="s">
        <v>12325</v>
      </c>
      <c r="AB3115" t="s">
        <v>12326</v>
      </c>
      <c r="AE3115">
        <v>-43.480276699999997</v>
      </c>
      <c r="AF3115">
        <v>172.71740036</v>
      </c>
      <c r="AG3115">
        <v>80</v>
      </c>
      <c r="AH3115">
        <v>80</v>
      </c>
      <c r="AI3115">
        <v>5</v>
      </c>
      <c r="AJ3115">
        <v>7</v>
      </c>
      <c r="AK3115">
        <v>12</v>
      </c>
      <c r="AL3115">
        <v>10</v>
      </c>
      <c r="AM3115">
        <v>12</v>
      </c>
      <c r="AN3115">
        <v>1</v>
      </c>
      <c r="AO3115">
        <v>47</v>
      </c>
      <c r="AP3115">
        <v>22</v>
      </c>
      <c r="AQ3115">
        <v>0</v>
      </c>
      <c r="AR3115">
        <v>2</v>
      </c>
      <c r="AS3115">
        <v>31</v>
      </c>
      <c r="AT3115">
        <v>0</v>
      </c>
    </row>
    <row r="3116" spans="1:46">
      <c r="A3116">
        <v>47923</v>
      </c>
      <c r="B3116" t="s">
        <v>17513</v>
      </c>
      <c r="C3116" t="s">
        <v>17514</v>
      </c>
      <c r="D3116" t="s">
        <v>17515</v>
      </c>
      <c r="E3116" t="s">
        <v>17516</v>
      </c>
      <c r="G3116" t="s">
        <v>4459</v>
      </c>
      <c r="H3116" t="s">
        <v>3942</v>
      </c>
      <c r="J3116" t="s">
        <v>3962</v>
      </c>
      <c r="K3116" t="s">
        <v>519</v>
      </c>
      <c r="M3116" t="s">
        <v>520</v>
      </c>
      <c r="N3116" t="s">
        <v>571</v>
      </c>
      <c r="O3116" t="s">
        <v>637</v>
      </c>
      <c r="P3116" t="s">
        <v>584</v>
      </c>
      <c r="Q3116" t="s">
        <v>638</v>
      </c>
      <c r="R3116" t="s">
        <v>639</v>
      </c>
      <c r="S3116" t="s">
        <v>640</v>
      </c>
      <c r="T3116" t="s">
        <v>527</v>
      </c>
      <c r="U3116">
        <v>113401</v>
      </c>
      <c r="V3116" t="s">
        <v>4510</v>
      </c>
      <c r="W3116" t="s">
        <v>641</v>
      </c>
      <c r="X3116" t="s">
        <v>16013</v>
      </c>
      <c r="Y3116" t="s">
        <v>17516</v>
      </c>
      <c r="AA3116" t="s">
        <v>7883</v>
      </c>
      <c r="AE3116">
        <v>-36.611372279999998</v>
      </c>
      <c r="AF3116">
        <v>174.65759700000001</v>
      </c>
      <c r="AG3116">
        <v>108</v>
      </c>
      <c r="AH3116">
        <v>20</v>
      </c>
      <c r="AI3116">
        <v>2</v>
      </c>
      <c r="AJ3116">
        <v>16</v>
      </c>
      <c r="AK3116">
        <v>24</v>
      </c>
      <c r="AL3116">
        <v>24</v>
      </c>
      <c r="AM3116">
        <v>27</v>
      </c>
      <c r="AN3116">
        <v>2</v>
      </c>
      <c r="AO3116">
        <v>95</v>
      </c>
      <c r="AP3116">
        <v>62</v>
      </c>
      <c r="AQ3116">
        <v>6</v>
      </c>
      <c r="AR3116">
        <v>0</v>
      </c>
      <c r="AS3116">
        <v>37</v>
      </c>
      <c r="AT3116">
        <v>3</v>
      </c>
    </row>
    <row r="3117" spans="1:46">
      <c r="A3117">
        <v>47924</v>
      </c>
      <c r="B3117" t="s">
        <v>17517</v>
      </c>
      <c r="C3117" t="s">
        <v>17518</v>
      </c>
      <c r="D3117" t="s">
        <v>17519</v>
      </c>
      <c r="E3117" t="s">
        <v>17520</v>
      </c>
      <c r="G3117" t="s">
        <v>1586</v>
      </c>
      <c r="H3117" t="s">
        <v>3942</v>
      </c>
      <c r="J3117" t="s">
        <v>3962</v>
      </c>
      <c r="K3117" t="s">
        <v>519</v>
      </c>
      <c r="M3117" t="s">
        <v>1297</v>
      </c>
      <c r="N3117" t="s">
        <v>571</v>
      </c>
      <c r="O3117" t="s">
        <v>1450</v>
      </c>
      <c r="P3117" t="s">
        <v>523</v>
      </c>
      <c r="Q3117" t="s">
        <v>1299</v>
      </c>
      <c r="R3117" t="s">
        <v>1300</v>
      </c>
      <c r="S3117" t="s">
        <v>1300</v>
      </c>
      <c r="T3117" t="s">
        <v>1235</v>
      </c>
      <c r="U3117">
        <v>174001</v>
      </c>
      <c r="V3117" t="s">
        <v>3822</v>
      </c>
      <c r="W3117" t="s">
        <v>1588</v>
      </c>
      <c r="X3117" t="s">
        <v>17521</v>
      </c>
      <c r="Y3117" t="s">
        <v>17522</v>
      </c>
      <c r="AA3117" t="s">
        <v>17523</v>
      </c>
      <c r="AB3117" t="s">
        <v>17518</v>
      </c>
      <c r="AC3117">
        <v>99131</v>
      </c>
      <c r="AD3117" t="s">
        <v>1589</v>
      </c>
      <c r="AE3117">
        <v>-37.667270129999999</v>
      </c>
      <c r="AF3117">
        <v>175.5268284</v>
      </c>
      <c r="AG3117">
        <v>120</v>
      </c>
      <c r="AH3117">
        <v>20</v>
      </c>
      <c r="AI3117">
        <v>5</v>
      </c>
      <c r="AJ3117">
        <v>19</v>
      </c>
      <c r="AK3117">
        <v>27</v>
      </c>
      <c r="AL3117">
        <v>37</v>
      </c>
      <c r="AM3117">
        <v>35</v>
      </c>
      <c r="AN3117">
        <v>0</v>
      </c>
      <c r="AO3117">
        <v>123</v>
      </c>
      <c r="AP3117">
        <v>107</v>
      </c>
      <c r="AQ3117">
        <v>23</v>
      </c>
      <c r="AR3117">
        <v>1</v>
      </c>
      <c r="AS3117">
        <v>9</v>
      </c>
      <c r="AT3117">
        <v>5</v>
      </c>
    </row>
    <row r="3118" spans="1:46">
      <c r="A3118">
        <v>47925</v>
      </c>
      <c r="B3118" t="s">
        <v>17524</v>
      </c>
      <c r="C3118" t="s">
        <v>17525</v>
      </c>
      <c r="E3118" t="s">
        <v>17526</v>
      </c>
      <c r="G3118" t="s">
        <v>10179</v>
      </c>
      <c r="H3118" t="s">
        <v>3942</v>
      </c>
      <c r="I3118" t="s">
        <v>17527</v>
      </c>
      <c r="J3118" t="s">
        <v>3962</v>
      </c>
      <c r="K3118" t="s">
        <v>519</v>
      </c>
      <c r="M3118" t="s">
        <v>1297</v>
      </c>
      <c r="N3118" t="s">
        <v>727</v>
      </c>
      <c r="O3118" t="s">
        <v>1470</v>
      </c>
      <c r="P3118" t="s">
        <v>540</v>
      </c>
      <c r="Q3118" t="s">
        <v>1471</v>
      </c>
      <c r="R3118" t="s">
        <v>1472</v>
      </c>
      <c r="S3118" t="s">
        <v>1473</v>
      </c>
      <c r="T3118" t="s">
        <v>1474</v>
      </c>
      <c r="U3118">
        <v>203100</v>
      </c>
      <c r="V3118" t="s">
        <v>10180</v>
      </c>
      <c r="W3118" t="s">
        <v>1595</v>
      </c>
      <c r="X3118" t="s">
        <v>17528</v>
      </c>
      <c r="Y3118" t="s">
        <v>17526</v>
      </c>
      <c r="AA3118" t="s">
        <v>17529</v>
      </c>
      <c r="AB3118" t="s">
        <v>17525</v>
      </c>
      <c r="AE3118">
        <v>-38.065011470000002</v>
      </c>
      <c r="AF3118">
        <v>177.01013141000001</v>
      </c>
      <c r="AG3118">
        <v>20</v>
      </c>
      <c r="AH3118">
        <v>0</v>
      </c>
      <c r="AI3118">
        <v>0</v>
      </c>
      <c r="AJ3118">
        <v>0</v>
      </c>
      <c r="AK3118">
        <v>0</v>
      </c>
      <c r="AL3118">
        <v>4</v>
      </c>
      <c r="AM3118">
        <v>12</v>
      </c>
      <c r="AN3118">
        <v>2</v>
      </c>
      <c r="AO3118">
        <v>18</v>
      </c>
      <c r="AP3118">
        <v>2</v>
      </c>
      <c r="AQ3118">
        <v>16</v>
      </c>
      <c r="AR3118">
        <v>0</v>
      </c>
      <c r="AS3118">
        <v>0</v>
      </c>
      <c r="AT3118">
        <v>2</v>
      </c>
    </row>
    <row r="3119" spans="1:46">
      <c r="A3119">
        <v>47926</v>
      </c>
      <c r="B3119" t="s">
        <v>17530</v>
      </c>
      <c r="C3119" t="s">
        <v>17531</v>
      </c>
      <c r="D3119" t="s">
        <v>17532</v>
      </c>
      <c r="E3119" t="s">
        <v>17533</v>
      </c>
      <c r="G3119" t="s">
        <v>1974</v>
      </c>
      <c r="H3119" t="s">
        <v>3942</v>
      </c>
      <c r="J3119" t="s">
        <v>3962</v>
      </c>
      <c r="K3119" t="s">
        <v>519</v>
      </c>
      <c r="M3119" t="s">
        <v>1297</v>
      </c>
      <c r="N3119" t="s">
        <v>571</v>
      </c>
      <c r="O3119" t="s">
        <v>1956</v>
      </c>
      <c r="P3119" t="s">
        <v>584</v>
      </c>
      <c r="Q3119" t="s">
        <v>1636</v>
      </c>
      <c r="R3119" t="s">
        <v>1760</v>
      </c>
      <c r="S3119" t="s">
        <v>1974</v>
      </c>
      <c r="T3119" t="s">
        <v>1485</v>
      </c>
      <c r="U3119">
        <v>230600</v>
      </c>
      <c r="V3119" t="s">
        <v>1975</v>
      </c>
      <c r="W3119" t="s">
        <v>1957</v>
      </c>
      <c r="X3119" t="s">
        <v>12816</v>
      </c>
      <c r="Y3119" t="s">
        <v>4634</v>
      </c>
      <c r="AA3119" t="s">
        <v>4635</v>
      </c>
      <c r="AB3119" t="s">
        <v>12817</v>
      </c>
      <c r="AE3119">
        <v>-40.349989090000001</v>
      </c>
      <c r="AF3119">
        <v>175.62117828999999</v>
      </c>
      <c r="AG3119">
        <v>75</v>
      </c>
      <c r="AH3119">
        <v>25</v>
      </c>
      <c r="AI3119">
        <v>2</v>
      </c>
      <c r="AJ3119">
        <v>15</v>
      </c>
      <c r="AK3119">
        <v>24</v>
      </c>
      <c r="AL3119">
        <v>29</v>
      </c>
      <c r="AM3119">
        <v>19</v>
      </c>
      <c r="AN3119">
        <v>0</v>
      </c>
      <c r="AO3119">
        <v>89</v>
      </c>
      <c r="AP3119">
        <v>56</v>
      </c>
      <c r="AQ3119">
        <v>25</v>
      </c>
      <c r="AR3119">
        <v>8</v>
      </c>
      <c r="AS3119">
        <v>23</v>
      </c>
      <c r="AT3119">
        <v>4</v>
      </c>
    </row>
    <row r="3120" spans="1:46">
      <c r="A3120">
        <v>47928</v>
      </c>
      <c r="B3120" t="s">
        <v>17534</v>
      </c>
      <c r="C3120" t="s">
        <v>17535</v>
      </c>
      <c r="D3120" t="s">
        <v>17536</v>
      </c>
      <c r="E3120" t="s">
        <v>17537</v>
      </c>
      <c r="F3120" t="s">
        <v>3194</v>
      </c>
      <c r="G3120" t="s">
        <v>2941</v>
      </c>
      <c r="H3120" t="s">
        <v>3942</v>
      </c>
      <c r="J3120" t="s">
        <v>518</v>
      </c>
      <c r="K3120" t="s">
        <v>519</v>
      </c>
      <c r="M3120" t="s">
        <v>2287</v>
      </c>
      <c r="N3120" t="s">
        <v>571</v>
      </c>
      <c r="O3120" t="s">
        <v>2942</v>
      </c>
      <c r="P3120" t="s">
        <v>654</v>
      </c>
      <c r="Q3120" t="s">
        <v>2943</v>
      </c>
      <c r="R3120" t="s">
        <v>2944</v>
      </c>
      <c r="S3120" t="s">
        <v>3019</v>
      </c>
      <c r="T3120" t="s">
        <v>2448</v>
      </c>
      <c r="U3120">
        <v>324300</v>
      </c>
      <c r="V3120" t="s">
        <v>17538</v>
      </c>
      <c r="W3120" t="s">
        <v>3196</v>
      </c>
      <c r="X3120" t="s">
        <v>10801</v>
      </c>
      <c r="Y3120" t="s">
        <v>3944</v>
      </c>
      <c r="Z3120" t="s">
        <v>3945</v>
      </c>
      <c r="AA3120" t="s">
        <v>3946</v>
      </c>
      <c r="AE3120">
        <v>-43.567430469999998</v>
      </c>
      <c r="AF3120">
        <v>172.53851</v>
      </c>
      <c r="AG3120">
        <v>103</v>
      </c>
      <c r="AH3120">
        <v>24</v>
      </c>
      <c r="AI3120">
        <v>4</v>
      </c>
      <c r="AJ3120">
        <v>22</v>
      </c>
      <c r="AK3120">
        <v>23</v>
      </c>
      <c r="AL3120">
        <v>27</v>
      </c>
      <c r="AM3120">
        <v>34</v>
      </c>
      <c r="AN3120">
        <v>1</v>
      </c>
      <c r="AO3120">
        <v>111</v>
      </c>
      <c r="AP3120">
        <v>55</v>
      </c>
      <c r="AQ3120">
        <v>13</v>
      </c>
      <c r="AR3120">
        <v>6</v>
      </c>
      <c r="AS3120">
        <v>45</v>
      </c>
      <c r="AT3120">
        <v>16</v>
      </c>
    </row>
    <row r="3121" spans="1:46">
      <c r="A3121">
        <v>47929</v>
      </c>
      <c r="B3121" t="s">
        <v>17539</v>
      </c>
      <c r="C3121" t="s">
        <v>17540</v>
      </c>
      <c r="D3121" t="s">
        <v>17541</v>
      </c>
      <c r="E3121" t="s">
        <v>17542</v>
      </c>
      <c r="G3121" t="s">
        <v>10911</v>
      </c>
      <c r="H3121" t="s">
        <v>3942</v>
      </c>
      <c r="J3121" t="s">
        <v>518</v>
      </c>
      <c r="K3121" t="s">
        <v>519</v>
      </c>
      <c r="M3121" t="s">
        <v>2287</v>
      </c>
      <c r="N3121" t="s">
        <v>571</v>
      </c>
      <c r="O3121" t="s">
        <v>3208</v>
      </c>
      <c r="P3121" t="s">
        <v>1262</v>
      </c>
      <c r="Q3121" t="s">
        <v>2943</v>
      </c>
      <c r="R3121" t="s">
        <v>2944</v>
      </c>
      <c r="S3121" t="s">
        <v>3179</v>
      </c>
      <c r="T3121" t="s">
        <v>2448</v>
      </c>
      <c r="U3121">
        <v>335502</v>
      </c>
      <c r="V3121" t="s">
        <v>17543</v>
      </c>
      <c r="W3121" t="s">
        <v>10914</v>
      </c>
      <c r="X3121" t="s">
        <v>10801</v>
      </c>
      <c r="Y3121" t="s">
        <v>3944</v>
      </c>
      <c r="Z3121" t="s">
        <v>3945</v>
      </c>
      <c r="AA3121" t="s">
        <v>3946</v>
      </c>
      <c r="AC3121">
        <v>99206</v>
      </c>
      <c r="AD3121" t="s">
        <v>3211</v>
      </c>
      <c r="AE3121">
        <v>-43.606515469999998</v>
      </c>
      <c r="AF3121">
        <v>172.40134330000001</v>
      </c>
      <c r="AG3121">
        <v>70</v>
      </c>
      <c r="AH3121">
        <v>20</v>
      </c>
      <c r="AI3121">
        <v>3</v>
      </c>
      <c r="AJ3121">
        <v>17</v>
      </c>
      <c r="AK3121">
        <v>20</v>
      </c>
      <c r="AL3121">
        <v>24</v>
      </c>
      <c r="AM3121">
        <v>26</v>
      </c>
      <c r="AN3121">
        <v>0</v>
      </c>
      <c r="AO3121">
        <v>90</v>
      </c>
      <c r="AP3121">
        <v>69</v>
      </c>
      <c r="AQ3121">
        <v>7</v>
      </c>
      <c r="AR3121">
        <v>3</v>
      </c>
      <c r="AS3121">
        <v>21</v>
      </c>
      <c r="AT3121">
        <v>5</v>
      </c>
    </row>
    <row r="3122" spans="1:46">
      <c r="A3122">
        <v>47930</v>
      </c>
      <c r="B3122" t="s">
        <v>17544</v>
      </c>
      <c r="C3122" t="s">
        <v>17545</v>
      </c>
      <c r="D3122" t="s">
        <v>17546</v>
      </c>
      <c r="E3122" t="s">
        <v>17547</v>
      </c>
      <c r="F3122" t="s">
        <v>1036</v>
      </c>
      <c r="G3122" t="s">
        <v>652</v>
      </c>
      <c r="H3122" t="s">
        <v>3942</v>
      </c>
      <c r="J3122" t="s">
        <v>3962</v>
      </c>
      <c r="K3122" t="s">
        <v>519</v>
      </c>
      <c r="M3122" t="s">
        <v>520</v>
      </c>
      <c r="N3122" t="s">
        <v>521</v>
      </c>
      <c r="O3122" t="s">
        <v>1216</v>
      </c>
      <c r="P3122" t="s">
        <v>654</v>
      </c>
      <c r="Q3122" t="s">
        <v>638</v>
      </c>
      <c r="R3122" t="s">
        <v>729</v>
      </c>
      <c r="S3122" t="s">
        <v>1036</v>
      </c>
      <c r="T3122" t="s">
        <v>709</v>
      </c>
      <c r="U3122">
        <v>158800</v>
      </c>
      <c r="V3122" t="s">
        <v>17548</v>
      </c>
      <c r="W3122" t="s">
        <v>1219</v>
      </c>
      <c r="X3122" t="s">
        <v>17549</v>
      </c>
      <c r="Y3122" t="s">
        <v>17547</v>
      </c>
      <c r="Z3122" t="s">
        <v>1036</v>
      </c>
      <c r="AA3122" t="s">
        <v>5202</v>
      </c>
      <c r="AB3122" t="s">
        <v>17550</v>
      </c>
      <c r="AE3122">
        <v>-37.018500000000003</v>
      </c>
      <c r="AF3122">
        <v>174.86410000000001</v>
      </c>
      <c r="AG3122">
        <v>40</v>
      </c>
      <c r="AH3122">
        <v>10</v>
      </c>
      <c r="AI3122">
        <v>1</v>
      </c>
      <c r="AJ3122">
        <v>8</v>
      </c>
      <c r="AK3122">
        <v>10</v>
      </c>
      <c r="AL3122">
        <v>10</v>
      </c>
      <c r="AM3122">
        <v>19</v>
      </c>
      <c r="AN3122">
        <v>0</v>
      </c>
      <c r="AO3122">
        <v>48</v>
      </c>
      <c r="AP3122">
        <v>8</v>
      </c>
      <c r="AQ3122">
        <v>4</v>
      </c>
      <c r="AR3122">
        <v>15</v>
      </c>
      <c r="AS3122">
        <v>30</v>
      </c>
      <c r="AT3122">
        <v>0</v>
      </c>
    </row>
    <row r="3123" spans="1:46">
      <c r="A3123">
        <v>47932</v>
      </c>
      <c r="B3123" t="s">
        <v>17551</v>
      </c>
      <c r="C3123" t="s">
        <v>17552</v>
      </c>
      <c r="D3123" t="s">
        <v>17553</v>
      </c>
      <c r="E3123" t="s">
        <v>17554</v>
      </c>
      <c r="F3123" t="s">
        <v>913</v>
      </c>
      <c r="G3123" t="s">
        <v>652</v>
      </c>
      <c r="H3123" t="s">
        <v>3942</v>
      </c>
      <c r="J3123" t="s">
        <v>3962</v>
      </c>
      <c r="K3123" t="s">
        <v>519</v>
      </c>
      <c r="M3123" t="s">
        <v>520</v>
      </c>
      <c r="N3123" t="s">
        <v>539</v>
      </c>
      <c r="O3123" t="s">
        <v>912</v>
      </c>
      <c r="P3123" t="s">
        <v>654</v>
      </c>
      <c r="Q3123" t="s">
        <v>638</v>
      </c>
      <c r="R3123" t="s">
        <v>708</v>
      </c>
      <c r="S3123" t="s">
        <v>913</v>
      </c>
      <c r="T3123" t="s">
        <v>709</v>
      </c>
      <c r="U3123">
        <v>137901</v>
      </c>
      <c r="V3123" t="s">
        <v>3908</v>
      </c>
      <c r="W3123" t="s">
        <v>860</v>
      </c>
      <c r="X3123" t="s">
        <v>17555</v>
      </c>
      <c r="Y3123" t="s">
        <v>17556</v>
      </c>
      <c r="Z3123" t="s">
        <v>769</v>
      </c>
      <c r="AA3123" t="s">
        <v>4537</v>
      </c>
      <c r="AB3123" t="s">
        <v>17557</v>
      </c>
      <c r="AE3123">
        <v>-36.900637369999998</v>
      </c>
      <c r="AF3123">
        <v>174.72366905999999</v>
      </c>
      <c r="AG3123">
        <v>58</v>
      </c>
      <c r="AH3123">
        <v>10</v>
      </c>
      <c r="AI3123">
        <v>2</v>
      </c>
      <c r="AJ3123">
        <v>10</v>
      </c>
      <c r="AK3123">
        <v>10</v>
      </c>
      <c r="AL3123">
        <v>26</v>
      </c>
      <c r="AM3123">
        <v>18</v>
      </c>
      <c r="AN3123">
        <v>0</v>
      </c>
      <c r="AO3123">
        <v>66</v>
      </c>
      <c r="AP3123">
        <v>1</v>
      </c>
      <c r="AQ3123">
        <v>1</v>
      </c>
      <c r="AR3123">
        <v>9</v>
      </c>
      <c r="AS3123">
        <v>50</v>
      </c>
      <c r="AT3123">
        <v>7</v>
      </c>
    </row>
    <row r="3124" spans="1:46">
      <c r="A3124">
        <v>47933</v>
      </c>
      <c r="B3124" t="s">
        <v>17558</v>
      </c>
      <c r="C3124" t="s">
        <v>17559</v>
      </c>
      <c r="D3124" t="s">
        <v>17560</v>
      </c>
      <c r="E3124" t="s">
        <v>17561</v>
      </c>
      <c r="F3124" t="s">
        <v>7810</v>
      </c>
      <c r="G3124" t="s">
        <v>652</v>
      </c>
      <c r="H3124" t="s">
        <v>3942</v>
      </c>
      <c r="J3124" t="s">
        <v>3962</v>
      </c>
      <c r="K3124" t="s">
        <v>519</v>
      </c>
      <c r="M3124" t="s">
        <v>520</v>
      </c>
      <c r="N3124" t="s">
        <v>571</v>
      </c>
      <c r="O3124" t="s">
        <v>1233</v>
      </c>
      <c r="P3124" t="s">
        <v>523</v>
      </c>
      <c r="Q3124" t="s">
        <v>638</v>
      </c>
      <c r="R3124" t="s">
        <v>708</v>
      </c>
      <c r="S3124" t="s">
        <v>1234</v>
      </c>
      <c r="T3124" t="s">
        <v>1235</v>
      </c>
      <c r="U3124">
        <v>155000</v>
      </c>
      <c r="V3124" t="s">
        <v>7811</v>
      </c>
      <c r="W3124" t="s">
        <v>1237</v>
      </c>
      <c r="X3124" t="s">
        <v>17562</v>
      </c>
      <c r="Y3124" t="s">
        <v>17561</v>
      </c>
      <c r="AA3124" t="s">
        <v>17563</v>
      </c>
      <c r="AE3124">
        <v>-36.882712640000001</v>
      </c>
      <c r="AF3124">
        <v>174.99859726</v>
      </c>
      <c r="AG3124">
        <v>40</v>
      </c>
      <c r="AH3124">
        <v>12</v>
      </c>
      <c r="AI3124">
        <v>0</v>
      </c>
      <c r="AJ3124">
        <v>7</v>
      </c>
      <c r="AK3124">
        <v>7</v>
      </c>
      <c r="AL3124">
        <v>8</v>
      </c>
      <c r="AM3124">
        <v>10</v>
      </c>
      <c r="AN3124">
        <v>0</v>
      </c>
      <c r="AO3124">
        <v>32</v>
      </c>
      <c r="AP3124">
        <v>30</v>
      </c>
      <c r="AQ3124">
        <v>6</v>
      </c>
      <c r="AR3124">
        <v>3</v>
      </c>
      <c r="AS3124">
        <v>1</v>
      </c>
      <c r="AT3124">
        <v>4</v>
      </c>
    </row>
    <row r="3125" spans="1:46">
      <c r="A3125">
        <v>47934</v>
      </c>
      <c r="B3125" t="s">
        <v>17564</v>
      </c>
      <c r="C3125" t="s">
        <v>17565</v>
      </c>
      <c r="E3125" t="s">
        <v>17566</v>
      </c>
      <c r="F3125" t="s">
        <v>717</v>
      </c>
      <c r="G3125" t="s">
        <v>652</v>
      </c>
      <c r="H3125" t="s">
        <v>3942</v>
      </c>
      <c r="J3125" t="s">
        <v>3962</v>
      </c>
      <c r="K3125" t="s">
        <v>519</v>
      </c>
      <c r="M3125" t="s">
        <v>520</v>
      </c>
      <c r="N3125" t="s">
        <v>557</v>
      </c>
      <c r="O3125" t="s">
        <v>718</v>
      </c>
      <c r="P3125" t="s">
        <v>654</v>
      </c>
      <c r="Q3125" t="s">
        <v>638</v>
      </c>
      <c r="R3125" t="s">
        <v>708</v>
      </c>
      <c r="S3125" t="s">
        <v>770</v>
      </c>
      <c r="T3125" t="s">
        <v>709</v>
      </c>
      <c r="U3125">
        <v>135000</v>
      </c>
      <c r="V3125" t="s">
        <v>5733</v>
      </c>
      <c r="W3125" t="s">
        <v>721</v>
      </c>
      <c r="X3125" t="s">
        <v>17567</v>
      </c>
      <c r="Y3125" t="s">
        <v>16741</v>
      </c>
      <c r="Z3125" t="s">
        <v>822</v>
      </c>
      <c r="AA3125" t="s">
        <v>5194</v>
      </c>
      <c r="AE3125">
        <v>-36.90407424</v>
      </c>
      <c r="AF3125">
        <v>174.69879760000001</v>
      </c>
      <c r="AG3125">
        <v>40</v>
      </c>
      <c r="AH3125">
        <v>10</v>
      </c>
      <c r="AI3125">
        <v>1</v>
      </c>
      <c r="AJ3125">
        <v>6</v>
      </c>
      <c r="AK3125">
        <v>6</v>
      </c>
      <c r="AL3125">
        <v>5</v>
      </c>
      <c r="AM3125">
        <v>10</v>
      </c>
      <c r="AN3125">
        <v>0</v>
      </c>
      <c r="AO3125">
        <v>28</v>
      </c>
      <c r="AP3125">
        <v>2</v>
      </c>
      <c r="AQ3125">
        <v>1</v>
      </c>
      <c r="AR3125">
        <v>26</v>
      </c>
      <c r="AS3125">
        <v>2</v>
      </c>
      <c r="AT3125">
        <v>1</v>
      </c>
    </row>
    <row r="3126" spans="1:46">
      <c r="A3126">
        <v>47936</v>
      </c>
      <c r="B3126" t="s">
        <v>17568</v>
      </c>
      <c r="C3126" t="s">
        <v>17569</v>
      </c>
      <c r="E3126" t="s">
        <v>17570</v>
      </c>
      <c r="F3126" t="s">
        <v>3902</v>
      </c>
      <c r="G3126" t="s">
        <v>652</v>
      </c>
      <c r="H3126" t="s">
        <v>3942</v>
      </c>
      <c r="J3126" t="s">
        <v>3962</v>
      </c>
      <c r="K3126" t="s">
        <v>519</v>
      </c>
      <c r="M3126" t="s">
        <v>520</v>
      </c>
      <c r="N3126" t="s">
        <v>571</v>
      </c>
      <c r="O3126" t="s">
        <v>1168</v>
      </c>
      <c r="P3126" t="s">
        <v>654</v>
      </c>
      <c r="Q3126" t="s">
        <v>638</v>
      </c>
      <c r="R3126" t="s">
        <v>639</v>
      </c>
      <c r="S3126" t="s">
        <v>655</v>
      </c>
      <c r="T3126" t="s">
        <v>527</v>
      </c>
      <c r="U3126">
        <v>119100</v>
      </c>
      <c r="V3126" t="s">
        <v>6973</v>
      </c>
      <c r="W3126" t="s">
        <v>657</v>
      </c>
      <c r="X3126" t="s">
        <v>17571</v>
      </c>
      <c r="Y3126" t="s">
        <v>12191</v>
      </c>
      <c r="Z3126" t="s">
        <v>12192</v>
      </c>
      <c r="AA3126" t="s">
        <v>12193</v>
      </c>
      <c r="AB3126" t="s">
        <v>17572</v>
      </c>
      <c r="AE3126">
        <v>-36.759421519999997</v>
      </c>
      <c r="AF3126">
        <v>174.70027942999999</v>
      </c>
      <c r="AG3126">
        <v>99</v>
      </c>
      <c r="AH3126">
        <v>35</v>
      </c>
      <c r="AI3126">
        <v>5</v>
      </c>
      <c r="AJ3126">
        <v>17</v>
      </c>
      <c r="AK3126">
        <v>26</v>
      </c>
      <c r="AL3126">
        <v>20</v>
      </c>
      <c r="AM3126">
        <v>25</v>
      </c>
      <c r="AN3126">
        <v>1</v>
      </c>
      <c r="AO3126">
        <v>94</v>
      </c>
      <c r="AP3126">
        <v>46</v>
      </c>
      <c r="AQ3126">
        <v>12</v>
      </c>
      <c r="AR3126">
        <v>1</v>
      </c>
      <c r="AS3126">
        <v>51</v>
      </c>
      <c r="AT3126">
        <v>4</v>
      </c>
    </row>
    <row r="3127" spans="1:46">
      <c r="A3127">
        <v>47937</v>
      </c>
      <c r="B3127" t="s">
        <v>17573</v>
      </c>
      <c r="E3127" t="s">
        <v>17574</v>
      </c>
      <c r="F3127" t="s">
        <v>8591</v>
      </c>
      <c r="G3127" t="s">
        <v>1296</v>
      </c>
      <c r="H3127" t="s">
        <v>3942</v>
      </c>
      <c r="J3127" t="s">
        <v>3962</v>
      </c>
      <c r="K3127" t="s">
        <v>519</v>
      </c>
      <c r="M3127" t="s">
        <v>1297</v>
      </c>
      <c r="N3127" t="s">
        <v>571</v>
      </c>
      <c r="O3127" t="s">
        <v>1298</v>
      </c>
      <c r="P3127" t="s">
        <v>654</v>
      </c>
      <c r="Q3127" t="s">
        <v>1299</v>
      </c>
      <c r="R3127" t="s">
        <v>1300</v>
      </c>
      <c r="S3127" t="s">
        <v>1312</v>
      </c>
      <c r="T3127" t="s">
        <v>1235</v>
      </c>
      <c r="U3127">
        <v>175801</v>
      </c>
      <c r="V3127" t="s">
        <v>8592</v>
      </c>
      <c r="W3127" t="s">
        <v>1314</v>
      </c>
      <c r="X3127" t="s">
        <v>9501</v>
      </c>
      <c r="Y3127" t="s">
        <v>16453</v>
      </c>
      <c r="Z3127" t="s">
        <v>1234</v>
      </c>
      <c r="AA3127" t="s">
        <v>5162</v>
      </c>
      <c r="AB3127" t="s">
        <v>9498</v>
      </c>
      <c r="AE3127">
        <v>-37.736797240000001</v>
      </c>
      <c r="AF3127">
        <v>175.25243563999999</v>
      </c>
      <c r="AG3127">
        <v>40</v>
      </c>
      <c r="AH3127">
        <v>10</v>
      </c>
      <c r="AI3127">
        <v>1</v>
      </c>
      <c r="AJ3127">
        <v>7</v>
      </c>
      <c r="AK3127">
        <v>9</v>
      </c>
      <c r="AL3127">
        <v>17</v>
      </c>
      <c r="AM3127">
        <v>3</v>
      </c>
      <c r="AN3127">
        <v>1</v>
      </c>
      <c r="AO3127">
        <v>38</v>
      </c>
      <c r="AP3127">
        <v>6</v>
      </c>
      <c r="AQ3127">
        <v>5</v>
      </c>
      <c r="AR3127">
        <v>0</v>
      </c>
      <c r="AS3127">
        <v>31</v>
      </c>
      <c r="AT3127">
        <v>1</v>
      </c>
    </row>
    <row r="3128" spans="1:46">
      <c r="A3128">
        <v>47940</v>
      </c>
      <c r="B3128" t="s">
        <v>17575</v>
      </c>
      <c r="C3128" t="s">
        <v>17576</v>
      </c>
      <c r="D3128" t="s">
        <v>17577</v>
      </c>
      <c r="E3128" t="s">
        <v>17578</v>
      </c>
      <c r="F3128" t="s">
        <v>1072</v>
      </c>
      <c r="G3128" t="s">
        <v>652</v>
      </c>
      <c r="H3128" t="s">
        <v>3942</v>
      </c>
      <c r="J3128" t="s">
        <v>3962</v>
      </c>
      <c r="K3128" t="s">
        <v>519</v>
      </c>
      <c r="M3128" t="s">
        <v>520</v>
      </c>
      <c r="N3128" t="s">
        <v>521</v>
      </c>
      <c r="O3128" t="s">
        <v>848</v>
      </c>
      <c r="P3128" t="s">
        <v>654</v>
      </c>
      <c r="Q3128" t="s">
        <v>638</v>
      </c>
      <c r="R3128" t="s">
        <v>729</v>
      </c>
      <c r="S3128" t="s">
        <v>730</v>
      </c>
      <c r="T3128" t="s">
        <v>709</v>
      </c>
      <c r="U3128">
        <v>150302</v>
      </c>
      <c r="V3128" t="s">
        <v>17579</v>
      </c>
      <c r="W3128" t="s">
        <v>732</v>
      </c>
      <c r="X3128" t="s">
        <v>17580</v>
      </c>
      <c r="Y3128" t="s">
        <v>13325</v>
      </c>
      <c r="Z3128" t="s">
        <v>5104</v>
      </c>
      <c r="AA3128" t="s">
        <v>3991</v>
      </c>
      <c r="AE3128">
        <v>-36.938501160000001</v>
      </c>
      <c r="AF3128">
        <v>174.85094910000001</v>
      </c>
      <c r="AG3128">
        <v>60</v>
      </c>
      <c r="AH3128">
        <v>10</v>
      </c>
      <c r="AI3128">
        <v>1</v>
      </c>
      <c r="AJ3128">
        <v>7</v>
      </c>
      <c r="AK3128">
        <v>18</v>
      </c>
      <c r="AL3128">
        <v>17</v>
      </c>
      <c r="AM3128">
        <v>16</v>
      </c>
      <c r="AN3128">
        <v>2</v>
      </c>
      <c r="AO3128">
        <v>61</v>
      </c>
      <c r="AP3128">
        <v>11</v>
      </c>
      <c r="AQ3128">
        <v>7</v>
      </c>
      <c r="AR3128">
        <v>24</v>
      </c>
      <c r="AS3128">
        <v>30</v>
      </c>
      <c r="AT3128">
        <v>1</v>
      </c>
    </row>
    <row r="3129" spans="1:46">
      <c r="A3129">
        <v>47941</v>
      </c>
      <c r="B3129" t="s">
        <v>17581</v>
      </c>
      <c r="C3129" t="s">
        <v>17582</v>
      </c>
      <c r="E3129" t="s">
        <v>17583</v>
      </c>
      <c r="F3129" t="s">
        <v>3706</v>
      </c>
      <c r="G3129" t="s">
        <v>652</v>
      </c>
      <c r="H3129" t="s">
        <v>3942</v>
      </c>
      <c r="J3129" t="s">
        <v>518</v>
      </c>
      <c r="K3129" t="s">
        <v>519</v>
      </c>
      <c r="M3129" t="s">
        <v>520</v>
      </c>
      <c r="N3129" t="s">
        <v>571</v>
      </c>
      <c r="O3129" t="s">
        <v>1168</v>
      </c>
      <c r="P3129" t="s">
        <v>654</v>
      </c>
      <c r="Q3129" t="s">
        <v>638</v>
      </c>
      <c r="R3129" t="s">
        <v>639</v>
      </c>
      <c r="S3129" t="s">
        <v>655</v>
      </c>
      <c r="T3129" t="s">
        <v>527</v>
      </c>
      <c r="U3129">
        <v>117300</v>
      </c>
      <c r="V3129" t="s">
        <v>5703</v>
      </c>
      <c r="W3129" t="s">
        <v>657</v>
      </c>
      <c r="X3129" t="s">
        <v>17584</v>
      </c>
      <c r="Y3129" t="s">
        <v>17585</v>
      </c>
      <c r="AA3129" t="s">
        <v>17586</v>
      </c>
      <c r="AB3129" t="s">
        <v>17587</v>
      </c>
      <c r="AE3129">
        <v>-36.730222599999998</v>
      </c>
      <c r="AF3129">
        <v>174.69783071000001</v>
      </c>
      <c r="AG3129">
        <v>60</v>
      </c>
      <c r="AH3129">
        <v>16</v>
      </c>
      <c r="AI3129">
        <v>0</v>
      </c>
      <c r="AJ3129">
        <v>6</v>
      </c>
      <c r="AK3129">
        <v>12</v>
      </c>
      <c r="AL3129">
        <v>6</v>
      </c>
      <c r="AM3129">
        <v>9</v>
      </c>
      <c r="AN3129">
        <v>1</v>
      </c>
      <c r="AO3129">
        <v>34</v>
      </c>
      <c r="AP3129">
        <v>15</v>
      </c>
      <c r="AQ3129">
        <v>2</v>
      </c>
      <c r="AR3129">
        <v>1</v>
      </c>
      <c r="AS3129">
        <v>20</v>
      </c>
      <c r="AT3129">
        <v>6</v>
      </c>
    </row>
    <row r="3130" spans="1:46">
      <c r="A3130">
        <v>47942</v>
      </c>
      <c r="B3130" t="s">
        <v>17588</v>
      </c>
      <c r="E3130" t="s">
        <v>17589</v>
      </c>
      <c r="G3130" t="s">
        <v>17590</v>
      </c>
      <c r="H3130" t="s">
        <v>3942</v>
      </c>
      <c r="J3130" t="s">
        <v>3962</v>
      </c>
      <c r="K3130" t="s">
        <v>519</v>
      </c>
      <c r="M3130" t="s">
        <v>2287</v>
      </c>
      <c r="N3130" t="s">
        <v>571</v>
      </c>
      <c r="O3130" t="s">
        <v>3208</v>
      </c>
      <c r="P3130" t="s">
        <v>540</v>
      </c>
      <c r="Q3130" t="s">
        <v>2943</v>
      </c>
      <c r="R3130" t="s">
        <v>2944</v>
      </c>
      <c r="S3130" t="s">
        <v>3179</v>
      </c>
      <c r="T3130" t="s">
        <v>2448</v>
      </c>
      <c r="U3130">
        <v>334100</v>
      </c>
      <c r="V3130" t="s">
        <v>17590</v>
      </c>
      <c r="W3130" t="s">
        <v>12606</v>
      </c>
      <c r="X3130" t="s">
        <v>17591</v>
      </c>
      <c r="Y3130" t="s">
        <v>9288</v>
      </c>
      <c r="Z3130" t="s">
        <v>17590</v>
      </c>
      <c r="AA3130" t="s">
        <v>17592</v>
      </c>
      <c r="AC3130">
        <v>99008</v>
      </c>
      <c r="AD3130" t="s">
        <v>17593</v>
      </c>
      <c r="AE3130">
        <v>-43.496998099999999</v>
      </c>
      <c r="AF3130">
        <v>172.21954170000001</v>
      </c>
      <c r="AG3130">
        <v>100</v>
      </c>
      <c r="AH3130">
        <v>20</v>
      </c>
      <c r="AI3130">
        <v>4</v>
      </c>
      <c r="AJ3130">
        <v>18</v>
      </c>
      <c r="AK3130">
        <v>22</v>
      </c>
      <c r="AL3130">
        <v>24</v>
      </c>
      <c r="AM3130">
        <v>29</v>
      </c>
      <c r="AN3130">
        <v>1</v>
      </c>
      <c r="AO3130">
        <v>98</v>
      </c>
      <c r="AP3130">
        <v>93</v>
      </c>
      <c r="AQ3130">
        <v>12</v>
      </c>
      <c r="AR3130">
        <v>2</v>
      </c>
      <c r="AS3130">
        <v>2</v>
      </c>
      <c r="AT3130">
        <v>0</v>
      </c>
    </row>
    <row r="3131" spans="1:46">
      <c r="A3131">
        <v>47944</v>
      </c>
      <c r="B3131" t="s">
        <v>17594</v>
      </c>
      <c r="C3131" t="s">
        <v>4454</v>
      </c>
      <c r="E3131" t="s">
        <v>17595</v>
      </c>
      <c r="G3131" t="s">
        <v>538</v>
      </c>
      <c r="H3131" t="s">
        <v>343</v>
      </c>
      <c r="J3131" t="s">
        <v>518</v>
      </c>
      <c r="K3131" t="s">
        <v>519</v>
      </c>
      <c r="L3131" t="s">
        <v>4205</v>
      </c>
      <c r="M3131" t="s">
        <v>520</v>
      </c>
      <c r="N3131" t="s">
        <v>521</v>
      </c>
      <c r="O3131" t="s">
        <v>522</v>
      </c>
      <c r="P3131" t="s">
        <v>540</v>
      </c>
      <c r="Q3131" t="s">
        <v>524</v>
      </c>
      <c r="R3131" t="s">
        <v>525</v>
      </c>
      <c r="S3131" t="s">
        <v>526</v>
      </c>
      <c r="T3131" t="s">
        <v>527</v>
      </c>
      <c r="U3131">
        <v>101101</v>
      </c>
      <c r="V3131" t="s">
        <v>541</v>
      </c>
      <c r="W3131" t="s">
        <v>529</v>
      </c>
      <c r="X3131" t="s">
        <v>4453</v>
      </c>
      <c r="Y3131" t="s">
        <v>4208</v>
      </c>
      <c r="Z3131" t="s">
        <v>4209</v>
      </c>
      <c r="AA3131" t="s">
        <v>4210</v>
      </c>
      <c r="AB3131" t="s">
        <v>4454</v>
      </c>
      <c r="AE3131">
        <v>-34.993789679999999</v>
      </c>
      <c r="AF3131">
        <v>173.46265106999999</v>
      </c>
      <c r="AG3131">
        <v>30</v>
      </c>
      <c r="AH3131">
        <v>10</v>
      </c>
      <c r="AI3131">
        <v>0</v>
      </c>
      <c r="AJ3131">
        <v>3</v>
      </c>
      <c r="AK3131">
        <v>6</v>
      </c>
      <c r="AL3131">
        <v>3</v>
      </c>
      <c r="AM3131">
        <v>4</v>
      </c>
      <c r="AN3131">
        <v>0</v>
      </c>
      <c r="AO3131">
        <v>16</v>
      </c>
      <c r="AP3131">
        <v>0</v>
      </c>
      <c r="AQ3131">
        <v>15</v>
      </c>
      <c r="AR3131">
        <v>0</v>
      </c>
      <c r="AS3131">
        <v>0</v>
      </c>
      <c r="AT3131">
        <v>1</v>
      </c>
    </row>
    <row r="3132" spans="1:46">
      <c r="A3132">
        <v>47947</v>
      </c>
      <c r="B3132" t="s">
        <v>17596</v>
      </c>
      <c r="C3132" t="s">
        <v>17597</v>
      </c>
      <c r="D3132" t="s">
        <v>17598</v>
      </c>
      <c r="E3132" t="s">
        <v>17599</v>
      </c>
      <c r="F3132" t="s">
        <v>1114</v>
      </c>
      <c r="G3132" t="s">
        <v>652</v>
      </c>
      <c r="H3132" t="s">
        <v>3942</v>
      </c>
      <c r="J3132" t="s">
        <v>3962</v>
      </c>
      <c r="K3132" t="s">
        <v>519</v>
      </c>
      <c r="M3132" t="s">
        <v>520</v>
      </c>
      <c r="N3132" t="s">
        <v>557</v>
      </c>
      <c r="O3132" t="s">
        <v>813</v>
      </c>
      <c r="P3132" t="s">
        <v>654</v>
      </c>
      <c r="Q3132" t="s">
        <v>638</v>
      </c>
      <c r="R3132" t="s">
        <v>639</v>
      </c>
      <c r="S3132" t="s">
        <v>899</v>
      </c>
      <c r="T3132" t="s">
        <v>527</v>
      </c>
      <c r="U3132">
        <v>123800</v>
      </c>
      <c r="V3132" t="s">
        <v>1115</v>
      </c>
      <c r="W3132" t="s">
        <v>815</v>
      </c>
      <c r="X3132" t="s">
        <v>17600</v>
      </c>
      <c r="Y3132" t="s">
        <v>17601</v>
      </c>
      <c r="Z3132" t="s">
        <v>1234</v>
      </c>
      <c r="AA3132" t="s">
        <v>11025</v>
      </c>
      <c r="AB3132" t="s">
        <v>17602</v>
      </c>
      <c r="AE3132">
        <v>-36.864444329999998</v>
      </c>
      <c r="AF3132">
        <v>174.59830976999999</v>
      </c>
      <c r="AG3132">
        <v>50</v>
      </c>
      <c r="AH3132">
        <v>10</v>
      </c>
      <c r="AI3132">
        <v>3</v>
      </c>
      <c r="AJ3132">
        <v>9</v>
      </c>
      <c r="AK3132">
        <v>6</v>
      </c>
      <c r="AL3132">
        <v>17</v>
      </c>
      <c r="AM3132">
        <v>11</v>
      </c>
      <c r="AN3132">
        <v>1</v>
      </c>
      <c r="AO3132">
        <v>47</v>
      </c>
      <c r="AP3132">
        <v>16</v>
      </c>
      <c r="AQ3132">
        <v>6</v>
      </c>
      <c r="AR3132">
        <v>14</v>
      </c>
      <c r="AS3132">
        <v>19</v>
      </c>
      <c r="AT3132">
        <v>4</v>
      </c>
    </row>
    <row r="3133" spans="1:46">
      <c r="A3133">
        <v>47948</v>
      </c>
      <c r="B3133" t="s">
        <v>17603</v>
      </c>
      <c r="C3133" t="s">
        <v>17604</v>
      </c>
      <c r="E3133" t="s">
        <v>17605</v>
      </c>
      <c r="F3133" t="s">
        <v>1379</v>
      </c>
      <c r="G3133" t="s">
        <v>1318</v>
      </c>
      <c r="H3133" t="s">
        <v>3942</v>
      </c>
      <c r="J3133" t="s">
        <v>3962</v>
      </c>
      <c r="K3133" t="s">
        <v>519</v>
      </c>
      <c r="M3133" t="s">
        <v>1297</v>
      </c>
      <c r="N3133" t="s">
        <v>571</v>
      </c>
      <c r="O3133" t="s">
        <v>1319</v>
      </c>
      <c r="P3133" t="s">
        <v>1262</v>
      </c>
      <c r="Q3133" t="s">
        <v>1299</v>
      </c>
      <c r="R3133" t="s">
        <v>1300</v>
      </c>
      <c r="S3133" t="s">
        <v>1320</v>
      </c>
      <c r="T3133" t="s">
        <v>1235</v>
      </c>
      <c r="U3133">
        <v>183701</v>
      </c>
      <c r="V3133" t="s">
        <v>16097</v>
      </c>
      <c r="W3133" t="s">
        <v>1322</v>
      </c>
      <c r="X3133" t="s">
        <v>16098</v>
      </c>
      <c r="Y3133" t="s">
        <v>16099</v>
      </c>
      <c r="Z3133" t="s">
        <v>1366</v>
      </c>
      <c r="AA3133" t="s">
        <v>9252</v>
      </c>
      <c r="AB3133" t="s">
        <v>16094</v>
      </c>
      <c r="AE3133">
        <v>-37.917014389999999</v>
      </c>
      <c r="AF3133">
        <v>175.47212578</v>
      </c>
      <c r="AG3133">
        <v>40</v>
      </c>
      <c r="AH3133">
        <v>0</v>
      </c>
      <c r="AI3133">
        <v>0</v>
      </c>
      <c r="AJ3133">
        <v>0</v>
      </c>
      <c r="AK3133">
        <v>0</v>
      </c>
      <c r="AL3133">
        <v>16</v>
      </c>
      <c r="AM3133">
        <v>16</v>
      </c>
      <c r="AN3133">
        <v>0</v>
      </c>
      <c r="AO3133">
        <v>32</v>
      </c>
      <c r="AP3133">
        <v>28</v>
      </c>
      <c r="AQ3133">
        <v>6</v>
      </c>
      <c r="AR3133">
        <v>3</v>
      </c>
      <c r="AS3133">
        <v>2</v>
      </c>
      <c r="AT3133">
        <v>2</v>
      </c>
    </row>
    <row r="3134" spans="1:46">
      <c r="A3134">
        <v>47950</v>
      </c>
      <c r="B3134" t="s">
        <v>17606</v>
      </c>
      <c r="C3134" t="s">
        <v>17607</v>
      </c>
      <c r="E3134" t="s">
        <v>17608</v>
      </c>
      <c r="F3134" t="s">
        <v>2957</v>
      </c>
      <c r="G3134" t="s">
        <v>2941</v>
      </c>
      <c r="H3134" t="s">
        <v>3942</v>
      </c>
      <c r="J3134" t="s">
        <v>3962</v>
      </c>
      <c r="K3134" t="s">
        <v>519</v>
      </c>
      <c r="M3134" t="s">
        <v>2287</v>
      </c>
      <c r="N3134" t="s">
        <v>571</v>
      </c>
      <c r="O3134" t="s">
        <v>2942</v>
      </c>
      <c r="P3134" t="s">
        <v>654</v>
      </c>
      <c r="Q3134" t="s">
        <v>2943</v>
      </c>
      <c r="R3134" t="s">
        <v>2944</v>
      </c>
      <c r="S3134" t="s">
        <v>2957</v>
      </c>
      <c r="T3134" t="s">
        <v>2448</v>
      </c>
      <c r="U3134">
        <v>327000</v>
      </c>
      <c r="V3134" t="s">
        <v>15983</v>
      </c>
      <c r="W3134" t="s">
        <v>2443</v>
      </c>
      <c r="X3134" t="s">
        <v>17609</v>
      </c>
      <c r="Y3134" t="s">
        <v>4107</v>
      </c>
      <c r="AA3134" t="s">
        <v>3982</v>
      </c>
      <c r="AB3134" t="s">
        <v>17607</v>
      </c>
      <c r="AE3134">
        <v>-43.526341029999998</v>
      </c>
      <c r="AF3134">
        <v>172.64907171999999</v>
      </c>
      <c r="AG3134">
        <v>125</v>
      </c>
      <c r="AH3134">
        <v>32</v>
      </c>
      <c r="AI3134">
        <v>10</v>
      </c>
      <c r="AJ3134">
        <v>28</v>
      </c>
      <c r="AK3134">
        <v>39</v>
      </c>
      <c r="AL3134">
        <v>37</v>
      </c>
      <c r="AM3134">
        <v>41</v>
      </c>
      <c r="AN3134">
        <v>1</v>
      </c>
      <c r="AO3134">
        <v>156</v>
      </c>
      <c r="AP3134">
        <v>129</v>
      </c>
      <c r="AQ3134">
        <v>25</v>
      </c>
      <c r="AR3134">
        <v>8</v>
      </c>
      <c r="AS3134">
        <v>32</v>
      </c>
      <c r="AT3134">
        <v>10</v>
      </c>
    </row>
    <row r="3135" spans="1:46">
      <c r="A3135">
        <v>47952</v>
      </c>
      <c r="B3135" t="s">
        <v>17610</v>
      </c>
      <c r="C3135" t="s">
        <v>17611</v>
      </c>
      <c r="D3135" t="s">
        <v>17071</v>
      </c>
      <c r="E3135" t="s">
        <v>17612</v>
      </c>
      <c r="F3135" t="s">
        <v>3987</v>
      </c>
      <c r="G3135" t="s">
        <v>652</v>
      </c>
      <c r="H3135" t="s">
        <v>3942</v>
      </c>
      <c r="J3135" t="s">
        <v>518</v>
      </c>
      <c r="K3135" t="s">
        <v>519</v>
      </c>
      <c r="M3135" t="s">
        <v>520</v>
      </c>
      <c r="N3135" t="s">
        <v>571</v>
      </c>
      <c r="O3135" t="s">
        <v>1233</v>
      </c>
      <c r="P3135" t="s">
        <v>1262</v>
      </c>
      <c r="Q3135" t="s">
        <v>638</v>
      </c>
      <c r="R3135" t="s">
        <v>729</v>
      </c>
      <c r="S3135" t="s">
        <v>1246</v>
      </c>
      <c r="T3135" t="s">
        <v>1235</v>
      </c>
      <c r="U3135">
        <v>165502</v>
      </c>
      <c r="V3135" t="s">
        <v>7794</v>
      </c>
      <c r="W3135" t="s">
        <v>1237</v>
      </c>
      <c r="X3135" t="s">
        <v>17613</v>
      </c>
      <c r="Y3135" t="s">
        <v>3944</v>
      </c>
      <c r="Z3135" t="s">
        <v>3945</v>
      </c>
      <c r="AA3135" t="s">
        <v>3946</v>
      </c>
      <c r="AB3135" t="s">
        <v>17611</v>
      </c>
      <c r="AE3135">
        <v>-37.201973219999999</v>
      </c>
      <c r="AF3135">
        <v>174.88524799999999</v>
      </c>
      <c r="AG3135">
        <v>100</v>
      </c>
      <c r="AH3135">
        <v>25</v>
      </c>
      <c r="AI3135">
        <v>0</v>
      </c>
      <c r="AJ3135">
        <v>18</v>
      </c>
      <c r="AK3135">
        <v>23</v>
      </c>
      <c r="AL3135">
        <v>21</v>
      </c>
      <c r="AM3135">
        <v>29</v>
      </c>
      <c r="AN3135">
        <v>0</v>
      </c>
      <c r="AO3135">
        <v>91</v>
      </c>
      <c r="AP3135">
        <v>25</v>
      </c>
      <c r="AQ3135">
        <v>4</v>
      </c>
      <c r="AR3135">
        <v>6</v>
      </c>
      <c r="AS3135">
        <v>66</v>
      </c>
      <c r="AT3135">
        <v>1</v>
      </c>
    </row>
    <row r="3136" spans="1:46">
      <c r="A3136">
        <v>47953</v>
      </c>
      <c r="B3136" t="s">
        <v>17614</v>
      </c>
      <c r="C3136" t="s">
        <v>17615</v>
      </c>
      <c r="D3136" t="s">
        <v>17616</v>
      </c>
      <c r="E3136" t="s">
        <v>17617</v>
      </c>
      <c r="F3136" t="s">
        <v>1366</v>
      </c>
      <c r="G3136" t="s">
        <v>652</v>
      </c>
      <c r="H3136" t="s">
        <v>3942</v>
      </c>
      <c r="J3136" t="s">
        <v>3962</v>
      </c>
      <c r="K3136" t="s">
        <v>519</v>
      </c>
      <c r="M3136" t="s">
        <v>520</v>
      </c>
      <c r="N3136" t="s">
        <v>571</v>
      </c>
      <c r="O3136" t="s">
        <v>738</v>
      </c>
      <c r="P3136" t="s">
        <v>654</v>
      </c>
      <c r="Q3136" t="s">
        <v>638</v>
      </c>
      <c r="R3136" t="s">
        <v>639</v>
      </c>
      <c r="S3136" t="s">
        <v>756</v>
      </c>
      <c r="T3136" t="s">
        <v>527</v>
      </c>
      <c r="U3136">
        <v>123500</v>
      </c>
      <c r="V3136" t="s">
        <v>17400</v>
      </c>
      <c r="W3136" t="s">
        <v>741</v>
      </c>
      <c r="X3136" t="s">
        <v>17571</v>
      </c>
      <c r="Y3136" t="s">
        <v>12191</v>
      </c>
      <c r="Z3136" t="s">
        <v>12192</v>
      </c>
      <c r="AA3136" t="s">
        <v>12193</v>
      </c>
      <c r="AB3136" t="s">
        <v>17572</v>
      </c>
      <c r="AE3136">
        <v>-36.785154980000002</v>
      </c>
      <c r="AF3136">
        <v>174.7422636</v>
      </c>
      <c r="AG3136">
        <v>125</v>
      </c>
      <c r="AH3136">
        <v>40</v>
      </c>
      <c r="AI3136">
        <v>2</v>
      </c>
      <c r="AJ3136">
        <v>32</v>
      </c>
      <c r="AK3136">
        <v>34</v>
      </c>
      <c r="AL3136">
        <v>35</v>
      </c>
      <c r="AM3136">
        <v>34</v>
      </c>
      <c r="AN3136">
        <v>0</v>
      </c>
      <c r="AO3136">
        <v>137</v>
      </c>
      <c r="AP3136">
        <v>83</v>
      </c>
      <c r="AQ3136">
        <v>3</v>
      </c>
      <c r="AR3136">
        <v>8</v>
      </c>
      <c r="AS3136">
        <v>44</v>
      </c>
      <c r="AT3136">
        <v>17</v>
      </c>
    </row>
    <row r="3137" spans="1:46">
      <c r="A3137">
        <v>47954</v>
      </c>
      <c r="B3137" t="s">
        <v>17618</v>
      </c>
      <c r="C3137" t="s">
        <v>17619</v>
      </c>
      <c r="D3137" t="s">
        <v>17620</v>
      </c>
      <c r="E3137" t="s">
        <v>17621</v>
      </c>
      <c r="F3137" t="s">
        <v>11254</v>
      </c>
      <c r="G3137" t="s">
        <v>652</v>
      </c>
      <c r="H3137" t="s">
        <v>3942</v>
      </c>
      <c r="J3137" t="s">
        <v>3962</v>
      </c>
      <c r="K3137" t="s">
        <v>519</v>
      </c>
      <c r="M3137" t="s">
        <v>520</v>
      </c>
      <c r="N3137" t="s">
        <v>571</v>
      </c>
      <c r="O3137" t="s">
        <v>912</v>
      </c>
      <c r="P3137" t="s">
        <v>654</v>
      </c>
      <c r="Q3137" t="s">
        <v>638</v>
      </c>
      <c r="R3137" t="s">
        <v>708</v>
      </c>
      <c r="S3137" t="s">
        <v>913</v>
      </c>
      <c r="T3137" t="s">
        <v>709</v>
      </c>
      <c r="U3137">
        <v>142001</v>
      </c>
      <c r="V3137" t="s">
        <v>13371</v>
      </c>
      <c r="W3137" t="s">
        <v>860</v>
      </c>
      <c r="X3137" t="s">
        <v>17622</v>
      </c>
      <c r="Y3137" t="s">
        <v>17623</v>
      </c>
      <c r="Z3137" t="s">
        <v>995</v>
      </c>
      <c r="AA3137" t="s">
        <v>4069</v>
      </c>
      <c r="AB3137" t="s">
        <v>17619</v>
      </c>
      <c r="AE3137">
        <v>-36.909329999999997</v>
      </c>
      <c r="AF3137">
        <v>174.75729000000001</v>
      </c>
      <c r="AG3137">
        <v>110</v>
      </c>
      <c r="AH3137">
        <v>40</v>
      </c>
      <c r="AI3137">
        <v>2</v>
      </c>
      <c r="AJ3137">
        <v>26</v>
      </c>
      <c r="AK3137">
        <v>29</v>
      </c>
      <c r="AL3137">
        <v>30</v>
      </c>
      <c r="AM3137">
        <v>33</v>
      </c>
      <c r="AN3137">
        <v>0</v>
      </c>
      <c r="AO3137">
        <v>120</v>
      </c>
      <c r="AP3137">
        <v>46</v>
      </c>
      <c r="AQ3137">
        <v>14</v>
      </c>
      <c r="AR3137">
        <v>15</v>
      </c>
      <c r="AS3137">
        <v>76</v>
      </c>
      <c r="AT3137">
        <v>6</v>
      </c>
    </row>
    <row r="3138" spans="1:46">
      <c r="A3138">
        <v>47955</v>
      </c>
      <c r="B3138" t="s">
        <v>17624</v>
      </c>
      <c r="C3138" t="s">
        <v>17625</v>
      </c>
      <c r="D3138" t="s">
        <v>17626</v>
      </c>
      <c r="E3138" t="s">
        <v>17627</v>
      </c>
      <c r="F3138" t="s">
        <v>821</v>
      </c>
      <c r="G3138" t="s">
        <v>652</v>
      </c>
      <c r="H3138" t="s">
        <v>4716</v>
      </c>
      <c r="J3138" t="s">
        <v>3962</v>
      </c>
      <c r="K3138" t="s">
        <v>519</v>
      </c>
      <c r="M3138" t="s">
        <v>520</v>
      </c>
      <c r="N3138" t="s">
        <v>571</v>
      </c>
      <c r="O3138" t="s">
        <v>804</v>
      </c>
      <c r="P3138" t="s">
        <v>654</v>
      </c>
      <c r="Q3138" t="s">
        <v>638</v>
      </c>
      <c r="R3138" t="s">
        <v>708</v>
      </c>
      <c r="S3138" t="s">
        <v>822</v>
      </c>
      <c r="T3138" t="s">
        <v>709</v>
      </c>
      <c r="U3138">
        <v>141600</v>
      </c>
      <c r="V3138" t="s">
        <v>17628</v>
      </c>
      <c r="W3138" t="s">
        <v>824</v>
      </c>
      <c r="X3138" t="s">
        <v>17629</v>
      </c>
      <c r="Y3138" t="s">
        <v>17627</v>
      </c>
      <c r="Z3138" t="s">
        <v>821</v>
      </c>
      <c r="AA3138" t="s">
        <v>4768</v>
      </c>
      <c r="AE3138">
        <v>-36.875296820000003</v>
      </c>
      <c r="AF3138">
        <v>174.80795006</v>
      </c>
      <c r="AG3138">
        <v>80</v>
      </c>
      <c r="AH3138">
        <v>80</v>
      </c>
      <c r="AI3138">
        <v>10</v>
      </c>
      <c r="AJ3138">
        <v>14</v>
      </c>
      <c r="AK3138">
        <v>10</v>
      </c>
      <c r="AL3138">
        <v>4</v>
      </c>
      <c r="AM3138">
        <v>5</v>
      </c>
      <c r="AN3138">
        <v>0</v>
      </c>
      <c r="AO3138">
        <v>43</v>
      </c>
      <c r="AP3138">
        <v>1</v>
      </c>
      <c r="AQ3138">
        <v>0</v>
      </c>
      <c r="AR3138">
        <v>0</v>
      </c>
      <c r="AS3138">
        <v>42</v>
      </c>
      <c r="AT3138">
        <v>0</v>
      </c>
    </row>
    <row r="3139" spans="1:46">
      <c r="A3139">
        <v>47956</v>
      </c>
      <c r="B3139" t="s">
        <v>17630</v>
      </c>
      <c r="C3139" t="s">
        <v>17631</v>
      </c>
      <c r="D3139" t="s">
        <v>17632</v>
      </c>
      <c r="E3139" t="s">
        <v>17633</v>
      </c>
      <c r="F3139" t="s">
        <v>2553</v>
      </c>
      <c r="G3139" t="s">
        <v>2289</v>
      </c>
      <c r="H3139" t="s">
        <v>3942</v>
      </c>
      <c r="J3139" t="s">
        <v>3962</v>
      </c>
      <c r="K3139" t="s">
        <v>519</v>
      </c>
      <c r="M3139" t="s">
        <v>2287</v>
      </c>
      <c r="N3139" t="s">
        <v>571</v>
      </c>
      <c r="O3139" t="s">
        <v>2536</v>
      </c>
      <c r="P3139" t="s">
        <v>654</v>
      </c>
      <c r="Q3139" t="s">
        <v>2319</v>
      </c>
      <c r="R3139" t="s">
        <v>2289</v>
      </c>
      <c r="S3139" t="s">
        <v>2553</v>
      </c>
      <c r="T3139" t="s">
        <v>2448</v>
      </c>
      <c r="U3139">
        <v>251400</v>
      </c>
      <c r="V3139" t="s">
        <v>2553</v>
      </c>
      <c r="W3139" t="s">
        <v>2573</v>
      </c>
      <c r="X3139" t="s">
        <v>17634</v>
      </c>
      <c r="Y3139" t="s">
        <v>17293</v>
      </c>
      <c r="Z3139" t="s">
        <v>1096</v>
      </c>
      <c r="AA3139" t="s">
        <v>4077</v>
      </c>
      <c r="AE3139">
        <v>-41.286713200000001</v>
      </c>
      <c r="AF3139">
        <v>174.7747464</v>
      </c>
      <c r="AG3139">
        <v>95</v>
      </c>
      <c r="AH3139">
        <v>20</v>
      </c>
      <c r="AI3139">
        <v>6</v>
      </c>
      <c r="AJ3139">
        <v>17</v>
      </c>
      <c r="AK3139">
        <v>27</v>
      </c>
      <c r="AL3139">
        <v>26</v>
      </c>
      <c r="AM3139">
        <v>23</v>
      </c>
      <c r="AN3139">
        <v>0</v>
      </c>
      <c r="AO3139">
        <v>99</v>
      </c>
      <c r="AP3139">
        <v>60</v>
      </c>
      <c r="AQ3139">
        <v>4</v>
      </c>
      <c r="AR3139">
        <v>2</v>
      </c>
      <c r="AS3139">
        <v>38</v>
      </c>
      <c r="AT3139">
        <v>11</v>
      </c>
    </row>
    <row r="3140" spans="1:46">
      <c r="A3140">
        <v>47957</v>
      </c>
      <c r="B3140" t="s">
        <v>17635</v>
      </c>
      <c r="C3140" t="s">
        <v>17636</v>
      </c>
      <c r="E3140" t="s">
        <v>17637</v>
      </c>
      <c r="F3140" t="s">
        <v>4054</v>
      </c>
      <c r="G3140" t="s">
        <v>652</v>
      </c>
      <c r="H3140" t="s">
        <v>3942</v>
      </c>
      <c r="J3140" t="s">
        <v>3962</v>
      </c>
      <c r="K3140" t="s">
        <v>519</v>
      </c>
      <c r="M3140" t="s">
        <v>520</v>
      </c>
      <c r="N3140" t="s">
        <v>571</v>
      </c>
      <c r="O3140" t="s">
        <v>748</v>
      </c>
      <c r="P3140" t="s">
        <v>654</v>
      </c>
      <c r="Q3140" t="s">
        <v>638</v>
      </c>
      <c r="R3140" t="s">
        <v>639</v>
      </c>
      <c r="S3140" t="s">
        <v>682</v>
      </c>
      <c r="T3140" t="s">
        <v>527</v>
      </c>
      <c r="U3140">
        <v>123600</v>
      </c>
      <c r="V3140" t="s">
        <v>1196</v>
      </c>
      <c r="W3140" t="s">
        <v>741</v>
      </c>
      <c r="X3140" t="s">
        <v>5087</v>
      </c>
      <c r="Y3140" t="s">
        <v>17638</v>
      </c>
      <c r="Z3140" t="s">
        <v>4012</v>
      </c>
      <c r="AA3140" t="s">
        <v>4084</v>
      </c>
      <c r="AE3140">
        <v>-36.767035159999999</v>
      </c>
      <c r="AF3140">
        <v>174.75481762999999</v>
      </c>
      <c r="AG3140">
        <v>70</v>
      </c>
      <c r="AH3140">
        <v>20</v>
      </c>
      <c r="AI3140">
        <v>2</v>
      </c>
      <c r="AJ3140">
        <v>16</v>
      </c>
      <c r="AK3140">
        <v>19</v>
      </c>
      <c r="AL3140">
        <v>19</v>
      </c>
      <c r="AM3140">
        <v>15</v>
      </c>
      <c r="AN3140">
        <v>0</v>
      </c>
      <c r="AO3140">
        <v>71</v>
      </c>
      <c r="AP3140">
        <v>50</v>
      </c>
      <c r="AQ3140">
        <v>2</v>
      </c>
      <c r="AR3140">
        <v>4</v>
      </c>
      <c r="AS3140">
        <v>21</v>
      </c>
      <c r="AT3140">
        <v>3</v>
      </c>
    </row>
    <row r="3141" spans="1:46">
      <c r="A3141">
        <v>47958</v>
      </c>
      <c r="B3141" t="s">
        <v>17639</v>
      </c>
      <c r="C3141" t="s">
        <v>1223</v>
      </c>
      <c r="E3141" t="s">
        <v>17640</v>
      </c>
      <c r="F3141" t="s">
        <v>1234</v>
      </c>
      <c r="G3141" t="s">
        <v>652</v>
      </c>
      <c r="H3141" t="s">
        <v>517</v>
      </c>
      <c r="J3141" t="s">
        <v>518</v>
      </c>
      <c r="K3141" t="s">
        <v>519</v>
      </c>
      <c r="M3141" t="s">
        <v>520</v>
      </c>
      <c r="N3141" t="s">
        <v>571</v>
      </c>
      <c r="O3141" t="s">
        <v>1268</v>
      </c>
      <c r="P3141" t="s">
        <v>654</v>
      </c>
      <c r="Q3141" t="s">
        <v>638</v>
      </c>
      <c r="R3141" t="s">
        <v>729</v>
      </c>
      <c r="S3141" t="s">
        <v>1234</v>
      </c>
      <c r="T3141" t="s">
        <v>1235</v>
      </c>
      <c r="U3141">
        <v>163700</v>
      </c>
      <c r="V3141" t="s">
        <v>7596</v>
      </c>
      <c r="W3141" t="s">
        <v>1219</v>
      </c>
      <c r="X3141" t="s">
        <v>1220</v>
      </c>
      <c r="Y3141" t="s">
        <v>1221</v>
      </c>
      <c r="Z3141" t="s">
        <v>1217</v>
      </c>
      <c r="AA3141" t="s">
        <v>1222</v>
      </c>
      <c r="AB3141" t="s">
        <v>1223</v>
      </c>
      <c r="AE3141">
        <v>-37.084874999999997</v>
      </c>
      <c r="AF3141">
        <v>174.93866399999999</v>
      </c>
      <c r="AG3141">
        <v>50</v>
      </c>
      <c r="AH3141">
        <v>8</v>
      </c>
      <c r="AI3141">
        <v>1</v>
      </c>
      <c r="AJ3141">
        <v>7</v>
      </c>
      <c r="AK3141">
        <v>11</v>
      </c>
      <c r="AL3141">
        <v>18</v>
      </c>
      <c r="AM3141">
        <v>10</v>
      </c>
      <c r="AN3141">
        <v>1</v>
      </c>
      <c r="AO3141">
        <v>48</v>
      </c>
      <c r="AP3141">
        <v>24</v>
      </c>
      <c r="AQ3141">
        <v>12</v>
      </c>
      <c r="AR3141">
        <v>6</v>
      </c>
      <c r="AS3141">
        <v>17</v>
      </c>
      <c r="AT3141">
        <v>0</v>
      </c>
    </row>
    <row r="3142" spans="1:46">
      <c r="A3142">
        <v>47959</v>
      </c>
      <c r="B3142" t="s">
        <v>17641</v>
      </c>
      <c r="C3142" t="s">
        <v>17642</v>
      </c>
      <c r="E3142" t="s">
        <v>17643</v>
      </c>
      <c r="F3142" t="s">
        <v>812</v>
      </c>
      <c r="G3142" t="s">
        <v>652</v>
      </c>
      <c r="H3142" t="s">
        <v>3942</v>
      </c>
      <c r="J3142" t="s">
        <v>3962</v>
      </c>
      <c r="K3142" t="s">
        <v>519</v>
      </c>
      <c r="M3142" t="s">
        <v>520</v>
      </c>
      <c r="N3142" t="s">
        <v>557</v>
      </c>
      <c r="O3142" t="s">
        <v>813</v>
      </c>
      <c r="P3142" t="s">
        <v>654</v>
      </c>
      <c r="Q3142" t="s">
        <v>638</v>
      </c>
      <c r="R3142" t="s">
        <v>639</v>
      </c>
      <c r="S3142" t="s">
        <v>739</v>
      </c>
      <c r="T3142" t="s">
        <v>527</v>
      </c>
      <c r="U3142">
        <v>121701</v>
      </c>
      <c r="V3142" t="s">
        <v>842</v>
      </c>
      <c r="W3142" t="s">
        <v>815</v>
      </c>
      <c r="X3142" t="s">
        <v>4318</v>
      </c>
      <c r="Y3142" t="s">
        <v>17644</v>
      </c>
      <c r="AA3142" t="s">
        <v>4537</v>
      </c>
      <c r="AB3142" t="s">
        <v>4321</v>
      </c>
      <c r="AE3142">
        <v>-36.841900000000003</v>
      </c>
      <c r="AF3142">
        <v>174.60159999999999</v>
      </c>
      <c r="AG3142">
        <v>50</v>
      </c>
      <c r="AH3142">
        <v>0</v>
      </c>
      <c r="AI3142">
        <v>0</v>
      </c>
      <c r="AJ3142">
        <v>0</v>
      </c>
      <c r="AK3142">
        <v>9</v>
      </c>
      <c r="AL3142">
        <v>15</v>
      </c>
      <c r="AM3142">
        <v>16</v>
      </c>
      <c r="AN3142">
        <v>1</v>
      </c>
      <c r="AO3142">
        <v>41</v>
      </c>
      <c r="AP3142">
        <v>13</v>
      </c>
      <c r="AQ3142">
        <v>12</v>
      </c>
      <c r="AR3142">
        <v>15</v>
      </c>
      <c r="AS3142">
        <v>13</v>
      </c>
      <c r="AT3142">
        <v>3</v>
      </c>
    </row>
    <row r="3143" spans="1:46">
      <c r="A3143">
        <v>47960</v>
      </c>
      <c r="B3143" t="s">
        <v>17645</v>
      </c>
      <c r="C3143" t="s">
        <v>17646</v>
      </c>
      <c r="E3143" t="s">
        <v>17647</v>
      </c>
      <c r="F3143" t="s">
        <v>9677</v>
      </c>
      <c r="G3143" t="s">
        <v>1296</v>
      </c>
      <c r="H3143" t="s">
        <v>3942</v>
      </c>
      <c r="J3143" t="s">
        <v>3962</v>
      </c>
      <c r="K3143" t="s">
        <v>519</v>
      </c>
      <c r="M3143" t="s">
        <v>1297</v>
      </c>
      <c r="N3143" t="s">
        <v>571</v>
      </c>
      <c r="O3143" t="s">
        <v>1298</v>
      </c>
      <c r="P3143" t="s">
        <v>654</v>
      </c>
      <c r="Q3143" t="s">
        <v>1299</v>
      </c>
      <c r="R3143" t="s">
        <v>1300</v>
      </c>
      <c r="S3143" t="s">
        <v>1301</v>
      </c>
      <c r="T3143" t="s">
        <v>1235</v>
      </c>
      <c r="U3143">
        <v>178600</v>
      </c>
      <c r="V3143" t="s">
        <v>9677</v>
      </c>
      <c r="W3143" t="s">
        <v>1303</v>
      </c>
      <c r="X3143" t="s">
        <v>17648</v>
      </c>
      <c r="Y3143" t="s">
        <v>17649</v>
      </c>
      <c r="AA3143" t="s">
        <v>17650</v>
      </c>
      <c r="AB3143" t="s">
        <v>17646</v>
      </c>
      <c r="AE3143">
        <v>-37.821232809999998</v>
      </c>
      <c r="AF3143">
        <v>175.22581319</v>
      </c>
      <c r="AG3143">
        <v>22</v>
      </c>
      <c r="AH3143">
        <v>5</v>
      </c>
      <c r="AI3143">
        <v>1</v>
      </c>
      <c r="AJ3143">
        <v>3</v>
      </c>
      <c r="AK3143">
        <v>8</v>
      </c>
      <c r="AL3143">
        <v>6</v>
      </c>
      <c r="AM3143">
        <v>6</v>
      </c>
      <c r="AN3143">
        <v>0</v>
      </c>
      <c r="AO3143">
        <v>24</v>
      </c>
      <c r="AP3143">
        <v>5</v>
      </c>
      <c r="AQ3143">
        <v>23</v>
      </c>
      <c r="AR3143">
        <v>12</v>
      </c>
      <c r="AS3143">
        <v>1</v>
      </c>
      <c r="AT3143">
        <v>1</v>
      </c>
    </row>
    <row r="3144" spans="1:46">
      <c r="A3144">
        <v>47961</v>
      </c>
      <c r="B3144" t="s">
        <v>17651</v>
      </c>
      <c r="C3144" t="s">
        <v>17652</v>
      </c>
      <c r="D3144" t="s">
        <v>17653</v>
      </c>
      <c r="E3144" t="s">
        <v>17654</v>
      </c>
      <c r="F3144" t="s">
        <v>10812</v>
      </c>
      <c r="G3144" t="s">
        <v>2941</v>
      </c>
      <c r="H3144" t="s">
        <v>3942</v>
      </c>
      <c r="J3144" t="s">
        <v>518</v>
      </c>
      <c r="K3144" t="s">
        <v>519</v>
      </c>
      <c r="M3144" t="s">
        <v>2287</v>
      </c>
      <c r="N3144" t="s">
        <v>571</v>
      </c>
      <c r="O3144" t="s">
        <v>2942</v>
      </c>
      <c r="P3144" t="s">
        <v>654</v>
      </c>
      <c r="Q3144" t="s">
        <v>2943</v>
      </c>
      <c r="R3144" t="s">
        <v>2944</v>
      </c>
      <c r="S3144" t="s">
        <v>2979</v>
      </c>
      <c r="T3144" t="s">
        <v>2448</v>
      </c>
      <c r="U3144">
        <v>330800</v>
      </c>
      <c r="V3144" t="s">
        <v>10812</v>
      </c>
      <c r="W3144" t="s">
        <v>2958</v>
      </c>
      <c r="X3144" t="s">
        <v>10801</v>
      </c>
      <c r="Y3144" t="s">
        <v>3944</v>
      </c>
      <c r="Z3144" t="s">
        <v>3945</v>
      </c>
      <c r="AA3144" t="s">
        <v>3946</v>
      </c>
      <c r="AE3144">
        <v>-43.562652999999997</v>
      </c>
      <c r="AF3144">
        <v>172.65721235999999</v>
      </c>
      <c r="AG3144">
        <v>110</v>
      </c>
      <c r="AH3144">
        <v>28</v>
      </c>
      <c r="AI3144">
        <v>7</v>
      </c>
      <c r="AJ3144">
        <v>26</v>
      </c>
      <c r="AK3144">
        <v>36</v>
      </c>
      <c r="AL3144">
        <v>34</v>
      </c>
      <c r="AM3144">
        <v>30</v>
      </c>
      <c r="AN3144">
        <v>0</v>
      </c>
      <c r="AO3144">
        <v>133</v>
      </c>
      <c r="AP3144">
        <v>102</v>
      </c>
      <c r="AQ3144">
        <v>22</v>
      </c>
      <c r="AR3144">
        <v>10</v>
      </c>
      <c r="AS3144">
        <v>21</v>
      </c>
      <c r="AT3144">
        <v>16</v>
      </c>
    </row>
    <row r="3145" spans="1:46">
      <c r="A3145">
        <v>47962</v>
      </c>
      <c r="B3145" t="s">
        <v>17655</v>
      </c>
      <c r="E3145" t="s">
        <v>17656</v>
      </c>
      <c r="F3145" t="s">
        <v>15265</v>
      </c>
      <c r="G3145" t="s">
        <v>652</v>
      </c>
      <c r="H3145" t="s">
        <v>3942</v>
      </c>
      <c r="J3145" t="s">
        <v>3962</v>
      </c>
      <c r="K3145" t="s">
        <v>519</v>
      </c>
      <c r="M3145" t="s">
        <v>520</v>
      </c>
      <c r="N3145" t="s">
        <v>521</v>
      </c>
      <c r="O3145" t="s">
        <v>848</v>
      </c>
      <c r="P3145" t="s">
        <v>654</v>
      </c>
      <c r="Q3145" t="s">
        <v>638</v>
      </c>
      <c r="R3145" t="s">
        <v>729</v>
      </c>
      <c r="S3145" t="s">
        <v>849</v>
      </c>
      <c r="T3145" t="s">
        <v>709</v>
      </c>
      <c r="U3145">
        <v>151800</v>
      </c>
      <c r="V3145" t="s">
        <v>7420</v>
      </c>
      <c r="W3145" t="s">
        <v>732</v>
      </c>
      <c r="X3145" t="s">
        <v>14587</v>
      </c>
      <c r="Y3145" t="s">
        <v>14588</v>
      </c>
      <c r="Z3145" t="s">
        <v>5104</v>
      </c>
      <c r="AA3145" t="s">
        <v>3991</v>
      </c>
      <c r="AE3145">
        <v>-36.959886570000002</v>
      </c>
      <c r="AF3145">
        <v>174.82908889999999</v>
      </c>
      <c r="AG3145">
        <v>64</v>
      </c>
      <c r="AH3145">
        <v>15</v>
      </c>
      <c r="AI3145">
        <v>0</v>
      </c>
      <c r="AJ3145">
        <v>6</v>
      </c>
      <c r="AK3145">
        <v>8</v>
      </c>
      <c r="AL3145">
        <v>12</v>
      </c>
      <c r="AM3145">
        <v>14</v>
      </c>
      <c r="AN3145">
        <v>1</v>
      </c>
      <c r="AO3145">
        <v>41</v>
      </c>
      <c r="AP3145">
        <v>3</v>
      </c>
      <c r="AQ3145">
        <v>2</v>
      </c>
      <c r="AR3145">
        <v>26</v>
      </c>
      <c r="AS3145">
        <v>13</v>
      </c>
      <c r="AT3145">
        <v>0</v>
      </c>
    </row>
    <row r="3146" spans="1:46">
      <c r="A3146">
        <v>47964</v>
      </c>
      <c r="B3146" t="s">
        <v>17657</v>
      </c>
      <c r="C3146" t="s">
        <v>17658</v>
      </c>
      <c r="E3146" t="s">
        <v>17659</v>
      </c>
      <c r="G3146" t="s">
        <v>1840</v>
      </c>
      <c r="H3146" t="s">
        <v>3942</v>
      </c>
      <c r="J3146" t="s">
        <v>3962</v>
      </c>
      <c r="K3146" t="s">
        <v>519</v>
      </c>
      <c r="M3146" t="s">
        <v>1297</v>
      </c>
      <c r="N3146" t="s">
        <v>557</v>
      </c>
      <c r="O3146" t="s">
        <v>1841</v>
      </c>
      <c r="P3146" t="s">
        <v>523</v>
      </c>
      <c r="Q3146" t="s">
        <v>1759</v>
      </c>
      <c r="R3146" t="s">
        <v>1760</v>
      </c>
      <c r="S3146" t="s">
        <v>1842</v>
      </c>
      <c r="T3146" t="s">
        <v>1485</v>
      </c>
      <c r="U3146">
        <v>220301</v>
      </c>
      <c r="V3146" t="s">
        <v>1877</v>
      </c>
      <c r="W3146" t="s">
        <v>1844</v>
      </c>
      <c r="X3146" t="s">
        <v>17660</v>
      </c>
      <c r="Y3146" t="s">
        <v>17659</v>
      </c>
      <c r="AA3146" t="s">
        <v>17170</v>
      </c>
      <c r="AB3146" t="s">
        <v>17658</v>
      </c>
      <c r="AE3146">
        <v>-39.3413234</v>
      </c>
      <c r="AF3146">
        <v>174.28973901000001</v>
      </c>
      <c r="AG3146">
        <v>60</v>
      </c>
      <c r="AH3146">
        <v>20</v>
      </c>
      <c r="AI3146">
        <v>3</v>
      </c>
      <c r="AJ3146">
        <v>22</v>
      </c>
      <c r="AK3146">
        <v>7</v>
      </c>
      <c r="AL3146">
        <v>16</v>
      </c>
      <c r="AM3146">
        <v>17</v>
      </c>
      <c r="AN3146">
        <v>1</v>
      </c>
      <c r="AO3146">
        <v>66</v>
      </c>
      <c r="AP3146">
        <v>64</v>
      </c>
      <c r="AQ3146">
        <v>20</v>
      </c>
      <c r="AR3146">
        <v>0</v>
      </c>
      <c r="AS3146">
        <v>3</v>
      </c>
      <c r="AT3146">
        <v>1</v>
      </c>
    </row>
    <row r="3147" spans="1:46">
      <c r="A3147">
        <v>47965</v>
      </c>
      <c r="B3147" t="s">
        <v>17661</v>
      </c>
      <c r="C3147" t="s">
        <v>17662</v>
      </c>
      <c r="D3147" t="s">
        <v>17663</v>
      </c>
      <c r="E3147" t="s">
        <v>17664</v>
      </c>
      <c r="G3147" t="s">
        <v>1318</v>
      </c>
      <c r="H3147" t="s">
        <v>3942</v>
      </c>
      <c r="J3147" t="s">
        <v>3962</v>
      </c>
      <c r="K3147" t="s">
        <v>519</v>
      </c>
      <c r="M3147" t="s">
        <v>1297</v>
      </c>
      <c r="N3147" t="s">
        <v>571</v>
      </c>
      <c r="O3147" t="s">
        <v>1319</v>
      </c>
      <c r="P3147" t="s">
        <v>1262</v>
      </c>
      <c r="Q3147" t="s">
        <v>1299</v>
      </c>
      <c r="R3147" t="s">
        <v>1300</v>
      </c>
      <c r="S3147" t="s">
        <v>1320</v>
      </c>
      <c r="T3147" t="s">
        <v>1235</v>
      </c>
      <c r="U3147">
        <v>182700</v>
      </c>
      <c r="V3147" t="s">
        <v>8926</v>
      </c>
      <c r="W3147" t="s">
        <v>1322</v>
      </c>
      <c r="X3147" t="s">
        <v>17665</v>
      </c>
      <c r="Y3147" t="s">
        <v>17666</v>
      </c>
      <c r="AA3147" t="s">
        <v>8928</v>
      </c>
      <c r="AB3147" t="s">
        <v>17667</v>
      </c>
      <c r="AE3147">
        <v>-37.889820899999997</v>
      </c>
      <c r="AF3147">
        <v>175.45234361999999</v>
      </c>
      <c r="AG3147">
        <v>75</v>
      </c>
      <c r="AH3147">
        <v>22</v>
      </c>
      <c r="AI3147">
        <v>3</v>
      </c>
      <c r="AJ3147">
        <v>18</v>
      </c>
      <c r="AK3147">
        <v>15</v>
      </c>
      <c r="AL3147">
        <v>32</v>
      </c>
      <c r="AM3147">
        <v>23</v>
      </c>
      <c r="AN3147">
        <v>1</v>
      </c>
      <c r="AO3147">
        <v>92</v>
      </c>
      <c r="AP3147">
        <v>89</v>
      </c>
      <c r="AQ3147">
        <v>10</v>
      </c>
      <c r="AR3147">
        <v>7</v>
      </c>
      <c r="AS3147">
        <v>1</v>
      </c>
      <c r="AT3147">
        <v>0</v>
      </c>
    </row>
    <row r="3148" spans="1:46">
      <c r="A3148">
        <v>47967</v>
      </c>
      <c r="B3148" t="s">
        <v>17668</v>
      </c>
      <c r="E3148" t="s">
        <v>17669</v>
      </c>
      <c r="F3148" t="s">
        <v>898</v>
      </c>
      <c r="G3148" t="s">
        <v>652</v>
      </c>
      <c r="H3148" t="s">
        <v>3942</v>
      </c>
      <c r="J3148" t="s">
        <v>3962</v>
      </c>
      <c r="K3148" t="s">
        <v>519</v>
      </c>
      <c r="M3148" t="s">
        <v>520</v>
      </c>
      <c r="N3148" t="s">
        <v>571</v>
      </c>
      <c r="O3148" t="s">
        <v>813</v>
      </c>
      <c r="P3148" t="s">
        <v>654</v>
      </c>
      <c r="Q3148" t="s">
        <v>638</v>
      </c>
      <c r="R3148" t="s">
        <v>639</v>
      </c>
      <c r="S3148" t="s">
        <v>899</v>
      </c>
      <c r="T3148" t="s">
        <v>527</v>
      </c>
      <c r="U3148">
        <v>126901</v>
      </c>
      <c r="V3148" t="s">
        <v>17670</v>
      </c>
      <c r="W3148" t="s">
        <v>815</v>
      </c>
      <c r="X3148" t="s">
        <v>17671</v>
      </c>
      <c r="Y3148" t="s">
        <v>17672</v>
      </c>
      <c r="Z3148" t="s">
        <v>898</v>
      </c>
      <c r="AA3148" t="s">
        <v>3964</v>
      </c>
      <c r="AE3148">
        <v>-36.886087809999999</v>
      </c>
      <c r="AF3148">
        <v>174.61564279999999</v>
      </c>
      <c r="AG3148">
        <v>30</v>
      </c>
      <c r="AH3148">
        <v>0</v>
      </c>
      <c r="AI3148">
        <v>0</v>
      </c>
      <c r="AJ3148">
        <v>0</v>
      </c>
      <c r="AK3148">
        <v>3</v>
      </c>
      <c r="AL3148">
        <v>9</v>
      </c>
      <c r="AM3148">
        <v>5</v>
      </c>
      <c r="AN3148">
        <v>1</v>
      </c>
      <c r="AO3148">
        <v>18</v>
      </c>
      <c r="AP3148">
        <v>4</v>
      </c>
      <c r="AQ3148">
        <v>1</v>
      </c>
      <c r="AR3148">
        <v>2</v>
      </c>
      <c r="AS3148">
        <v>14</v>
      </c>
      <c r="AT3148">
        <v>0</v>
      </c>
    </row>
    <row r="3149" spans="1:46">
      <c r="A3149">
        <v>47969</v>
      </c>
      <c r="B3149" t="s">
        <v>17673</v>
      </c>
      <c r="C3149" t="s">
        <v>17674</v>
      </c>
      <c r="E3149" t="s">
        <v>17675</v>
      </c>
      <c r="F3149" t="s">
        <v>2620</v>
      </c>
      <c r="G3149" t="s">
        <v>2289</v>
      </c>
      <c r="H3149" t="s">
        <v>3942</v>
      </c>
      <c r="J3149" t="s">
        <v>3962</v>
      </c>
      <c r="K3149" t="s">
        <v>519</v>
      </c>
      <c r="M3149" t="s">
        <v>2287</v>
      </c>
      <c r="N3149" t="s">
        <v>571</v>
      </c>
      <c r="O3149" t="s">
        <v>2536</v>
      </c>
      <c r="P3149" t="s">
        <v>654</v>
      </c>
      <c r="Q3149" t="s">
        <v>2319</v>
      </c>
      <c r="R3149" t="s">
        <v>2289</v>
      </c>
      <c r="S3149" t="s">
        <v>2545</v>
      </c>
      <c r="T3149" t="s">
        <v>2448</v>
      </c>
      <c r="U3149">
        <v>249300</v>
      </c>
      <c r="V3149" t="s">
        <v>17676</v>
      </c>
      <c r="W3149" t="s">
        <v>2561</v>
      </c>
      <c r="X3149" t="s">
        <v>14816</v>
      </c>
      <c r="Y3149" t="s">
        <v>12432</v>
      </c>
      <c r="Z3149" t="s">
        <v>2620</v>
      </c>
      <c r="AA3149" t="s">
        <v>12433</v>
      </c>
      <c r="AB3149" t="s">
        <v>14818</v>
      </c>
      <c r="AE3149">
        <v>-41.242141289999999</v>
      </c>
      <c r="AF3149">
        <v>174.79210409999999</v>
      </c>
      <c r="AG3149">
        <v>20</v>
      </c>
      <c r="AH3149">
        <v>0</v>
      </c>
      <c r="AI3149">
        <v>0</v>
      </c>
      <c r="AJ3149">
        <v>0</v>
      </c>
      <c r="AK3149">
        <v>0</v>
      </c>
      <c r="AL3149">
        <v>17</v>
      </c>
      <c r="AM3149">
        <v>9</v>
      </c>
      <c r="AN3149">
        <v>0</v>
      </c>
      <c r="AO3149">
        <v>26</v>
      </c>
      <c r="AP3149">
        <v>23</v>
      </c>
      <c r="AQ3149">
        <v>3</v>
      </c>
      <c r="AR3149">
        <v>1</v>
      </c>
      <c r="AS3149">
        <v>4</v>
      </c>
      <c r="AT3149">
        <v>0</v>
      </c>
    </row>
    <row r="3150" spans="1:46">
      <c r="A3150">
        <v>47970</v>
      </c>
      <c r="B3150" t="s">
        <v>17677</v>
      </c>
      <c r="C3150" t="s">
        <v>17678</v>
      </c>
      <c r="E3150" t="s">
        <v>17679</v>
      </c>
      <c r="F3150" t="s">
        <v>1340</v>
      </c>
      <c r="G3150" t="s">
        <v>1296</v>
      </c>
      <c r="H3150" t="s">
        <v>3942</v>
      </c>
      <c r="J3150" t="s">
        <v>3962</v>
      </c>
      <c r="K3150" t="s">
        <v>519</v>
      </c>
      <c r="M3150" t="s">
        <v>1297</v>
      </c>
      <c r="N3150" t="s">
        <v>539</v>
      </c>
      <c r="O3150" t="s">
        <v>1298</v>
      </c>
      <c r="P3150" t="s">
        <v>654</v>
      </c>
      <c r="Q3150" t="s">
        <v>1299</v>
      </c>
      <c r="R3150" t="s">
        <v>1300</v>
      </c>
      <c r="S3150" t="s">
        <v>1312</v>
      </c>
      <c r="T3150" t="s">
        <v>1235</v>
      </c>
      <c r="U3150">
        <v>177800</v>
      </c>
      <c r="V3150" t="s">
        <v>17680</v>
      </c>
      <c r="W3150" t="s">
        <v>1314</v>
      </c>
      <c r="X3150" t="s">
        <v>17681</v>
      </c>
      <c r="Y3150" t="s">
        <v>17682</v>
      </c>
      <c r="Z3150" t="s">
        <v>1029</v>
      </c>
      <c r="AA3150" t="s">
        <v>17683</v>
      </c>
      <c r="AE3150">
        <v>-37.763060000000003</v>
      </c>
      <c r="AF3150">
        <v>175.286</v>
      </c>
      <c r="AG3150">
        <v>91</v>
      </c>
      <c r="AH3150">
        <v>30</v>
      </c>
      <c r="AI3150">
        <v>11</v>
      </c>
      <c r="AJ3150">
        <v>18</v>
      </c>
      <c r="AK3150">
        <v>23</v>
      </c>
      <c r="AL3150">
        <v>24</v>
      </c>
      <c r="AM3150">
        <v>29</v>
      </c>
      <c r="AN3150">
        <v>1</v>
      </c>
      <c r="AO3150">
        <v>106</v>
      </c>
      <c r="AP3150">
        <v>40</v>
      </c>
      <c r="AQ3150">
        <v>54</v>
      </c>
      <c r="AR3150">
        <v>19</v>
      </c>
      <c r="AS3150">
        <v>21</v>
      </c>
      <c r="AT3150">
        <v>12</v>
      </c>
    </row>
    <row r="3151" spans="1:46">
      <c r="A3151">
        <v>47971</v>
      </c>
      <c r="B3151" t="s">
        <v>17684</v>
      </c>
      <c r="C3151" t="s">
        <v>17685</v>
      </c>
      <c r="E3151" t="s">
        <v>17686</v>
      </c>
      <c r="F3151" t="s">
        <v>3406</v>
      </c>
      <c r="G3151" t="s">
        <v>3382</v>
      </c>
      <c r="H3151" t="s">
        <v>298</v>
      </c>
      <c r="J3151" t="s">
        <v>518</v>
      </c>
      <c r="K3151" t="s">
        <v>519</v>
      </c>
      <c r="M3151" t="s">
        <v>2287</v>
      </c>
      <c r="N3151" t="s">
        <v>571</v>
      </c>
      <c r="O3151" t="s">
        <v>3383</v>
      </c>
      <c r="P3151" t="s">
        <v>654</v>
      </c>
      <c r="Q3151" t="s">
        <v>3337</v>
      </c>
      <c r="R3151" t="s">
        <v>3338</v>
      </c>
      <c r="S3151" t="s">
        <v>3384</v>
      </c>
      <c r="T3151" t="s">
        <v>2448</v>
      </c>
      <c r="U3151">
        <v>354100</v>
      </c>
      <c r="V3151" t="s">
        <v>17687</v>
      </c>
      <c r="W3151" t="s">
        <v>1652</v>
      </c>
      <c r="X3151" t="s">
        <v>17688</v>
      </c>
      <c r="Y3151" t="s">
        <v>5187</v>
      </c>
      <c r="AA3151" t="s">
        <v>5188</v>
      </c>
      <c r="AB3151" t="s">
        <v>12755</v>
      </c>
      <c r="AE3151">
        <v>-45.898282999999999</v>
      </c>
      <c r="AF3151">
        <v>170.46731689999999</v>
      </c>
      <c r="AG3151">
        <v>25</v>
      </c>
      <c r="AH3151">
        <v>15</v>
      </c>
      <c r="AI3151">
        <v>21</v>
      </c>
      <c r="AJ3151">
        <v>1</v>
      </c>
      <c r="AK3151">
        <v>3</v>
      </c>
      <c r="AL3151">
        <v>2</v>
      </c>
      <c r="AM3151">
        <v>1</v>
      </c>
      <c r="AN3151">
        <v>1</v>
      </c>
      <c r="AO3151">
        <v>29</v>
      </c>
      <c r="AP3151">
        <v>28</v>
      </c>
      <c r="AQ3151">
        <v>5</v>
      </c>
      <c r="AR3151">
        <v>2</v>
      </c>
      <c r="AS3151">
        <v>2</v>
      </c>
      <c r="AT3151">
        <v>0</v>
      </c>
    </row>
    <row r="3152" spans="1:46">
      <c r="A3152">
        <v>47972</v>
      </c>
      <c r="B3152" t="s">
        <v>17689</v>
      </c>
      <c r="C3152" t="s">
        <v>17690</v>
      </c>
      <c r="D3152" t="s">
        <v>17691</v>
      </c>
      <c r="E3152" t="s">
        <v>17692</v>
      </c>
      <c r="F3152" t="s">
        <v>2940</v>
      </c>
      <c r="G3152" t="s">
        <v>2941</v>
      </c>
      <c r="H3152" t="s">
        <v>3942</v>
      </c>
      <c r="J3152" t="s">
        <v>3962</v>
      </c>
      <c r="K3152" t="s">
        <v>519</v>
      </c>
      <c r="M3152" t="s">
        <v>2287</v>
      </c>
      <c r="N3152" t="s">
        <v>571</v>
      </c>
      <c r="O3152" t="s">
        <v>2942</v>
      </c>
      <c r="P3152" t="s">
        <v>654</v>
      </c>
      <c r="Q3152" t="s">
        <v>2943</v>
      </c>
      <c r="R3152" t="s">
        <v>2944</v>
      </c>
      <c r="S3152" t="s">
        <v>2945</v>
      </c>
      <c r="T3152" t="s">
        <v>2448</v>
      </c>
      <c r="U3152">
        <v>319500</v>
      </c>
      <c r="V3152" t="s">
        <v>17693</v>
      </c>
      <c r="W3152" t="s">
        <v>2947</v>
      </c>
      <c r="X3152" t="s">
        <v>17694</v>
      </c>
      <c r="Y3152" t="s">
        <v>17695</v>
      </c>
      <c r="Z3152" t="s">
        <v>3081</v>
      </c>
      <c r="AA3152" t="s">
        <v>15077</v>
      </c>
      <c r="AB3152" t="s">
        <v>17696</v>
      </c>
      <c r="AE3152">
        <v>-43.51315872</v>
      </c>
      <c r="AF3152">
        <v>172.5616067</v>
      </c>
      <c r="AG3152">
        <v>50</v>
      </c>
      <c r="AH3152">
        <v>11</v>
      </c>
      <c r="AI3152">
        <v>2</v>
      </c>
      <c r="AJ3152">
        <v>8</v>
      </c>
      <c r="AK3152">
        <v>12</v>
      </c>
      <c r="AL3152">
        <v>12</v>
      </c>
      <c r="AM3152">
        <v>17</v>
      </c>
      <c r="AN3152">
        <v>1</v>
      </c>
      <c r="AO3152">
        <v>52</v>
      </c>
      <c r="AP3152">
        <v>22</v>
      </c>
      <c r="AQ3152">
        <v>4</v>
      </c>
      <c r="AR3152">
        <v>3</v>
      </c>
      <c r="AS3152">
        <v>28</v>
      </c>
      <c r="AT3152">
        <v>3</v>
      </c>
    </row>
    <row r="3153" spans="1:46">
      <c r="A3153">
        <v>47973</v>
      </c>
      <c r="B3153" t="s">
        <v>17697</v>
      </c>
      <c r="C3153" t="s">
        <v>17698</v>
      </c>
      <c r="E3153" t="s">
        <v>17699</v>
      </c>
      <c r="F3153" t="s">
        <v>1217</v>
      </c>
      <c r="G3153" t="s">
        <v>652</v>
      </c>
      <c r="H3153" t="s">
        <v>3942</v>
      </c>
      <c r="J3153" t="s">
        <v>3962</v>
      </c>
      <c r="K3153" t="s">
        <v>519</v>
      </c>
      <c r="M3153" t="s">
        <v>520</v>
      </c>
      <c r="N3153" t="s">
        <v>521</v>
      </c>
      <c r="O3153" t="s">
        <v>1268</v>
      </c>
      <c r="P3153" t="s">
        <v>654</v>
      </c>
      <c r="Q3153" t="s">
        <v>638</v>
      </c>
      <c r="R3153" t="s">
        <v>729</v>
      </c>
      <c r="S3153" t="s">
        <v>1234</v>
      </c>
      <c r="T3153" t="s">
        <v>1235</v>
      </c>
      <c r="U3153">
        <v>162200</v>
      </c>
      <c r="V3153" t="s">
        <v>17700</v>
      </c>
      <c r="W3153" t="s">
        <v>1219</v>
      </c>
      <c r="X3153" t="s">
        <v>17388</v>
      </c>
      <c r="Y3153" t="s">
        <v>9116</v>
      </c>
      <c r="Z3153" t="s">
        <v>4125</v>
      </c>
      <c r="AA3153" t="s">
        <v>5171</v>
      </c>
      <c r="AB3153" t="s">
        <v>17389</v>
      </c>
      <c r="AE3153">
        <v>-37.049300000000002</v>
      </c>
      <c r="AF3153">
        <v>174.93129999999999</v>
      </c>
      <c r="AG3153">
        <v>100</v>
      </c>
      <c r="AH3153">
        <v>30</v>
      </c>
      <c r="AI3153">
        <v>4</v>
      </c>
      <c r="AJ3153">
        <v>13</v>
      </c>
      <c r="AK3153">
        <v>16</v>
      </c>
      <c r="AL3153">
        <v>29</v>
      </c>
      <c r="AM3153">
        <v>22</v>
      </c>
      <c r="AN3153">
        <v>4</v>
      </c>
      <c r="AO3153">
        <v>88</v>
      </c>
      <c r="AP3153">
        <v>0</v>
      </c>
      <c r="AQ3153">
        <v>1</v>
      </c>
      <c r="AR3153">
        <v>4</v>
      </c>
      <c r="AS3153">
        <v>83</v>
      </c>
      <c r="AT3153">
        <v>0</v>
      </c>
    </row>
    <row r="3154" spans="1:46">
      <c r="A3154">
        <v>47974</v>
      </c>
      <c r="B3154" t="s">
        <v>17701</v>
      </c>
      <c r="C3154" t="s">
        <v>17702</v>
      </c>
      <c r="D3154" t="s">
        <v>17703</v>
      </c>
      <c r="E3154" t="s">
        <v>17704</v>
      </c>
      <c r="F3154" t="s">
        <v>5104</v>
      </c>
      <c r="G3154" t="s">
        <v>652</v>
      </c>
      <c r="H3154" t="s">
        <v>4716</v>
      </c>
      <c r="J3154" t="s">
        <v>3962</v>
      </c>
      <c r="K3154" t="s">
        <v>519</v>
      </c>
      <c r="M3154" t="s">
        <v>520</v>
      </c>
      <c r="N3154" t="s">
        <v>571</v>
      </c>
      <c r="O3154" t="s">
        <v>707</v>
      </c>
      <c r="P3154" t="s">
        <v>654</v>
      </c>
      <c r="Q3154" t="s">
        <v>638</v>
      </c>
      <c r="R3154" t="s">
        <v>729</v>
      </c>
      <c r="S3154" t="s">
        <v>778</v>
      </c>
      <c r="T3154" t="s">
        <v>709</v>
      </c>
      <c r="U3154">
        <v>156901</v>
      </c>
      <c r="V3154" t="s">
        <v>13181</v>
      </c>
      <c r="W3154" t="s">
        <v>711</v>
      </c>
      <c r="X3154" t="s">
        <v>17705</v>
      </c>
      <c r="Y3154" t="s">
        <v>17706</v>
      </c>
      <c r="Z3154" t="s">
        <v>5104</v>
      </c>
      <c r="AA3154" t="s">
        <v>3991</v>
      </c>
      <c r="AB3154" t="s">
        <v>17702</v>
      </c>
      <c r="AE3154">
        <v>-36.957702670000003</v>
      </c>
      <c r="AF3154">
        <v>174.91980862</v>
      </c>
      <c r="AG3154">
        <v>80</v>
      </c>
      <c r="AH3154">
        <v>80</v>
      </c>
      <c r="AI3154">
        <v>24</v>
      </c>
      <c r="AJ3154">
        <v>28</v>
      </c>
      <c r="AK3154">
        <v>29</v>
      </c>
      <c r="AL3154">
        <v>17</v>
      </c>
      <c r="AM3154">
        <v>22</v>
      </c>
      <c r="AN3154">
        <v>0</v>
      </c>
      <c r="AO3154">
        <v>120</v>
      </c>
      <c r="AP3154">
        <v>0</v>
      </c>
      <c r="AQ3154">
        <v>0</v>
      </c>
      <c r="AR3154">
        <v>0</v>
      </c>
      <c r="AS3154">
        <v>109</v>
      </c>
      <c r="AT3154">
        <v>11</v>
      </c>
    </row>
    <row r="3155" spans="1:46">
      <c r="A3155">
        <v>47975</v>
      </c>
      <c r="B3155" t="s">
        <v>16408</v>
      </c>
      <c r="C3155" t="s">
        <v>17707</v>
      </c>
      <c r="E3155" t="s">
        <v>17708</v>
      </c>
      <c r="G3155" t="s">
        <v>3498</v>
      </c>
      <c r="H3155" t="s">
        <v>3942</v>
      </c>
      <c r="J3155" t="s">
        <v>3962</v>
      </c>
      <c r="K3155" t="s">
        <v>519</v>
      </c>
      <c r="M3155" t="s">
        <v>2287</v>
      </c>
      <c r="N3155" t="s">
        <v>571</v>
      </c>
      <c r="O3155" t="s">
        <v>3496</v>
      </c>
      <c r="P3155" t="s">
        <v>584</v>
      </c>
      <c r="Q3155" t="s">
        <v>3497</v>
      </c>
      <c r="R3155" t="s">
        <v>3338</v>
      </c>
      <c r="S3155" t="s">
        <v>3498</v>
      </c>
      <c r="T3155" t="s">
        <v>2448</v>
      </c>
      <c r="U3155">
        <v>361701</v>
      </c>
      <c r="V3155" t="s">
        <v>3535</v>
      </c>
      <c r="W3155" t="s">
        <v>1652</v>
      </c>
      <c r="X3155" t="s">
        <v>16411</v>
      </c>
      <c r="Y3155" t="s">
        <v>17709</v>
      </c>
      <c r="AA3155" t="s">
        <v>11903</v>
      </c>
      <c r="AE3155">
        <v>-46.401535799999998</v>
      </c>
      <c r="AF3155">
        <v>168.39139370000001</v>
      </c>
      <c r="AG3155">
        <v>68</v>
      </c>
      <c r="AH3155">
        <v>23</v>
      </c>
      <c r="AI3155">
        <v>4</v>
      </c>
      <c r="AJ3155">
        <v>16</v>
      </c>
      <c r="AK3155">
        <v>22</v>
      </c>
      <c r="AL3155">
        <v>27</v>
      </c>
      <c r="AM3155">
        <v>17</v>
      </c>
      <c r="AN3155">
        <v>0</v>
      </c>
      <c r="AO3155">
        <v>86</v>
      </c>
      <c r="AP3155">
        <v>78</v>
      </c>
      <c r="AQ3155">
        <v>18</v>
      </c>
      <c r="AR3155">
        <v>1</v>
      </c>
      <c r="AS3155">
        <v>3</v>
      </c>
      <c r="AT3155">
        <v>1</v>
      </c>
    </row>
    <row r="3156" spans="1:46">
      <c r="A3156">
        <v>47976</v>
      </c>
      <c r="B3156" t="s">
        <v>17710</v>
      </c>
      <c r="C3156" t="s">
        <v>7143</v>
      </c>
      <c r="D3156" t="s">
        <v>6813</v>
      </c>
      <c r="E3156" t="s">
        <v>17711</v>
      </c>
      <c r="G3156" t="s">
        <v>652</v>
      </c>
      <c r="H3156" t="s">
        <v>298</v>
      </c>
      <c r="J3156" t="s">
        <v>518</v>
      </c>
      <c r="K3156" t="s">
        <v>519</v>
      </c>
      <c r="M3156" t="s">
        <v>520</v>
      </c>
      <c r="N3156" t="s">
        <v>557</v>
      </c>
      <c r="O3156" t="s">
        <v>1351</v>
      </c>
      <c r="P3156" t="s">
        <v>523</v>
      </c>
      <c r="Q3156" t="s">
        <v>1299</v>
      </c>
      <c r="R3156" t="s">
        <v>729</v>
      </c>
      <c r="S3156" t="s">
        <v>1246</v>
      </c>
      <c r="T3156" t="s">
        <v>1235</v>
      </c>
      <c r="U3156">
        <v>170501</v>
      </c>
      <c r="V3156" t="s">
        <v>14552</v>
      </c>
      <c r="W3156" t="s">
        <v>3813</v>
      </c>
      <c r="X3156" t="s">
        <v>6816</v>
      </c>
      <c r="Y3156" t="s">
        <v>5187</v>
      </c>
      <c r="AA3156" t="s">
        <v>5188</v>
      </c>
      <c r="AE3156">
        <v>-37.243616770000003</v>
      </c>
      <c r="AF3156">
        <v>175.01465999999999</v>
      </c>
      <c r="AG3156">
        <v>30</v>
      </c>
      <c r="AH3156">
        <v>15</v>
      </c>
      <c r="AI3156">
        <v>7</v>
      </c>
      <c r="AJ3156">
        <v>4</v>
      </c>
      <c r="AK3156">
        <v>4</v>
      </c>
      <c r="AL3156">
        <v>0</v>
      </c>
      <c r="AM3156">
        <v>3</v>
      </c>
      <c r="AN3156">
        <v>1</v>
      </c>
      <c r="AO3156">
        <v>19</v>
      </c>
      <c r="AP3156">
        <v>17</v>
      </c>
      <c r="AQ3156">
        <v>5</v>
      </c>
      <c r="AR3156">
        <v>2</v>
      </c>
      <c r="AS3156">
        <v>3</v>
      </c>
      <c r="AT3156">
        <v>1</v>
      </c>
    </row>
    <row r="3157" spans="1:46">
      <c r="A3157">
        <v>47978</v>
      </c>
      <c r="B3157" t="s">
        <v>17712</v>
      </c>
      <c r="C3157" t="s">
        <v>17713</v>
      </c>
      <c r="D3157" t="s">
        <v>17714</v>
      </c>
      <c r="E3157" t="s">
        <v>17715</v>
      </c>
      <c r="G3157" t="s">
        <v>1497</v>
      </c>
      <c r="H3157" t="s">
        <v>3942</v>
      </c>
      <c r="J3157" t="s">
        <v>3962</v>
      </c>
      <c r="K3157" t="s">
        <v>519</v>
      </c>
      <c r="M3157" t="s">
        <v>1297</v>
      </c>
      <c r="N3157" t="s">
        <v>557</v>
      </c>
      <c r="O3157" t="s">
        <v>1484</v>
      </c>
      <c r="P3157" t="s">
        <v>523</v>
      </c>
      <c r="Q3157" t="s">
        <v>1299</v>
      </c>
      <c r="R3157" t="s">
        <v>1300</v>
      </c>
      <c r="S3157" t="s">
        <v>1320</v>
      </c>
      <c r="T3157" t="s">
        <v>1485</v>
      </c>
      <c r="U3157">
        <v>186000</v>
      </c>
      <c r="V3157" t="s">
        <v>1498</v>
      </c>
      <c r="W3157" t="s">
        <v>1499</v>
      </c>
      <c r="X3157" t="s">
        <v>17716</v>
      </c>
      <c r="Y3157" t="s">
        <v>17715</v>
      </c>
      <c r="AA3157" t="s">
        <v>15649</v>
      </c>
      <c r="AE3157">
        <v>-38.059146699999999</v>
      </c>
      <c r="AF3157">
        <v>175.77842140000001</v>
      </c>
      <c r="AG3157">
        <v>29</v>
      </c>
      <c r="AH3157">
        <v>5</v>
      </c>
      <c r="AI3157">
        <v>0</v>
      </c>
      <c r="AJ3157">
        <v>0</v>
      </c>
      <c r="AK3157">
        <v>4</v>
      </c>
      <c r="AL3157">
        <v>5</v>
      </c>
      <c r="AM3157">
        <v>10</v>
      </c>
      <c r="AN3157">
        <v>1</v>
      </c>
      <c r="AO3157">
        <v>20</v>
      </c>
      <c r="AP3157">
        <v>16</v>
      </c>
      <c r="AQ3157">
        <v>8</v>
      </c>
      <c r="AR3157">
        <v>1</v>
      </c>
      <c r="AS3157">
        <v>2</v>
      </c>
      <c r="AT3157">
        <v>0</v>
      </c>
    </row>
    <row r="3158" spans="1:46">
      <c r="A3158">
        <v>47979</v>
      </c>
      <c r="B3158" t="s">
        <v>17717</v>
      </c>
      <c r="C3158" t="s">
        <v>17718</v>
      </c>
      <c r="E3158" t="s">
        <v>17719</v>
      </c>
      <c r="F3158" t="s">
        <v>5104</v>
      </c>
      <c r="G3158" t="s">
        <v>652</v>
      </c>
      <c r="H3158" t="s">
        <v>3942</v>
      </c>
      <c r="J3158" t="s">
        <v>3962</v>
      </c>
      <c r="K3158" t="s">
        <v>519</v>
      </c>
      <c r="M3158" t="s">
        <v>520</v>
      </c>
      <c r="N3158" t="s">
        <v>571</v>
      </c>
      <c r="O3158" t="s">
        <v>707</v>
      </c>
      <c r="P3158" t="s">
        <v>654</v>
      </c>
      <c r="Q3158" t="s">
        <v>638</v>
      </c>
      <c r="R3158" t="s">
        <v>729</v>
      </c>
      <c r="S3158" t="s">
        <v>778</v>
      </c>
      <c r="T3158" t="s">
        <v>709</v>
      </c>
      <c r="U3158">
        <v>156901</v>
      </c>
      <c r="V3158" t="s">
        <v>13181</v>
      </c>
      <c r="W3158" t="s">
        <v>711</v>
      </c>
      <c r="X3158" t="s">
        <v>17720</v>
      </c>
      <c r="Y3158" t="s">
        <v>17721</v>
      </c>
      <c r="Z3158" t="s">
        <v>5104</v>
      </c>
      <c r="AA3158" t="s">
        <v>3991</v>
      </c>
      <c r="AB3158" t="s">
        <v>17718</v>
      </c>
      <c r="AE3158">
        <v>-36.952650609999999</v>
      </c>
      <c r="AF3158">
        <v>174.9169531</v>
      </c>
      <c r="AG3158">
        <v>10</v>
      </c>
      <c r="AH3158">
        <v>5</v>
      </c>
      <c r="AI3158">
        <v>0</v>
      </c>
      <c r="AJ3158">
        <v>2</v>
      </c>
      <c r="AK3158">
        <v>6</v>
      </c>
      <c r="AL3158">
        <v>3</v>
      </c>
      <c r="AM3158">
        <v>5</v>
      </c>
      <c r="AN3158">
        <v>0</v>
      </c>
      <c r="AO3158">
        <v>16</v>
      </c>
      <c r="AP3158">
        <v>1</v>
      </c>
      <c r="AQ3158">
        <v>0</v>
      </c>
      <c r="AR3158">
        <v>0</v>
      </c>
      <c r="AS3158">
        <v>5</v>
      </c>
      <c r="AT3158">
        <v>12</v>
      </c>
    </row>
    <row r="3159" spans="1:46">
      <c r="A3159">
        <v>47981</v>
      </c>
      <c r="B3159" t="s">
        <v>17722</v>
      </c>
      <c r="C3159" t="s">
        <v>17723</v>
      </c>
      <c r="E3159" t="s">
        <v>17724</v>
      </c>
      <c r="F3159" t="s">
        <v>1114</v>
      </c>
      <c r="G3159" t="s">
        <v>652</v>
      </c>
      <c r="H3159" t="s">
        <v>4716</v>
      </c>
      <c r="J3159" t="s">
        <v>3962</v>
      </c>
      <c r="K3159" t="s">
        <v>519</v>
      </c>
      <c r="M3159" t="s">
        <v>520</v>
      </c>
      <c r="N3159" t="s">
        <v>571</v>
      </c>
      <c r="O3159" t="s">
        <v>813</v>
      </c>
      <c r="P3159" t="s">
        <v>654</v>
      </c>
      <c r="Q3159" t="s">
        <v>638</v>
      </c>
      <c r="R3159" t="s">
        <v>639</v>
      </c>
      <c r="S3159" t="s">
        <v>899</v>
      </c>
      <c r="T3159" t="s">
        <v>527</v>
      </c>
      <c r="U3159">
        <v>124200</v>
      </c>
      <c r="V3159" t="s">
        <v>17725</v>
      </c>
      <c r="W3159" t="s">
        <v>815</v>
      </c>
      <c r="X3159" t="s">
        <v>17726</v>
      </c>
      <c r="Y3159" t="s">
        <v>17727</v>
      </c>
      <c r="Z3159" t="s">
        <v>1114</v>
      </c>
      <c r="AA3159" t="s">
        <v>3964</v>
      </c>
      <c r="AB3159" t="s">
        <v>17723</v>
      </c>
      <c r="AE3159">
        <v>-36.874699999999997</v>
      </c>
      <c r="AF3159">
        <v>174.59540000000001</v>
      </c>
      <c r="AG3159">
        <v>80</v>
      </c>
      <c r="AH3159">
        <v>80</v>
      </c>
      <c r="AI3159">
        <v>7</v>
      </c>
      <c r="AJ3159">
        <v>5</v>
      </c>
      <c r="AK3159">
        <v>12</v>
      </c>
      <c r="AL3159">
        <v>21</v>
      </c>
      <c r="AM3159">
        <v>15</v>
      </c>
      <c r="AN3159">
        <v>0</v>
      </c>
      <c r="AO3159">
        <v>60</v>
      </c>
      <c r="AP3159">
        <v>24</v>
      </c>
      <c r="AQ3159">
        <v>7</v>
      </c>
      <c r="AR3159">
        <v>2</v>
      </c>
      <c r="AS3159">
        <v>42</v>
      </c>
      <c r="AT3159">
        <v>3</v>
      </c>
    </row>
    <row r="3160" spans="1:46">
      <c r="A3160">
        <v>47982</v>
      </c>
      <c r="B3160" t="s">
        <v>17728</v>
      </c>
      <c r="C3160" t="s">
        <v>17729</v>
      </c>
      <c r="E3160" t="s">
        <v>17730</v>
      </c>
      <c r="G3160" t="s">
        <v>12839</v>
      </c>
      <c r="H3160" t="s">
        <v>3942</v>
      </c>
      <c r="J3160" t="s">
        <v>3962</v>
      </c>
      <c r="K3160" t="s">
        <v>519</v>
      </c>
      <c r="M3160" t="s">
        <v>2287</v>
      </c>
      <c r="N3160" t="s">
        <v>571</v>
      </c>
      <c r="O3160" t="s">
        <v>2964</v>
      </c>
      <c r="P3160" t="s">
        <v>523</v>
      </c>
      <c r="Q3160" t="s">
        <v>2943</v>
      </c>
      <c r="R3160" t="s">
        <v>2944</v>
      </c>
      <c r="S3160" t="s">
        <v>2965</v>
      </c>
      <c r="T3160" t="s">
        <v>2448</v>
      </c>
      <c r="U3160">
        <v>314702</v>
      </c>
      <c r="V3160" t="s">
        <v>17731</v>
      </c>
      <c r="W3160" t="s">
        <v>3189</v>
      </c>
      <c r="X3160" t="s">
        <v>14210</v>
      </c>
      <c r="Y3160" t="s">
        <v>17730</v>
      </c>
      <c r="AA3160" t="s">
        <v>17732</v>
      </c>
      <c r="AB3160" t="s">
        <v>14212</v>
      </c>
      <c r="AE3160">
        <v>-43.307186899999998</v>
      </c>
      <c r="AF3160">
        <v>172.6693022</v>
      </c>
      <c r="AG3160">
        <v>95</v>
      </c>
      <c r="AH3160">
        <v>20</v>
      </c>
      <c r="AI3160">
        <v>3</v>
      </c>
      <c r="AJ3160">
        <v>13</v>
      </c>
      <c r="AK3160">
        <v>24</v>
      </c>
      <c r="AL3160">
        <v>26</v>
      </c>
      <c r="AM3160">
        <v>25</v>
      </c>
      <c r="AN3160">
        <v>1</v>
      </c>
      <c r="AO3160">
        <v>92</v>
      </c>
      <c r="AP3160">
        <v>73</v>
      </c>
      <c r="AQ3160">
        <v>6</v>
      </c>
      <c r="AR3160">
        <v>2</v>
      </c>
      <c r="AS3160">
        <v>20</v>
      </c>
      <c r="AT3160">
        <v>0</v>
      </c>
    </row>
    <row r="3161" spans="1:46">
      <c r="A3161">
        <v>47983</v>
      </c>
      <c r="B3161" t="s">
        <v>17733</v>
      </c>
      <c r="C3161" t="s">
        <v>17734</v>
      </c>
      <c r="E3161" t="s">
        <v>6580</v>
      </c>
      <c r="G3161" t="s">
        <v>4188</v>
      </c>
      <c r="H3161" t="s">
        <v>3942</v>
      </c>
      <c r="J3161" t="s">
        <v>3962</v>
      </c>
      <c r="K3161" t="s">
        <v>519</v>
      </c>
      <c r="M3161" t="s">
        <v>520</v>
      </c>
      <c r="N3161" t="s">
        <v>571</v>
      </c>
      <c r="O3161" t="s">
        <v>637</v>
      </c>
      <c r="P3161" t="s">
        <v>523</v>
      </c>
      <c r="Q3161" t="s">
        <v>638</v>
      </c>
      <c r="R3161" t="s">
        <v>639</v>
      </c>
      <c r="S3161" t="s">
        <v>640</v>
      </c>
      <c r="T3161" t="s">
        <v>527</v>
      </c>
      <c r="U3161">
        <v>112401</v>
      </c>
      <c r="V3161" t="s">
        <v>4188</v>
      </c>
      <c r="W3161" t="s">
        <v>641</v>
      </c>
      <c r="X3161" t="s">
        <v>17735</v>
      </c>
      <c r="Y3161" t="s">
        <v>17736</v>
      </c>
      <c r="Z3161" t="s">
        <v>4188</v>
      </c>
      <c r="AA3161" t="s">
        <v>4537</v>
      </c>
      <c r="AB3161" t="s">
        <v>17734</v>
      </c>
      <c r="AE3161">
        <v>-36.674815170000002</v>
      </c>
      <c r="AF3161">
        <v>174.45142182000001</v>
      </c>
      <c r="AG3161">
        <v>35</v>
      </c>
      <c r="AH3161">
        <v>15</v>
      </c>
      <c r="AI3161">
        <v>2</v>
      </c>
      <c r="AJ3161">
        <v>8</v>
      </c>
      <c r="AK3161">
        <v>13</v>
      </c>
      <c r="AL3161">
        <v>3</v>
      </c>
      <c r="AM3161">
        <v>7</v>
      </c>
      <c r="AN3161">
        <v>1</v>
      </c>
      <c r="AO3161">
        <v>34</v>
      </c>
      <c r="AP3161">
        <v>31</v>
      </c>
      <c r="AQ3161">
        <v>5</v>
      </c>
      <c r="AR3161">
        <v>0</v>
      </c>
      <c r="AS3161">
        <v>2</v>
      </c>
      <c r="AT3161">
        <v>0</v>
      </c>
    </row>
    <row r="3162" spans="1:46">
      <c r="A3162">
        <v>47985</v>
      </c>
      <c r="B3162" t="s">
        <v>17737</v>
      </c>
      <c r="C3162" t="s">
        <v>17738</v>
      </c>
      <c r="D3162" t="s">
        <v>17739</v>
      </c>
      <c r="E3162" t="s">
        <v>17740</v>
      </c>
      <c r="F3162" t="s">
        <v>872</v>
      </c>
      <c r="G3162" t="s">
        <v>652</v>
      </c>
      <c r="H3162" t="s">
        <v>3942</v>
      </c>
      <c r="J3162" t="s">
        <v>3962</v>
      </c>
      <c r="K3162" t="s">
        <v>519</v>
      </c>
      <c r="M3162" t="s">
        <v>520</v>
      </c>
      <c r="N3162" t="s">
        <v>571</v>
      </c>
      <c r="O3162" t="s">
        <v>873</v>
      </c>
      <c r="P3162" t="s">
        <v>654</v>
      </c>
      <c r="Q3162" t="s">
        <v>638</v>
      </c>
      <c r="R3162" t="s">
        <v>639</v>
      </c>
      <c r="S3162" t="s">
        <v>719</v>
      </c>
      <c r="T3162" t="s">
        <v>709</v>
      </c>
      <c r="U3162">
        <v>130901</v>
      </c>
      <c r="V3162" t="s">
        <v>1125</v>
      </c>
      <c r="W3162" t="s">
        <v>815</v>
      </c>
      <c r="X3162" t="s">
        <v>13324</v>
      </c>
      <c r="Y3162" t="s">
        <v>13325</v>
      </c>
      <c r="Z3162" t="s">
        <v>5104</v>
      </c>
      <c r="AA3162" t="s">
        <v>3991</v>
      </c>
      <c r="AB3162" t="s">
        <v>13326</v>
      </c>
      <c r="AE3162">
        <v>-36.919769539999997</v>
      </c>
      <c r="AF3162">
        <v>174.64698809999999</v>
      </c>
      <c r="AG3162">
        <v>42</v>
      </c>
      <c r="AH3162">
        <v>15</v>
      </c>
      <c r="AI3162">
        <v>1</v>
      </c>
      <c r="AJ3162">
        <v>12</v>
      </c>
      <c r="AK3162">
        <v>10</v>
      </c>
      <c r="AL3162">
        <v>6</v>
      </c>
      <c r="AM3162">
        <v>5</v>
      </c>
      <c r="AN3162">
        <v>0</v>
      </c>
      <c r="AO3162">
        <v>34</v>
      </c>
      <c r="AP3162">
        <v>16</v>
      </c>
      <c r="AQ3162">
        <v>4</v>
      </c>
      <c r="AR3162">
        <v>2</v>
      </c>
      <c r="AS3162">
        <v>15</v>
      </c>
      <c r="AT3162">
        <v>6</v>
      </c>
    </row>
    <row r="3163" spans="1:46">
      <c r="A3163">
        <v>47987</v>
      </c>
      <c r="B3163" t="s">
        <v>17741</v>
      </c>
      <c r="C3163" t="s">
        <v>17742</v>
      </c>
      <c r="E3163" t="s">
        <v>17743</v>
      </c>
      <c r="F3163" t="s">
        <v>3987</v>
      </c>
      <c r="G3163" t="s">
        <v>652</v>
      </c>
      <c r="H3163" t="s">
        <v>3942</v>
      </c>
      <c r="J3163" t="s">
        <v>3962</v>
      </c>
      <c r="K3163" t="s">
        <v>519</v>
      </c>
      <c r="M3163" t="s">
        <v>520</v>
      </c>
      <c r="N3163" t="s">
        <v>571</v>
      </c>
      <c r="O3163" t="s">
        <v>1233</v>
      </c>
      <c r="P3163" t="s">
        <v>1262</v>
      </c>
      <c r="Q3163" t="s">
        <v>638</v>
      </c>
      <c r="R3163" t="s">
        <v>729</v>
      </c>
      <c r="S3163" t="s">
        <v>1246</v>
      </c>
      <c r="T3163" t="s">
        <v>1235</v>
      </c>
      <c r="U3163">
        <v>165901</v>
      </c>
      <c r="V3163" t="s">
        <v>4174</v>
      </c>
      <c r="W3163" t="s">
        <v>1237</v>
      </c>
      <c r="X3163" t="s">
        <v>17744</v>
      </c>
      <c r="Y3163" t="s">
        <v>17745</v>
      </c>
      <c r="AA3163" t="s">
        <v>5264</v>
      </c>
      <c r="AE3163">
        <v>-37.214399999999998</v>
      </c>
      <c r="AF3163">
        <v>174.88890000000001</v>
      </c>
      <c r="AG3163">
        <v>80</v>
      </c>
      <c r="AH3163">
        <v>25</v>
      </c>
      <c r="AI3163">
        <v>4</v>
      </c>
      <c r="AJ3163">
        <v>14</v>
      </c>
      <c r="AK3163">
        <v>19</v>
      </c>
      <c r="AL3163">
        <v>13</v>
      </c>
      <c r="AM3163">
        <v>10</v>
      </c>
      <c r="AN3163">
        <v>0</v>
      </c>
      <c r="AO3163">
        <v>60</v>
      </c>
      <c r="AP3163">
        <v>45</v>
      </c>
      <c r="AQ3163">
        <v>14</v>
      </c>
      <c r="AR3163">
        <v>7</v>
      </c>
      <c r="AS3163">
        <v>8</v>
      </c>
      <c r="AT3163">
        <v>6</v>
      </c>
    </row>
    <row r="3164" spans="1:46">
      <c r="A3164">
        <v>47990</v>
      </c>
      <c r="B3164" t="s">
        <v>17746</v>
      </c>
      <c r="C3164" t="s">
        <v>17747</v>
      </c>
      <c r="E3164" t="s">
        <v>17748</v>
      </c>
      <c r="G3164" t="s">
        <v>4509</v>
      </c>
      <c r="H3164" t="s">
        <v>3942</v>
      </c>
      <c r="J3164" t="s">
        <v>518</v>
      </c>
      <c r="K3164" t="s">
        <v>519</v>
      </c>
      <c r="M3164" t="s">
        <v>520</v>
      </c>
      <c r="N3164" t="s">
        <v>571</v>
      </c>
      <c r="O3164" t="s">
        <v>653</v>
      </c>
      <c r="P3164" t="s">
        <v>584</v>
      </c>
      <c r="Q3164" t="s">
        <v>638</v>
      </c>
      <c r="R3164" t="s">
        <v>639</v>
      </c>
      <c r="S3164" t="s">
        <v>668</v>
      </c>
      <c r="T3164" t="s">
        <v>527</v>
      </c>
      <c r="U3164">
        <v>113800</v>
      </c>
      <c r="V3164" t="s">
        <v>7220</v>
      </c>
      <c r="W3164" t="s">
        <v>657</v>
      </c>
      <c r="X3164" t="s">
        <v>3943</v>
      </c>
      <c r="Y3164" t="s">
        <v>3944</v>
      </c>
      <c r="Z3164" t="s">
        <v>3945</v>
      </c>
      <c r="AA3164" t="s">
        <v>3946</v>
      </c>
      <c r="AB3164" t="s">
        <v>3947</v>
      </c>
      <c r="AE3164">
        <v>-36.623570000000001</v>
      </c>
      <c r="AF3164">
        <v>174.66792000000001</v>
      </c>
      <c r="AG3164">
        <v>125</v>
      </c>
      <c r="AH3164">
        <v>25</v>
      </c>
      <c r="AI3164">
        <v>3</v>
      </c>
      <c r="AJ3164">
        <v>7</v>
      </c>
      <c r="AK3164">
        <v>26</v>
      </c>
      <c r="AL3164">
        <v>31</v>
      </c>
      <c r="AM3164">
        <v>28</v>
      </c>
      <c r="AN3164">
        <v>2</v>
      </c>
      <c r="AO3164">
        <v>97</v>
      </c>
      <c r="AP3164">
        <v>61</v>
      </c>
      <c r="AQ3164">
        <v>7</v>
      </c>
      <c r="AR3164">
        <v>2</v>
      </c>
      <c r="AS3164">
        <v>28</v>
      </c>
      <c r="AT3164">
        <v>16</v>
      </c>
    </row>
    <row r="3165" spans="1:46">
      <c r="A3165">
        <v>47992</v>
      </c>
      <c r="B3165" t="s">
        <v>17749</v>
      </c>
      <c r="C3165" t="s">
        <v>17750</v>
      </c>
      <c r="D3165" t="s">
        <v>17751</v>
      </c>
      <c r="E3165" t="s">
        <v>17752</v>
      </c>
      <c r="F3165" t="s">
        <v>872</v>
      </c>
      <c r="G3165" t="s">
        <v>652</v>
      </c>
      <c r="H3165" t="s">
        <v>3942</v>
      </c>
      <c r="J3165" t="s">
        <v>3962</v>
      </c>
      <c r="K3165" t="s">
        <v>519</v>
      </c>
      <c r="M3165" t="s">
        <v>520</v>
      </c>
      <c r="N3165" t="s">
        <v>557</v>
      </c>
      <c r="O3165" t="s">
        <v>718</v>
      </c>
      <c r="P3165" t="s">
        <v>654</v>
      </c>
      <c r="Q3165" t="s">
        <v>638</v>
      </c>
      <c r="R3165" t="s">
        <v>639</v>
      </c>
      <c r="S3165" t="s">
        <v>719</v>
      </c>
      <c r="T3165" t="s">
        <v>709</v>
      </c>
      <c r="U3165">
        <v>131000</v>
      </c>
      <c r="V3165" t="s">
        <v>4114</v>
      </c>
      <c r="W3165" t="s">
        <v>721</v>
      </c>
      <c r="X3165" t="s">
        <v>17753</v>
      </c>
      <c r="Y3165" t="s">
        <v>17754</v>
      </c>
      <c r="Z3165" t="s">
        <v>872</v>
      </c>
      <c r="AA3165" t="s">
        <v>4985</v>
      </c>
      <c r="AB3165" t="s">
        <v>17755</v>
      </c>
      <c r="AE3165">
        <v>-36.906286700000003</v>
      </c>
      <c r="AF3165">
        <v>174.66205004</v>
      </c>
      <c r="AG3165">
        <v>120</v>
      </c>
      <c r="AH3165">
        <v>20</v>
      </c>
      <c r="AI3165">
        <v>7</v>
      </c>
      <c r="AJ3165">
        <v>15</v>
      </c>
      <c r="AK3165">
        <v>31</v>
      </c>
      <c r="AL3165">
        <v>28</v>
      </c>
      <c r="AM3165">
        <v>32</v>
      </c>
      <c r="AN3165">
        <v>3</v>
      </c>
      <c r="AO3165">
        <v>116</v>
      </c>
      <c r="AP3165">
        <v>32</v>
      </c>
      <c r="AQ3165">
        <v>22</v>
      </c>
      <c r="AR3165">
        <v>33</v>
      </c>
      <c r="AS3165">
        <v>54</v>
      </c>
      <c r="AT3165">
        <v>11</v>
      </c>
    </row>
    <row r="3166" spans="1:46">
      <c r="A3166">
        <v>47993</v>
      </c>
      <c r="B3166" t="s">
        <v>17756</v>
      </c>
      <c r="C3166" t="s">
        <v>17757</v>
      </c>
      <c r="E3166" t="s">
        <v>17758</v>
      </c>
      <c r="F3166" t="s">
        <v>5766</v>
      </c>
      <c r="G3166" t="s">
        <v>652</v>
      </c>
      <c r="H3166" t="s">
        <v>3942</v>
      </c>
      <c r="J3166" t="s">
        <v>518</v>
      </c>
      <c r="K3166" t="s">
        <v>519</v>
      </c>
      <c r="M3166" t="s">
        <v>520</v>
      </c>
      <c r="N3166" t="s">
        <v>571</v>
      </c>
      <c r="O3166" t="s">
        <v>738</v>
      </c>
      <c r="P3166" t="s">
        <v>654</v>
      </c>
      <c r="Q3166" t="s">
        <v>638</v>
      </c>
      <c r="R3166" t="s">
        <v>639</v>
      </c>
      <c r="S3166" t="s">
        <v>756</v>
      </c>
      <c r="T3166" t="s">
        <v>527</v>
      </c>
      <c r="U3166">
        <v>122802</v>
      </c>
      <c r="V3166" t="s">
        <v>5767</v>
      </c>
      <c r="W3166" t="s">
        <v>741</v>
      </c>
      <c r="X3166" t="s">
        <v>3943</v>
      </c>
      <c r="Y3166" t="s">
        <v>3944</v>
      </c>
      <c r="Z3166" t="s">
        <v>3945</v>
      </c>
      <c r="AA3166" t="s">
        <v>3946</v>
      </c>
      <c r="AB3166" t="s">
        <v>3947</v>
      </c>
      <c r="AE3166">
        <v>-36.798290000000001</v>
      </c>
      <c r="AF3166">
        <v>174.70523</v>
      </c>
      <c r="AG3166">
        <v>100</v>
      </c>
      <c r="AH3166">
        <v>24</v>
      </c>
      <c r="AI3166">
        <v>2</v>
      </c>
      <c r="AJ3166">
        <v>19</v>
      </c>
      <c r="AK3166">
        <v>19</v>
      </c>
      <c r="AL3166">
        <v>25</v>
      </c>
      <c r="AM3166">
        <v>21</v>
      </c>
      <c r="AN3166">
        <v>0</v>
      </c>
      <c r="AO3166">
        <v>86</v>
      </c>
      <c r="AP3166">
        <v>46</v>
      </c>
      <c r="AQ3166">
        <v>7</v>
      </c>
      <c r="AR3166">
        <v>3</v>
      </c>
      <c r="AS3166">
        <v>33</v>
      </c>
      <c r="AT3166">
        <v>15</v>
      </c>
    </row>
    <row r="3167" spans="1:46">
      <c r="A3167">
        <v>47994</v>
      </c>
      <c r="B3167" t="s">
        <v>17759</v>
      </c>
      <c r="C3167" t="s">
        <v>17320</v>
      </c>
      <c r="E3167" t="s">
        <v>17760</v>
      </c>
      <c r="F3167" t="s">
        <v>726</v>
      </c>
      <c r="G3167" t="s">
        <v>652</v>
      </c>
      <c r="H3167" t="s">
        <v>3942</v>
      </c>
      <c r="J3167" t="s">
        <v>3962</v>
      </c>
      <c r="K3167" t="s">
        <v>519</v>
      </c>
      <c r="M3167" t="s">
        <v>520</v>
      </c>
      <c r="N3167" t="s">
        <v>727</v>
      </c>
      <c r="O3167" t="s">
        <v>728</v>
      </c>
      <c r="P3167" t="s">
        <v>654</v>
      </c>
      <c r="Q3167" t="s">
        <v>638</v>
      </c>
      <c r="R3167" t="s">
        <v>729</v>
      </c>
      <c r="S3167" t="s">
        <v>730</v>
      </c>
      <c r="T3167" t="s">
        <v>709</v>
      </c>
      <c r="U3167">
        <v>154400</v>
      </c>
      <c r="V3167" t="s">
        <v>7351</v>
      </c>
      <c r="W3167" t="s">
        <v>732</v>
      </c>
      <c r="X3167" t="s">
        <v>17761</v>
      </c>
      <c r="Y3167" t="s">
        <v>7617</v>
      </c>
      <c r="Z3167" t="s">
        <v>3945</v>
      </c>
      <c r="AA3167" t="s">
        <v>4585</v>
      </c>
      <c r="AE3167">
        <v>-36.96224745</v>
      </c>
      <c r="AF3167">
        <v>174.87660216</v>
      </c>
      <c r="AG3167">
        <v>80</v>
      </c>
      <c r="AH3167">
        <v>20</v>
      </c>
      <c r="AI3167">
        <v>0</v>
      </c>
      <c r="AJ3167">
        <v>3</v>
      </c>
      <c r="AK3167">
        <v>12</v>
      </c>
      <c r="AL3167">
        <v>15</v>
      </c>
      <c r="AM3167">
        <v>10</v>
      </c>
      <c r="AN3167">
        <v>3</v>
      </c>
      <c r="AO3167">
        <v>43</v>
      </c>
      <c r="AP3167">
        <v>1</v>
      </c>
      <c r="AQ3167">
        <v>10</v>
      </c>
      <c r="AR3167">
        <v>36</v>
      </c>
      <c r="AS3167">
        <v>3</v>
      </c>
      <c r="AT3167">
        <v>1</v>
      </c>
    </row>
    <row r="3168" spans="1:46">
      <c r="A3168">
        <v>47995</v>
      </c>
      <c r="B3168" t="s">
        <v>17762</v>
      </c>
      <c r="D3168" t="s">
        <v>17763</v>
      </c>
      <c r="E3168" t="s">
        <v>17764</v>
      </c>
      <c r="G3168" t="s">
        <v>2963</v>
      </c>
      <c r="H3168" t="s">
        <v>3942</v>
      </c>
      <c r="I3168" t="s">
        <v>4065</v>
      </c>
      <c r="J3168" t="s">
        <v>3962</v>
      </c>
      <c r="K3168" t="s">
        <v>519</v>
      </c>
      <c r="M3168" t="s">
        <v>2287</v>
      </c>
      <c r="N3168" t="s">
        <v>571</v>
      </c>
      <c r="O3168" t="s">
        <v>2964</v>
      </c>
      <c r="P3168" t="s">
        <v>1262</v>
      </c>
      <c r="Q3168" t="s">
        <v>2943</v>
      </c>
      <c r="R3168" t="s">
        <v>2944</v>
      </c>
      <c r="S3168" t="s">
        <v>2965</v>
      </c>
      <c r="T3168" t="s">
        <v>2448</v>
      </c>
      <c r="U3168">
        <v>313900</v>
      </c>
      <c r="V3168" t="s">
        <v>15475</v>
      </c>
      <c r="W3168" t="s">
        <v>2967</v>
      </c>
      <c r="X3168" t="s">
        <v>11417</v>
      </c>
      <c r="Y3168" t="s">
        <v>11418</v>
      </c>
      <c r="Z3168" t="s">
        <v>3019</v>
      </c>
      <c r="AA3168" t="s">
        <v>11419</v>
      </c>
      <c r="AB3168" t="s">
        <v>11420</v>
      </c>
      <c r="AE3168">
        <v>-43.306219540000001</v>
      </c>
      <c r="AF3168">
        <v>172.5720608</v>
      </c>
      <c r="AG3168">
        <v>120</v>
      </c>
      <c r="AH3168">
        <v>24</v>
      </c>
      <c r="AI3168">
        <v>2</v>
      </c>
      <c r="AJ3168">
        <v>26</v>
      </c>
      <c r="AK3168">
        <v>27</v>
      </c>
      <c r="AL3168">
        <v>50</v>
      </c>
      <c r="AM3168">
        <v>29</v>
      </c>
      <c r="AN3168">
        <v>0</v>
      </c>
      <c r="AO3168">
        <v>134</v>
      </c>
      <c r="AP3168">
        <v>118</v>
      </c>
      <c r="AQ3168">
        <v>23</v>
      </c>
      <c r="AR3168">
        <v>8</v>
      </c>
      <c r="AS3168">
        <v>13</v>
      </c>
      <c r="AT3168">
        <v>4</v>
      </c>
    </row>
    <row r="3169" spans="1:46">
      <c r="A3169">
        <v>47996</v>
      </c>
      <c r="B3169" t="s">
        <v>17765</v>
      </c>
      <c r="C3169" t="s">
        <v>17766</v>
      </c>
      <c r="E3169" t="s">
        <v>17767</v>
      </c>
      <c r="F3169" t="s">
        <v>1066</v>
      </c>
      <c r="G3169" t="s">
        <v>652</v>
      </c>
      <c r="H3169" t="s">
        <v>3942</v>
      </c>
      <c r="J3169" t="s">
        <v>3962</v>
      </c>
      <c r="K3169" t="s">
        <v>519</v>
      </c>
      <c r="M3169" t="s">
        <v>520</v>
      </c>
      <c r="N3169" t="s">
        <v>571</v>
      </c>
      <c r="O3169" t="s">
        <v>873</v>
      </c>
      <c r="P3169" t="s">
        <v>572</v>
      </c>
      <c r="Q3169" t="s">
        <v>638</v>
      </c>
      <c r="R3169" t="s">
        <v>639</v>
      </c>
      <c r="S3169" t="s">
        <v>770</v>
      </c>
      <c r="T3169" t="s">
        <v>709</v>
      </c>
      <c r="U3169">
        <v>130000</v>
      </c>
      <c r="V3169" t="s">
        <v>1066</v>
      </c>
      <c r="W3169" t="s">
        <v>815</v>
      </c>
      <c r="X3169" t="s">
        <v>17768</v>
      </c>
      <c r="Y3169" t="s">
        <v>17767</v>
      </c>
      <c r="Z3169" t="s">
        <v>1066</v>
      </c>
      <c r="AA3169" t="s">
        <v>4320</v>
      </c>
      <c r="AB3169" t="s">
        <v>17769</v>
      </c>
      <c r="AE3169">
        <v>-36.916379999999997</v>
      </c>
      <c r="AF3169">
        <v>174.61565999999999</v>
      </c>
      <c r="AG3169">
        <v>50</v>
      </c>
      <c r="AH3169">
        <v>0</v>
      </c>
      <c r="AI3169">
        <v>0</v>
      </c>
      <c r="AJ3169">
        <v>0</v>
      </c>
      <c r="AK3169">
        <v>3</v>
      </c>
      <c r="AL3169">
        <v>16</v>
      </c>
      <c r="AM3169">
        <v>19</v>
      </c>
      <c r="AN3169">
        <v>0</v>
      </c>
      <c r="AO3169">
        <v>38</v>
      </c>
      <c r="AP3169">
        <v>37</v>
      </c>
      <c r="AQ3169">
        <v>4</v>
      </c>
      <c r="AR3169">
        <v>4</v>
      </c>
      <c r="AS3169">
        <v>5</v>
      </c>
      <c r="AT3169">
        <v>1</v>
      </c>
    </row>
    <row r="3170" spans="1:46">
      <c r="A3170">
        <v>47997</v>
      </c>
      <c r="B3170" t="s">
        <v>17770</v>
      </c>
      <c r="C3170" t="s">
        <v>17771</v>
      </c>
      <c r="E3170" t="s">
        <v>17772</v>
      </c>
      <c r="F3170" t="s">
        <v>2957</v>
      </c>
      <c r="G3170" t="s">
        <v>2941</v>
      </c>
      <c r="H3170" t="s">
        <v>3942</v>
      </c>
      <c r="I3170" t="s">
        <v>4065</v>
      </c>
      <c r="J3170" t="s">
        <v>3962</v>
      </c>
      <c r="K3170" t="s">
        <v>519</v>
      </c>
      <c r="M3170" t="s">
        <v>2287</v>
      </c>
      <c r="N3170" t="s">
        <v>571</v>
      </c>
      <c r="O3170" t="s">
        <v>2942</v>
      </c>
      <c r="P3170" t="s">
        <v>654</v>
      </c>
      <c r="Q3170" t="s">
        <v>2943</v>
      </c>
      <c r="R3170" t="s">
        <v>2944</v>
      </c>
      <c r="S3170" t="s">
        <v>2957</v>
      </c>
      <c r="T3170" t="s">
        <v>2448</v>
      </c>
      <c r="U3170">
        <v>325800</v>
      </c>
      <c r="V3170" t="s">
        <v>17773</v>
      </c>
      <c r="W3170" t="s">
        <v>2443</v>
      </c>
      <c r="X3170" t="s">
        <v>15548</v>
      </c>
      <c r="Y3170" t="s">
        <v>17772</v>
      </c>
      <c r="Z3170" t="s">
        <v>2957</v>
      </c>
      <c r="AA3170" t="s">
        <v>15077</v>
      </c>
      <c r="AB3170" t="s">
        <v>15545</v>
      </c>
      <c r="AE3170">
        <v>-43.521658389999999</v>
      </c>
      <c r="AF3170">
        <v>172.64739614000001</v>
      </c>
      <c r="AG3170">
        <v>80</v>
      </c>
      <c r="AH3170">
        <v>16</v>
      </c>
      <c r="AI3170">
        <v>2</v>
      </c>
      <c r="AJ3170">
        <v>10</v>
      </c>
      <c r="AK3170">
        <v>15</v>
      </c>
      <c r="AL3170">
        <v>25</v>
      </c>
      <c r="AM3170">
        <v>22</v>
      </c>
      <c r="AN3170">
        <v>2</v>
      </c>
      <c r="AO3170">
        <v>76</v>
      </c>
      <c r="AP3170">
        <v>14</v>
      </c>
      <c r="AQ3170">
        <v>1</v>
      </c>
      <c r="AR3170">
        <v>3</v>
      </c>
      <c r="AS3170">
        <v>71</v>
      </c>
      <c r="AT3170">
        <v>1</v>
      </c>
    </row>
    <row r="3171" spans="1:46">
      <c r="A3171">
        <v>47998</v>
      </c>
      <c r="B3171" t="s">
        <v>17774</v>
      </c>
      <c r="C3171" t="s">
        <v>17775</v>
      </c>
      <c r="D3171" t="s">
        <v>17776</v>
      </c>
      <c r="E3171" t="s">
        <v>17777</v>
      </c>
      <c r="G3171" t="s">
        <v>7785</v>
      </c>
      <c r="H3171" t="s">
        <v>3942</v>
      </c>
      <c r="J3171" t="s">
        <v>3962</v>
      </c>
      <c r="K3171" t="s">
        <v>519</v>
      </c>
      <c r="M3171" t="s">
        <v>520</v>
      </c>
      <c r="N3171" t="s">
        <v>571</v>
      </c>
      <c r="O3171" t="s">
        <v>1233</v>
      </c>
      <c r="P3171" t="s">
        <v>523</v>
      </c>
      <c r="Q3171" t="s">
        <v>638</v>
      </c>
      <c r="R3171" t="s">
        <v>729</v>
      </c>
      <c r="S3171" t="s">
        <v>1246</v>
      </c>
      <c r="T3171" t="s">
        <v>1235</v>
      </c>
      <c r="U3171">
        <v>163801</v>
      </c>
      <c r="V3171" t="s">
        <v>7786</v>
      </c>
      <c r="W3171" t="s">
        <v>1237</v>
      </c>
      <c r="X3171" t="s">
        <v>17778</v>
      </c>
      <c r="Y3171" t="s">
        <v>17779</v>
      </c>
      <c r="AA3171" t="s">
        <v>11032</v>
      </c>
      <c r="AB3171" t="s">
        <v>17780</v>
      </c>
      <c r="AE3171">
        <v>-37.184413929999998</v>
      </c>
      <c r="AF3171">
        <v>174.82243961</v>
      </c>
      <c r="AG3171">
        <v>60</v>
      </c>
      <c r="AH3171">
        <v>15</v>
      </c>
      <c r="AI3171">
        <v>4</v>
      </c>
      <c r="AJ3171">
        <v>12</v>
      </c>
      <c r="AK3171">
        <v>20</v>
      </c>
      <c r="AL3171">
        <v>16</v>
      </c>
      <c r="AM3171">
        <v>20</v>
      </c>
      <c r="AN3171">
        <v>0</v>
      </c>
      <c r="AO3171">
        <v>72</v>
      </c>
      <c r="AP3171">
        <v>61</v>
      </c>
      <c r="AQ3171">
        <v>13</v>
      </c>
      <c r="AR3171">
        <v>2</v>
      </c>
      <c r="AS3171">
        <v>7</v>
      </c>
      <c r="AT3171">
        <v>0</v>
      </c>
    </row>
    <row r="3172" spans="1:46">
      <c r="A3172">
        <v>47999</v>
      </c>
      <c r="B3172" t="s">
        <v>17781</v>
      </c>
      <c r="C3172" t="s">
        <v>17782</v>
      </c>
      <c r="E3172" t="s">
        <v>17783</v>
      </c>
      <c r="F3172" t="s">
        <v>5104</v>
      </c>
      <c r="G3172" t="s">
        <v>652</v>
      </c>
      <c r="H3172" t="s">
        <v>3942</v>
      </c>
      <c r="J3172" t="s">
        <v>518</v>
      </c>
      <c r="K3172" t="s">
        <v>519</v>
      </c>
      <c r="M3172" t="s">
        <v>520</v>
      </c>
      <c r="N3172" t="s">
        <v>571</v>
      </c>
      <c r="O3172" t="s">
        <v>707</v>
      </c>
      <c r="P3172" t="s">
        <v>654</v>
      </c>
      <c r="Q3172" t="s">
        <v>638</v>
      </c>
      <c r="R3172" t="s">
        <v>729</v>
      </c>
      <c r="S3172" t="s">
        <v>1217</v>
      </c>
      <c r="T3172" t="s">
        <v>709</v>
      </c>
      <c r="U3172">
        <v>158602</v>
      </c>
      <c r="V3172" t="s">
        <v>17784</v>
      </c>
      <c r="W3172" t="s">
        <v>711</v>
      </c>
      <c r="X3172" t="s">
        <v>3943</v>
      </c>
      <c r="Y3172" t="s">
        <v>3944</v>
      </c>
      <c r="Z3172" t="s">
        <v>3945</v>
      </c>
      <c r="AA3172" t="s">
        <v>3946</v>
      </c>
      <c r="AB3172" t="s">
        <v>3947</v>
      </c>
      <c r="AE3172">
        <v>-36.978799690000002</v>
      </c>
      <c r="AF3172">
        <v>174.93726486</v>
      </c>
      <c r="AG3172">
        <v>80</v>
      </c>
      <c r="AH3172">
        <v>18</v>
      </c>
      <c r="AI3172">
        <v>1</v>
      </c>
      <c r="AJ3172">
        <v>13</v>
      </c>
      <c r="AK3172">
        <v>29</v>
      </c>
      <c r="AL3172">
        <v>25</v>
      </c>
      <c r="AM3172">
        <v>30</v>
      </c>
      <c r="AN3172">
        <v>1</v>
      </c>
      <c r="AO3172">
        <v>99</v>
      </c>
      <c r="AP3172">
        <v>4</v>
      </c>
      <c r="AQ3172">
        <v>2</v>
      </c>
      <c r="AR3172">
        <v>8</v>
      </c>
      <c r="AS3172">
        <v>86</v>
      </c>
      <c r="AT3172">
        <v>8</v>
      </c>
    </row>
    <row r="3173" spans="1:46">
      <c r="A3173">
        <v>48001</v>
      </c>
      <c r="B3173" t="s">
        <v>17785</v>
      </c>
      <c r="C3173" t="s">
        <v>17786</v>
      </c>
      <c r="D3173" t="s">
        <v>17787</v>
      </c>
      <c r="E3173" t="s">
        <v>17788</v>
      </c>
      <c r="F3173" t="s">
        <v>5018</v>
      </c>
      <c r="G3173" t="s">
        <v>652</v>
      </c>
      <c r="H3173" t="s">
        <v>3942</v>
      </c>
      <c r="J3173" t="s">
        <v>3962</v>
      </c>
      <c r="K3173" t="s">
        <v>519</v>
      </c>
      <c r="M3173" t="s">
        <v>520</v>
      </c>
      <c r="N3173" t="s">
        <v>571</v>
      </c>
      <c r="O3173" t="s">
        <v>1233</v>
      </c>
      <c r="P3173" t="s">
        <v>572</v>
      </c>
      <c r="Q3173" t="s">
        <v>638</v>
      </c>
      <c r="R3173" t="s">
        <v>729</v>
      </c>
      <c r="S3173" t="s">
        <v>1234</v>
      </c>
      <c r="T3173" t="s">
        <v>1235</v>
      </c>
      <c r="U3173">
        <v>161400</v>
      </c>
      <c r="V3173" t="s">
        <v>7764</v>
      </c>
      <c r="W3173" t="s">
        <v>1237</v>
      </c>
      <c r="X3173" t="s">
        <v>17789</v>
      </c>
      <c r="Y3173" t="s">
        <v>17790</v>
      </c>
      <c r="Z3173" t="s">
        <v>1234</v>
      </c>
      <c r="AA3173" t="s">
        <v>17791</v>
      </c>
      <c r="AB3173" t="s">
        <v>17792</v>
      </c>
      <c r="AE3173">
        <v>-37.122220589999998</v>
      </c>
      <c r="AF3173">
        <v>174.89896802000001</v>
      </c>
      <c r="AG3173">
        <v>98</v>
      </c>
      <c r="AH3173">
        <v>21</v>
      </c>
      <c r="AI3173">
        <v>5</v>
      </c>
      <c r="AJ3173">
        <v>22</v>
      </c>
      <c r="AK3173">
        <v>26</v>
      </c>
      <c r="AL3173">
        <v>30</v>
      </c>
      <c r="AM3173">
        <v>24</v>
      </c>
      <c r="AN3173">
        <v>2</v>
      </c>
      <c r="AO3173">
        <v>109</v>
      </c>
      <c r="AP3173">
        <v>101</v>
      </c>
      <c r="AQ3173">
        <v>18</v>
      </c>
      <c r="AR3173">
        <v>8</v>
      </c>
      <c r="AS3173">
        <v>9</v>
      </c>
      <c r="AT3173">
        <v>4</v>
      </c>
    </row>
    <row r="3174" spans="1:46">
      <c r="A3174">
        <v>48002</v>
      </c>
      <c r="B3174" t="s">
        <v>17793</v>
      </c>
      <c r="C3174" t="s">
        <v>17794</v>
      </c>
      <c r="E3174" t="s">
        <v>17795</v>
      </c>
      <c r="F3174" t="s">
        <v>1114</v>
      </c>
      <c r="G3174" t="s">
        <v>652</v>
      </c>
      <c r="H3174" t="s">
        <v>3942</v>
      </c>
      <c r="J3174" t="s">
        <v>3962</v>
      </c>
      <c r="K3174" t="s">
        <v>519</v>
      </c>
      <c r="M3174" t="s">
        <v>520</v>
      </c>
      <c r="N3174" t="s">
        <v>557</v>
      </c>
      <c r="O3174" t="s">
        <v>813</v>
      </c>
      <c r="P3174" t="s">
        <v>654</v>
      </c>
      <c r="Q3174" t="s">
        <v>638</v>
      </c>
      <c r="R3174" t="s">
        <v>639</v>
      </c>
      <c r="S3174" t="s">
        <v>899</v>
      </c>
      <c r="T3174" t="s">
        <v>527</v>
      </c>
      <c r="U3174">
        <v>123800</v>
      </c>
      <c r="V3174" t="s">
        <v>1115</v>
      </c>
      <c r="W3174" t="s">
        <v>815</v>
      </c>
      <c r="X3174" t="s">
        <v>17796</v>
      </c>
      <c r="Y3174" t="s">
        <v>17797</v>
      </c>
      <c r="Z3174" t="s">
        <v>1114</v>
      </c>
      <c r="AA3174" t="s">
        <v>3964</v>
      </c>
      <c r="AB3174" t="s">
        <v>17794</v>
      </c>
      <c r="AE3174">
        <v>-36.86436389</v>
      </c>
      <c r="AF3174">
        <v>174.59423491999999</v>
      </c>
      <c r="AG3174">
        <v>65</v>
      </c>
      <c r="AH3174">
        <v>15</v>
      </c>
      <c r="AI3174">
        <v>3</v>
      </c>
      <c r="AJ3174">
        <v>7</v>
      </c>
      <c r="AK3174">
        <v>17</v>
      </c>
      <c r="AL3174">
        <v>8</v>
      </c>
      <c r="AM3174">
        <v>11</v>
      </c>
      <c r="AN3174">
        <v>0</v>
      </c>
      <c r="AO3174">
        <v>46</v>
      </c>
      <c r="AP3174">
        <v>24</v>
      </c>
      <c r="AQ3174">
        <v>5</v>
      </c>
      <c r="AR3174">
        <v>9</v>
      </c>
      <c r="AS3174">
        <v>14</v>
      </c>
      <c r="AT3174">
        <v>6</v>
      </c>
    </row>
    <row r="3175" spans="1:46">
      <c r="A3175">
        <v>48003</v>
      </c>
      <c r="B3175" t="s">
        <v>17798</v>
      </c>
      <c r="C3175" t="s">
        <v>17799</v>
      </c>
      <c r="E3175" t="s">
        <v>17800</v>
      </c>
      <c r="F3175" t="s">
        <v>2991</v>
      </c>
      <c r="G3175" t="s">
        <v>2941</v>
      </c>
      <c r="H3175" t="s">
        <v>3942</v>
      </c>
      <c r="J3175" t="s">
        <v>518</v>
      </c>
      <c r="K3175" t="s">
        <v>519</v>
      </c>
      <c r="M3175" t="s">
        <v>2287</v>
      </c>
      <c r="N3175" t="s">
        <v>557</v>
      </c>
      <c r="O3175" t="s">
        <v>2942</v>
      </c>
      <c r="P3175" t="s">
        <v>654</v>
      </c>
      <c r="Q3175" t="s">
        <v>2943</v>
      </c>
      <c r="R3175" t="s">
        <v>2944</v>
      </c>
      <c r="S3175" t="s">
        <v>2979</v>
      </c>
      <c r="T3175" t="s">
        <v>2448</v>
      </c>
      <c r="U3175">
        <v>330100</v>
      </c>
      <c r="V3175" t="s">
        <v>2992</v>
      </c>
      <c r="W3175" t="s">
        <v>2993</v>
      </c>
      <c r="X3175" t="s">
        <v>10801</v>
      </c>
      <c r="Y3175" t="s">
        <v>3944</v>
      </c>
      <c r="Z3175" t="s">
        <v>3945</v>
      </c>
      <c r="AA3175" t="s">
        <v>3946</v>
      </c>
      <c r="AE3175">
        <v>-43.545407679999997</v>
      </c>
      <c r="AF3175">
        <v>172.67347875999999</v>
      </c>
      <c r="AG3175">
        <v>70</v>
      </c>
      <c r="AH3175">
        <v>16</v>
      </c>
      <c r="AI3175">
        <v>5</v>
      </c>
      <c r="AJ3175">
        <v>11</v>
      </c>
      <c r="AK3175">
        <v>10</v>
      </c>
      <c r="AL3175">
        <v>27</v>
      </c>
      <c r="AM3175">
        <v>22</v>
      </c>
      <c r="AN3175">
        <v>0</v>
      </c>
      <c r="AO3175">
        <v>75</v>
      </c>
      <c r="AP3175">
        <v>34</v>
      </c>
      <c r="AQ3175">
        <v>16</v>
      </c>
      <c r="AR3175">
        <v>4</v>
      </c>
      <c r="AS3175">
        <v>30</v>
      </c>
      <c r="AT3175">
        <v>8</v>
      </c>
    </row>
    <row r="3176" spans="1:46">
      <c r="A3176">
        <v>48004</v>
      </c>
      <c r="B3176" t="s">
        <v>17801</v>
      </c>
      <c r="C3176" t="s">
        <v>12974</v>
      </c>
      <c r="D3176" t="s">
        <v>17802</v>
      </c>
      <c r="E3176" t="s">
        <v>12976</v>
      </c>
      <c r="F3176" t="s">
        <v>2053</v>
      </c>
      <c r="G3176" t="s">
        <v>1974</v>
      </c>
      <c r="H3176" t="s">
        <v>4716</v>
      </c>
      <c r="J3176" t="s">
        <v>3962</v>
      </c>
      <c r="K3176" t="s">
        <v>519</v>
      </c>
      <c r="M3176" t="s">
        <v>2287</v>
      </c>
      <c r="N3176" t="s">
        <v>571</v>
      </c>
      <c r="O3176" t="s">
        <v>1956</v>
      </c>
      <c r="P3176" t="s">
        <v>584</v>
      </c>
      <c r="Q3176" t="s">
        <v>1636</v>
      </c>
      <c r="R3176" t="s">
        <v>2289</v>
      </c>
      <c r="S3176" t="s">
        <v>1974</v>
      </c>
      <c r="T3176" t="s">
        <v>1485</v>
      </c>
      <c r="U3176">
        <v>230100</v>
      </c>
      <c r="V3176" t="s">
        <v>11763</v>
      </c>
      <c r="W3176" t="s">
        <v>1957</v>
      </c>
      <c r="X3176" t="s">
        <v>17803</v>
      </c>
      <c r="Y3176" t="s">
        <v>12976</v>
      </c>
      <c r="AA3176" t="s">
        <v>15867</v>
      </c>
      <c r="AB3176" t="s">
        <v>17804</v>
      </c>
      <c r="AE3176">
        <v>-40.354785120000003</v>
      </c>
      <c r="AF3176">
        <v>175.59724825000001</v>
      </c>
      <c r="AG3176">
        <v>80</v>
      </c>
      <c r="AH3176">
        <v>80</v>
      </c>
      <c r="AI3176">
        <v>3</v>
      </c>
      <c r="AJ3176">
        <v>7</v>
      </c>
      <c r="AK3176">
        <v>10</v>
      </c>
      <c r="AL3176">
        <v>17</v>
      </c>
      <c r="AM3176">
        <v>10</v>
      </c>
      <c r="AN3176">
        <v>1</v>
      </c>
      <c r="AO3176">
        <v>48</v>
      </c>
      <c r="AP3176">
        <v>42</v>
      </c>
      <c r="AQ3176">
        <v>14</v>
      </c>
      <c r="AR3176">
        <v>3</v>
      </c>
      <c r="AS3176">
        <v>1</v>
      </c>
      <c r="AT3176">
        <v>0</v>
      </c>
    </row>
    <row r="3177" spans="1:46">
      <c r="A3177">
        <v>48006</v>
      </c>
      <c r="B3177" t="s">
        <v>17805</v>
      </c>
      <c r="C3177" t="s">
        <v>17806</v>
      </c>
      <c r="E3177" t="s">
        <v>17807</v>
      </c>
      <c r="F3177" t="s">
        <v>4804</v>
      </c>
      <c r="G3177" t="s">
        <v>652</v>
      </c>
      <c r="H3177" t="s">
        <v>3942</v>
      </c>
      <c r="J3177" t="s">
        <v>3962</v>
      </c>
      <c r="K3177" t="s">
        <v>519</v>
      </c>
      <c r="M3177" t="s">
        <v>520</v>
      </c>
      <c r="N3177" t="s">
        <v>571</v>
      </c>
      <c r="O3177" t="s">
        <v>707</v>
      </c>
      <c r="P3177" t="s">
        <v>654</v>
      </c>
      <c r="Q3177" t="s">
        <v>638</v>
      </c>
      <c r="R3177" t="s">
        <v>708</v>
      </c>
      <c r="S3177" t="s">
        <v>778</v>
      </c>
      <c r="T3177" t="s">
        <v>709</v>
      </c>
      <c r="U3177">
        <v>155401</v>
      </c>
      <c r="V3177" t="s">
        <v>4904</v>
      </c>
      <c r="W3177" t="s">
        <v>711</v>
      </c>
      <c r="X3177" t="s">
        <v>17808</v>
      </c>
      <c r="Y3177" t="s">
        <v>13561</v>
      </c>
      <c r="Z3177" t="s">
        <v>8218</v>
      </c>
      <c r="AA3177" t="s">
        <v>13562</v>
      </c>
      <c r="AB3177" t="s">
        <v>17809</v>
      </c>
      <c r="AE3177">
        <v>-36.943186310000002</v>
      </c>
      <c r="AF3177">
        <v>174.91224013999999</v>
      </c>
      <c r="AG3177">
        <v>60</v>
      </c>
      <c r="AH3177">
        <v>10</v>
      </c>
      <c r="AI3177">
        <v>2</v>
      </c>
      <c r="AJ3177">
        <v>7</v>
      </c>
      <c r="AK3177">
        <v>6</v>
      </c>
      <c r="AL3177">
        <v>17</v>
      </c>
      <c r="AM3177">
        <v>14</v>
      </c>
      <c r="AN3177">
        <v>1</v>
      </c>
      <c r="AO3177">
        <v>47</v>
      </c>
      <c r="AP3177">
        <v>18</v>
      </c>
      <c r="AQ3177">
        <v>3</v>
      </c>
      <c r="AR3177">
        <v>3</v>
      </c>
      <c r="AS3177">
        <v>27</v>
      </c>
      <c r="AT3177">
        <v>7</v>
      </c>
    </row>
    <row r="3178" spans="1:46">
      <c r="A3178">
        <v>48008</v>
      </c>
      <c r="B3178" t="s">
        <v>17810</v>
      </c>
      <c r="D3178" t="s">
        <v>17811</v>
      </c>
      <c r="E3178" t="s">
        <v>17812</v>
      </c>
      <c r="F3178" t="s">
        <v>5104</v>
      </c>
      <c r="G3178" t="s">
        <v>652</v>
      </c>
      <c r="H3178" t="s">
        <v>4716</v>
      </c>
      <c r="J3178" t="s">
        <v>3962</v>
      </c>
      <c r="K3178" t="s">
        <v>519</v>
      </c>
      <c r="M3178" t="s">
        <v>520</v>
      </c>
      <c r="N3178" t="s">
        <v>571</v>
      </c>
      <c r="O3178" t="s">
        <v>707</v>
      </c>
      <c r="P3178" t="s">
        <v>654</v>
      </c>
      <c r="Q3178" t="s">
        <v>638</v>
      </c>
      <c r="R3178" t="s">
        <v>729</v>
      </c>
      <c r="S3178" t="s">
        <v>1217</v>
      </c>
      <c r="T3178" t="s">
        <v>709</v>
      </c>
      <c r="U3178">
        <v>158602</v>
      </c>
      <c r="V3178" t="s">
        <v>17784</v>
      </c>
      <c r="W3178" t="s">
        <v>711</v>
      </c>
      <c r="X3178" t="s">
        <v>17813</v>
      </c>
      <c r="Y3178" t="s">
        <v>17812</v>
      </c>
      <c r="Z3178" t="s">
        <v>5104</v>
      </c>
      <c r="AA3178" t="s">
        <v>5000</v>
      </c>
      <c r="AB3178" t="s">
        <v>17814</v>
      </c>
      <c r="AE3178">
        <v>-36.9848134</v>
      </c>
      <c r="AF3178">
        <v>174.94071740000001</v>
      </c>
      <c r="AG3178">
        <v>35</v>
      </c>
      <c r="AH3178">
        <v>35</v>
      </c>
      <c r="AI3178">
        <v>2</v>
      </c>
      <c r="AJ3178">
        <v>5</v>
      </c>
      <c r="AK3178">
        <v>2</v>
      </c>
      <c r="AL3178">
        <v>4</v>
      </c>
      <c r="AM3178">
        <v>2</v>
      </c>
      <c r="AN3178">
        <v>0</v>
      </c>
      <c r="AO3178">
        <v>15</v>
      </c>
      <c r="AP3178">
        <v>3</v>
      </c>
      <c r="AQ3178">
        <v>0</v>
      </c>
      <c r="AR3178">
        <v>0</v>
      </c>
      <c r="AS3178">
        <v>15</v>
      </c>
      <c r="AT3178">
        <v>0</v>
      </c>
    </row>
    <row r="3179" spans="1:46">
      <c r="A3179">
        <v>48010</v>
      </c>
      <c r="B3179" t="s">
        <v>17815</v>
      </c>
      <c r="E3179" t="s">
        <v>17816</v>
      </c>
      <c r="G3179" t="s">
        <v>8261</v>
      </c>
      <c r="H3179" t="s">
        <v>3942</v>
      </c>
      <c r="J3179" t="s">
        <v>3962</v>
      </c>
      <c r="K3179" t="s">
        <v>519</v>
      </c>
      <c r="M3179" t="s">
        <v>520</v>
      </c>
      <c r="N3179" t="s">
        <v>571</v>
      </c>
      <c r="O3179" t="s">
        <v>637</v>
      </c>
      <c r="P3179" t="s">
        <v>523</v>
      </c>
      <c r="Q3179" t="s">
        <v>638</v>
      </c>
      <c r="R3179" t="s">
        <v>639</v>
      </c>
      <c r="S3179" t="s">
        <v>640</v>
      </c>
      <c r="T3179" t="s">
        <v>527</v>
      </c>
      <c r="U3179">
        <v>115002</v>
      </c>
      <c r="V3179" t="s">
        <v>6986</v>
      </c>
      <c r="W3179" t="s">
        <v>641</v>
      </c>
      <c r="X3179" t="s">
        <v>14685</v>
      </c>
      <c r="Y3179" t="s">
        <v>14686</v>
      </c>
      <c r="Z3179" t="s">
        <v>3706</v>
      </c>
      <c r="AA3179" t="s">
        <v>4289</v>
      </c>
      <c r="AE3179">
        <v>-36.775896619999997</v>
      </c>
      <c r="AF3179">
        <v>174.53737150000001</v>
      </c>
      <c r="AG3179">
        <v>110</v>
      </c>
      <c r="AH3179">
        <v>20</v>
      </c>
      <c r="AI3179">
        <v>6</v>
      </c>
      <c r="AJ3179">
        <v>14</v>
      </c>
      <c r="AK3179">
        <v>23</v>
      </c>
      <c r="AL3179">
        <v>21</v>
      </c>
      <c r="AM3179">
        <v>20</v>
      </c>
      <c r="AN3179">
        <v>1</v>
      </c>
      <c r="AO3179">
        <v>85</v>
      </c>
      <c r="AP3179">
        <v>49</v>
      </c>
      <c r="AQ3179">
        <v>14</v>
      </c>
      <c r="AR3179">
        <v>4</v>
      </c>
      <c r="AS3179">
        <v>37</v>
      </c>
      <c r="AT3179">
        <v>3</v>
      </c>
    </row>
    <row r="3180" spans="1:46">
      <c r="A3180">
        <v>48011</v>
      </c>
      <c r="B3180" t="s">
        <v>17817</v>
      </c>
      <c r="C3180" t="s">
        <v>17818</v>
      </c>
      <c r="D3180" t="s">
        <v>17819</v>
      </c>
      <c r="E3180" t="s">
        <v>17820</v>
      </c>
      <c r="F3180" t="s">
        <v>3902</v>
      </c>
      <c r="G3180" t="s">
        <v>652</v>
      </c>
      <c r="H3180" t="s">
        <v>3942</v>
      </c>
      <c r="J3180" t="s">
        <v>3962</v>
      </c>
      <c r="K3180" t="s">
        <v>519</v>
      </c>
      <c r="M3180" t="s">
        <v>520</v>
      </c>
      <c r="N3180" t="s">
        <v>571</v>
      </c>
      <c r="O3180" t="s">
        <v>1168</v>
      </c>
      <c r="P3180" t="s">
        <v>654</v>
      </c>
      <c r="Q3180" t="s">
        <v>638</v>
      </c>
      <c r="R3180" t="s">
        <v>639</v>
      </c>
      <c r="S3180" t="s">
        <v>739</v>
      </c>
      <c r="T3180" t="s">
        <v>527</v>
      </c>
      <c r="U3180">
        <v>118900</v>
      </c>
      <c r="V3180" t="s">
        <v>3903</v>
      </c>
      <c r="W3180" t="s">
        <v>657</v>
      </c>
      <c r="X3180" t="s">
        <v>13493</v>
      </c>
      <c r="Y3180" t="s">
        <v>13494</v>
      </c>
      <c r="Z3180" t="s">
        <v>749</v>
      </c>
      <c r="AA3180" t="s">
        <v>4289</v>
      </c>
      <c r="AE3180">
        <v>-36.772975860000003</v>
      </c>
      <c r="AF3180">
        <v>174.67659312000001</v>
      </c>
      <c r="AG3180">
        <v>55</v>
      </c>
      <c r="AH3180">
        <v>15</v>
      </c>
      <c r="AI3180">
        <v>0</v>
      </c>
      <c r="AJ3180">
        <v>2</v>
      </c>
      <c r="AK3180">
        <v>8</v>
      </c>
      <c r="AL3180">
        <v>11</v>
      </c>
      <c r="AM3180">
        <v>5</v>
      </c>
      <c r="AN3180">
        <v>0</v>
      </c>
      <c r="AO3180">
        <v>26</v>
      </c>
      <c r="AP3180">
        <v>13</v>
      </c>
      <c r="AQ3180">
        <v>2</v>
      </c>
      <c r="AR3180">
        <v>4</v>
      </c>
      <c r="AS3180">
        <v>12</v>
      </c>
      <c r="AT3180">
        <v>1</v>
      </c>
    </row>
    <row r="3181" spans="1:46">
      <c r="A3181">
        <v>48013</v>
      </c>
      <c r="B3181" t="s">
        <v>17821</v>
      </c>
      <c r="C3181" t="s">
        <v>17822</v>
      </c>
      <c r="D3181" t="s">
        <v>17823</v>
      </c>
      <c r="E3181" t="s">
        <v>17824</v>
      </c>
      <c r="F3181" t="s">
        <v>3662</v>
      </c>
      <c r="G3181" t="s">
        <v>2941</v>
      </c>
      <c r="H3181" t="s">
        <v>3942</v>
      </c>
      <c r="J3181" t="s">
        <v>518</v>
      </c>
      <c r="K3181" t="s">
        <v>519</v>
      </c>
      <c r="M3181" t="s">
        <v>2287</v>
      </c>
      <c r="N3181" t="s">
        <v>571</v>
      </c>
      <c r="O3181" t="s">
        <v>3208</v>
      </c>
      <c r="P3181" t="s">
        <v>523</v>
      </c>
      <c r="Q3181" t="s">
        <v>2943</v>
      </c>
      <c r="R3181" t="s">
        <v>2944</v>
      </c>
      <c r="S3181" t="s">
        <v>3179</v>
      </c>
      <c r="T3181" t="s">
        <v>2448</v>
      </c>
      <c r="U3181">
        <v>336002</v>
      </c>
      <c r="V3181" t="s">
        <v>17825</v>
      </c>
      <c r="W3181" t="s">
        <v>3664</v>
      </c>
      <c r="X3181" t="s">
        <v>10801</v>
      </c>
      <c r="Y3181" t="s">
        <v>3944</v>
      </c>
      <c r="Z3181" t="s">
        <v>3945</v>
      </c>
      <c r="AA3181" t="s">
        <v>3946</v>
      </c>
      <c r="AE3181">
        <v>-43.646892960000002</v>
      </c>
      <c r="AF3181">
        <v>172.4855068</v>
      </c>
      <c r="AG3181">
        <v>82</v>
      </c>
      <c r="AH3181">
        <v>16</v>
      </c>
      <c r="AI3181">
        <v>2</v>
      </c>
      <c r="AJ3181">
        <v>17</v>
      </c>
      <c r="AK3181">
        <v>22</v>
      </c>
      <c r="AL3181">
        <v>29</v>
      </c>
      <c r="AM3181">
        <v>21</v>
      </c>
      <c r="AN3181">
        <v>1</v>
      </c>
      <c r="AO3181">
        <v>92</v>
      </c>
      <c r="AP3181">
        <v>66</v>
      </c>
      <c r="AQ3181">
        <v>13</v>
      </c>
      <c r="AR3181">
        <v>3</v>
      </c>
      <c r="AS3181">
        <v>20</v>
      </c>
      <c r="AT3181">
        <v>10</v>
      </c>
    </row>
    <row r="3182" spans="1:46">
      <c r="A3182">
        <v>48014</v>
      </c>
      <c r="B3182" t="s">
        <v>17826</v>
      </c>
      <c r="C3182" t="s">
        <v>17827</v>
      </c>
      <c r="D3182" t="s">
        <v>17828</v>
      </c>
      <c r="E3182" t="s">
        <v>17829</v>
      </c>
      <c r="F3182" t="s">
        <v>898</v>
      </c>
      <c r="G3182" t="s">
        <v>652</v>
      </c>
      <c r="H3182" t="s">
        <v>3942</v>
      </c>
      <c r="J3182" t="s">
        <v>3962</v>
      </c>
      <c r="K3182" t="s">
        <v>519</v>
      </c>
      <c r="M3182" t="s">
        <v>520</v>
      </c>
      <c r="N3182" t="s">
        <v>571</v>
      </c>
      <c r="O3182" t="s">
        <v>813</v>
      </c>
      <c r="P3182" t="s">
        <v>654</v>
      </c>
      <c r="Q3182" t="s">
        <v>638</v>
      </c>
      <c r="R3182" t="s">
        <v>639</v>
      </c>
      <c r="S3182" t="s">
        <v>899</v>
      </c>
      <c r="T3182" t="s">
        <v>527</v>
      </c>
      <c r="U3182">
        <v>125701</v>
      </c>
      <c r="V3182" t="s">
        <v>5792</v>
      </c>
      <c r="W3182" t="s">
        <v>815</v>
      </c>
      <c r="X3182" t="s">
        <v>17830</v>
      </c>
      <c r="Y3182" t="s">
        <v>17831</v>
      </c>
      <c r="Z3182" t="s">
        <v>682</v>
      </c>
      <c r="AA3182" t="s">
        <v>4911</v>
      </c>
      <c r="AB3182" t="s">
        <v>17832</v>
      </c>
      <c r="AE3182">
        <v>-36.867211730000001</v>
      </c>
      <c r="AF3182">
        <v>174.63025267</v>
      </c>
      <c r="AG3182">
        <v>20</v>
      </c>
      <c r="AH3182">
        <v>10</v>
      </c>
      <c r="AI3182">
        <v>2</v>
      </c>
      <c r="AJ3182">
        <v>9</v>
      </c>
      <c r="AK3182">
        <v>7</v>
      </c>
      <c r="AL3182">
        <v>5</v>
      </c>
      <c r="AM3182">
        <v>4</v>
      </c>
      <c r="AN3182">
        <v>0</v>
      </c>
      <c r="AO3182">
        <v>27</v>
      </c>
      <c r="AP3182">
        <v>14</v>
      </c>
      <c r="AQ3182">
        <v>3</v>
      </c>
      <c r="AR3182">
        <v>5</v>
      </c>
      <c r="AS3182">
        <v>14</v>
      </c>
      <c r="AT3182">
        <v>0</v>
      </c>
    </row>
    <row r="3183" spans="1:46">
      <c r="A3183">
        <v>48015</v>
      </c>
      <c r="B3183" t="s">
        <v>17833</v>
      </c>
      <c r="C3183" t="s">
        <v>17834</v>
      </c>
      <c r="E3183" t="s">
        <v>17835</v>
      </c>
      <c r="F3183" t="s">
        <v>975</v>
      </c>
      <c r="G3183" t="s">
        <v>652</v>
      </c>
      <c r="H3183" t="s">
        <v>3942</v>
      </c>
      <c r="J3183" t="s">
        <v>3962</v>
      </c>
      <c r="K3183" t="s">
        <v>519</v>
      </c>
      <c r="M3183" t="s">
        <v>520</v>
      </c>
      <c r="N3183" t="s">
        <v>521</v>
      </c>
      <c r="O3183" t="s">
        <v>848</v>
      </c>
      <c r="P3183" t="s">
        <v>654</v>
      </c>
      <c r="Q3183" t="s">
        <v>638</v>
      </c>
      <c r="R3183" t="s">
        <v>729</v>
      </c>
      <c r="S3183" t="s">
        <v>849</v>
      </c>
      <c r="T3183" t="s">
        <v>709</v>
      </c>
      <c r="U3183">
        <v>147500</v>
      </c>
      <c r="V3183" t="s">
        <v>7575</v>
      </c>
      <c r="W3183" t="s">
        <v>732</v>
      </c>
      <c r="X3183" t="s">
        <v>17836</v>
      </c>
      <c r="Y3183" t="s">
        <v>17837</v>
      </c>
      <c r="Z3183" t="s">
        <v>1422</v>
      </c>
      <c r="AA3183" t="s">
        <v>9576</v>
      </c>
      <c r="AE3183">
        <v>-36.958349839999997</v>
      </c>
      <c r="AF3183">
        <v>174.78875976</v>
      </c>
      <c r="AG3183">
        <v>50</v>
      </c>
      <c r="AH3183">
        <v>0</v>
      </c>
      <c r="AI3183">
        <v>0</v>
      </c>
      <c r="AJ3183">
        <v>0</v>
      </c>
      <c r="AK3183">
        <v>5</v>
      </c>
      <c r="AL3183">
        <v>13</v>
      </c>
      <c r="AM3183">
        <v>18</v>
      </c>
      <c r="AN3183">
        <v>3</v>
      </c>
      <c r="AO3183">
        <v>39</v>
      </c>
      <c r="AP3183">
        <v>4</v>
      </c>
      <c r="AQ3183">
        <v>3</v>
      </c>
      <c r="AR3183">
        <v>18</v>
      </c>
      <c r="AS3183">
        <v>16</v>
      </c>
      <c r="AT3183">
        <v>1</v>
      </c>
    </row>
    <row r="3184" spans="1:46">
      <c r="A3184">
        <v>48016</v>
      </c>
      <c r="B3184" t="s">
        <v>17838</v>
      </c>
      <c r="C3184" t="s">
        <v>17839</v>
      </c>
      <c r="E3184" t="s">
        <v>17840</v>
      </c>
      <c r="F3184" t="s">
        <v>3770</v>
      </c>
      <c r="G3184" t="s">
        <v>1598</v>
      </c>
      <c r="H3184" t="s">
        <v>3942</v>
      </c>
      <c r="J3184" t="s">
        <v>3962</v>
      </c>
      <c r="K3184" t="s">
        <v>519</v>
      </c>
      <c r="M3184" t="s">
        <v>1297</v>
      </c>
      <c r="N3184" t="s">
        <v>571</v>
      </c>
      <c r="O3184" t="s">
        <v>1698</v>
      </c>
      <c r="P3184" t="s">
        <v>654</v>
      </c>
      <c r="Q3184" t="s">
        <v>1471</v>
      </c>
      <c r="R3184" t="s">
        <v>1472</v>
      </c>
      <c r="S3184" t="s">
        <v>1699</v>
      </c>
      <c r="T3184" t="s">
        <v>1474</v>
      </c>
      <c r="U3184">
        <v>197603</v>
      </c>
      <c r="V3184" t="s">
        <v>17841</v>
      </c>
      <c r="W3184" t="s">
        <v>3772</v>
      </c>
      <c r="X3184" t="s">
        <v>17842</v>
      </c>
      <c r="Y3184" t="s">
        <v>17840</v>
      </c>
      <c r="Z3184" t="s">
        <v>3770</v>
      </c>
      <c r="AA3184" t="s">
        <v>4719</v>
      </c>
      <c r="AE3184">
        <v>-37.724831680000001</v>
      </c>
      <c r="AF3184">
        <v>176.34015790000001</v>
      </c>
      <c r="AG3184">
        <v>82</v>
      </c>
      <c r="AH3184">
        <v>25</v>
      </c>
      <c r="AI3184">
        <v>7</v>
      </c>
      <c r="AJ3184">
        <v>15</v>
      </c>
      <c r="AK3184">
        <v>19</v>
      </c>
      <c r="AL3184">
        <v>21</v>
      </c>
      <c r="AM3184">
        <v>17</v>
      </c>
      <c r="AN3184">
        <v>1</v>
      </c>
      <c r="AO3184">
        <v>80</v>
      </c>
      <c r="AP3184">
        <v>60</v>
      </c>
      <c r="AQ3184">
        <v>17</v>
      </c>
      <c r="AR3184">
        <v>2</v>
      </c>
      <c r="AS3184">
        <v>13</v>
      </c>
      <c r="AT3184">
        <v>8</v>
      </c>
    </row>
    <row r="3185" spans="1:46">
      <c r="A3185">
        <v>48017</v>
      </c>
      <c r="B3185" t="s">
        <v>17843</v>
      </c>
      <c r="C3185" t="s">
        <v>17844</v>
      </c>
      <c r="E3185" t="s">
        <v>17845</v>
      </c>
      <c r="F3185" t="s">
        <v>898</v>
      </c>
      <c r="G3185" t="s">
        <v>652</v>
      </c>
      <c r="H3185" t="s">
        <v>3942</v>
      </c>
      <c r="J3185" t="s">
        <v>3962</v>
      </c>
      <c r="K3185" t="s">
        <v>519</v>
      </c>
      <c r="M3185" t="s">
        <v>520</v>
      </c>
      <c r="N3185" t="s">
        <v>571</v>
      </c>
      <c r="O3185" t="s">
        <v>813</v>
      </c>
      <c r="P3185" t="s">
        <v>654</v>
      </c>
      <c r="Q3185" t="s">
        <v>638</v>
      </c>
      <c r="R3185" t="s">
        <v>639</v>
      </c>
      <c r="S3185" t="s">
        <v>899</v>
      </c>
      <c r="T3185" t="s">
        <v>527</v>
      </c>
      <c r="U3185">
        <v>125100</v>
      </c>
      <c r="V3185" t="s">
        <v>4305</v>
      </c>
      <c r="W3185" t="s">
        <v>815</v>
      </c>
      <c r="X3185" t="s">
        <v>17846</v>
      </c>
      <c r="Y3185" t="s">
        <v>17847</v>
      </c>
      <c r="Z3185" t="s">
        <v>919</v>
      </c>
      <c r="AA3185" t="s">
        <v>4537</v>
      </c>
      <c r="AE3185">
        <v>-36.864568560000002</v>
      </c>
      <c r="AF3185">
        <v>174.62990568000001</v>
      </c>
      <c r="AG3185">
        <v>90</v>
      </c>
      <c r="AH3185">
        <v>25</v>
      </c>
      <c r="AI3185">
        <v>3</v>
      </c>
      <c r="AJ3185">
        <v>18</v>
      </c>
      <c r="AK3185">
        <v>14</v>
      </c>
      <c r="AL3185">
        <v>21</v>
      </c>
      <c r="AM3185">
        <v>18</v>
      </c>
      <c r="AN3185">
        <v>1</v>
      </c>
      <c r="AO3185">
        <v>75</v>
      </c>
      <c r="AP3185">
        <v>9</v>
      </c>
      <c r="AQ3185">
        <v>3</v>
      </c>
      <c r="AR3185">
        <v>2</v>
      </c>
      <c r="AS3185">
        <v>65</v>
      </c>
      <c r="AT3185">
        <v>1</v>
      </c>
    </row>
    <row r="3186" spans="1:46">
      <c r="A3186">
        <v>48021</v>
      </c>
      <c r="B3186" t="s">
        <v>11644</v>
      </c>
      <c r="C3186" t="s">
        <v>17435</v>
      </c>
      <c r="D3186" t="s">
        <v>11646</v>
      </c>
      <c r="E3186" t="s">
        <v>14176</v>
      </c>
      <c r="G3186" t="s">
        <v>2197</v>
      </c>
      <c r="H3186" t="s">
        <v>4716</v>
      </c>
      <c r="J3186" t="s">
        <v>3962</v>
      </c>
      <c r="K3186" t="s">
        <v>519</v>
      </c>
      <c r="M3186" t="s">
        <v>1297</v>
      </c>
      <c r="N3186" t="s">
        <v>571</v>
      </c>
      <c r="O3186" t="s">
        <v>2198</v>
      </c>
      <c r="P3186" t="s">
        <v>584</v>
      </c>
      <c r="Q3186" t="s">
        <v>2118</v>
      </c>
      <c r="R3186" t="s">
        <v>1760</v>
      </c>
      <c r="S3186" t="s">
        <v>2199</v>
      </c>
      <c r="T3186" t="s">
        <v>2085</v>
      </c>
      <c r="U3186">
        <v>210500</v>
      </c>
      <c r="V3186" t="s">
        <v>11648</v>
      </c>
      <c r="W3186" t="s">
        <v>2200</v>
      </c>
      <c r="X3186" t="s">
        <v>17848</v>
      </c>
      <c r="Y3186" t="s">
        <v>11647</v>
      </c>
      <c r="AA3186" t="s">
        <v>11650</v>
      </c>
      <c r="AB3186" t="s">
        <v>17849</v>
      </c>
      <c r="AE3186">
        <v>-39.641273009999999</v>
      </c>
      <c r="AF3186">
        <v>176.84696697999999</v>
      </c>
      <c r="AG3186">
        <v>80</v>
      </c>
      <c r="AH3186">
        <v>80</v>
      </c>
      <c r="AI3186">
        <v>1</v>
      </c>
      <c r="AJ3186">
        <v>13</v>
      </c>
      <c r="AK3186">
        <v>25</v>
      </c>
      <c r="AL3186">
        <v>17</v>
      </c>
      <c r="AM3186">
        <v>9</v>
      </c>
      <c r="AN3186">
        <v>2</v>
      </c>
      <c r="AO3186">
        <v>67</v>
      </c>
      <c r="AP3186">
        <v>47</v>
      </c>
      <c r="AQ3186">
        <v>25</v>
      </c>
      <c r="AR3186">
        <v>1</v>
      </c>
      <c r="AS3186">
        <v>4</v>
      </c>
      <c r="AT3186">
        <v>0</v>
      </c>
    </row>
    <row r="3187" spans="1:46">
      <c r="A3187">
        <v>48023</v>
      </c>
      <c r="B3187" t="s">
        <v>17850</v>
      </c>
      <c r="C3187" t="s">
        <v>17851</v>
      </c>
      <c r="D3187" t="s">
        <v>17852</v>
      </c>
      <c r="E3187" t="s">
        <v>17853</v>
      </c>
      <c r="F3187" t="s">
        <v>2963</v>
      </c>
      <c r="G3187" t="s">
        <v>2941</v>
      </c>
      <c r="H3187" t="s">
        <v>3942</v>
      </c>
      <c r="J3187" t="s">
        <v>3962</v>
      </c>
      <c r="K3187" t="s">
        <v>519</v>
      </c>
      <c r="M3187" t="s">
        <v>2287</v>
      </c>
      <c r="N3187" t="s">
        <v>571</v>
      </c>
      <c r="O3187" t="s">
        <v>2964</v>
      </c>
      <c r="P3187" t="s">
        <v>1262</v>
      </c>
      <c r="Q3187" t="s">
        <v>2943</v>
      </c>
      <c r="R3187" t="s">
        <v>2944</v>
      </c>
      <c r="S3187" t="s">
        <v>2965</v>
      </c>
      <c r="T3187" t="s">
        <v>2448</v>
      </c>
      <c r="U3187">
        <v>313900</v>
      </c>
      <c r="V3187" t="s">
        <v>15475</v>
      </c>
      <c r="W3187" t="s">
        <v>2967</v>
      </c>
      <c r="X3187" t="s">
        <v>17854</v>
      </c>
      <c r="Y3187" t="s">
        <v>17853</v>
      </c>
      <c r="Z3187" t="s">
        <v>2963</v>
      </c>
      <c r="AA3187" t="s">
        <v>17855</v>
      </c>
      <c r="AC3187">
        <v>99077</v>
      </c>
      <c r="AD3187" t="s">
        <v>2968</v>
      </c>
      <c r="AE3187">
        <v>-43.302230000000002</v>
      </c>
      <c r="AF3187">
        <v>172.56531000000001</v>
      </c>
      <c r="AG3187">
        <v>50</v>
      </c>
      <c r="AH3187">
        <v>18</v>
      </c>
      <c r="AI3187">
        <v>5</v>
      </c>
      <c r="AJ3187">
        <v>11</v>
      </c>
      <c r="AK3187">
        <v>16</v>
      </c>
      <c r="AL3187">
        <v>13</v>
      </c>
      <c r="AM3187">
        <v>19</v>
      </c>
      <c r="AN3187">
        <v>2</v>
      </c>
      <c r="AO3187">
        <v>66</v>
      </c>
      <c r="AP3187">
        <v>63</v>
      </c>
      <c r="AQ3187">
        <v>10</v>
      </c>
      <c r="AR3187">
        <v>0</v>
      </c>
      <c r="AS3187">
        <v>2</v>
      </c>
      <c r="AT3187">
        <v>1</v>
      </c>
    </row>
    <row r="3188" spans="1:46">
      <c r="A3188">
        <v>48024</v>
      </c>
      <c r="B3188" t="s">
        <v>17856</v>
      </c>
      <c r="C3188" t="s">
        <v>17857</v>
      </c>
      <c r="E3188" t="s">
        <v>16435</v>
      </c>
      <c r="F3188" t="s">
        <v>803</v>
      </c>
      <c r="G3188" t="s">
        <v>652</v>
      </c>
      <c r="H3188" t="s">
        <v>4716</v>
      </c>
      <c r="J3188" t="s">
        <v>3962</v>
      </c>
      <c r="K3188" t="s">
        <v>519</v>
      </c>
      <c r="M3188" t="s">
        <v>520</v>
      </c>
      <c r="N3188" t="s">
        <v>571</v>
      </c>
      <c r="O3188" t="s">
        <v>804</v>
      </c>
      <c r="P3188" t="s">
        <v>654</v>
      </c>
      <c r="Q3188" t="s">
        <v>638</v>
      </c>
      <c r="R3188" t="s">
        <v>708</v>
      </c>
      <c r="S3188" t="s">
        <v>805</v>
      </c>
      <c r="T3188" t="s">
        <v>709</v>
      </c>
      <c r="U3188">
        <v>143301</v>
      </c>
      <c r="V3188" t="s">
        <v>4232</v>
      </c>
      <c r="W3188" t="s">
        <v>807</v>
      </c>
      <c r="X3188" t="s">
        <v>16436</v>
      </c>
      <c r="Y3188" t="s">
        <v>17858</v>
      </c>
      <c r="Z3188" t="s">
        <v>1029</v>
      </c>
      <c r="AA3188" t="s">
        <v>15051</v>
      </c>
      <c r="AE3188">
        <v>-36.894179999999999</v>
      </c>
      <c r="AF3188">
        <v>174.81083839999999</v>
      </c>
      <c r="AG3188">
        <v>80</v>
      </c>
      <c r="AH3188">
        <v>80</v>
      </c>
      <c r="AI3188">
        <v>10</v>
      </c>
      <c r="AJ3188">
        <v>25</v>
      </c>
      <c r="AK3188">
        <v>21</v>
      </c>
      <c r="AL3188">
        <v>13</v>
      </c>
      <c r="AM3188">
        <v>18</v>
      </c>
      <c r="AN3188">
        <v>1</v>
      </c>
      <c r="AO3188">
        <v>88</v>
      </c>
      <c r="AP3188">
        <v>3</v>
      </c>
      <c r="AQ3188">
        <v>0</v>
      </c>
      <c r="AR3188">
        <v>0</v>
      </c>
      <c r="AS3188">
        <v>87</v>
      </c>
      <c r="AT3188">
        <v>0</v>
      </c>
    </row>
    <row r="3189" spans="1:46">
      <c r="A3189">
        <v>48025</v>
      </c>
      <c r="B3189" t="s">
        <v>17859</v>
      </c>
      <c r="C3189" t="s">
        <v>17860</v>
      </c>
      <c r="E3189" t="s">
        <v>17861</v>
      </c>
      <c r="F3189" t="s">
        <v>5104</v>
      </c>
      <c r="G3189" t="s">
        <v>652</v>
      </c>
      <c r="H3189" t="s">
        <v>3942</v>
      </c>
      <c r="J3189" t="s">
        <v>518</v>
      </c>
      <c r="K3189" t="s">
        <v>519</v>
      </c>
      <c r="M3189" t="s">
        <v>520</v>
      </c>
      <c r="N3189" t="s">
        <v>571</v>
      </c>
      <c r="O3189" t="s">
        <v>707</v>
      </c>
      <c r="P3189" t="s">
        <v>654</v>
      </c>
      <c r="Q3189" t="s">
        <v>638</v>
      </c>
      <c r="R3189" t="s">
        <v>729</v>
      </c>
      <c r="S3189" t="s">
        <v>1217</v>
      </c>
      <c r="T3189" t="s">
        <v>709</v>
      </c>
      <c r="U3189">
        <v>158603</v>
      </c>
      <c r="V3189" t="s">
        <v>17862</v>
      </c>
      <c r="W3189" t="s">
        <v>711</v>
      </c>
      <c r="X3189" t="s">
        <v>17613</v>
      </c>
      <c r="Y3189" t="s">
        <v>3944</v>
      </c>
      <c r="Z3189" t="s">
        <v>3945</v>
      </c>
      <c r="AA3189" t="s">
        <v>3946</v>
      </c>
      <c r="AE3189">
        <v>-36.983441380000002</v>
      </c>
      <c r="AF3189">
        <v>174.9238081</v>
      </c>
      <c r="AG3189">
        <v>100</v>
      </c>
      <c r="AH3189">
        <v>24</v>
      </c>
      <c r="AI3189">
        <v>2</v>
      </c>
      <c r="AJ3189">
        <v>16</v>
      </c>
      <c r="AK3189">
        <v>20</v>
      </c>
      <c r="AL3189">
        <v>39</v>
      </c>
      <c r="AM3189">
        <v>30</v>
      </c>
      <c r="AN3189">
        <v>2</v>
      </c>
      <c r="AO3189">
        <v>109</v>
      </c>
      <c r="AP3189">
        <v>7</v>
      </c>
      <c r="AQ3189">
        <v>6</v>
      </c>
      <c r="AR3189">
        <v>5</v>
      </c>
      <c r="AS3189">
        <v>95</v>
      </c>
      <c r="AT3189">
        <v>7</v>
      </c>
    </row>
    <row r="3190" spans="1:46">
      <c r="A3190">
        <v>48026</v>
      </c>
      <c r="B3190" t="s">
        <v>17863</v>
      </c>
      <c r="C3190" t="s">
        <v>17864</v>
      </c>
      <c r="D3190" t="s">
        <v>17865</v>
      </c>
      <c r="E3190" t="s">
        <v>17866</v>
      </c>
      <c r="F3190" t="s">
        <v>2957</v>
      </c>
      <c r="G3190" t="s">
        <v>2941</v>
      </c>
      <c r="H3190" t="s">
        <v>3942</v>
      </c>
      <c r="J3190" t="s">
        <v>518</v>
      </c>
      <c r="K3190" t="s">
        <v>519</v>
      </c>
      <c r="M3190" t="s">
        <v>2287</v>
      </c>
      <c r="N3190" t="s">
        <v>539</v>
      </c>
      <c r="O3190" t="s">
        <v>2942</v>
      </c>
      <c r="P3190" t="s">
        <v>654</v>
      </c>
      <c r="Q3190" t="s">
        <v>2943</v>
      </c>
      <c r="R3190" t="s">
        <v>2944</v>
      </c>
      <c r="S3190" t="s">
        <v>2957</v>
      </c>
      <c r="T3190" t="s">
        <v>2448</v>
      </c>
      <c r="U3190">
        <v>327100</v>
      </c>
      <c r="V3190" t="s">
        <v>16427</v>
      </c>
      <c r="W3190" t="s">
        <v>2443</v>
      </c>
      <c r="X3190" t="s">
        <v>17867</v>
      </c>
      <c r="Y3190" t="s">
        <v>17868</v>
      </c>
      <c r="Z3190" t="s">
        <v>2957</v>
      </c>
      <c r="AA3190" t="s">
        <v>17869</v>
      </c>
      <c r="AB3190" t="s">
        <v>17864</v>
      </c>
      <c r="AC3190">
        <v>99215</v>
      </c>
      <c r="AD3190" t="s">
        <v>10972</v>
      </c>
      <c r="AE3190">
        <v>-43.537215209999999</v>
      </c>
      <c r="AF3190">
        <v>172.62280558</v>
      </c>
      <c r="AG3190">
        <v>43</v>
      </c>
      <c r="AH3190">
        <v>10</v>
      </c>
      <c r="AI3190">
        <v>0</v>
      </c>
      <c r="AJ3190">
        <v>10</v>
      </c>
      <c r="AK3190">
        <v>7</v>
      </c>
      <c r="AL3190">
        <v>9</v>
      </c>
      <c r="AM3190">
        <v>12</v>
      </c>
      <c r="AN3190">
        <v>1</v>
      </c>
      <c r="AO3190">
        <v>39</v>
      </c>
      <c r="AP3190">
        <v>21</v>
      </c>
      <c r="AQ3190">
        <v>6</v>
      </c>
      <c r="AR3190">
        <v>2</v>
      </c>
      <c r="AS3190">
        <v>12</v>
      </c>
      <c r="AT3190">
        <v>13</v>
      </c>
    </row>
    <row r="3191" spans="1:46">
      <c r="A3191">
        <v>48027</v>
      </c>
      <c r="B3191" t="s">
        <v>17870</v>
      </c>
      <c r="C3191" t="s">
        <v>17871</v>
      </c>
      <c r="D3191" t="s">
        <v>17872</v>
      </c>
      <c r="E3191" t="s">
        <v>17873</v>
      </c>
      <c r="F3191" t="s">
        <v>17874</v>
      </c>
      <c r="G3191" t="s">
        <v>2941</v>
      </c>
      <c r="H3191" t="s">
        <v>3942</v>
      </c>
      <c r="J3191" t="s">
        <v>3962</v>
      </c>
      <c r="K3191" t="s">
        <v>519</v>
      </c>
      <c r="M3191" t="s">
        <v>2287</v>
      </c>
      <c r="N3191" t="s">
        <v>557</v>
      </c>
      <c r="O3191" t="s">
        <v>2942</v>
      </c>
      <c r="P3191" t="s">
        <v>654</v>
      </c>
      <c r="Q3191" t="s">
        <v>2943</v>
      </c>
      <c r="R3191" t="s">
        <v>2944</v>
      </c>
      <c r="S3191" t="s">
        <v>3019</v>
      </c>
      <c r="T3191" t="s">
        <v>2448</v>
      </c>
      <c r="U3191">
        <v>326100</v>
      </c>
      <c r="V3191" t="s">
        <v>17875</v>
      </c>
      <c r="W3191" t="s">
        <v>3088</v>
      </c>
      <c r="X3191" t="s">
        <v>17876</v>
      </c>
      <c r="Y3191" t="s">
        <v>11626</v>
      </c>
      <c r="AA3191" t="s">
        <v>17877</v>
      </c>
      <c r="AB3191" t="s">
        <v>17871</v>
      </c>
      <c r="AE3191">
        <v>-43.546287139999997</v>
      </c>
      <c r="AF3191">
        <v>172.61533381999999</v>
      </c>
      <c r="AG3191">
        <v>59</v>
      </c>
      <c r="AH3191">
        <v>10</v>
      </c>
      <c r="AI3191">
        <v>1</v>
      </c>
      <c r="AJ3191">
        <v>8</v>
      </c>
      <c r="AK3191">
        <v>8</v>
      </c>
      <c r="AL3191">
        <v>22</v>
      </c>
      <c r="AM3191">
        <v>20</v>
      </c>
      <c r="AN3191">
        <v>0</v>
      </c>
      <c r="AO3191">
        <v>59</v>
      </c>
      <c r="AP3191">
        <v>23</v>
      </c>
      <c r="AQ3191">
        <v>11</v>
      </c>
      <c r="AR3191">
        <v>1</v>
      </c>
      <c r="AS3191">
        <v>29</v>
      </c>
      <c r="AT3191">
        <v>2</v>
      </c>
    </row>
    <row r="3192" spans="1:46">
      <c r="A3192">
        <v>48029</v>
      </c>
      <c r="B3192" t="s">
        <v>17878</v>
      </c>
      <c r="C3192" t="s">
        <v>17879</v>
      </c>
      <c r="D3192" t="s">
        <v>17880</v>
      </c>
      <c r="E3192" t="s">
        <v>17881</v>
      </c>
      <c r="G3192" t="s">
        <v>582</v>
      </c>
      <c r="H3192" t="s">
        <v>3942</v>
      </c>
      <c r="J3192" t="s">
        <v>518</v>
      </c>
      <c r="K3192" t="s">
        <v>519</v>
      </c>
      <c r="M3192" t="s">
        <v>520</v>
      </c>
      <c r="N3192" t="s">
        <v>557</v>
      </c>
      <c r="O3192" t="s">
        <v>583</v>
      </c>
      <c r="P3192" t="s">
        <v>584</v>
      </c>
      <c r="Q3192" t="s">
        <v>524</v>
      </c>
      <c r="R3192" t="s">
        <v>525</v>
      </c>
      <c r="S3192" t="s">
        <v>585</v>
      </c>
      <c r="T3192" t="s">
        <v>527</v>
      </c>
      <c r="U3192">
        <v>106600</v>
      </c>
      <c r="V3192" t="s">
        <v>5034</v>
      </c>
      <c r="W3192" t="s">
        <v>587</v>
      </c>
      <c r="X3192" t="s">
        <v>4436</v>
      </c>
      <c r="Y3192" t="s">
        <v>3944</v>
      </c>
      <c r="Z3192" t="s">
        <v>3945</v>
      </c>
      <c r="AA3192" t="s">
        <v>3946</v>
      </c>
      <c r="AE3192">
        <v>-35.708210809999997</v>
      </c>
      <c r="AF3192">
        <v>174.32038693000001</v>
      </c>
      <c r="AG3192">
        <v>75</v>
      </c>
      <c r="AH3192">
        <v>15</v>
      </c>
      <c r="AI3192">
        <v>1</v>
      </c>
      <c r="AJ3192">
        <v>15</v>
      </c>
      <c r="AK3192">
        <v>16</v>
      </c>
      <c r="AL3192">
        <v>31</v>
      </c>
      <c r="AM3192">
        <v>25</v>
      </c>
      <c r="AN3192">
        <v>1</v>
      </c>
      <c r="AO3192">
        <v>89</v>
      </c>
      <c r="AP3192">
        <v>44</v>
      </c>
      <c r="AQ3192">
        <v>21</v>
      </c>
      <c r="AR3192">
        <v>5</v>
      </c>
      <c r="AS3192">
        <v>35</v>
      </c>
      <c r="AT3192">
        <v>8</v>
      </c>
    </row>
    <row r="3193" spans="1:46">
      <c r="A3193">
        <v>48030</v>
      </c>
      <c r="B3193" t="s">
        <v>17882</v>
      </c>
      <c r="C3193" t="s">
        <v>17883</v>
      </c>
      <c r="E3193" t="s">
        <v>17884</v>
      </c>
      <c r="G3193" t="s">
        <v>3261</v>
      </c>
      <c r="H3193" t="s">
        <v>3942</v>
      </c>
      <c r="J3193" t="s">
        <v>518</v>
      </c>
      <c r="K3193" t="s">
        <v>519</v>
      </c>
      <c r="M3193" t="s">
        <v>2287</v>
      </c>
      <c r="N3193" t="s">
        <v>571</v>
      </c>
      <c r="O3193" t="s">
        <v>3249</v>
      </c>
      <c r="P3193" t="s">
        <v>1262</v>
      </c>
      <c r="Q3193" t="s">
        <v>2943</v>
      </c>
      <c r="R3193" t="s">
        <v>2944</v>
      </c>
      <c r="S3193" t="s">
        <v>3219</v>
      </c>
      <c r="T3193" t="s">
        <v>2448</v>
      </c>
      <c r="U3193">
        <v>340400</v>
      </c>
      <c r="V3193" t="s">
        <v>17885</v>
      </c>
      <c r="W3193" t="s">
        <v>3263</v>
      </c>
      <c r="X3193" t="s">
        <v>10801</v>
      </c>
      <c r="Y3193" t="s">
        <v>3944</v>
      </c>
      <c r="Z3193" t="s">
        <v>3945</v>
      </c>
      <c r="AA3193" t="s">
        <v>3946</v>
      </c>
      <c r="AE3193">
        <v>-44.386319350000001</v>
      </c>
      <c r="AF3193">
        <v>171.23107358999999</v>
      </c>
      <c r="AG3193">
        <v>74</v>
      </c>
      <c r="AH3193">
        <v>16</v>
      </c>
      <c r="AI3193">
        <v>5</v>
      </c>
      <c r="AJ3193">
        <v>17</v>
      </c>
      <c r="AK3193">
        <v>22</v>
      </c>
      <c r="AL3193">
        <v>29</v>
      </c>
      <c r="AM3193">
        <v>16</v>
      </c>
      <c r="AN3193">
        <v>0</v>
      </c>
      <c r="AO3193">
        <v>89</v>
      </c>
      <c r="AP3193">
        <v>53</v>
      </c>
      <c r="AQ3193">
        <v>14</v>
      </c>
      <c r="AR3193">
        <v>6</v>
      </c>
      <c r="AS3193">
        <v>8</v>
      </c>
      <c r="AT3193">
        <v>20</v>
      </c>
    </row>
    <row r="3194" spans="1:46">
      <c r="A3194">
        <v>48031</v>
      </c>
      <c r="B3194" t="s">
        <v>17886</v>
      </c>
      <c r="C3194" t="s">
        <v>17887</v>
      </c>
      <c r="E3194" t="s">
        <v>17888</v>
      </c>
      <c r="F3194" t="s">
        <v>7702</v>
      </c>
      <c r="G3194" t="s">
        <v>3811</v>
      </c>
      <c r="H3194" t="s">
        <v>3942</v>
      </c>
      <c r="J3194" t="s">
        <v>3962</v>
      </c>
      <c r="K3194" t="s">
        <v>519</v>
      </c>
      <c r="M3194" t="s">
        <v>520</v>
      </c>
      <c r="N3194" t="s">
        <v>571</v>
      </c>
      <c r="O3194" t="s">
        <v>1351</v>
      </c>
      <c r="P3194" t="s">
        <v>572</v>
      </c>
      <c r="Q3194" t="s">
        <v>1299</v>
      </c>
      <c r="R3194" t="s">
        <v>729</v>
      </c>
      <c r="S3194" t="s">
        <v>1246</v>
      </c>
      <c r="T3194" t="s">
        <v>1235</v>
      </c>
      <c r="U3194">
        <v>170101</v>
      </c>
      <c r="V3194" t="s">
        <v>7702</v>
      </c>
      <c r="W3194" t="s">
        <v>7703</v>
      </c>
      <c r="X3194" t="s">
        <v>17889</v>
      </c>
      <c r="Y3194" t="s">
        <v>16351</v>
      </c>
      <c r="AA3194" t="s">
        <v>16352</v>
      </c>
      <c r="AE3194">
        <v>-37.331395960000002</v>
      </c>
      <c r="AF3194">
        <v>174.91479258000001</v>
      </c>
      <c r="AG3194">
        <v>40</v>
      </c>
      <c r="AH3194">
        <v>10</v>
      </c>
      <c r="AI3194">
        <v>1</v>
      </c>
      <c r="AJ3194">
        <v>7</v>
      </c>
      <c r="AK3194">
        <v>7</v>
      </c>
      <c r="AL3194">
        <v>9</v>
      </c>
      <c r="AM3194">
        <v>7</v>
      </c>
      <c r="AN3194">
        <v>1</v>
      </c>
      <c r="AO3194">
        <v>32</v>
      </c>
      <c r="AP3194">
        <v>28</v>
      </c>
      <c r="AQ3194">
        <v>13</v>
      </c>
      <c r="AR3194">
        <v>2</v>
      </c>
      <c r="AS3194">
        <v>0</v>
      </c>
      <c r="AT3194">
        <v>0</v>
      </c>
    </row>
    <row r="3195" spans="1:46">
      <c r="A3195">
        <v>48034</v>
      </c>
      <c r="B3195" t="s">
        <v>17890</v>
      </c>
      <c r="C3195" t="s">
        <v>17891</v>
      </c>
      <c r="E3195" t="s">
        <v>17892</v>
      </c>
      <c r="F3195" t="s">
        <v>737</v>
      </c>
      <c r="G3195" t="s">
        <v>652</v>
      </c>
      <c r="H3195" t="s">
        <v>3942</v>
      </c>
      <c r="J3195" t="s">
        <v>3962</v>
      </c>
      <c r="K3195" t="s">
        <v>519</v>
      </c>
      <c r="M3195" t="s">
        <v>520</v>
      </c>
      <c r="N3195" t="s">
        <v>571</v>
      </c>
      <c r="O3195" t="s">
        <v>738</v>
      </c>
      <c r="P3195" t="s">
        <v>654</v>
      </c>
      <c r="Q3195" t="s">
        <v>638</v>
      </c>
      <c r="R3195" t="s">
        <v>639</v>
      </c>
      <c r="S3195" t="s">
        <v>756</v>
      </c>
      <c r="T3195" t="s">
        <v>527</v>
      </c>
      <c r="U3195">
        <v>124000</v>
      </c>
      <c r="V3195" t="s">
        <v>981</v>
      </c>
      <c r="W3195" t="s">
        <v>741</v>
      </c>
      <c r="X3195" t="s">
        <v>17893</v>
      </c>
      <c r="Y3195" t="s">
        <v>17894</v>
      </c>
      <c r="Z3195" t="s">
        <v>737</v>
      </c>
      <c r="AA3195" t="s">
        <v>6898</v>
      </c>
      <c r="AB3195" t="s">
        <v>17895</v>
      </c>
      <c r="AE3195">
        <v>-36.779459080000002</v>
      </c>
      <c r="AF3195">
        <v>174.72672575999999</v>
      </c>
      <c r="AG3195">
        <v>35</v>
      </c>
      <c r="AH3195">
        <v>7</v>
      </c>
      <c r="AI3195">
        <v>0</v>
      </c>
      <c r="AJ3195">
        <v>4</v>
      </c>
      <c r="AK3195">
        <v>5</v>
      </c>
      <c r="AL3195">
        <v>4</v>
      </c>
      <c r="AM3195">
        <v>9</v>
      </c>
      <c r="AN3195">
        <v>0</v>
      </c>
      <c r="AO3195">
        <v>22</v>
      </c>
      <c r="AP3195">
        <v>6</v>
      </c>
      <c r="AQ3195">
        <v>5</v>
      </c>
      <c r="AR3195">
        <v>2</v>
      </c>
      <c r="AS3195">
        <v>15</v>
      </c>
      <c r="AT3195">
        <v>1</v>
      </c>
    </row>
    <row r="3196" spans="1:46">
      <c r="A3196">
        <v>48035</v>
      </c>
      <c r="B3196" t="s">
        <v>17896</v>
      </c>
      <c r="C3196" t="s">
        <v>17897</v>
      </c>
      <c r="E3196" t="s">
        <v>17898</v>
      </c>
      <c r="F3196" t="s">
        <v>1035</v>
      </c>
      <c r="G3196" t="s">
        <v>652</v>
      </c>
      <c r="H3196" t="s">
        <v>3942</v>
      </c>
      <c r="J3196" t="s">
        <v>3962</v>
      </c>
      <c r="K3196" t="s">
        <v>519</v>
      </c>
      <c r="M3196" t="s">
        <v>520</v>
      </c>
      <c r="N3196" t="s">
        <v>539</v>
      </c>
      <c r="O3196" t="s">
        <v>728</v>
      </c>
      <c r="P3196" t="s">
        <v>654</v>
      </c>
      <c r="Q3196" t="s">
        <v>638</v>
      </c>
      <c r="R3196" t="s">
        <v>729</v>
      </c>
      <c r="S3196" t="s">
        <v>849</v>
      </c>
      <c r="T3196" t="s">
        <v>709</v>
      </c>
      <c r="U3196">
        <v>154801</v>
      </c>
      <c r="V3196" t="s">
        <v>14089</v>
      </c>
      <c r="W3196" t="s">
        <v>732</v>
      </c>
      <c r="X3196" t="s">
        <v>17899</v>
      </c>
      <c r="Y3196" t="s">
        <v>4773</v>
      </c>
      <c r="Z3196" t="s">
        <v>879</v>
      </c>
      <c r="AA3196" t="s">
        <v>4774</v>
      </c>
      <c r="AB3196" t="s">
        <v>17900</v>
      </c>
      <c r="AE3196">
        <v>-36.975718260000001</v>
      </c>
      <c r="AF3196">
        <v>174.84490887999999</v>
      </c>
      <c r="AG3196">
        <v>70</v>
      </c>
      <c r="AH3196">
        <v>14</v>
      </c>
      <c r="AI3196">
        <v>1</v>
      </c>
      <c r="AJ3196">
        <v>8</v>
      </c>
      <c r="AK3196">
        <v>10</v>
      </c>
      <c r="AL3196">
        <v>21</v>
      </c>
      <c r="AM3196">
        <v>21</v>
      </c>
      <c r="AN3196">
        <v>0</v>
      </c>
      <c r="AO3196">
        <v>61</v>
      </c>
      <c r="AP3196">
        <v>5</v>
      </c>
      <c r="AQ3196">
        <v>11</v>
      </c>
      <c r="AR3196">
        <v>39</v>
      </c>
      <c r="AS3196">
        <v>23</v>
      </c>
      <c r="AT3196">
        <v>0</v>
      </c>
    </row>
    <row r="3197" spans="1:46">
      <c r="A3197">
        <v>48036</v>
      </c>
      <c r="B3197" t="s">
        <v>17901</v>
      </c>
      <c r="E3197" t="s">
        <v>17902</v>
      </c>
      <c r="F3197" t="s">
        <v>2505</v>
      </c>
      <c r="G3197" t="s">
        <v>2427</v>
      </c>
      <c r="H3197" t="s">
        <v>3942</v>
      </c>
      <c r="J3197" t="s">
        <v>3962</v>
      </c>
      <c r="K3197" t="s">
        <v>519</v>
      </c>
      <c r="M3197" t="s">
        <v>2287</v>
      </c>
      <c r="N3197" t="s">
        <v>557</v>
      </c>
      <c r="O3197" t="s">
        <v>2428</v>
      </c>
      <c r="P3197" t="s">
        <v>654</v>
      </c>
      <c r="Q3197" t="s">
        <v>2319</v>
      </c>
      <c r="R3197" t="s">
        <v>2289</v>
      </c>
      <c r="S3197" t="s">
        <v>2373</v>
      </c>
      <c r="T3197" t="s">
        <v>2085</v>
      </c>
      <c r="U3197">
        <v>244600</v>
      </c>
      <c r="V3197" t="s">
        <v>2506</v>
      </c>
      <c r="W3197" t="s">
        <v>2468</v>
      </c>
      <c r="X3197" t="s">
        <v>17903</v>
      </c>
      <c r="Y3197" t="s">
        <v>4741</v>
      </c>
      <c r="Z3197" t="s">
        <v>2395</v>
      </c>
      <c r="AA3197" t="s">
        <v>4742</v>
      </c>
      <c r="AE3197">
        <v>-41.186184429999997</v>
      </c>
      <c r="AF3197">
        <v>174.95571189</v>
      </c>
      <c r="AG3197">
        <v>53</v>
      </c>
      <c r="AH3197">
        <v>15</v>
      </c>
      <c r="AI3197">
        <v>1</v>
      </c>
      <c r="AJ3197">
        <v>6</v>
      </c>
      <c r="AK3197">
        <v>12</v>
      </c>
      <c r="AL3197">
        <v>14</v>
      </c>
      <c r="AM3197">
        <v>11</v>
      </c>
      <c r="AN3197">
        <v>0</v>
      </c>
      <c r="AO3197">
        <v>44</v>
      </c>
      <c r="AP3197">
        <v>13</v>
      </c>
      <c r="AQ3197">
        <v>17</v>
      </c>
      <c r="AR3197">
        <v>12</v>
      </c>
      <c r="AS3197">
        <v>19</v>
      </c>
      <c r="AT3197">
        <v>1</v>
      </c>
    </row>
    <row r="3198" spans="1:46">
      <c r="A3198">
        <v>48039</v>
      </c>
      <c r="B3198" t="s">
        <v>17904</v>
      </c>
      <c r="C3198" t="s">
        <v>17905</v>
      </c>
      <c r="E3198" t="s">
        <v>14933</v>
      </c>
      <c r="G3198" t="s">
        <v>516</v>
      </c>
      <c r="H3198" t="s">
        <v>3942</v>
      </c>
      <c r="J3198" t="s">
        <v>3962</v>
      </c>
      <c r="K3198" t="s">
        <v>519</v>
      </c>
      <c r="M3198" t="s">
        <v>520</v>
      </c>
      <c r="N3198" t="s">
        <v>539</v>
      </c>
      <c r="O3198" t="s">
        <v>522</v>
      </c>
      <c r="P3198" t="s">
        <v>523</v>
      </c>
      <c r="Q3198" t="s">
        <v>524</v>
      </c>
      <c r="R3198" t="s">
        <v>525</v>
      </c>
      <c r="S3198" t="s">
        <v>526</v>
      </c>
      <c r="T3198" t="s">
        <v>527</v>
      </c>
      <c r="U3198">
        <v>100700</v>
      </c>
      <c r="V3198" t="s">
        <v>546</v>
      </c>
      <c r="W3198" t="s">
        <v>529</v>
      </c>
      <c r="X3198" t="s">
        <v>12311</v>
      </c>
      <c r="Y3198" t="s">
        <v>12309</v>
      </c>
      <c r="AA3198" t="s">
        <v>12312</v>
      </c>
      <c r="AB3198" t="s">
        <v>12313</v>
      </c>
      <c r="AE3198">
        <v>-35.112591160000001</v>
      </c>
      <c r="AF3198">
        <v>173.26660978999999</v>
      </c>
      <c r="AG3198">
        <v>50</v>
      </c>
      <c r="AH3198">
        <v>10</v>
      </c>
      <c r="AI3198">
        <v>3</v>
      </c>
      <c r="AJ3198">
        <v>6</v>
      </c>
      <c r="AK3198">
        <v>13</v>
      </c>
      <c r="AL3198">
        <v>10</v>
      </c>
      <c r="AM3198">
        <v>14</v>
      </c>
      <c r="AN3198">
        <v>0</v>
      </c>
      <c r="AO3198">
        <v>46</v>
      </c>
      <c r="AP3198">
        <v>33</v>
      </c>
      <c r="AQ3198">
        <v>34</v>
      </c>
      <c r="AR3198">
        <v>5</v>
      </c>
      <c r="AS3198">
        <v>2</v>
      </c>
      <c r="AT3198">
        <v>2</v>
      </c>
    </row>
    <row r="3199" spans="1:46">
      <c r="A3199">
        <v>48040</v>
      </c>
      <c r="B3199" t="s">
        <v>17906</v>
      </c>
      <c r="C3199" t="s">
        <v>17907</v>
      </c>
      <c r="E3199" t="s">
        <v>17908</v>
      </c>
      <c r="F3199" t="s">
        <v>3902</v>
      </c>
      <c r="G3199" t="s">
        <v>652</v>
      </c>
      <c r="H3199" t="s">
        <v>3942</v>
      </c>
      <c r="J3199" t="s">
        <v>3962</v>
      </c>
      <c r="K3199" t="s">
        <v>519</v>
      </c>
      <c r="M3199" t="s">
        <v>520</v>
      </c>
      <c r="N3199" t="s">
        <v>571</v>
      </c>
      <c r="O3199" t="s">
        <v>1168</v>
      </c>
      <c r="P3199" t="s">
        <v>654</v>
      </c>
      <c r="Q3199" t="s">
        <v>638</v>
      </c>
      <c r="R3199" t="s">
        <v>639</v>
      </c>
      <c r="S3199" t="s">
        <v>739</v>
      </c>
      <c r="T3199" t="s">
        <v>527</v>
      </c>
      <c r="U3199">
        <v>118900</v>
      </c>
      <c r="V3199" t="s">
        <v>3903</v>
      </c>
      <c r="W3199" t="s">
        <v>657</v>
      </c>
      <c r="X3199" t="s">
        <v>12735</v>
      </c>
      <c r="Y3199" t="s">
        <v>17909</v>
      </c>
      <c r="Z3199" t="s">
        <v>682</v>
      </c>
      <c r="AA3199" t="s">
        <v>17910</v>
      </c>
      <c r="AB3199" t="s">
        <v>12732</v>
      </c>
      <c r="AE3199">
        <v>-36.775569599999997</v>
      </c>
      <c r="AF3199">
        <v>174.67512578</v>
      </c>
      <c r="AG3199">
        <v>60</v>
      </c>
      <c r="AH3199">
        <v>18</v>
      </c>
      <c r="AI3199">
        <v>1</v>
      </c>
      <c r="AJ3199">
        <v>10</v>
      </c>
      <c r="AK3199">
        <v>14</v>
      </c>
      <c r="AL3199">
        <v>23</v>
      </c>
      <c r="AM3199">
        <v>16</v>
      </c>
      <c r="AN3199">
        <v>1</v>
      </c>
      <c r="AO3199">
        <v>65</v>
      </c>
      <c r="AP3199">
        <v>45</v>
      </c>
      <c r="AQ3199">
        <v>2</v>
      </c>
      <c r="AR3199">
        <v>0</v>
      </c>
      <c r="AS3199">
        <v>23</v>
      </c>
      <c r="AT3199">
        <v>2</v>
      </c>
    </row>
    <row r="3200" spans="1:46">
      <c r="A3200">
        <v>48041</v>
      </c>
      <c r="B3200" t="s">
        <v>17911</v>
      </c>
      <c r="C3200" t="s">
        <v>17912</v>
      </c>
      <c r="D3200" t="s">
        <v>17913</v>
      </c>
      <c r="E3200" t="s">
        <v>17914</v>
      </c>
      <c r="F3200" t="s">
        <v>5104</v>
      </c>
      <c r="G3200" t="s">
        <v>652</v>
      </c>
      <c r="H3200" t="s">
        <v>3942</v>
      </c>
      <c r="J3200" t="s">
        <v>3962</v>
      </c>
      <c r="K3200" t="s">
        <v>519</v>
      </c>
      <c r="M3200" t="s">
        <v>520</v>
      </c>
      <c r="N3200" t="s">
        <v>571</v>
      </c>
      <c r="O3200" t="s">
        <v>707</v>
      </c>
      <c r="P3200" t="s">
        <v>654</v>
      </c>
      <c r="Q3200" t="s">
        <v>638</v>
      </c>
      <c r="R3200" t="s">
        <v>729</v>
      </c>
      <c r="S3200" t="s">
        <v>778</v>
      </c>
      <c r="T3200" t="s">
        <v>709</v>
      </c>
      <c r="U3200">
        <v>157301</v>
      </c>
      <c r="V3200" t="s">
        <v>17915</v>
      </c>
      <c r="W3200" t="s">
        <v>711</v>
      </c>
      <c r="X3200" t="s">
        <v>17916</v>
      </c>
      <c r="Y3200" t="s">
        <v>17917</v>
      </c>
      <c r="Z3200" t="s">
        <v>821</v>
      </c>
      <c r="AA3200" t="s">
        <v>4069</v>
      </c>
      <c r="AB3200" t="s">
        <v>17912</v>
      </c>
      <c r="AE3200">
        <v>-36.964726220000003</v>
      </c>
      <c r="AF3200">
        <v>174.91270299999999</v>
      </c>
      <c r="AG3200">
        <v>63</v>
      </c>
      <c r="AH3200">
        <v>16</v>
      </c>
      <c r="AI3200">
        <v>2</v>
      </c>
      <c r="AJ3200">
        <v>10</v>
      </c>
      <c r="AK3200">
        <v>13</v>
      </c>
      <c r="AL3200">
        <v>18</v>
      </c>
      <c r="AM3200">
        <v>29</v>
      </c>
      <c r="AN3200">
        <v>2</v>
      </c>
      <c r="AO3200">
        <v>74</v>
      </c>
      <c r="AP3200">
        <v>6</v>
      </c>
      <c r="AQ3200">
        <v>5</v>
      </c>
      <c r="AR3200">
        <v>9</v>
      </c>
      <c r="AS3200">
        <v>63</v>
      </c>
      <c r="AT3200">
        <v>7</v>
      </c>
    </row>
    <row r="3201" spans="1:46">
      <c r="A3201">
        <v>48043</v>
      </c>
      <c r="B3201" t="s">
        <v>17918</v>
      </c>
      <c r="C3201" t="s">
        <v>8761</v>
      </c>
      <c r="E3201" t="s">
        <v>8763</v>
      </c>
      <c r="F3201" t="s">
        <v>1313</v>
      </c>
      <c r="G3201" t="s">
        <v>1296</v>
      </c>
      <c r="H3201" t="s">
        <v>4716</v>
      </c>
      <c r="J3201" t="s">
        <v>3962</v>
      </c>
      <c r="K3201" t="s">
        <v>519</v>
      </c>
      <c r="M3201" t="s">
        <v>2287</v>
      </c>
      <c r="N3201" t="s">
        <v>571</v>
      </c>
      <c r="O3201" t="s">
        <v>1298</v>
      </c>
      <c r="P3201" t="s">
        <v>654</v>
      </c>
      <c r="Q3201" t="s">
        <v>1299</v>
      </c>
      <c r="R3201" t="s">
        <v>2289</v>
      </c>
      <c r="S3201" t="s">
        <v>1312</v>
      </c>
      <c r="T3201" t="s">
        <v>1235</v>
      </c>
      <c r="U3201">
        <v>177300</v>
      </c>
      <c r="V3201" t="s">
        <v>1313</v>
      </c>
      <c r="W3201" t="s">
        <v>1314</v>
      </c>
      <c r="X3201" t="s">
        <v>10965</v>
      </c>
      <c r="Y3201" t="s">
        <v>8763</v>
      </c>
      <c r="Z3201" t="s">
        <v>1313</v>
      </c>
      <c r="AA3201" t="s">
        <v>8511</v>
      </c>
      <c r="AE3201">
        <v>-37.749390910000002</v>
      </c>
      <c r="AF3201">
        <v>175.27364802</v>
      </c>
      <c r="AG3201">
        <v>80</v>
      </c>
      <c r="AH3201">
        <v>80</v>
      </c>
      <c r="AI3201">
        <v>1</v>
      </c>
      <c r="AJ3201">
        <v>19</v>
      </c>
      <c r="AK3201">
        <v>20</v>
      </c>
      <c r="AL3201">
        <v>24</v>
      </c>
      <c r="AM3201">
        <v>17</v>
      </c>
      <c r="AN3201">
        <v>0</v>
      </c>
      <c r="AO3201">
        <v>81</v>
      </c>
      <c r="AP3201">
        <v>62</v>
      </c>
      <c r="AQ3201">
        <v>22</v>
      </c>
      <c r="AR3201">
        <v>11</v>
      </c>
      <c r="AS3201">
        <v>18</v>
      </c>
      <c r="AT3201">
        <v>1</v>
      </c>
    </row>
    <row r="3202" spans="1:46">
      <c r="A3202">
        <v>48044</v>
      </c>
      <c r="B3202" t="s">
        <v>17919</v>
      </c>
      <c r="C3202" t="s">
        <v>17920</v>
      </c>
      <c r="E3202" t="s">
        <v>17921</v>
      </c>
      <c r="F3202" t="s">
        <v>17922</v>
      </c>
      <c r="G3202" t="s">
        <v>1318</v>
      </c>
      <c r="H3202" t="s">
        <v>3942</v>
      </c>
      <c r="I3202" t="s">
        <v>3971</v>
      </c>
      <c r="J3202" t="s">
        <v>3962</v>
      </c>
      <c r="K3202" t="s">
        <v>519</v>
      </c>
      <c r="M3202" t="s">
        <v>1297</v>
      </c>
      <c r="N3202" t="s">
        <v>571</v>
      </c>
      <c r="O3202" t="s">
        <v>1319</v>
      </c>
      <c r="P3202" t="s">
        <v>572</v>
      </c>
      <c r="Q3202" t="s">
        <v>1299</v>
      </c>
      <c r="R3202" t="s">
        <v>1300</v>
      </c>
      <c r="S3202" t="s">
        <v>1300</v>
      </c>
      <c r="T3202" t="s">
        <v>1235</v>
      </c>
      <c r="U3202">
        <v>182500</v>
      </c>
      <c r="V3202" t="s">
        <v>17923</v>
      </c>
      <c r="W3202" t="s">
        <v>17924</v>
      </c>
      <c r="X3202" t="s">
        <v>17925</v>
      </c>
      <c r="Y3202" t="s">
        <v>17926</v>
      </c>
      <c r="AA3202" t="s">
        <v>17927</v>
      </c>
      <c r="AB3202" t="s">
        <v>17920</v>
      </c>
      <c r="AE3202">
        <v>-37.818297270000002</v>
      </c>
      <c r="AF3202">
        <v>175.50917909</v>
      </c>
      <c r="AG3202">
        <v>40</v>
      </c>
      <c r="AH3202">
        <v>0</v>
      </c>
      <c r="AI3202">
        <v>0</v>
      </c>
      <c r="AJ3202">
        <v>0</v>
      </c>
      <c r="AK3202">
        <v>5</v>
      </c>
      <c r="AL3202">
        <v>20</v>
      </c>
      <c r="AM3202">
        <v>20</v>
      </c>
      <c r="AN3202">
        <v>2</v>
      </c>
      <c r="AO3202">
        <v>47</v>
      </c>
      <c r="AP3202">
        <v>46</v>
      </c>
      <c r="AQ3202">
        <v>7</v>
      </c>
      <c r="AR3202">
        <v>0</v>
      </c>
      <c r="AS3202">
        <v>1</v>
      </c>
      <c r="AT3202">
        <v>0</v>
      </c>
    </row>
    <row r="3203" spans="1:46">
      <c r="A3203">
        <v>48045</v>
      </c>
      <c r="B3203" t="s">
        <v>17928</v>
      </c>
      <c r="C3203" t="s">
        <v>17929</v>
      </c>
      <c r="E3203" t="s">
        <v>17930</v>
      </c>
      <c r="F3203" t="s">
        <v>4181</v>
      </c>
      <c r="G3203" t="s">
        <v>652</v>
      </c>
      <c r="H3203" t="s">
        <v>3942</v>
      </c>
      <c r="J3203" t="s">
        <v>3962</v>
      </c>
      <c r="K3203" t="s">
        <v>519</v>
      </c>
      <c r="M3203" t="s">
        <v>520</v>
      </c>
      <c r="N3203" t="s">
        <v>571</v>
      </c>
      <c r="O3203" t="s">
        <v>1168</v>
      </c>
      <c r="P3203" t="s">
        <v>654</v>
      </c>
      <c r="Q3203" t="s">
        <v>638</v>
      </c>
      <c r="R3203" t="s">
        <v>639</v>
      </c>
      <c r="S3203" t="s">
        <v>655</v>
      </c>
      <c r="T3203" t="s">
        <v>527</v>
      </c>
      <c r="U3203">
        <v>117300</v>
      </c>
      <c r="V3203" t="s">
        <v>5703</v>
      </c>
      <c r="W3203" t="s">
        <v>657</v>
      </c>
      <c r="X3203" t="s">
        <v>17931</v>
      </c>
      <c r="Y3203" t="s">
        <v>17930</v>
      </c>
      <c r="Z3203" t="s">
        <v>4181</v>
      </c>
      <c r="AA3203" t="s">
        <v>4099</v>
      </c>
      <c r="AE3203">
        <v>-36.723614949999998</v>
      </c>
      <c r="AF3203">
        <v>174.70469284000001</v>
      </c>
      <c r="AG3203">
        <v>50</v>
      </c>
      <c r="AH3203">
        <v>15</v>
      </c>
      <c r="AI3203">
        <v>1</v>
      </c>
      <c r="AJ3203">
        <v>5</v>
      </c>
      <c r="AK3203">
        <v>7</v>
      </c>
      <c r="AL3203">
        <v>13</v>
      </c>
      <c r="AM3203">
        <v>10</v>
      </c>
      <c r="AN3203">
        <v>0</v>
      </c>
      <c r="AO3203">
        <v>36</v>
      </c>
      <c r="AP3203">
        <v>6</v>
      </c>
      <c r="AQ3203">
        <v>0</v>
      </c>
      <c r="AR3203">
        <v>0</v>
      </c>
      <c r="AS3203">
        <v>33</v>
      </c>
      <c r="AT3203">
        <v>0</v>
      </c>
    </row>
    <row r="3204" spans="1:46">
      <c r="A3204">
        <v>48046</v>
      </c>
      <c r="B3204" t="s">
        <v>17932</v>
      </c>
      <c r="C3204" t="s">
        <v>17933</v>
      </c>
      <c r="E3204" t="s">
        <v>11647</v>
      </c>
      <c r="G3204" t="s">
        <v>2197</v>
      </c>
      <c r="H3204" t="s">
        <v>4716</v>
      </c>
      <c r="J3204" t="s">
        <v>3962</v>
      </c>
      <c r="K3204" t="s">
        <v>519</v>
      </c>
      <c r="M3204" t="s">
        <v>1297</v>
      </c>
      <c r="N3204" t="s">
        <v>571</v>
      </c>
      <c r="O3204" t="s">
        <v>2198</v>
      </c>
      <c r="P3204" t="s">
        <v>584</v>
      </c>
      <c r="Q3204" t="s">
        <v>2118</v>
      </c>
      <c r="R3204" t="s">
        <v>1472</v>
      </c>
      <c r="S3204" t="s">
        <v>2199</v>
      </c>
      <c r="T3204" t="s">
        <v>2085</v>
      </c>
      <c r="U3204">
        <v>210500</v>
      </c>
      <c r="V3204" t="s">
        <v>11648</v>
      </c>
      <c r="W3204" t="s">
        <v>2200</v>
      </c>
      <c r="X3204" t="s">
        <v>17934</v>
      </c>
      <c r="Y3204" t="s">
        <v>11647</v>
      </c>
      <c r="AA3204" t="s">
        <v>11650</v>
      </c>
      <c r="AB3204" t="s">
        <v>17935</v>
      </c>
      <c r="AC3204">
        <v>99064</v>
      </c>
      <c r="AD3204" t="s">
        <v>1702</v>
      </c>
      <c r="AE3204">
        <v>-39.641745919999998</v>
      </c>
      <c r="AF3204">
        <v>176.84603200999999</v>
      </c>
      <c r="AG3204">
        <v>80</v>
      </c>
      <c r="AH3204">
        <v>80</v>
      </c>
      <c r="AI3204">
        <v>2</v>
      </c>
      <c r="AJ3204">
        <v>6</v>
      </c>
      <c r="AK3204">
        <v>12</v>
      </c>
      <c r="AL3204">
        <v>9</v>
      </c>
      <c r="AM3204">
        <v>4</v>
      </c>
      <c r="AN3204">
        <v>1</v>
      </c>
      <c r="AO3204">
        <v>34</v>
      </c>
      <c r="AP3204">
        <v>30</v>
      </c>
      <c r="AQ3204">
        <v>2</v>
      </c>
      <c r="AR3204">
        <v>3</v>
      </c>
      <c r="AS3204">
        <v>0</v>
      </c>
      <c r="AT3204">
        <v>0</v>
      </c>
    </row>
    <row r="3205" spans="1:46">
      <c r="A3205">
        <v>48049</v>
      </c>
      <c r="B3205" t="s">
        <v>17936</v>
      </c>
      <c r="C3205" t="s">
        <v>17937</v>
      </c>
      <c r="E3205" t="s">
        <v>17938</v>
      </c>
      <c r="F3205" t="s">
        <v>2351</v>
      </c>
      <c r="G3205" t="s">
        <v>2317</v>
      </c>
      <c r="H3205" t="s">
        <v>3942</v>
      </c>
      <c r="J3205" t="s">
        <v>3962</v>
      </c>
      <c r="K3205" t="s">
        <v>519</v>
      </c>
      <c r="M3205" t="s">
        <v>2287</v>
      </c>
      <c r="N3205" t="s">
        <v>557</v>
      </c>
      <c r="O3205" t="s">
        <v>2318</v>
      </c>
      <c r="P3205" t="s">
        <v>1262</v>
      </c>
      <c r="Q3205" t="s">
        <v>2319</v>
      </c>
      <c r="R3205" t="s">
        <v>2289</v>
      </c>
      <c r="S3205" t="s">
        <v>2269</v>
      </c>
      <c r="T3205" t="s">
        <v>2085</v>
      </c>
      <c r="U3205">
        <v>256200</v>
      </c>
      <c r="V3205" t="s">
        <v>2341</v>
      </c>
      <c r="W3205" t="s">
        <v>2321</v>
      </c>
      <c r="X3205" t="s">
        <v>17939</v>
      </c>
      <c r="Y3205" t="s">
        <v>17938</v>
      </c>
      <c r="Z3205" t="s">
        <v>2351</v>
      </c>
      <c r="AA3205" t="s">
        <v>11932</v>
      </c>
      <c r="AE3205">
        <v>-40.96253961</v>
      </c>
      <c r="AF3205">
        <v>175.6395388</v>
      </c>
      <c r="AG3205">
        <v>20</v>
      </c>
      <c r="AH3205">
        <v>16</v>
      </c>
      <c r="AI3205">
        <v>3</v>
      </c>
      <c r="AJ3205">
        <v>10</v>
      </c>
      <c r="AK3205">
        <v>13</v>
      </c>
      <c r="AL3205">
        <v>0</v>
      </c>
      <c r="AM3205">
        <v>0</v>
      </c>
      <c r="AN3205">
        <v>0</v>
      </c>
      <c r="AO3205">
        <v>26</v>
      </c>
      <c r="AP3205">
        <v>17</v>
      </c>
      <c r="AQ3205">
        <v>16</v>
      </c>
      <c r="AR3205">
        <v>5</v>
      </c>
      <c r="AS3205">
        <v>2</v>
      </c>
      <c r="AT3205">
        <v>2</v>
      </c>
    </row>
    <row r="3206" spans="1:46">
      <c r="A3206">
        <v>48055</v>
      </c>
      <c r="B3206" t="s">
        <v>17940</v>
      </c>
      <c r="C3206" t="s">
        <v>17941</v>
      </c>
      <c r="E3206" t="s">
        <v>17942</v>
      </c>
      <c r="F3206" t="s">
        <v>681</v>
      </c>
      <c r="G3206" t="s">
        <v>652</v>
      </c>
      <c r="H3206" t="s">
        <v>3942</v>
      </c>
      <c r="J3206" t="s">
        <v>3962</v>
      </c>
      <c r="K3206" t="s">
        <v>519</v>
      </c>
      <c r="M3206" t="s">
        <v>520</v>
      </c>
      <c r="N3206" t="s">
        <v>571</v>
      </c>
      <c r="O3206" t="s">
        <v>653</v>
      </c>
      <c r="P3206" t="s">
        <v>654</v>
      </c>
      <c r="Q3206" t="s">
        <v>638</v>
      </c>
      <c r="R3206" t="s">
        <v>639</v>
      </c>
      <c r="S3206" t="s">
        <v>682</v>
      </c>
      <c r="T3206" t="s">
        <v>527</v>
      </c>
      <c r="U3206">
        <v>120800</v>
      </c>
      <c r="V3206" t="s">
        <v>17943</v>
      </c>
      <c r="W3206" t="s">
        <v>657</v>
      </c>
      <c r="X3206" t="s">
        <v>17944</v>
      </c>
      <c r="Y3206" t="s">
        <v>17945</v>
      </c>
      <c r="Z3206" t="s">
        <v>11745</v>
      </c>
      <c r="AA3206" t="s">
        <v>4537</v>
      </c>
      <c r="AE3206">
        <v>-36.739723580000003</v>
      </c>
      <c r="AF3206">
        <v>174.75448152999999</v>
      </c>
      <c r="AG3206">
        <v>100</v>
      </c>
      <c r="AH3206">
        <v>22</v>
      </c>
      <c r="AI3206">
        <v>2</v>
      </c>
      <c r="AJ3206">
        <v>17</v>
      </c>
      <c r="AK3206">
        <v>31</v>
      </c>
      <c r="AL3206">
        <v>17</v>
      </c>
      <c r="AM3206">
        <v>24</v>
      </c>
      <c r="AN3206">
        <v>2</v>
      </c>
      <c r="AO3206">
        <v>93</v>
      </c>
      <c r="AP3206">
        <v>52</v>
      </c>
      <c r="AQ3206">
        <v>4</v>
      </c>
      <c r="AR3206">
        <v>1</v>
      </c>
      <c r="AS3206">
        <v>33</v>
      </c>
      <c r="AT3206">
        <v>11</v>
      </c>
    </row>
    <row r="3207" spans="1:46">
      <c r="A3207">
        <v>48056</v>
      </c>
      <c r="B3207" t="s">
        <v>17946</v>
      </c>
      <c r="C3207" t="s">
        <v>17947</v>
      </c>
      <c r="E3207" t="s">
        <v>17948</v>
      </c>
      <c r="G3207" t="s">
        <v>1974</v>
      </c>
      <c r="H3207" t="s">
        <v>3942</v>
      </c>
      <c r="J3207" t="s">
        <v>518</v>
      </c>
      <c r="K3207" t="s">
        <v>519</v>
      </c>
      <c r="M3207" t="s">
        <v>1297</v>
      </c>
      <c r="N3207" t="s">
        <v>557</v>
      </c>
      <c r="O3207" t="s">
        <v>1956</v>
      </c>
      <c r="P3207" t="s">
        <v>584</v>
      </c>
      <c r="Q3207" t="s">
        <v>1636</v>
      </c>
      <c r="R3207" t="s">
        <v>1760</v>
      </c>
      <c r="S3207" t="s">
        <v>1974</v>
      </c>
      <c r="T3207" t="s">
        <v>1485</v>
      </c>
      <c r="U3207">
        <v>230600</v>
      </c>
      <c r="V3207" t="s">
        <v>1975</v>
      </c>
      <c r="W3207" t="s">
        <v>1957</v>
      </c>
      <c r="X3207" t="s">
        <v>17949</v>
      </c>
      <c r="Y3207" t="s">
        <v>17950</v>
      </c>
      <c r="AA3207" t="s">
        <v>1960</v>
      </c>
      <c r="AB3207" t="s">
        <v>17951</v>
      </c>
      <c r="AC3207">
        <v>99164</v>
      </c>
      <c r="AD3207" t="s">
        <v>17952</v>
      </c>
      <c r="AE3207">
        <v>-40.360465060000003</v>
      </c>
      <c r="AF3207">
        <v>175.60832951</v>
      </c>
      <c r="AG3207">
        <v>54</v>
      </c>
      <c r="AH3207">
        <v>14</v>
      </c>
      <c r="AI3207">
        <v>1</v>
      </c>
      <c r="AJ3207">
        <v>6</v>
      </c>
      <c r="AK3207">
        <v>12</v>
      </c>
      <c r="AL3207">
        <v>10</v>
      </c>
      <c r="AM3207">
        <v>9</v>
      </c>
      <c r="AN3207">
        <v>0</v>
      </c>
      <c r="AO3207">
        <v>38</v>
      </c>
      <c r="AP3207">
        <v>23</v>
      </c>
      <c r="AQ3207">
        <v>4</v>
      </c>
      <c r="AR3207">
        <v>6</v>
      </c>
      <c r="AS3207">
        <v>11</v>
      </c>
      <c r="AT3207">
        <v>4</v>
      </c>
    </row>
    <row r="3208" spans="1:46">
      <c r="A3208">
        <v>48057</v>
      </c>
      <c r="B3208" t="s">
        <v>17953</v>
      </c>
      <c r="C3208" t="s">
        <v>17954</v>
      </c>
      <c r="E3208" t="s">
        <v>17955</v>
      </c>
      <c r="F3208" t="s">
        <v>1114</v>
      </c>
      <c r="G3208" t="s">
        <v>652</v>
      </c>
      <c r="H3208" t="s">
        <v>3942</v>
      </c>
      <c r="J3208" t="s">
        <v>3962</v>
      </c>
      <c r="K3208" t="s">
        <v>519</v>
      </c>
      <c r="M3208" t="s">
        <v>520</v>
      </c>
      <c r="N3208" t="s">
        <v>571</v>
      </c>
      <c r="O3208" t="s">
        <v>813</v>
      </c>
      <c r="P3208" t="s">
        <v>654</v>
      </c>
      <c r="Q3208" t="s">
        <v>638</v>
      </c>
      <c r="R3208" t="s">
        <v>639</v>
      </c>
      <c r="S3208" t="s">
        <v>899</v>
      </c>
      <c r="T3208" t="s">
        <v>527</v>
      </c>
      <c r="U3208">
        <v>122001</v>
      </c>
      <c r="V3208" t="s">
        <v>3970</v>
      </c>
      <c r="W3208" t="s">
        <v>815</v>
      </c>
      <c r="X3208" t="s">
        <v>17956</v>
      </c>
      <c r="Y3208" t="s">
        <v>17957</v>
      </c>
      <c r="Z3208" t="s">
        <v>898</v>
      </c>
      <c r="AA3208" t="s">
        <v>3964</v>
      </c>
      <c r="AB3208" t="s">
        <v>17954</v>
      </c>
      <c r="AE3208">
        <v>-36.854177579999998</v>
      </c>
      <c r="AF3208">
        <v>174.60107765999999</v>
      </c>
      <c r="AG3208">
        <v>40</v>
      </c>
      <c r="AH3208">
        <v>10</v>
      </c>
      <c r="AI3208">
        <v>1</v>
      </c>
      <c r="AJ3208">
        <v>2</v>
      </c>
      <c r="AK3208">
        <v>12</v>
      </c>
      <c r="AL3208">
        <v>4</v>
      </c>
      <c r="AM3208">
        <v>3</v>
      </c>
      <c r="AN3208">
        <v>0</v>
      </c>
      <c r="AO3208">
        <v>22</v>
      </c>
      <c r="AP3208">
        <v>17</v>
      </c>
      <c r="AQ3208">
        <v>5</v>
      </c>
      <c r="AR3208">
        <v>4</v>
      </c>
      <c r="AS3208">
        <v>7</v>
      </c>
      <c r="AT3208">
        <v>0</v>
      </c>
    </row>
    <row r="3209" spans="1:46">
      <c r="A3209">
        <v>48058</v>
      </c>
      <c r="B3209" t="s">
        <v>17958</v>
      </c>
      <c r="C3209" t="s">
        <v>17959</v>
      </c>
      <c r="E3209" t="s">
        <v>17960</v>
      </c>
      <c r="F3209" t="s">
        <v>3987</v>
      </c>
      <c r="G3209" t="s">
        <v>652</v>
      </c>
      <c r="H3209" t="s">
        <v>3942</v>
      </c>
      <c r="J3209" t="s">
        <v>3962</v>
      </c>
      <c r="K3209" t="s">
        <v>519</v>
      </c>
      <c r="M3209" t="s">
        <v>520</v>
      </c>
      <c r="N3209" t="s">
        <v>571</v>
      </c>
      <c r="O3209" t="s">
        <v>1233</v>
      </c>
      <c r="P3209" t="s">
        <v>1262</v>
      </c>
      <c r="Q3209" t="s">
        <v>638</v>
      </c>
      <c r="R3209" t="s">
        <v>729</v>
      </c>
      <c r="S3209" t="s">
        <v>1246</v>
      </c>
      <c r="T3209" t="s">
        <v>1235</v>
      </c>
      <c r="U3209">
        <v>165301</v>
      </c>
      <c r="V3209" t="s">
        <v>7621</v>
      </c>
      <c r="W3209" t="s">
        <v>1237</v>
      </c>
      <c r="X3209" t="s">
        <v>17961</v>
      </c>
      <c r="Y3209" t="s">
        <v>17960</v>
      </c>
      <c r="AA3209" t="s">
        <v>4537</v>
      </c>
      <c r="AB3209" t="s">
        <v>17959</v>
      </c>
      <c r="AE3209">
        <v>-37.195102030000001</v>
      </c>
      <c r="AF3209">
        <v>174.90182637999999</v>
      </c>
      <c r="AG3209">
        <v>30</v>
      </c>
      <c r="AH3209">
        <v>0</v>
      </c>
      <c r="AI3209">
        <v>0</v>
      </c>
      <c r="AJ3209">
        <v>0</v>
      </c>
      <c r="AK3209">
        <v>0</v>
      </c>
      <c r="AL3209">
        <v>7</v>
      </c>
      <c r="AM3209">
        <v>5</v>
      </c>
      <c r="AN3209">
        <v>0</v>
      </c>
      <c r="AO3209">
        <v>12</v>
      </c>
      <c r="AP3209">
        <v>3</v>
      </c>
      <c r="AQ3209">
        <v>2</v>
      </c>
      <c r="AR3209">
        <v>3</v>
      </c>
      <c r="AS3209">
        <v>6</v>
      </c>
      <c r="AT3209">
        <v>2</v>
      </c>
    </row>
    <row r="3210" spans="1:46">
      <c r="A3210">
        <v>48059</v>
      </c>
      <c r="B3210" t="s">
        <v>17962</v>
      </c>
      <c r="C3210" t="s">
        <v>17963</v>
      </c>
      <c r="E3210" t="s">
        <v>17964</v>
      </c>
      <c r="G3210" t="s">
        <v>17965</v>
      </c>
      <c r="H3210" t="s">
        <v>517</v>
      </c>
      <c r="J3210" t="s">
        <v>518</v>
      </c>
      <c r="K3210" t="s">
        <v>519</v>
      </c>
      <c r="M3210" t="s">
        <v>2287</v>
      </c>
      <c r="N3210" t="s">
        <v>571</v>
      </c>
      <c r="O3210" t="s">
        <v>3527</v>
      </c>
      <c r="P3210" t="s">
        <v>540</v>
      </c>
      <c r="Q3210" t="s">
        <v>3497</v>
      </c>
      <c r="R3210" t="s">
        <v>3338</v>
      </c>
      <c r="S3210" t="s">
        <v>3361</v>
      </c>
      <c r="T3210" t="s">
        <v>2448</v>
      </c>
      <c r="U3210">
        <v>358200</v>
      </c>
      <c r="V3210" t="s">
        <v>17966</v>
      </c>
      <c r="W3210" t="s">
        <v>3529</v>
      </c>
      <c r="X3210" t="s">
        <v>3499</v>
      </c>
      <c r="Y3210" t="s">
        <v>3500</v>
      </c>
      <c r="Z3210" t="s">
        <v>3498</v>
      </c>
      <c r="AA3210" t="s">
        <v>3501</v>
      </c>
      <c r="AB3210" t="s">
        <v>3502</v>
      </c>
      <c r="AE3210">
        <v>-45.742121509999997</v>
      </c>
      <c r="AF3210">
        <v>168.44340321000001</v>
      </c>
      <c r="AG3210">
        <v>30</v>
      </c>
      <c r="AH3210">
        <v>0</v>
      </c>
      <c r="AI3210">
        <v>0</v>
      </c>
      <c r="AJ3210">
        <v>0</v>
      </c>
      <c r="AK3210">
        <v>4</v>
      </c>
      <c r="AL3210">
        <v>15</v>
      </c>
      <c r="AM3210">
        <v>11</v>
      </c>
      <c r="AN3210">
        <v>0</v>
      </c>
      <c r="AO3210">
        <v>30</v>
      </c>
      <c r="AP3210">
        <v>20</v>
      </c>
      <c r="AQ3210">
        <v>6</v>
      </c>
      <c r="AR3210">
        <v>0</v>
      </c>
      <c r="AS3210">
        <v>6</v>
      </c>
      <c r="AT3210">
        <v>2</v>
      </c>
    </row>
    <row r="3211" spans="1:46">
      <c r="A3211">
        <v>48060</v>
      </c>
      <c r="B3211" t="s">
        <v>17967</v>
      </c>
      <c r="C3211" t="s">
        <v>17968</v>
      </c>
      <c r="E3211" t="s">
        <v>17969</v>
      </c>
      <c r="F3211" t="s">
        <v>756</v>
      </c>
      <c r="G3211" t="s">
        <v>652</v>
      </c>
      <c r="H3211" t="s">
        <v>3942</v>
      </c>
      <c r="J3211" t="s">
        <v>518</v>
      </c>
      <c r="K3211" t="s">
        <v>519</v>
      </c>
      <c r="M3211" t="s">
        <v>520</v>
      </c>
      <c r="N3211" t="s">
        <v>571</v>
      </c>
      <c r="O3211" t="s">
        <v>738</v>
      </c>
      <c r="P3211" t="s">
        <v>654</v>
      </c>
      <c r="Q3211" t="s">
        <v>638</v>
      </c>
      <c r="R3211" t="s">
        <v>639</v>
      </c>
      <c r="S3211" t="s">
        <v>756</v>
      </c>
      <c r="T3211" t="s">
        <v>527</v>
      </c>
      <c r="U3211">
        <v>127200</v>
      </c>
      <c r="V3211" t="s">
        <v>5695</v>
      </c>
      <c r="W3211" t="s">
        <v>741</v>
      </c>
      <c r="X3211" t="s">
        <v>17970</v>
      </c>
      <c r="Y3211" t="s">
        <v>17969</v>
      </c>
      <c r="Z3211" t="s">
        <v>756</v>
      </c>
      <c r="AA3211" t="s">
        <v>5899</v>
      </c>
      <c r="AE3211">
        <v>-36.799984389999999</v>
      </c>
      <c r="AF3211">
        <v>174.75735280000001</v>
      </c>
      <c r="AG3211">
        <v>90</v>
      </c>
      <c r="AH3211">
        <v>20</v>
      </c>
      <c r="AI3211">
        <v>5</v>
      </c>
      <c r="AJ3211">
        <v>17</v>
      </c>
      <c r="AK3211">
        <v>16</v>
      </c>
      <c r="AL3211">
        <v>9</v>
      </c>
      <c r="AM3211">
        <v>8</v>
      </c>
      <c r="AN3211">
        <v>0</v>
      </c>
      <c r="AO3211">
        <v>55</v>
      </c>
      <c r="AP3211">
        <v>34</v>
      </c>
      <c r="AQ3211">
        <v>4</v>
      </c>
      <c r="AR3211">
        <v>6</v>
      </c>
      <c r="AS3211">
        <v>24</v>
      </c>
      <c r="AT3211">
        <v>1</v>
      </c>
    </row>
    <row r="3212" spans="1:46">
      <c r="A3212">
        <v>48062</v>
      </c>
      <c r="B3212" t="s">
        <v>17971</v>
      </c>
      <c r="E3212" t="s">
        <v>11647</v>
      </c>
      <c r="G3212" t="s">
        <v>2197</v>
      </c>
      <c r="H3212" t="s">
        <v>4716</v>
      </c>
      <c r="J3212" t="s">
        <v>3962</v>
      </c>
      <c r="K3212" t="s">
        <v>519</v>
      </c>
      <c r="M3212" t="s">
        <v>2287</v>
      </c>
      <c r="N3212" t="s">
        <v>571</v>
      </c>
      <c r="O3212" t="s">
        <v>2198</v>
      </c>
      <c r="P3212" t="s">
        <v>584</v>
      </c>
      <c r="Q3212" t="s">
        <v>2118</v>
      </c>
      <c r="R3212" t="s">
        <v>3338</v>
      </c>
      <c r="S3212" t="s">
        <v>2199</v>
      </c>
      <c r="T3212" t="s">
        <v>2085</v>
      </c>
      <c r="U3212">
        <v>210500</v>
      </c>
      <c r="V3212" t="s">
        <v>11648</v>
      </c>
      <c r="W3212" t="s">
        <v>2200</v>
      </c>
      <c r="X3212" t="s">
        <v>17972</v>
      </c>
      <c r="Y3212" t="s">
        <v>11647</v>
      </c>
      <c r="AA3212" t="s">
        <v>11650</v>
      </c>
      <c r="AE3212">
        <v>-39.641745919999998</v>
      </c>
      <c r="AF3212">
        <v>176.84603200999999</v>
      </c>
      <c r="AG3212">
        <v>80</v>
      </c>
      <c r="AH3212">
        <v>80</v>
      </c>
      <c r="AI3212">
        <v>6</v>
      </c>
      <c r="AJ3212">
        <v>17</v>
      </c>
      <c r="AK3212">
        <v>14</v>
      </c>
      <c r="AL3212">
        <v>10</v>
      </c>
      <c r="AM3212">
        <v>7</v>
      </c>
      <c r="AN3212">
        <v>1</v>
      </c>
      <c r="AO3212">
        <v>55</v>
      </c>
      <c r="AP3212">
        <v>53</v>
      </c>
      <c r="AQ3212">
        <v>10</v>
      </c>
      <c r="AR3212">
        <v>1</v>
      </c>
      <c r="AS3212">
        <v>2</v>
      </c>
      <c r="AT3212">
        <v>1</v>
      </c>
    </row>
    <row r="3213" spans="1:46">
      <c r="A3213">
        <v>48063</v>
      </c>
      <c r="B3213" t="s">
        <v>17973</v>
      </c>
      <c r="C3213" t="s">
        <v>1223</v>
      </c>
      <c r="E3213" t="s">
        <v>17974</v>
      </c>
      <c r="F3213" t="s">
        <v>1234</v>
      </c>
      <c r="G3213" t="s">
        <v>652</v>
      </c>
      <c r="H3213" t="s">
        <v>517</v>
      </c>
      <c r="J3213" t="s">
        <v>518</v>
      </c>
      <c r="K3213" t="s">
        <v>519</v>
      </c>
      <c r="M3213" t="s">
        <v>520</v>
      </c>
      <c r="N3213" t="s">
        <v>521</v>
      </c>
      <c r="O3213" t="s">
        <v>1268</v>
      </c>
      <c r="P3213" t="s">
        <v>654</v>
      </c>
      <c r="Q3213" t="s">
        <v>638</v>
      </c>
      <c r="R3213" t="s">
        <v>729</v>
      </c>
      <c r="S3213" t="s">
        <v>1234</v>
      </c>
      <c r="T3213" t="s">
        <v>1235</v>
      </c>
      <c r="U3213">
        <v>163502</v>
      </c>
      <c r="V3213" t="s">
        <v>7498</v>
      </c>
      <c r="W3213" t="s">
        <v>1219</v>
      </c>
      <c r="X3213" t="s">
        <v>1220</v>
      </c>
      <c r="Y3213" t="s">
        <v>1221</v>
      </c>
      <c r="Z3213" t="s">
        <v>1217</v>
      </c>
      <c r="AA3213" t="s">
        <v>1222</v>
      </c>
      <c r="AB3213" t="s">
        <v>1223</v>
      </c>
      <c r="AE3213">
        <v>-37.065806770000002</v>
      </c>
      <c r="AF3213">
        <v>174.96179642000001</v>
      </c>
      <c r="AG3213">
        <v>45</v>
      </c>
      <c r="AH3213">
        <v>5</v>
      </c>
      <c r="AI3213">
        <v>0</v>
      </c>
      <c r="AJ3213">
        <v>4</v>
      </c>
      <c r="AK3213">
        <v>6</v>
      </c>
      <c r="AL3213">
        <v>14</v>
      </c>
      <c r="AM3213">
        <v>22</v>
      </c>
      <c r="AN3213">
        <v>7</v>
      </c>
      <c r="AO3213">
        <v>53</v>
      </c>
      <c r="AP3213">
        <v>13</v>
      </c>
      <c r="AQ3213">
        <v>27</v>
      </c>
      <c r="AR3213">
        <v>22</v>
      </c>
      <c r="AS3213">
        <v>19</v>
      </c>
      <c r="AT3213">
        <v>2</v>
      </c>
    </row>
    <row r="3214" spans="1:46">
      <c r="A3214">
        <v>48064</v>
      </c>
      <c r="B3214" t="s">
        <v>17975</v>
      </c>
      <c r="E3214" t="s">
        <v>17976</v>
      </c>
      <c r="G3214" t="s">
        <v>17977</v>
      </c>
      <c r="H3214" t="s">
        <v>3942</v>
      </c>
      <c r="J3214" t="s">
        <v>518</v>
      </c>
      <c r="K3214" t="s">
        <v>519</v>
      </c>
      <c r="M3214" t="s">
        <v>2287</v>
      </c>
      <c r="N3214" t="s">
        <v>8995</v>
      </c>
      <c r="O3214" t="s">
        <v>3481</v>
      </c>
      <c r="P3214" t="s">
        <v>540</v>
      </c>
      <c r="Q3214" t="s">
        <v>3337</v>
      </c>
      <c r="R3214" t="s">
        <v>3338</v>
      </c>
      <c r="S3214" t="s">
        <v>3361</v>
      </c>
      <c r="T3214" t="s">
        <v>2448</v>
      </c>
      <c r="U3214">
        <v>356300</v>
      </c>
      <c r="V3214" t="s">
        <v>17978</v>
      </c>
      <c r="W3214" t="s">
        <v>17979</v>
      </c>
      <c r="X3214" t="s">
        <v>17980</v>
      </c>
      <c r="Y3214" t="s">
        <v>17981</v>
      </c>
      <c r="AA3214" t="s">
        <v>17982</v>
      </c>
      <c r="AB3214" t="s">
        <v>17983</v>
      </c>
      <c r="AE3214">
        <v>-46.451937020000003</v>
      </c>
      <c r="AF3214">
        <v>169.66103860000001</v>
      </c>
      <c r="AG3214">
        <v>28</v>
      </c>
      <c r="AH3214">
        <v>7</v>
      </c>
      <c r="AI3214">
        <v>0</v>
      </c>
      <c r="AJ3214">
        <v>6</v>
      </c>
      <c r="AK3214">
        <v>7</v>
      </c>
      <c r="AL3214">
        <v>10</v>
      </c>
      <c r="AM3214">
        <v>13</v>
      </c>
      <c r="AN3214">
        <v>0</v>
      </c>
      <c r="AO3214">
        <v>36</v>
      </c>
      <c r="AP3214">
        <v>34</v>
      </c>
      <c r="AQ3214">
        <v>14</v>
      </c>
      <c r="AR3214">
        <v>2</v>
      </c>
      <c r="AS3214">
        <v>0</v>
      </c>
      <c r="AT3214">
        <v>0</v>
      </c>
    </row>
    <row r="3215" spans="1:46">
      <c r="A3215">
        <v>48065</v>
      </c>
      <c r="B3215" t="s">
        <v>17984</v>
      </c>
      <c r="C3215" t="s">
        <v>17985</v>
      </c>
      <c r="E3215" t="s">
        <v>17986</v>
      </c>
      <c r="F3215" t="s">
        <v>898</v>
      </c>
      <c r="G3215" t="s">
        <v>652</v>
      </c>
      <c r="H3215" t="s">
        <v>3942</v>
      </c>
      <c r="J3215" t="s">
        <v>3962</v>
      </c>
      <c r="K3215" t="s">
        <v>519</v>
      </c>
      <c r="M3215" t="s">
        <v>520</v>
      </c>
      <c r="N3215" t="s">
        <v>539</v>
      </c>
      <c r="O3215" t="s">
        <v>813</v>
      </c>
      <c r="P3215" t="s">
        <v>654</v>
      </c>
      <c r="Q3215" t="s">
        <v>638</v>
      </c>
      <c r="R3215" t="s">
        <v>639</v>
      </c>
      <c r="S3215" t="s">
        <v>899</v>
      </c>
      <c r="T3215" t="s">
        <v>527</v>
      </c>
      <c r="U3215">
        <v>124301</v>
      </c>
      <c r="V3215" t="s">
        <v>5932</v>
      </c>
      <c r="W3215" t="s">
        <v>815</v>
      </c>
      <c r="X3215" t="s">
        <v>17987</v>
      </c>
      <c r="Y3215" t="s">
        <v>17988</v>
      </c>
      <c r="AA3215" t="s">
        <v>15051</v>
      </c>
      <c r="AB3215" t="s">
        <v>17989</v>
      </c>
      <c r="AE3215">
        <v>-36.862369999999999</v>
      </c>
      <c r="AF3215">
        <v>174.62137999999999</v>
      </c>
      <c r="AG3215">
        <v>35</v>
      </c>
      <c r="AH3215">
        <v>5</v>
      </c>
      <c r="AI3215">
        <v>0</v>
      </c>
      <c r="AJ3215">
        <v>2</v>
      </c>
      <c r="AK3215">
        <v>3</v>
      </c>
      <c r="AL3215">
        <v>2</v>
      </c>
      <c r="AM3215">
        <v>7</v>
      </c>
      <c r="AN3215">
        <v>0</v>
      </c>
      <c r="AO3215">
        <v>14</v>
      </c>
      <c r="AP3215">
        <v>2</v>
      </c>
      <c r="AQ3215">
        <v>0</v>
      </c>
      <c r="AR3215">
        <v>11</v>
      </c>
      <c r="AS3215">
        <v>3</v>
      </c>
      <c r="AT3215">
        <v>0</v>
      </c>
    </row>
    <row r="3216" spans="1:46">
      <c r="A3216">
        <v>48066</v>
      </c>
      <c r="B3216" t="s">
        <v>17990</v>
      </c>
      <c r="C3216" t="s">
        <v>17991</v>
      </c>
      <c r="E3216" t="s">
        <v>17992</v>
      </c>
      <c r="F3216" t="s">
        <v>913</v>
      </c>
      <c r="G3216" t="s">
        <v>652</v>
      </c>
      <c r="H3216" t="s">
        <v>3942</v>
      </c>
      <c r="J3216" t="s">
        <v>3962</v>
      </c>
      <c r="K3216" t="s">
        <v>519</v>
      </c>
      <c r="M3216" t="s">
        <v>520</v>
      </c>
      <c r="N3216" t="s">
        <v>557</v>
      </c>
      <c r="O3216" t="s">
        <v>912</v>
      </c>
      <c r="P3216" t="s">
        <v>654</v>
      </c>
      <c r="Q3216" t="s">
        <v>638</v>
      </c>
      <c r="R3216" t="s">
        <v>708</v>
      </c>
      <c r="S3216" t="s">
        <v>913</v>
      </c>
      <c r="T3216" t="s">
        <v>709</v>
      </c>
      <c r="U3216">
        <v>142301</v>
      </c>
      <c r="V3216" t="s">
        <v>14975</v>
      </c>
      <c r="W3216" t="s">
        <v>860</v>
      </c>
      <c r="X3216" t="s">
        <v>17993</v>
      </c>
      <c r="Y3216" t="s">
        <v>17994</v>
      </c>
      <c r="Z3216" t="s">
        <v>1023</v>
      </c>
      <c r="AA3216" t="s">
        <v>6064</v>
      </c>
      <c r="AB3216" t="s">
        <v>17991</v>
      </c>
      <c r="AE3216">
        <v>-36.925980000000003</v>
      </c>
      <c r="AF3216">
        <v>174.73724999999999</v>
      </c>
      <c r="AG3216">
        <v>64</v>
      </c>
      <c r="AH3216">
        <v>14</v>
      </c>
      <c r="AI3216">
        <v>1</v>
      </c>
      <c r="AJ3216">
        <v>10</v>
      </c>
      <c r="AK3216">
        <v>16</v>
      </c>
      <c r="AL3216">
        <v>19</v>
      </c>
      <c r="AM3216">
        <v>16</v>
      </c>
      <c r="AN3216">
        <v>0</v>
      </c>
      <c r="AO3216">
        <v>62</v>
      </c>
      <c r="AP3216">
        <v>10</v>
      </c>
      <c r="AQ3216">
        <v>9</v>
      </c>
      <c r="AR3216">
        <v>16</v>
      </c>
      <c r="AS3216">
        <v>39</v>
      </c>
      <c r="AT3216">
        <v>2</v>
      </c>
    </row>
    <row r="3217" spans="1:46">
      <c r="A3217">
        <v>48067</v>
      </c>
      <c r="B3217" t="s">
        <v>17995</v>
      </c>
      <c r="C3217" t="s">
        <v>17996</v>
      </c>
      <c r="E3217" t="s">
        <v>17997</v>
      </c>
      <c r="G3217" t="s">
        <v>4132</v>
      </c>
      <c r="H3217" t="s">
        <v>3942</v>
      </c>
      <c r="J3217" t="s">
        <v>3962</v>
      </c>
      <c r="K3217" t="s">
        <v>519</v>
      </c>
      <c r="M3217" t="s">
        <v>520</v>
      </c>
      <c r="N3217" t="s">
        <v>571</v>
      </c>
      <c r="O3217" t="s">
        <v>653</v>
      </c>
      <c r="P3217" t="s">
        <v>584</v>
      </c>
      <c r="Q3217" t="s">
        <v>638</v>
      </c>
      <c r="R3217" t="s">
        <v>639</v>
      </c>
      <c r="S3217" t="s">
        <v>668</v>
      </c>
      <c r="T3217" t="s">
        <v>527</v>
      </c>
      <c r="U3217">
        <v>113900</v>
      </c>
      <c r="V3217" t="s">
        <v>4729</v>
      </c>
      <c r="W3217" t="s">
        <v>657</v>
      </c>
      <c r="X3217" t="s">
        <v>14653</v>
      </c>
      <c r="Y3217" t="s">
        <v>17998</v>
      </c>
      <c r="AA3217" t="s">
        <v>17313</v>
      </c>
      <c r="AE3217">
        <v>-36.609560000000002</v>
      </c>
      <c r="AF3217">
        <v>174.69085000000001</v>
      </c>
      <c r="AG3217">
        <v>87</v>
      </c>
      <c r="AH3217">
        <v>27</v>
      </c>
      <c r="AI3217">
        <v>7</v>
      </c>
      <c r="AJ3217">
        <v>23</v>
      </c>
      <c r="AK3217">
        <v>11</v>
      </c>
      <c r="AL3217">
        <v>12</v>
      </c>
      <c r="AM3217">
        <v>12</v>
      </c>
      <c r="AN3217">
        <v>1</v>
      </c>
      <c r="AO3217">
        <v>66</v>
      </c>
      <c r="AP3217">
        <v>52</v>
      </c>
      <c r="AQ3217">
        <v>4</v>
      </c>
      <c r="AR3217">
        <v>1</v>
      </c>
      <c r="AS3217">
        <v>11</v>
      </c>
      <c r="AT3217">
        <v>4</v>
      </c>
    </row>
    <row r="3218" spans="1:46">
      <c r="A3218">
        <v>48068</v>
      </c>
      <c r="B3218" t="s">
        <v>17999</v>
      </c>
      <c r="C3218" t="s">
        <v>18000</v>
      </c>
      <c r="E3218" t="s">
        <v>18001</v>
      </c>
      <c r="F3218" t="s">
        <v>3522</v>
      </c>
      <c r="G3218" t="s">
        <v>3498</v>
      </c>
      <c r="H3218" t="s">
        <v>3942</v>
      </c>
      <c r="J3218" t="s">
        <v>3962</v>
      </c>
      <c r="K3218" t="s">
        <v>519</v>
      </c>
      <c r="M3218" t="s">
        <v>2287</v>
      </c>
      <c r="N3218" t="s">
        <v>539</v>
      </c>
      <c r="O3218" t="s">
        <v>3496</v>
      </c>
      <c r="P3218" t="s">
        <v>584</v>
      </c>
      <c r="Q3218" t="s">
        <v>3497</v>
      </c>
      <c r="R3218" t="s">
        <v>3338</v>
      </c>
      <c r="S3218" t="s">
        <v>3498</v>
      </c>
      <c r="T3218" t="s">
        <v>2448</v>
      </c>
      <c r="U3218">
        <v>362501</v>
      </c>
      <c r="V3218" t="s">
        <v>3522</v>
      </c>
      <c r="W3218" t="s">
        <v>1652</v>
      </c>
      <c r="X3218" t="s">
        <v>18002</v>
      </c>
      <c r="Y3218" t="s">
        <v>18003</v>
      </c>
      <c r="Z3218" t="s">
        <v>3522</v>
      </c>
      <c r="AA3218" t="s">
        <v>18004</v>
      </c>
      <c r="AE3218">
        <v>-46.429510000000001</v>
      </c>
      <c r="AF3218">
        <v>168.36725999999999</v>
      </c>
      <c r="AG3218">
        <v>27</v>
      </c>
      <c r="AH3218">
        <v>0</v>
      </c>
      <c r="AI3218">
        <v>0</v>
      </c>
      <c r="AJ3218">
        <v>0</v>
      </c>
      <c r="AK3218">
        <v>7</v>
      </c>
      <c r="AL3218">
        <v>7</v>
      </c>
      <c r="AM3218">
        <v>12</v>
      </c>
      <c r="AN3218">
        <v>1</v>
      </c>
      <c r="AO3218">
        <v>27</v>
      </c>
      <c r="AP3218">
        <v>12</v>
      </c>
      <c r="AQ3218">
        <v>10</v>
      </c>
      <c r="AR3218">
        <v>4</v>
      </c>
      <c r="AS3218">
        <v>7</v>
      </c>
      <c r="AT3218">
        <v>2</v>
      </c>
    </row>
    <row r="3219" spans="1:46">
      <c r="A3219">
        <v>48069</v>
      </c>
      <c r="B3219" t="s">
        <v>18005</v>
      </c>
      <c r="C3219" t="s">
        <v>18006</v>
      </c>
      <c r="E3219" t="s">
        <v>18007</v>
      </c>
      <c r="F3219" t="s">
        <v>1335</v>
      </c>
      <c r="G3219" t="s">
        <v>1296</v>
      </c>
      <c r="H3219" t="s">
        <v>3942</v>
      </c>
      <c r="J3219" t="s">
        <v>3962</v>
      </c>
      <c r="K3219" t="s">
        <v>519</v>
      </c>
      <c r="M3219" t="s">
        <v>1297</v>
      </c>
      <c r="N3219" t="s">
        <v>571</v>
      </c>
      <c r="O3219" t="s">
        <v>1298</v>
      </c>
      <c r="P3219" t="s">
        <v>654</v>
      </c>
      <c r="Q3219" t="s">
        <v>1299</v>
      </c>
      <c r="R3219" t="s">
        <v>1300</v>
      </c>
      <c r="S3219" t="s">
        <v>1301</v>
      </c>
      <c r="T3219" t="s">
        <v>1235</v>
      </c>
      <c r="U3219">
        <v>178100</v>
      </c>
      <c r="V3219" t="s">
        <v>1336</v>
      </c>
      <c r="W3219" t="s">
        <v>1303</v>
      </c>
      <c r="X3219" t="s">
        <v>18008</v>
      </c>
      <c r="Y3219" t="s">
        <v>18007</v>
      </c>
      <c r="Z3219" t="s">
        <v>1335</v>
      </c>
      <c r="AA3219" t="s">
        <v>8650</v>
      </c>
      <c r="AB3219" t="s">
        <v>18006</v>
      </c>
      <c r="AE3219">
        <v>-37.795990000000003</v>
      </c>
      <c r="AF3219">
        <v>175.24724000000001</v>
      </c>
      <c r="AG3219">
        <v>95</v>
      </c>
      <c r="AH3219">
        <v>25</v>
      </c>
      <c r="AI3219">
        <v>2</v>
      </c>
      <c r="AJ3219">
        <v>13</v>
      </c>
      <c r="AK3219">
        <v>27</v>
      </c>
      <c r="AL3219">
        <v>35</v>
      </c>
      <c r="AM3219">
        <v>17</v>
      </c>
      <c r="AN3219">
        <v>2</v>
      </c>
      <c r="AO3219">
        <v>96</v>
      </c>
      <c r="AP3219">
        <v>77</v>
      </c>
      <c r="AQ3219">
        <v>38</v>
      </c>
      <c r="AR3219">
        <v>5</v>
      </c>
      <c r="AS3219">
        <v>7</v>
      </c>
      <c r="AT3219">
        <v>0</v>
      </c>
    </row>
    <row r="3220" spans="1:46">
      <c r="A3220">
        <v>48070</v>
      </c>
      <c r="B3220" t="s">
        <v>18009</v>
      </c>
      <c r="C3220" t="s">
        <v>18010</v>
      </c>
      <c r="D3220" t="s">
        <v>18011</v>
      </c>
      <c r="E3220" t="s">
        <v>18012</v>
      </c>
      <c r="F3220" t="s">
        <v>1422</v>
      </c>
      <c r="G3220" t="s">
        <v>1296</v>
      </c>
      <c r="H3220" t="s">
        <v>3942</v>
      </c>
      <c r="J3220" t="s">
        <v>518</v>
      </c>
      <c r="K3220" t="s">
        <v>519</v>
      </c>
      <c r="M3220" t="s">
        <v>1297</v>
      </c>
      <c r="N3220" t="s">
        <v>571</v>
      </c>
      <c r="O3220" t="s">
        <v>1298</v>
      </c>
      <c r="P3220" t="s">
        <v>654</v>
      </c>
      <c r="Q3220" t="s">
        <v>1299</v>
      </c>
      <c r="R3220" t="s">
        <v>1300</v>
      </c>
      <c r="S3220" t="s">
        <v>1301</v>
      </c>
      <c r="T3220" t="s">
        <v>1235</v>
      </c>
      <c r="U3220">
        <v>176301</v>
      </c>
      <c r="V3220" t="s">
        <v>8429</v>
      </c>
      <c r="W3220" t="s">
        <v>1303</v>
      </c>
      <c r="X3220" t="s">
        <v>8377</v>
      </c>
      <c r="Y3220" t="s">
        <v>3944</v>
      </c>
      <c r="Z3220" t="s">
        <v>3945</v>
      </c>
      <c r="AA3220" t="s">
        <v>3946</v>
      </c>
      <c r="AB3220" t="s">
        <v>8378</v>
      </c>
      <c r="AE3220">
        <v>-37.761940000000003</v>
      </c>
      <c r="AF3220">
        <v>175.24813</v>
      </c>
      <c r="AG3220">
        <v>100</v>
      </c>
      <c r="AH3220">
        <v>24</v>
      </c>
      <c r="AI3220">
        <v>2</v>
      </c>
      <c r="AJ3220">
        <v>16</v>
      </c>
      <c r="AK3220">
        <v>19</v>
      </c>
      <c r="AL3220">
        <v>25</v>
      </c>
      <c r="AM3220">
        <v>21</v>
      </c>
      <c r="AN3220">
        <v>0</v>
      </c>
      <c r="AO3220">
        <v>83</v>
      </c>
      <c r="AP3220">
        <v>36</v>
      </c>
      <c r="AQ3220">
        <v>54</v>
      </c>
      <c r="AR3220">
        <v>7</v>
      </c>
      <c r="AS3220">
        <v>13</v>
      </c>
      <c r="AT3220">
        <v>6</v>
      </c>
    </row>
    <row r="3221" spans="1:46">
      <c r="A3221">
        <v>48071</v>
      </c>
      <c r="B3221" t="s">
        <v>18013</v>
      </c>
      <c r="C3221" t="s">
        <v>18014</v>
      </c>
      <c r="D3221" t="s">
        <v>18015</v>
      </c>
      <c r="E3221" t="s">
        <v>18016</v>
      </c>
      <c r="G3221" t="s">
        <v>5309</v>
      </c>
      <c r="H3221" t="s">
        <v>3942</v>
      </c>
      <c r="J3221" t="s">
        <v>3962</v>
      </c>
      <c r="K3221" t="s">
        <v>519</v>
      </c>
      <c r="M3221" t="s">
        <v>520</v>
      </c>
      <c r="N3221" t="s">
        <v>571</v>
      </c>
      <c r="O3221" t="s">
        <v>564</v>
      </c>
      <c r="P3221" t="s">
        <v>523</v>
      </c>
      <c r="Q3221" t="s">
        <v>524</v>
      </c>
      <c r="R3221" t="s">
        <v>525</v>
      </c>
      <c r="S3221" t="s">
        <v>526</v>
      </c>
      <c r="T3221" t="s">
        <v>527</v>
      </c>
      <c r="U3221">
        <v>110100</v>
      </c>
      <c r="V3221" t="s">
        <v>5309</v>
      </c>
      <c r="W3221" t="s">
        <v>5310</v>
      </c>
      <c r="X3221" t="s">
        <v>18017</v>
      </c>
      <c r="Y3221" t="s">
        <v>18018</v>
      </c>
      <c r="Z3221" t="s">
        <v>958</v>
      </c>
      <c r="AA3221" t="s">
        <v>4659</v>
      </c>
      <c r="AB3221" t="s">
        <v>18019</v>
      </c>
      <c r="AC3221">
        <v>99118</v>
      </c>
      <c r="AD3221" t="s">
        <v>5315</v>
      </c>
      <c r="AE3221">
        <v>-36.124853799999997</v>
      </c>
      <c r="AF3221">
        <v>174.57435570000001</v>
      </c>
      <c r="AG3221">
        <v>50</v>
      </c>
      <c r="AH3221">
        <v>15</v>
      </c>
      <c r="AI3221">
        <v>1</v>
      </c>
      <c r="AJ3221">
        <v>12</v>
      </c>
      <c r="AK3221">
        <v>21</v>
      </c>
      <c r="AL3221">
        <v>15</v>
      </c>
      <c r="AM3221">
        <v>20</v>
      </c>
      <c r="AN3221">
        <v>1</v>
      </c>
      <c r="AO3221">
        <v>70</v>
      </c>
      <c r="AP3221">
        <v>59</v>
      </c>
      <c r="AQ3221">
        <v>10</v>
      </c>
      <c r="AR3221">
        <v>3</v>
      </c>
      <c r="AS3221">
        <v>0</v>
      </c>
      <c r="AT3221">
        <v>10</v>
      </c>
    </row>
    <row r="3222" spans="1:46">
      <c r="A3222">
        <v>48073</v>
      </c>
      <c r="B3222" t="s">
        <v>18020</v>
      </c>
      <c r="C3222" t="s">
        <v>18021</v>
      </c>
      <c r="D3222" t="s">
        <v>18022</v>
      </c>
      <c r="E3222" t="s">
        <v>18023</v>
      </c>
      <c r="F3222" t="s">
        <v>3018</v>
      </c>
      <c r="G3222" t="s">
        <v>2941</v>
      </c>
      <c r="H3222" t="s">
        <v>3942</v>
      </c>
      <c r="J3222" t="s">
        <v>3962</v>
      </c>
      <c r="K3222" t="s">
        <v>519</v>
      </c>
      <c r="M3222" t="s">
        <v>2287</v>
      </c>
      <c r="N3222" t="s">
        <v>571</v>
      </c>
      <c r="O3222" t="s">
        <v>2942</v>
      </c>
      <c r="P3222" t="s">
        <v>654</v>
      </c>
      <c r="Q3222" t="s">
        <v>2943</v>
      </c>
      <c r="R3222" t="s">
        <v>2944</v>
      </c>
      <c r="S3222" t="s">
        <v>3179</v>
      </c>
      <c r="T3222" t="s">
        <v>2448</v>
      </c>
      <c r="U3222">
        <v>316600</v>
      </c>
      <c r="V3222" t="s">
        <v>10921</v>
      </c>
      <c r="W3222" t="s">
        <v>3020</v>
      </c>
      <c r="X3222" t="s">
        <v>18024</v>
      </c>
      <c r="Y3222" t="s">
        <v>18025</v>
      </c>
      <c r="Z3222" t="s">
        <v>3183</v>
      </c>
      <c r="AA3222" t="s">
        <v>18026</v>
      </c>
      <c r="AE3222">
        <v>-43.522100000000002</v>
      </c>
      <c r="AF3222">
        <v>172.52197000000001</v>
      </c>
      <c r="AG3222">
        <v>65</v>
      </c>
      <c r="AH3222">
        <v>15</v>
      </c>
      <c r="AI3222">
        <v>5</v>
      </c>
      <c r="AJ3222">
        <v>16</v>
      </c>
      <c r="AK3222">
        <v>19</v>
      </c>
      <c r="AL3222">
        <v>10</v>
      </c>
      <c r="AM3222">
        <v>22</v>
      </c>
      <c r="AN3222">
        <v>1</v>
      </c>
      <c r="AO3222">
        <v>73</v>
      </c>
      <c r="AP3222">
        <v>24</v>
      </c>
      <c r="AQ3222">
        <v>4</v>
      </c>
      <c r="AR3222">
        <v>5</v>
      </c>
      <c r="AS3222">
        <v>42</v>
      </c>
      <c r="AT3222">
        <v>8</v>
      </c>
    </row>
    <row r="3223" spans="1:46">
      <c r="A3223">
        <v>48074</v>
      </c>
      <c r="B3223" t="s">
        <v>18027</v>
      </c>
      <c r="C3223" t="s">
        <v>18028</v>
      </c>
      <c r="E3223" t="s">
        <v>18029</v>
      </c>
      <c r="F3223" t="s">
        <v>770</v>
      </c>
      <c r="G3223" t="s">
        <v>652</v>
      </c>
      <c r="H3223" t="s">
        <v>3942</v>
      </c>
      <c r="J3223" t="s">
        <v>518</v>
      </c>
      <c r="K3223" t="s">
        <v>519</v>
      </c>
      <c r="M3223" t="s">
        <v>520</v>
      </c>
      <c r="N3223" t="s">
        <v>571</v>
      </c>
      <c r="O3223" t="s">
        <v>718</v>
      </c>
      <c r="P3223" t="s">
        <v>654</v>
      </c>
      <c r="Q3223" t="s">
        <v>638</v>
      </c>
      <c r="R3223" t="s">
        <v>639</v>
      </c>
      <c r="S3223" t="s">
        <v>770</v>
      </c>
      <c r="T3223" t="s">
        <v>709</v>
      </c>
      <c r="U3223">
        <v>132300</v>
      </c>
      <c r="V3223" t="s">
        <v>18030</v>
      </c>
      <c r="W3223" t="s">
        <v>721</v>
      </c>
      <c r="X3223" t="s">
        <v>3943</v>
      </c>
      <c r="Y3223" t="s">
        <v>3944</v>
      </c>
      <c r="Z3223" t="s">
        <v>3945</v>
      </c>
      <c r="AA3223" t="s">
        <v>3946</v>
      </c>
      <c r="AB3223" t="s">
        <v>3947</v>
      </c>
      <c r="AE3223">
        <v>-36.905050000000003</v>
      </c>
      <c r="AF3223">
        <v>174.68366</v>
      </c>
      <c r="AG3223">
        <v>96</v>
      </c>
      <c r="AH3223">
        <v>24</v>
      </c>
      <c r="AI3223">
        <v>2</v>
      </c>
      <c r="AJ3223">
        <v>10</v>
      </c>
      <c r="AK3223">
        <v>28</v>
      </c>
      <c r="AL3223">
        <v>23</v>
      </c>
      <c r="AM3223">
        <v>14</v>
      </c>
      <c r="AN3223">
        <v>0</v>
      </c>
      <c r="AO3223">
        <v>77</v>
      </c>
      <c r="AP3223">
        <v>21</v>
      </c>
      <c r="AQ3223">
        <v>4</v>
      </c>
      <c r="AR3223">
        <v>13</v>
      </c>
      <c r="AS3223">
        <v>45</v>
      </c>
      <c r="AT3223">
        <v>11</v>
      </c>
    </row>
    <row r="3224" spans="1:46">
      <c r="A3224">
        <v>48075</v>
      </c>
      <c r="B3224" t="s">
        <v>18031</v>
      </c>
      <c r="D3224" t="s">
        <v>18032</v>
      </c>
      <c r="E3224" t="s">
        <v>18033</v>
      </c>
      <c r="F3224" t="s">
        <v>18034</v>
      </c>
      <c r="G3224" t="s">
        <v>2963</v>
      </c>
      <c r="H3224" t="s">
        <v>4716</v>
      </c>
      <c r="J3224" t="s">
        <v>518</v>
      </c>
      <c r="K3224" t="s">
        <v>519</v>
      </c>
      <c r="M3224" t="s">
        <v>2287</v>
      </c>
      <c r="N3224" t="s">
        <v>571</v>
      </c>
      <c r="O3224" t="s">
        <v>2964</v>
      </c>
      <c r="P3224" t="s">
        <v>572</v>
      </c>
      <c r="Q3224" t="s">
        <v>2943</v>
      </c>
      <c r="R3224" t="s">
        <v>2944</v>
      </c>
      <c r="S3224" t="s">
        <v>2825</v>
      </c>
      <c r="T3224" t="s">
        <v>2448</v>
      </c>
      <c r="U3224">
        <v>313700</v>
      </c>
      <c r="V3224" t="s">
        <v>18035</v>
      </c>
      <c r="W3224" t="s">
        <v>2967</v>
      </c>
      <c r="X3224" t="s">
        <v>18036</v>
      </c>
      <c r="Y3224" t="s">
        <v>18037</v>
      </c>
      <c r="AA3224" t="s">
        <v>18038</v>
      </c>
      <c r="AE3224">
        <v>-43.247369999999997</v>
      </c>
      <c r="AF3224">
        <v>172.61407</v>
      </c>
      <c r="AG3224">
        <v>50</v>
      </c>
      <c r="AH3224">
        <v>50</v>
      </c>
      <c r="AI3224">
        <v>1</v>
      </c>
      <c r="AJ3224">
        <v>7</v>
      </c>
      <c r="AK3224">
        <v>11</v>
      </c>
      <c r="AL3224">
        <v>14</v>
      </c>
      <c r="AM3224">
        <v>7</v>
      </c>
      <c r="AN3224">
        <v>0</v>
      </c>
      <c r="AO3224">
        <v>40</v>
      </c>
      <c r="AP3224">
        <v>37</v>
      </c>
      <c r="AQ3224">
        <v>5</v>
      </c>
      <c r="AR3224">
        <v>3</v>
      </c>
      <c r="AS3224">
        <v>5</v>
      </c>
      <c r="AT3224">
        <v>0</v>
      </c>
    </row>
    <row r="3225" spans="1:46">
      <c r="A3225">
        <v>48076</v>
      </c>
      <c r="B3225" t="s">
        <v>15278</v>
      </c>
      <c r="C3225" t="s">
        <v>18039</v>
      </c>
      <c r="D3225" t="s">
        <v>15280</v>
      </c>
      <c r="E3225" t="s">
        <v>18040</v>
      </c>
      <c r="G3225" t="s">
        <v>10911</v>
      </c>
      <c r="H3225" t="s">
        <v>3942</v>
      </c>
      <c r="J3225" t="s">
        <v>3962</v>
      </c>
      <c r="K3225" t="s">
        <v>519</v>
      </c>
      <c r="M3225" t="s">
        <v>2287</v>
      </c>
      <c r="N3225" t="s">
        <v>571</v>
      </c>
      <c r="O3225" t="s">
        <v>3208</v>
      </c>
      <c r="P3225" t="s">
        <v>1262</v>
      </c>
      <c r="Q3225" t="s">
        <v>2943</v>
      </c>
      <c r="R3225" t="s">
        <v>2944</v>
      </c>
      <c r="S3225" t="s">
        <v>3179</v>
      </c>
      <c r="T3225" t="s">
        <v>2448</v>
      </c>
      <c r="U3225">
        <v>335302</v>
      </c>
      <c r="V3225" t="s">
        <v>18041</v>
      </c>
      <c r="W3225" t="s">
        <v>10914</v>
      </c>
      <c r="X3225" t="s">
        <v>18042</v>
      </c>
      <c r="AB3225" t="s">
        <v>18043</v>
      </c>
      <c r="AE3225">
        <v>-43.619907560000001</v>
      </c>
      <c r="AF3225">
        <v>172.38096880000001</v>
      </c>
      <c r="AG3225">
        <v>147</v>
      </c>
      <c r="AH3225">
        <v>28</v>
      </c>
      <c r="AI3225">
        <v>2</v>
      </c>
      <c r="AJ3225">
        <v>21</v>
      </c>
      <c r="AK3225">
        <v>31</v>
      </c>
      <c r="AL3225">
        <v>40</v>
      </c>
      <c r="AM3225">
        <v>34</v>
      </c>
      <c r="AN3225">
        <v>3</v>
      </c>
      <c r="AO3225">
        <v>131</v>
      </c>
      <c r="AP3225">
        <v>70</v>
      </c>
      <c r="AQ3225">
        <v>14</v>
      </c>
      <c r="AR3225">
        <v>5</v>
      </c>
      <c r="AS3225">
        <v>53</v>
      </c>
      <c r="AT3225">
        <v>13</v>
      </c>
    </row>
    <row r="3226" spans="1:46">
      <c r="A3226">
        <v>48077</v>
      </c>
      <c r="B3226" t="s">
        <v>18044</v>
      </c>
      <c r="C3226" t="s">
        <v>18045</v>
      </c>
      <c r="D3226" t="s">
        <v>18046</v>
      </c>
      <c r="E3226" t="s">
        <v>18047</v>
      </c>
      <c r="F3226" t="s">
        <v>2847</v>
      </c>
      <c r="G3226" t="s">
        <v>2821</v>
      </c>
      <c r="H3226" t="s">
        <v>3942</v>
      </c>
      <c r="J3226" t="s">
        <v>3962</v>
      </c>
      <c r="K3226" t="s">
        <v>519</v>
      </c>
      <c r="M3226" t="s">
        <v>2287</v>
      </c>
      <c r="N3226" t="s">
        <v>571</v>
      </c>
      <c r="O3226" t="s">
        <v>2822</v>
      </c>
      <c r="P3226" t="s">
        <v>1262</v>
      </c>
      <c r="Q3226" t="s">
        <v>2823</v>
      </c>
      <c r="R3226" t="s">
        <v>2824</v>
      </c>
      <c r="S3226" t="s">
        <v>2825</v>
      </c>
      <c r="T3226" t="s">
        <v>2448</v>
      </c>
      <c r="U3226">
        <v>308300</v>
      </c>
      <c r="V3226" t="s">
        <v>18048</v>
      </c>
      <c r="W3226" t="s">
        <v>2826</v>
      </c>
      <c r="X3226" t="s">
        <v>18049</v>
      </c>
      <c r="Y3226" t="s">
        <v>18050</v>
      </c>
      <c r="AA3226" t="s">
        <v>18051</v>
      </c>
      <c r="AE3226">
        <v>-41.539805350000002</v>
      </c>
      <c r="AF3226">
        <v>173.93975957999999</v>
      </c>
      <c r="AG3226">
        <v>30</v>
      </c>
      <c r="AH3226">
        <v>8</v>
      </c>
      <c r="AI3226">
        <v>0</v>
      </c>
      <c r="AJ3226">
        <v>1</v>
      </c>
      <c r="AK3226">
        <v>12</v>
      </c>
      <c r="AL3226">
        <v>15</v>
      </c>
      <c r="AM3226">
        <v>5</v>
      </c>
      <c r="AN3226">
        <v>0</v>
      </c>
      <c r="AO3226">
        <v>33</v>
      </c>
      <c r="AP3226">
        <v>24</v>
      </c>
      <c r="AQ3226">
        <v>10</v>
      </c>
      <c r="AR3226">
        <v>3</v>
      </c>
      <c r="AS3226">
        <v>1</v>
      </c>
      <c r="AT3226">
        <v>0</v>
      </c>
    </row>
    <row r="3227" spans="1:46">
      <c r="A3227">
        <v>48078</v>
      </c>
      <c r="B3227" t="s">
        <v>18052</v>
      </c>
      <c r="C3227" t="s">
        <v>18053</v>
      </c>
      <c r="D3227" t="s">
        <v>15117</v>
      </c>
      <c r="E3227" t="s">
        <v>18054</v>
      </c>
      <c r="F3227" t="s">
        <v>11648</v>
      </c>
      <c r="G3227" t="s">
        <v>2197</v>
      </c>
      <c r="H3227" t="s">
        <v>3942</v>
      </c>
      <c r="J3227" t="s">
        <v>3962</v>
      </c>
      <c r="K3227" t="s">
        <v>519</v>
      </c>
      <c r="M3227" t="s">
        <v>1297</v>
      </c>
      <c r="N3227" t="s">
        <v>557</v>
      </c>
      <c r="O3227" t="s">
        <v>2198</v>
      </c>
      <c r="P3227" t="s">
        <v>584</v>
      </c>
      <c r="Q3227" t="s">
        <v>2118</v>
      </c>
      <c r="R3227" t="s">
        <v>2084</v>
      </c>
      <c r="S3227" t="s">
        <v>2199</v>
      </c>
      <c r="T3227" t="s">
        <v>2085</v>
      </c>
      <c r="U3227">
        <v>210500</v>
      </c>
      <c r="V3227" t="s">
        <v>11648</v>
      </c>
      <c r="W3227" t="s">
        <v>2200</v>
      </c>
      <c r="X3227" t="s">
        <v>18055</v>
      </c>
      <c r="Y3227" t="s">
        <v>15118</v>
      </c>
      <c r="Z3227" t="s">
        <v>8698</v>
      </c>
      <c r="AA3227" t="s">
        <v>2204</v>
      </c>
      <c r="AB3227" t="s">
        <v>18056</v>
      </c>
      <c r="AE3227">
        <v>-39.644357370000002</v>
      </c>
      <c r="AF3227">
        <v>176.84795763</v>
      </c>
      <c r="AG3227">
        <v>100</v>
      </c>
      <c r="AH3227">
        <v>35</v>
      </c>
      <c r="AI3227">
        <v>7</v>
      </c>
      <c r="AJ3227">
        <v>20</v>
      </c>
      <c r="AK3227">
        <v>20</v>
      </c>
      <c r="AL3227">
        <v>20</v>
      </c>
      <c r="AM3227">
        <v>20</v>
      </c>
      <c r="AN3227">
        <v>1</v>
      </c>
      <c r="AO3227">
        <v>88</v>
      </c>
      <c r="AP3227">
        <v>68</v>
      </c>
      <c r="AQ3227">
        <v>18</v>
      </c>
      <c r="AR3227">
        <v>6</v>
      </c>
      <c r="AS3227">
        <v>16</v>
      </c>
      <c r="AT3227">
        <v>0</v>
      </c>
    </row>
    <row r="3228" spans="1:46">
      <c r="A3228">
        <v>48079</v>
      </c>
      <c r="B3228" t="s">
        <v>18057</v>
      </c>
      <c r="C3228" t="s">
        <v>18058</v>
      </c>
      <c r="E3228" t="s">
        <v>18059</v>
      </c>
      <c r="F3228" t="s">
        <v>3012</v>
      </c>
      <c r="G3228" t="s">
        <v>2941</v>
      </c>
      <c r="H3228" t="s">
        <v>3942</v>
      </c>
      <c r="J3228" t="s">
        <v>3962</v>
      </c>
      <c r="K3228" t="s">
        <v>519</v>
      </c>
      <c r="M3228" t="s">
        <v>2287</v>
      </c>
      <c r="N3228" t="s">
        <v>557</v>
      </c>
      <c r="O3228" t="s">
        <v>2942</v>
      </c>
      <c r="P3228" t="s">
        <v>654</v>
      </c>
      <c r="Q3228" t="s">
        <v>2943</v>
      </c>
      <c r="R3228" t="s">
        <v>2944</v>
      </c>
      <c r="S3228" t="s">
        <v>2979</v>
      </c>
      <c r="T3228" t="s">
        <v>2448</v>
      </c>
      <c r="U3228">
        <v>330500</v>
      </c>
      <c r="V3228" t="s">
        <v>18060</v>
      </c>
      <c r="W3228" t="s">
        <v>2993</v>
      </c>
      <c r="X3228" t="s">
        <v>18061</v>
      </c>
      <c r="Y3228" t="s">
        <v>18062</v>
      </c>
      <c r="Z3228" t="s">
        <v>1312</v>
      </c>
      <c r="AA3228" t="s">
        <v>9568</v>
      </c>
      <c r="AB3228" t="s">
        <v>18000</v>
      </c>
      <c r="AC3228">
        <v>99177</v>
      </c>
      <c r="AD3228" t="s">
        <v>2959</v>
      </c>
      <c r="AE3228">
        <v>-43.546720659999998</v>
      </c>
      <c r="AF3228">
        <v>172.66210090000001</v>
      </c>
      <c r="AG3228">
        <v>40</v>
      </c>
      <c r="AH3228">
        <v>0</v>
      </c>
      <c r="AI3228">
        <v>0</v>
      </c>
      <c r="AJ3228">
        <v>0</v>
      </c>
      <c r="AK3228">
        <v>7</v>
      </c>
      <c r="AL3228">
        <v>12</v>
      </c>
      <c r="AM3228">
        <v>8</v>
      </c>
      <c r="AN3228">
        <v>1</v>
      </c>
      <c r="AO3228">
        <v>28</v>
      </c>
      <c r="AP3228">
        <v>20</v>
      </c>
      <c r="AQ3228">
        <v>8</v>
      </c>
      <c r="AR3228">
        <v>2</v>
      </c>
      <c r="AS3228">
        <v>4</v>
      </c>
      <c r="AT3228">
        <v>2</v>
      </c>
    </row>
    <row r="3229" spans="1:46">
      <c r="A3229">
        <v>48081</v>
      </c>
      <c r="B3229" t="s">
        <v>18063</v>
      </c>
      <c r="E3229" t="s">
        <v>18064</v>
      </c>
      <c r="F3229" t="s">
        <v>872</v>
      </c>
      <c r="G3229" t="s">
        <v>652</v>
      </c>
      <c r="H3229" t="s">
        <v>3942</v>
      </c>
      <c r="J3229" t="s">
        <v>3962</v>
      </c>
      <c r="K3229" t="s">
        <v>519</v>
      </c>
      <c r="M3229" t="s">
        <v>520</v>
      </c>
      <c r="N3229" t="s">
        <v>557</v>
      </c>
      <c r="O3229" t="s">
        <v>873</v>
      </c>
      <c r="P3229" t="s">
        <v>654</v>
      </c>
      <c r="Q3229" t="s">
        <v>638</v>
      </c>
      <c r="R3229" t="s">
        <v>639</v>
      </c>
      <c r="S3229" t="s">
        <v>719</v>
      </c>
      <c r="T3229" t="s">
        <v>709</v>
      </c>
      <c r="U3229">
        <v>130901</v>
      </c>
      <c r="V3229" t="s">
        <v>1125</v>
      </c>
      <c r="W3229" t="s">
        <v>815</v>
      </c>
      <c r="X3229" t="s">
        <v>5793</v>
      </c>
      <c r="Y3229" t="s">
        <v>18065</v>
      </c>
      <c r="Z3229" t="s">
        <v>898</v>
      </c>
      <c r="AA3229" t="s">
        <v>4985</v>
      </c>
      <c r="AB3229" t="s">
        <v>5794</v>
      </c>
      <c r="AE3229">
        <v>-36.918093079999998</v>
      </c>
      <c r="AF3229">
        <v>174.64702874</v>
      </c>
      <c r="AG3229">
        <v>41</v>
      </c>
      <c r="AH3229">
        <v>15</v>
      </c>
      <c r="AI3229">
        <v>0</v>
      </c>
      <c r="AJ3229">
        <v>6</v>
      </c>
      <c r="AK3229">
        <v>8</v>
      </c>
      <c r="AL3229">
        <v>6</v>
      </c>
      <c r="AM3229">
        <v>6</v>
      </c>
      <c r="AN3229">
        <v>0</v>
      </c>
      <c r="AO3229">
        <v>26</v>
      </c>
      <c r="AP3229">
        <v>10</v>
      </c>
      <c r="AQ3229">
        <v>3</v>
      </c>
      <c r="AR3229">
        <v>8</v>
      </c>
      <c r="AS3229">
        <v>10</v>
      </c>
      <c r="AT3229">
        <v>4</v>
      </c>
    </row>
    <row r="3230" spans="1:46">
      <c r="A3230">
        <v>48082</v>
      </c>
      <c r="B3230" t="s">
        <v>18066</v>
      </c>
      <c r="C3230" t="s">
        <v>16001</v>
      </c>
      <c r="E3230" t="s">
        <v>18067</v>
      </c>
      <c r="G3230" t="s">
        <v>3834</v>
      </c>
      <c r="H3230" t="s">
        <v>3942</v>
      </c>
      <c r="J3230" t="s">
        <v>3962</v>
      </c>
      <c r="K3230" t="s">
        <v>519</v>
      </c>
      <c r="M3230" t="s">
        <v>2287</v>
      </c>
      <c r="N3230" t="s">
        <v>8995</v>
      </c>
      <c r="O3230" t="s">
        <v>3835</v>
      </c>
      <c r="P3230" t="s">
        <v>1262</v>
      </c>
      <c r="Q3230" t="s">
        <v>3337</v>
      </c>
      <c r="R3230" t="s">
        <v>3338</v>
      </c>
      <c r="S3230" t="s">
        <v>3361</v>
      </c>
      <c r="T3230" t="s">
        <v>2448</v>
      </c>
      <c r="U3230">
        <v>348901</v>
      </c>
      <c r="V3230" t="s">
        <v>18068</v>
      </c>
      <c r="W3230" t="s">
        <v>3837</v>
      </c>
      <c r="X3230" t="s">
        <v>16004</v>
      </c>
      <c r="Y3230" t="s">
        <v>18069</v>
      </c>
      <c r="Z3230" t="s">
        <v>3834</v>
      </c>
      <c r="AA3230" t="s">
        <v>18070</v>
      </c>
      <c r="AB3230" t="s">
        <v>16001</v>
      </c>
      <c r="AE3230">
        <v>-45.074274490000001</v>
      </c>
      <c r="AF3230">
        <v>168.74565250000001</v>
      </c>
      <c r="AG3230">
        <v>100</v>
      </c>
      <c r="AH3230">
        <v>25</v>
      </c>
      <c r="AI3230">
        <v>1</v>
      </c>
      <c r="AJ3230">
        <v>15</v>
      </c>
      <c r="AK3230">
        <v>16</v>
      </c>
      <c r="AL3230">
        <v>26</v>
      </c>
      <c r="AM3230">
        <v>23</v>
      </c>
      <c r="AN3230">
        <v>0</v>
      </c>
      <c r="AO3230">
        <v>81</v>
      </c>
      <c r="AP3230">
        <v>72</v>
      </c>
      <c r="AQ3230">
        <v>9</v>
      </c>
      <c r="AR3230">
        <v>0</v>
      </c>
      <c r="AS3230">
        <v>5</v>
      </c>
      <c r="AT3230">
        <v>4</v>
      </c>
    </row>
    <row r="3231" spans="1:46">
      <c r="A3231">
        <v>48083</v>
      </c>
      <c r="B3231" t="s">
        <v>18071</v>
      </c>
      <c r="C3231" t="s">
        <v>18072</v>
      </c>
      <c r="E3231" t="s">
        <v>18073</v>
      </c>
      <c r="G3231" t="s">
        <v>1234</v>
      </c>
      <c r="H3231" t="s">
        <v>3942</v>
      </c>
      <c r="J3231" t="s">
        <v>3962</v>
      </c>
      <c r="K3231" t="s">
        <v>519</v>
      </c>
      <c r="M3231" t="s">
        <v>520</v>
      </c>
      <c r="N3231" t="s">
        <v>557</v>
      </c>
      <c r="O3231" t="s">
        <v>1268</v>
      </c>
      <c r="P3231" t="s">
        <v>654</v>
      </c>
      <c r="Q3231" t="s">
        <v>638</v>
      </c>
      <c r="R3231" t="s">
        <v>729</v>
      </c>
      <c r="S3231" t="s">
        <v>1234</v>
      </c>
      <c r="T3231" t="s">
        <v>1235</v>
      </c>
      <c r="U3231">
        <v>163501</v>
      </c>
      <c r="V3231" t="s">
        <v>1269</v>
      </c>
      <c r="W3231" t="s">
        <v>1219</v>
      </c>
      <c r="X3231" t="s">
        <v>18074</v>
      </c>
      <c r="Y3231" t="s">
        <v>18073</v>
      </c>
      <c r="AA3231" t="s">
        <v>7466</v>
      </c>
      <c r="AE3231">
        <v>-37.055894739999999</v>
      </c>
      <c r="AF3231">
        <v>174.95772185000001</v>
      </c>
      <c r="AG3231">
        <v>60</v>
      </c>
      <c r="AH3231">
        <v>15</v>
      </c>
      <c r="AI3231">
        <v>2</v>
      </c>
      <c r="AJ3231">
        <v>5</v>
      </c>
      <c r="AK3231">
        <v>17</v>
      </c>
      <c r="AL3231">
        <v>10</v>
      </c>
      <c r="AM3231">
        <v>8</v>
      </c>
      <c r="AN3231">
        <v>0</v>
      </c>
      <c r="AO3231">
        <v>42</v>
      </c>
      <c r="AP3231">
        <v>1</v>
      </c>
      <c r="AQ3231">
        <v>8</v>
      </c>
      <c r="AR3231">
        <v>7</v>
      </c>
      <c r="AS3231">
        <v>29</v>
      </c>
      <c r="AT3231">
        <v>0</v>
      </c>
    </row>
    <row r="3232" spans="1:46">
      <c r="A3232">
        <v>48085</v>
      </c>
      <c r="B3232" t="s">
        <v>18075</v>
      </c>
      <c r="C3232" t="s">
        <v>18076</v>
      </c>
      <c r="E3232" t="s">
        <v>18077</v>
      </c>
      <c r="F3232" t="s">
        <v>755</v>
      </c>
      <c r="G3232" t="s">
        <v>652</v>
      </c>
      <c r="H3232" t="s">
        <v>3942</v>
      </c>
      <c r="J3232" t="s">
        <v>518</v>
      </c>
      <c r="K3232" t="s">
        <v>519</v>
      </c>
      <c r="M3232" t="s">
        <v>520</v>
      </c>
      <c r="N3232" t="s">
        <v>571</v>
      </c>
      <c r="O3232" t="s">
        <v>738</v>
      </c>
      <c r="P3232" t="s">
        <v>654</v>
      </c>
      <c r="Q3232" t="s">
        <v>638</v>
      </c>
      <c r="R3232" t="s">
        <v>639</v>
      </c>
      <c r="S3232" t="s">
        <v>756</v>
      </c>
      <c r="T3232" t="s">
        <v>527</v>
      </c>
      <c r="U3232">
        <v>122400</v>
      </c>
      <c r="V3232" t="s">
        <v>757</v>
      </c>
      <c r="W3232" t="s">
        <v>741</v>
      </c>
      <c r="X3232" t="s">
        <v>17613</v>
      </c>
      <c r="Y3232" t="s">
        <v>3944</v>
      </c>
      <c r="Z3232" t="s">
        <v>3945</v>
      </c>
      <c r="AA3232" t="s">
        <v>3946</v>
      </c>
      <c r="AB3232" t="s">
        <v>17611</v>
      </c>
      <c r="AE3232">
        <v>-36.789684970000003</v>
      </c>
      <c r="AF3232">
        <v>174.69428095000001</v>
      </c>
      <c r="AG3232">
        <v>120</v>
      </c>
      <c r="AH3232">
        <v>25</v>
      </c>
      <c r="AI3232">
        <v>2</v>
      </c>
      <c r="AJ3232">
        <v>20</v>
      </c>
      <c r="AK3232">
        <v>19</v>
      </c>
      <c r="AL3232">
        <v>27</v>
      </c>
      <c r="AM3232">
        <v>20</v>
      </c>
      <c r="AN3232">
        <v>0</v>
      </c>
      <c r="AO3232">
        <v>88</v>
      </c>
      <c r="AP3232">
        <v>42</v>
      </c>
      <c r="AQ3232">
        <v>21</v>
      </c>
      <c r="AR3232">
        <v>13</v>
      </c>
      <c r="AS3232">
        <v>35</v>
      </c>
      <c r="AT3232">
        <v>9</v>
      </c>
    </row>
    <row r="3233" spans="1:46">
      <c r="A3233">
        <v>48087</v>
      </c>
      <c r="B3233" t="s">
        <v>18078</v>
      </c>
      <c r="C3233" t="s">
        <v>18079</v>
      </c>
      <c r="E3233" t="s">
        <v>18080</v>
      </c>
      <c r="F3233" t="s">
        <v>5976</v>
      </c>
      <c r="G3233" t="s">
        <v>652</v>
      </c>
      <c r="H3233" t="s">
        <v>3942</v>
      </c>
      <c r="J3233" t="s">
        <v>3962</v>
      </c>
      <c r="K3233" t="s">
        <v>519</v>
      </c>
      <c r="M3233" t="s">
        <v>520</v>
      </c>
      <c r="N3233" t="s">
        <v>571</v>
      </c>
      <c r="O3233" t="s">
        <v>857</v>
      </c>
      <c r="P3233" t="s">
        <v>654</v>
      </c>
      <c r="Q3233" t="s">
        <v>638</v>
      </c>
      <c r="R3233" t="s">
        <v>708</v>
      </c>
      <c r="S3233" t="s">
        <v>858</v>
      </c>
      <c r="T3233" t="s">
        <v>709</v>
      </c>
      <c r="U3233">
        <v>129902</v>
      </c>
      <c r="V3233" t="s">
        <v>6520</v>
      </c>
      <c r="W3233" t="s">
        <v>860</v>
      </c>
      <c r="X3233" t="s">
        <v>4503</v>
      </c>
      <c r="Y3233" t="s">
        <v>18081</v>
      </c>
      <c r="Z3233" t="s">
        <v>5976</v>
      </c>
      <c r="AA3233" t="s">
        <v>6522</v>
      </c>
      <c r="AB3233" t="s">
        <v>4504</v>
      </c>
      <c r="AE3233">
        <v>-36.869060410000003</v>
      </c>
      <c r="AF3233">
        <v>174.71184244</v>
      </c>
      <c r="AG3233">
        <v>35</v>
      </c>
      <c r="AH3233">
        <v>10</v>
      </c>
      <c r="AI3233">
        <v>0</v>
      </c>
      <c r="AJ3233">
        <v>9</v>
      </c>
      <c r="AK3233">
        <v>14</v>
      </c>
      <c r="AL3233">
        <v>11</v>
      </c>
      <c r="AM3233">
        <v>9</v>
      </c>
      <c r="AN3233">
        <v>0</v>
      </c>
      <c r="AO3233">
        <v>43</v>
      </c>
      <c r="AP3233">
        <v>38</v>
      </c>
      <c r="AQ3233">
        <v>3</v>
      </c>
      <c r="AR3233">
        <v>0</v>
      </c>
      <c r="AS3233">
        <v>5</v>
      </c>
      <c r="AT3233">
        <v>2</v>
      </c>
    </row>
    <row r="3234" spans="1:46">
      <c r="A3234">
        <v>48088</v>
      </c>
      <c r="B3234" t="s">
        <v>18082</v>
      </c>
      <c r="C3234" t="s">
        <v>18083</v>
      </c>
      <c r="D3234" t="s">
        <v>18084</v>
      </c>
      <c r="E3234" t="s">
        <v>18085</v>
      </c>
      <c r="F3234" t="s">
        <v>3081</v>
      </c>
      <c r="G3234" t="s">
        <v>2941</v>
      </c>
      <c r="H3234" t="s">
        <v>3942</v>
      </c>
      <c r="J3234" t="s">
        <v>518</v>
      </c>
      <c r="K3234" t="s">
        <v>519</v>
      </c>
      <c r="M3234" t="s">
        <v>2287</v>
      </c>
      <c r="N3234" t="s">
        <v>571</v>
      </c>
      <c r="O3234" t="s">
        <v>2942</v>
      </c>
      <c r="P3234" t="s">
        <v>654</v>
      </c>
      <c r="Q3234" t="s">
        <v>2943</v>
      </c>
      <c r="R3234" t="s">
        <v>2944</v>
      </c>
      <c r="S3234" t="s">
        <v>2957</v>
      </c>
      <c r="T3234" t="s">
        <v>2448</v>
      </c>
      <c r="U3234">
        <v>323100</v>
      </c>
      <c r="V3234" t="s">
        <v>3082</v>
      </c>
      <c r="W3234" t="s">
        <v>3070</v>
      </c>
      <c r="X3234" t="s">
        <v>18086</v>
      </c>
      <c r="Y3234" t="s">
        <v>18085</v>
      </c>
      <c r="Z3234" t="s">
        <v>3081</v>
      </c>
      <c r="AA3234" t="s">
        <v>12325</v>
      </c>
      <c r="AB3234" t="s">
        <v>18083</v>
      </c>
      <c r="AE3234">
        <v>-43.503360000000001</v>
      </c>
      <c r="AF3234">
        <v>172.65046000000001</v>
      </c>
      <c r="AG3234">
        <v>40</v>
      </c>
      <c r="AH3234">
        <v>10</v>
      </c>
      <c r="AI3234">
        <v>0</v>
      </c>
      <c r="AJ3234">
        <v>3</v>
      </c>
      <c r="AK3234">
        <v>6</v>
      </c>
      <c r="AL3234">
        <v>4</v>
      </c>
      <c r="AM3234">
        <v>8</v>
      </c>
      <c r="AN3234">
        <v>0</v>
      </c>
      <c r="AO3234">
        <v>21</v>
      </c>
      <c r="AP3234">
        <v>16</v>
      </c>
      <c r="AQ3234">
        <v>6</v>
      </c>
      <c r="AR3234">
        <v>4</v>
      </c>
      <c r="AS3234">
        <v>0</v>
      </c>
      <c r="AT3234">
        <v>0</v>
      </c>
    </row>
    <row r="3235" spans="1:46">
      <c r="A3235">
        <v>48089</v>
      </c>
      <c r="B3235" t="s">
        <v>18087</v>
      </c>
      <c r="C3235" t="s">
        <v>18088</v>
      </c>
      <c r="E3235" t="s">
        <v>18089</v>
      </c>
      <c r="F3235" t="s">
        <v>1217</v>
      </c>
      <c r="G3235" t="s">
        <v>652</v>
      </c>
      <c r="H3235" t="s">
        <v>4716</v>
      </c>
      <c r="J3235" t="s">
        <v>3962</v>
      </c>
      <c r="K3235" t="s">
        <v>519</v>
      </c>
      <c r="M3235" t="s">
        <v>520</v>
      </c>
      <c r="N3235" t="s">
        <v>557</v>
      </c>
      <c r="O3235" t="s">
        <v>1268</v>
      </c>
      <c r="P3235" t="s">
        <v>654</v>
      </c>
      <c r="Q3235" t="s">
        <v>638</v>
      </c>
      <c r="R3235" t="s">
        <v>729</v>
      </c>
      <c r="S3235" t="s">
        <v>1217</v>
      </c>
      <c r="T3235" t="s">
        <v>709</v>
      </c>
      <c r="U3235">
        <v>162101</v>
      </c>
      <c r="V3235" t="s">
        <v>18090</v>
      </c>
      <c r="W3235" t="s">
        <v>1219</v>
      </c>
      <c r="X3235" t="s">
        <v>18091</v>
      </c>
      <c r="Y3235" t="s">
        <v>18092</v>
      </c>
      <c r="Z3235" t="s">
        <v>1217</v>
      </c>
      <c r="AA3235" t="s">
        <v>9503</v>
      </c>
      <c r="AE3235">
        <v>-37.04241262</v>
      </c>
      <c r="AF3235">
        <v>174.93112085000001</v>
      </c>
      <c r="AG3235">
        <v>50</v>
      </c>
      <c r="AH3235">
        <v>50</v>
      </c>
      <c r="AI3235">
        <v>10</v>
      </c>
      <c r="AJ3235">
        <v>10</v>
      </c>
      <c r="AK3235">
        <v>13</v>
      </c>
      <c r="AL3235">
        <v>7</v>
      </c>
      <c r="AM3235">
        <v>9</v>
      </c>
      <c r="AN3235">
        <v>0</v>
      </c>
      <c r="AO3235">
        <v>49</v>
      </c>
      <c r="AP3235">
        <v>0</v>
      </c>
      <c r="AQ3235">
        <v>3</v>
      </c>
      <c r="AR3235">
        <v>4</v>
      </c>
      <c r="AS3235">
        <v>42</v>
      </c>
      <c r="AT3235">
        <v>0</v>
      </c>
    </row>
    <row r="3236" spans="1:46">
      <c r="A3236">
        <v>48091</v>
      </c>
      <c r="B3236" t="s">
        <v>18093</v>
      </c>
      <c r="C3236" t="s">
        <v>18094</v>
      </c>
      <c r="E3236" t="s">
        <v>18095</v>
      </c>
      <c r="F3236" t="s">
        <v>945</v>
      </c>
      <c r="G3236" t="s">
        <v>652</v>
      </c>
      <c r="H3236" t="s">
        <v>3942</v>
      </c>
      <c r="J3236" t="s">
        <v>518</v>
      </c>
      <c r="K3236" t="s">
        <v>519</v>
      </c>
      <c r="M3236" t="s">
        <v>520</v>
      </c>
      <c r="N3236" t="s">
        <v>539</v>
      </c>
      <c r="O3236" t="s">
        <v>848</v>
      </c>
      <c r="P3236" t="s">
        <v>654</v>
      </c>
      <c r="Q3236" t="s">
        <v>638</v>
      </c>
      <c r="R3236" t="s">
        <v>729</v>
      </c>
      <c r="S3236" t="s">
        <v>849</v>
      </c>
      <c r="T3236" t="s">
        <v>709</v>
      </c>
      <c r="U3236">
        <v>151000</v>
      </c>
      <c r="V3236" t="s">
        <v>4223</v>
      </c>
      <c r="W3236" t="s">
        <v>732</v>
      </c>
      <c r="X3236" t="s">
        <v>18096</v>
      </c>
      <c r="Y3236" t="s">
        <v>18097</v>
      </c>
      <c r="Z3236" t="s">
        <v>847</v>
      </c>
      <c r="AA3236" t="s">
        <v>4226</v>
      </c>
      <c r="AB3236" t="s">
        <v>18094</v>
      </c>
      <c r="AE3236">
        <v>-36.976197370000001</v>
      </c>
      <c r="AF3236">
        <v>174.79482038</v>
      </c>
      <c r="AG3236">
        <v>30</v>
      </c>
      <c r="AH3236">
        <v>10</v>
      </c>
      <c r="AI3236">
        <v>1</v>
      </c>
      <c r="AJ3236">
        <v>2</v>
      </c>
      <c r="AK3236">
        <v>2</v>
      </c>
      <c r="AL3236">
        <v>4</v>
      </c>
      <c r="AM3236">
        <v>6</v>
      </c>
      <c r="AN3236">
        <v>0</v>
      </c>
      <c r="AO3236">
        <v>15</v>
      </c>
      <c r="AP3236">
        <v>0</v>
      </c>
      <c r="AQ3236">
        <v>5</v>
      </c>
      <c r="AR3236">
        <v>15</v>
      </c>
      <c r="AS3236">
        <v>1</v>
      </c>
      <c r="AT3236">
        <v>0</v>
      </c>
    </row>
    <row r="3237" spans="1:46">
      <c r="A3237">
        <v>48092</v>
      </c>
      <c r="B3237" t="s">
        <v>18098</v>
      </c>
      <c r="C3237" t="s">
        <v>16843</v>
      </c>
      <c r="D3237" t="s">
        <v>16844</v>
      </c>
      <c r="E3237" t="s">
        <v>18099</v>
      </c>
      <c r="F3237" t="s">
        <v>1234</v>
      </c>
      <c r="G3237" t="s">
        <v>652</v>
      </c>
      <c r="H3237" t="s">
        <v>4716</v>
      </c>
      <c r="J3237" t="s">
        <v>3962</v>
      </c>
      <c r="K3237" t="s">
        <v>519</v>
      </c>
      <c r="M3237" t="s">
        <v>520</v>
      </c>
      <c r="N3237" t="s">
        <v>539</v>
      </c>
      <c r="O3237" t="s">
        <v>1268</v>
      </c>
      <c r="P3237" t="s">
        <v>654</v>
      </c>
      <c r="Q3237" t="s">
        <v>638</v>
      </c>
      <c r="R3237" t="s">
        <v>729</v>
      </c>
      <c r="S3237" t="s">
        <v>1234</v>
      </c>
      <c r="T3237" t="s">
        <v>1235</v>
      </c>
      <c r="U3237">
        <v>163700</v>
      </c>
      <c r="V3237" t="s">
        <v>7596</v>
      </c>
      <c r="W3237" t="s">
        <v>1219</v>
      </c>
      <c r="X3237" t="s">
        <v>16846</v>
      </c>
      <c r="Y3237" t="s">
        <v>16847</v>
      </c>
      <c r="Z3237" t="s">
        <v>4204</v>
      </c>
      <c r="AA3237" t="s">
        <v>4585</v>
      </c>
      <c r="AE3237">
        <v>-37.077846520000001</v>
      </c>
      <c r="AF3237">
        <v>174.94050773999999</v>
      </c>
      <c r="AG3237">
        <v>50</v>
      </c>
      <c r="AH3237">
        <v>50</v>
      </c>
      <c r="AI3237">
        <v>5</v>
      </c>
      <c r="AJ3237">
        <v>6</v>
      </c>
      <c r="AK3237">
        <v>5</v>
      </c>
      <c r="AL3237">
        <v>3</v>
      </c>
      <c r="AM3237">
        <v>4</v>
      </c>
      <c r="AN3237">
        <v>1</v>
      </c>
      <c r="AO3237">
        <v>24</v>
      </c>
      <c r="AP3237">
        <v>0</v>
      </c>
      <c r="AQ3237">
        <v>3</v>
      </c>
      <c r="AR3237">
        <v>18</v>
      </c>
      <c r="AS3237">
        <v>6</v>
      </c>
      <c r="AT3237">
        <v>0</v>
      </c>
    </row>
    <row r="3238" spans="1:46">
      <c r="A3238">
        <v>48093</v>
      </c>
      <c r="B3238" t="s">
        <v>18100</v>
      </c>
      <c r="C3238" t="s">
        <v>18101</v>
      </c>
      <c r="E3238" t="s">
        <v>18102</v>
      </c>
      <c r="F3238" t="s">
        <v>8472</v>
      </c>
      <c r="G3238" t="s">
        <v>1598</v>
      </c>
      <c r="H3238" t="s">
        <v>3942</v>
      </c>
      <c r="J3238" t="s">
        <v>3962</v>
      </c>
      <c r="K3238" t="s">
        <v>519</v>
      </c>
      <c r="M3238" t="s">
        <v>1297</v>
      </c>
      <c r="N3238" t="s">
        <v>571</v>
      </c>
      <c r="O3238" t="s">
        <v>1698</v>
      </c>
      <c r="P3238" t="s">
        <v>654</v>
      </c>
      <c r="Q3238" t="s">
        <v>1471</v>
      </c>
      <c r="R3238" t="s">
        <v>1472</v>
      </c>
      <c r="S3238" t="s">
        <v>1598</v>
      </c>
      <c r="T3238" t="s">
        <v>1474</v>
      </c>
      <c r="U3238">
        <v>193500</v>
      </c>
      <c r="V3238" t="s">
        <v>8473</v>
      </c>
      <c r="W3238" t="s">
        <v>1709</v>
      </c>
      <c r="X3238" t="s">
        <v>18103</v>
      </c>
      <c r="Y3238" t="s">
        <v>18104</v>
      </c>
      <c r="Z3238" t="s">
        <v>9750</v>
      </c>
      <c r="AA3238" t="s">
        <v>8884</v>
      </c>
      <c r="AB3238" t="s">
        <v>18101</v>
      </c>
      <c r="AE3238">
        <v>-37.709031920000001</v>
      </c>
      <c r="AF3238">
        <v>176.12187231999999</v>
      </c>
      <c r="AG3238">
        <v>30</v>
      </c>
      <c r="AH3238">
        <v>6</v>
      </c>
      <c r="AI3238">
        <v>0</v>
      </c>
      <c r="AJ3238">
        <v>4</v>
      </c>
      <c r="AK3238">
        <v>15</v>
      </c>
      <c r="AL3238">
        <v>7</v>
      </c>
      <c r="AM3238">
        <v>10</v>
      </c>
      <c r="AN3238">
        <v>2</v>
      </c>
      <c r="AO3238">
        <v>38</v>
      </c>
      <c r="AP3238">
        <v>37</v>
      </c>
      <c r="AQ3238">
        <v>1</v>
      </c>
      <c r="AR3238">
        <v>0</v>
      </c>
      <c r="AS3238">
        <v>1</v>
      </c>
      <c r="AT3238">
        <v>4</v>
      </c>
    </row>
    <row r="3239" spans="1:46">
      <c r="A3239">
        <v>48094</v>
      </c>
      <c r="B3239" t="s">
        <v>18105</v>
      </c>
      <c r="C3239" t="s">
        <v>18106</v>
      </c>
      <c r="E3239" t="s">
        <v>18107</v>
      </c>
      <c r="F3239" t="s">
        <v>2049</v>
      </c>
      <c r="G3239" t="s">
        <v>1974</v>
      </c>
      <c r="H3239" t="s">
        <v>3942</v>
      </c>
      <c r="I3239" t="s">
        <v>4065</v>
      </c>
      <c r="J3239" t="s">
        <v>3962</v>
      </c>
      <c r="K3239" t="s">
        <v>519</v>
      </c>
      <c r="M3239" t="s">
        <v>1297</v>
      </c>
      <c r="N3239" t="s">
        <v>571</v>
      </c>
      <c r="O3239" t="s">
        <v>1956</v>
      </c>
      <c r="P3239" t="s">
        <v>584</v>
      </c>
      <c r="Q3239" t="s">
        <v>1636</v>
      </c>
      <c r="R3239" t="s">
        <v>1760</v>
      </c>
      <c r="S3239" t="s">
        <v>1974</v>
      </c>
      <c r="T3239" t="s">
        <v>1485</v>
      </c>
      <c r="U3239">
        <v>230200</v>
      </c>
      <c r="V3239" t="s">
        <v>10390</v>
      </c>
      <c r="W3239" t="s">
        <v>1957</v>
      </c>
      <c r="X3239" t="s">
        <v>16975</v>
      </c>
      <c r="Y3239" t="s">
        <v>4107</v>
      </c>
      <c r="AA3239" t="s">
        <v>3982</v>
      </c>
      <c r="AB3239" t="s">
        <v>16976</v>
      </c>
      <c r="AE3239">
        <v>-40.33771376</v>
      </c>
      <c r="AF3239">
        <v>175.63090366</v>
      </c>
      <c r="AG3239">
        <v>99</v>
      </c>
      <c r="AH3239">
        <v>38</v>
      </c>
      <c r="AI3239">
        <v>4</v>
      </c>
      <c r="AJ3239">
        <v>10</v>
      </c>
      <c r="AK3239">
        <v>19</v>
      </c>
      <c r="AL3239">
        <v>27</v>
      </c>
      <c r="AM3239">
        <v>24</v>
      </c>
      <c r="AN3239">
        <v>1</v>
      </c>
      <c r="AO3239">
        <v>85</v>
      </c>
      <c r="AP3239">
        <v>47</v>
      </c>
      <c r="AQ3239">
        <v>9</v>
      </c>
      <c r="AR3239">
        <v>1</v>
      </c>
      <c r="AS3239">
        <v>35</v>
      </c>
      <c r="AT3239">
        <v>9</v>
      </c>
    </row>
    <row r="3240" spans="1:46">
      <c r="A3240">
        <v>48096</v>
      </c>
      <c r="B3240" t="s">
        <v>18108</v>
      </c>
      <c r="C3240" t="s">
        <v>17771</v>
      </c>
      <c r="D3240" t="s">
        <v>15546</v>
      </c>
      <c r="E3240" t="s">
        <v>18109</v>
      </c>
      <c r="F3240" t="s">
        <v>3033</v>
      </c>
      <c r="G3240" t="s">
        <v>2941</v>
      </c>
      <c r="H3240" t="s">
        <v>3942</v>
      </c>
      <c r="I3240" t="s">
        <v>4065</v>
      </c>
      <c r="J3240" t="s">
        <v>3962</v>
      </c>
      <c r="K3240" t="s">
        <v>519</v>
      </c>
      <c r="M3240" t="s">
        <v>2287</v>
      </c>
      <c r="N3240" t="s">
        <v>571</v>
      </c>
      <c r="O3240" t="s">
        <v>2942</v>
      </c>
      <c r="P3240" t="s">
        <v>654</v>
      </c>
      <c r="Q3240" t="s">
        <v>2943</v>
      </c>
      <c r="R3240" t="s">
        <v>2944</v>
      </c>
      <c r="S3240" t="s">
        <v>3019</v>
      </c>
      <c r="T3240" t="s">
        <v>2448</v>
      </c>
      <c r="U3240">
        <v>322900</v>
      </c>
      <c r="V3240" t="s">
        <v>11390</v>
      </c>
      <c r="W3240" t="s">
        <v>3020</v>
      </c>
      <c r="X3240" t="s">
        <v>15548</v>
      </c>
      <c r="Y3240" t="s">
        <v>18110</v>
      </c>
      <c r="Z3240" t="s">
        <v>3019</v>
      </c>
      <c r="AA3240" t="s">
        <v>11419</v>
      </c>
      <c r="AB3240" t="s">
        <v>17771</v>
      </c>
      <c r="AE3240">
        <v>-43.56045245</v>
      </c>
      <c r="AF3240">
        <v>172.5414561</v>
      </c>
      <c r="AG3240">
        <v>80</v>
      </c>
      <c r="AH3240">
        <v>17</v>
      </c>
      <c r="AI3240">
        <v>2</v>
      </c>
      <c r="AJ3240">
        <v>13</v>
      </c>
      <c r="AK3240">
        <v>13</v>
      </c>
      <c r="AL3240">
        <v>18</v>
      </c>
      <c r="AM3240">
        <v>16</v>
      </c>
      <c r="AN3240">
        <v>2</v>
      </c>
      <c r="AO3240">
        <v>64</v>
      </c>
      <c r="AP3240">
        <v>8</v>
      </c>
      <c r="AQ3240">
        <v>1</v>
      </c>
      <c r="AR3240">
        <v>0</v>
      </c>
      <c r="AS3240">
        <v>60</v>
      </c>
      <c r="AT3240">
        <v>2</v>
      </c>
    </row>
    <row r="3241" spans="1:46">
      <c r="A3241">
        <v>48097</v>
      </c>
      <c r="B3241" t="s">
        <v>18111</v>
      </c>
      <c r="E3241" t="s">
        <v>18112</v>
      </c>
      <c r="F3241" t="s">
        <v>726</v>
      </c>
      <c r="G3241" t="s">
        <v>652</v>
      </c>
      <c r="H3241" t="s">
        <v>3942</v>
      </c>
      <c r="J3241" t="s">
        <v>3962</v>
      </c>
      <c r="K3241" t="s">
        <v>519</v>
      </c>
      <c r="M3241" t="s">
        <v>520</v>
      </c>
      <c r="N3241" t="s">
        <v>727</v>
      </c>
      <c r="O3241" t="s">
        <v>728</v>
      </c>
      <c r="P3241" t="s">
        <v>654</v>
      </c>
      <c r="Q3241" t="s">
        <v>638</v>
      </c>
      <c r="R3241" t="s">
        <v>729</v>
      </c>
      <c r="S3241" t="s">
        <v>730</v>
      </c>
      <c r="T3241" t="s">
        <v>709</v>
      </c>
      <c r="U3241">
        <v>153500</v>
      </c>
      <c r="V3241" t="s">
        <v>731</v>
      </c>
      <c r="W3241" t="s">
        <v>732</v>
      </c>
      <c r="X3241" t="s">
        <v>4806</v>
      </c>
      <c r="Y3241" t="s">
        <v>3989</v>
      </c>
      <c r="Z3241" t="s">
        <v>3990</v>
      </c>
      <c r="AA3241" t="s">
        <v>3991</v>
      </c>
      <c r="AE3241">
        <v>-36.961964520000002</v>
      </c>
      <c r="AF3241">
        <v>174.86861514</v>
      </c>
      <c r="AG3241">
        <v>35</v>
      </c>
      <c r="AH3241">
        <v>10</v>
      </c>
      <c r="AI3241">
        <v>1</v>
      </c>
      <c r="AJ3241">
        <v>8</v>
      </c>
      <c r="AK3241">
        <v>9</v>
      </c>
      <c r="AL3241">
        <v>6</v>
      </c>
      <c r="AM3241">
        <v>5</v>
      </c>
      <c r="AN3241">
        <v>2</v>
      </c>
      <c r="AO3241">
        <v>31</v>
      </c>
      <c r="AP3241">
        <v>5</v>
      </c>
      <c r="AQ3241">
        <v>7</v>
      </c>
      <c r="AR3241">
        <v>27</v>
      </c>
      <c r="AS3241">
        <v>0</v>
      </c>
      <c r="AT3241">
        <v>1</v>
      </c>
    </row>
    <row r="3242" spans="1:46">
      <c r="A3242">
        <v>48098</v>
      </c>
      <c r="B3242" t="s">
        <v>18113</v>
      </c>
      <c r="C3242" t="s">
        <v>18114</v>
      </c>
      <c r="E3242" t="s">
        <v>18115</v>
      </c>
      <c r="G3242" t="s">
        <v>652</v>
      </c>
      <c r="H3242" t="s">
        <v>3942</v>
      </c>
      <c r="J3242" t="s">
        <v>3962</v>
      </c>
      <c r="K3242" t="s">
        <v>519</v>
      </c>
      <c r="M3242" t="s">
        <v>520</v>
      </c>
      <c r="N3242" t="s">
        <v>571</v>
      </c>
      <c r="O3242" t="s">
        <v>637</v>
      </c>
      <c r="P3242" t="s">
        <v>584</v>
      </c>
      <c r="Q3242" t="s">
        <v>638</v>
      </c>
      <c r="R3242" t="s">
        <v>639</v>
      </c>
      <c r="S3242" t="s">
        <v>640</v>
      </c>
      <c r="T3242" t="s">
        <v>527</v>
      </c>
      <c r="U3242">
        <v>113401</v>
      </c>
      <c r="V3242" t="s">
        <v>4510</v>
      </c>
      <c r="W3242" t="s">
        <v>641</v>
      </c>
      <c r="X3242" t="s">
        <v>16013</v>
      </c>
      <c r="Y3242" t="s">
        <v>18115</v>
      </c>
      <c r="AA3242" t="s">
        <v>4182</v>
      </c>
      <c r="AE3242">
        <v>-36.617453779999998</v>
      </c>
      <c r="AF3242">
        <v>174.65766429999999</v>
      </c>
      <c r="AG3242">
        <v>112</v>
      </c>
      <c r="AH3242">
        <v>32</v>
      </c>
      <c r="AI3242">
        <v>9</v>
      </c>
      <c r="AJ3242">
        <v>22</v>
      </c>
      <c r="AK3242">
        <v>30</v>
      </c>
      <c r="AL3242">
        <v>21</v>
      </c>
      <c r="AM3242">
        <v>18</v>
      </c>
      <c r="AN3242">
        <v>2</v>
      </c>
      <c r="AO3242">
        <v>102</v>
      </c>
      <c r="AP3242">
        <v>86</v>
      </c>
      <c r="AQ3242">
        <v>6</v>
      </c>
      <c r="AR3242">
        <v>4</v>
      </c>
      <c r="AS3242">
        <v>16</v>
      </c>
      <c r="AT3242">
        <v>3</v>
      </c>
    </row>
    <row r="3243" spans="1:46">
      <c r="A3243">
        <v>48100</v>
      </c>
      <c r="B3243" t="s">
        <v>18116</v>
      </c>
      <c r="C3243" t="s">
        <v>18117</v>
      </c>
      <c r="E3243" t="s">
        <v>18118</v>
      </c>
      <c r="F3243" t="s">
        <v>18119</v>
      </c>
      <c r="G3243" t="s">
        <v>3623</v>
      </c>
      <c r="H3243" t="s">
        <v>3942</v>
      </c>
      <c r="J3243" t="s">
        <v>3962</v>
      </c>
      <c r="K3243" t="s">
        <v>519</v>
      </c>
      <c r="M3243" t="s">
        <v>520</v>
      </c>
      <c r="N3243" t="s">
        <v>571</v>
      </c>
      <c r="O3243" t="s">
        <v>653</v>
      </c>
      <c r="P3243" t="s">
        <v>584</v>
      </c>
      <c r="Q3243" t="s">
        <v>638</v>
      </c>
      <c r="R3243" t="s">
        <v>639</v>
      </c>
      <c r="S3243" t="s">
        <v>668</v>
      </c>
      <c r="T3243" t="s">
        <v>527</v>
      </c>
      <c r="U3243">
        <v>115400</v>
      </c>
      <c r="V3243" t="s">
        <v>18120</v>
      </c>
      <c r="W3243" t="s">
        <v>657</v>
      </c>
      <c r="X3243" t="s">
        <v>18121</v>
      </c>
      <c r="Y3243" t="s">
        <v>18122</v>
      </c>
      <c r="AA3243" t="s">
        <v>18123</v>
      </c>
      <c r="AE3243">
        <v>-36.615467129999999</v>
      </c>
      <c r="AF3243">
        <v>174.7751561</v>
      </c>
      <c r="AG3243">
        <v>65</v>
      </c>
      <c r="AH3243">
        <v>12</v>
      </c>
      <c r="AI3243">
        <v>3</v>
      </c>
      <c r="AJ3243">
        <v>8</v>
      </c>
      <c r="AK3243">
        <v>8</v>
      </c>
      <c r="AL3243">
        <v>22</v>
      </c>
      <c r="AM3243">
        <v>17</v>
      </c>
      <c r="AN3243">
        <v>0</v>
      </c>
      <c r="AO3243">
        <v>58</v>
      </c>
      <c r="AP3243">
        <v>50</v>
      </c>
      <c r="AQ3243">
        <v>5</v>
      </c>
      <c r="AR3243">
        <v>4</v>
      </c>
      <c r="AS3243">
        <v>8</v>
      </c>
      <c r="AT3243">
        <v>1</v>
      </c>
    </row>
    <row r="3244" spans="1:46">
      <c r="A3244">
        <v>48103</v>
      </c>
      <c r="B3244" t="s">
        <v>18124</v>
      </c>
      <c r="C3244" t="s">
        <v>18125</v>
      </c>
      <c r="E3244" t="s">
        <v>18126</v>
      </c>
      <c r="F3244" t="s">
        <v>2097</v>
      </c>
      <c r="G3244" t="s">
        <v>2081</v>
      </c>
      <c r="H3244" t="s">
        <v>343</v>
      </c>
      <c r="J3244" t="s">
        <v>518</v>
      </c>
      <c r="K3244" t="s">
        <v>519</v>
      </c>
      <c r="L3244" t="s">
        <v>4205</v>
      </c>
      <c r="M3244" t="s">
        <v>1297</v>
      </c>
      <c r="N3244" t="s">
        <v>571</v>
      </c>
      <c r="O3244" t="s">
        <v>2082</v>
      </c>
      <c r="P3244" t="s">
        <v>584</v>
      </c>
      <c r="Q3244" t="s">
        <v>2083</v>
      </c>
      <c r="R3244" t="s">
        <v>2084</v>
      </c>
      <c r="S3244" t="s">
        <v>1473</v>
      </c>
      <c r="T3244" t="s">
        <v>2085</v>
      </c>
      <c r="U3244">
        <v>205900</v>
      </c>
      <c r="V3244" t="s">
        <v>18127</v>
      </c>
      <c r="W3244" t="s">
        <v>2087</v>
      </c>
      <c r="X3244" t="s">
        <v>18128</v>
      </c>
      <c r="Y3244" t="s">
        <v>4208</v>
      </c>
      <c r="Z3244" t="s">
        <v>4209</v>
      </c>
      <c r="AA3244" t="s">
        <v>4210</v>
      </c>
      <c r="AB3244" t="s">
        <v>18129</v>
      </c>
      <c r="AE3244">
        <v>-38.636813940000003</v>
      </c>
      <c r="AF3244">
        <v>178.01183176000001</v>
      </c>
      <c r="AG3244">
        <v>25</v>
      </c>
      <c r="AH3244">
        <v>10</v>
      </c>
      <c r="AI3244">
        <v>1</v>
      </c>
      <c r="AJ3244">
        <v>6</v>
      </c>
      <c r="AK3244">
        <v>10</v>
      </c>
      <c r="AL3244">
        <v>1</v>
      </c>
      <c r="AM3244">
        <v>0</v>
      </c>
      <c r="AN3244">
        <v>0</v>
      </c>
      <c r="AO3244">
        <v>18</v>
      </c>
      <c r="AP3244">
        <v>0</v>
      </c>
      <c r="AQ3244">
        <v>18</v>
      </c>
      <c r="AR3244">
        <v>0</v>
      </c>
      <c r="AS3244">
        <v>0</v>
      </c>
      <c r="AT3244">
        <v>0</v>
      </c>
    </row>
    <row r="3245" spans="1:46">
      <c r="A3245">
        <v>48104</v>
      </c>
      <c r="B3245" t="s">
        <v>18130</v>
      </c>
      <c r="C3245" t="s">
        <v>18131</v>
      </c>
      <c r="D3245" t="s">
        <v>18132</v>
      </c>
      <c r="E3245" t="s">
        <v>18133</v>
      </c>
      <c r="F3245" t="s">
        <v>1036</v>
      </c>
      <c r="G3245" t="s">
        <v>652</v>
      </c>
      <c r="H3245" t="s">
        <v>3942</v>
      </c>
      <c r="J3245" t="s">
        <v>3962</v>
      </c>
      <c r="K3245" t="s">
        <v>519</v>
      </c>
      <c r="M3245" t="s">
        <v>520</v>
      </c>
      <c r="N3245" t="s">
        <v>571</v>
      </c>
      <c r="O3245" t="s">
        <v>1216</v>
      </c>
      <c r="P3245" t="s">
        <v>654</v>
      </c>
      <c r="Q3245" t="s">
        <v>638</v>
      </c>
      <c r="R3245" t="s">
        <v>729</v>
      </c>
      <c r="S3245" t="s">
        <v>1036</v>
      </c>
      <c r="T3245" t="s">
        <v>709</v>
      </c>
      <c r="U3245">
        <v>160300</v>
      </c>
      <c r="V3245" t="s">
        <v>1252</v>
      </c>
      <c r="W3245" t="s">
        <v>1219</v>
      </c>
      <c r="X3245" t="s">
        <v>12791</v>
      </c>
      <c r="Y3245" t="s">
        <v>10566</v>
      </c>
      <c r="Z3245" t="s">
        <v>891</v>
      </c>
      <c r="AA3245" t="s">
        <v>10567</v>
      </c>
      <c r="AB3245" t="s">
        <v>12792</v>
      </c>
      <c r="AE3245">
        <v>-37.013858370000001</v>
      </c>
      <c r="AF3245">
        <v>174.89753725</v>
      </c>
      <c r="AG3245">
        <v>125</v>
      </c>
      <c r="AH3245">
        <v>35</v>
      </c>
      <c r="AI3245">
        <v>6</v>
      </c>
      <c r="AJ3245">
        <v>25</v>
      </c>
      <c r="AK3245">
        <v>35</v>
      </c>
      <c r="AL3245">
        <v>23</v>
      </c>
      <c r="AM3245">
        <v>20</v>
      </c>
      <c r="AN3245">
        <v>1</v>
      </c>
      <c r="AO3245">
        <v>110</v>
      </c>
      <c r="AP3245">
        <v>71</v>
      </c>
      <c r="AQ3245">
        <v>26</v>
      </c>
      <c r="AR3245">
        <v>17</v>
      </c>
      <c r="AS3245">
        <v>35</v>
      </c>
      <c r="AT3245">
        <v>7</v>
      </c>
    </row>
    <row r="3246" spans="1:46">
      <c r="A3246">
        <v>48105</v>
      </c>
      <c r="B3246" t="s">
        <v>18134</v>
      </c>
      <c r="C3246" t="s">
        <v>18135</v>
      </c>
      <c r="E3246" t="s">
        <v>18136</v>
      </c>
      <c r="F3246" t="s">
        <v>18137</v>
      </c>
      <c r="G3246" t="s">
        <v>1261</v>
      </c>
      <c r="H3246" t="s">
        <v>3942</v>
      </c>
      <c r="J3246" t="s">
        <v>518</v>
      </c>
      <c r="K3246" t="s">
        <v>519</v>
      </c>
      <c r="M3246" t="s">
        <v>520</v>
      </c>
      <c r="N3246" t="s">
        <v>571</v>
      </c>
      <c r="O3246" t="s">
        <v>1233</v>
      </c>
      <c r="P3246" t="s">
        <v>540</v>
      </c>
      <c r="Q3246" t="s">
        <v>638</v>
      </c>
      <c r="R3246" t="s">
        <v>729</v>
      </c>
      <c r="S3246" t="s">
        <v>1246</v>
      </c>
      <c r="T3246" t="s">
        <v>1235</v>
      </c>
      <c r="U3246">
        <v>165101</v>
      </c>
      <c r="V3246" t="s">
        <v>18138</v>
      </c>
      <c r="W3246" t="s">
        <v>1237</v>
      </c>
      <c r="X3246" t="s">
        <v>3943</v>
      </c>
      <c r="Y3246" t="s">
        <v>3944</v>
      </c>
      <c r="Z3246" t="s">
        <v>3945</v>
      </c>
      <c r="AA3246" t="s">
        <v>3946</v>
      </c>
      <c r="AB3246" t="s">
        <v>3947</v>
      </c>
      <c r="AE3246">
        <v>-37.14388228</v>
      </c>
      <c r="AF3246">
        <v>174.8876348</v>
      </c>
      <c r="AG3246">
        <v>100</v>
      </c>
      <c r="AH3246">
        <v>16</v>
      </c>
      <c r="AI3246">
        <v>3</v>
      </c>
      <c r="AJ3246">
        <v>13</v>
      </c>
      <c r="AK3246">
        <v>18</v>
      </c>
      <c r="AL3246">
        <v>14</v>
      </c>
      <c r="AM3246">
        <v>12</v>
      </c>
      <c r="AN3246">
        <v>0</v>
      </c>
      <c r="AO3246">
        <v>60</v>
      </c>
      <c r="AP3246">
        <v>30</v>
      </c>
      <c r="AQ3246">
        <v>13</v>
      </c>
      <c r="AR3246">
        <v>10</v>
      </c>
      <c r="AS3246">
        <v>22</v>
      </c>
      <c r="AT3246">
        <v>8</v>
      </c>
    </row>
    <row r="3247" spans="1:46">
      <c r="A3247">
        <v>48106</v>
      </c>
      <c r="B3247" t="s">
        <v>18139</v>
      </c>
      <c r="C3247" t="s">
        <v>18140</v>
      </c>
      <c r="E3247" t="s">
        <v>18141</v>
      </c>
      <c r="G3247" t="s">
        <v>699</v>
      </c>
      <c r="H3247" t="s">
        <v>3942</v>
      </c>
      <c r="J3247" t="s">
        <v>3962</v>
      </c>
      <c r="K3247" t="s">
        <v>519</v>
      </c>
      <c r="M3247" t="s">
        <v>520</v>
      </c>
      <c r="N3247" t="s">
        <v>571</v>
      </c>
      <c r="O3247" t="s">
        <v>653</v>
      </c>
      <c r="P3247" t="s">
        <v>584</v>
      </c>
      <c r="Q3247" t="s">
        <v>638</v>
      </c>
      <c r="R3247" t="s">
        <v>639</v>
      </c>
      <c r="S3247" t="s">
        <v>668</v>
      </c>
      <c r="T3247" t="s">
        <v>527</v>
      </c>
      <c r="U3247">
        <v>114400</v>
      </c>
      <c r="V3247" t="s">
        <v>5120</v>
      </c>
      <c r="W3247" t="s">
        <v>657</v>
      </c>
      <c r="X3247" t="s">
        <v>5897</v>
      </c>
      <c r="Y3247" t="s">
        <v>18142</v>
      </c>
      <c r="Z3247" t="s">
        <v>18143</v>
      </c>
      <c r="AA3247" t="s">
        <v>5921</v>
      </c>
      <c r="AE3247">
        <v>-36.617758870000003</v>
      </c>
      <c r="AF3247">
        <v>174.71309932</v>
      </c>
      <c r="AG3247">
        <v>45</v>
      </c>
      <c r="AH3247">
        <v>15</v>
      </c>
      <c r="AI3247">
        <v>1</v>
      </c>
      <c r="AJ3247">
        <v>7</v>
      </c>
      <c r="AK3247">
        <v>12</v>
      </c>
      <c r="AL3247">
        <v>13</v>
      </c>
      <c r="AM3247">
        <v>11</v>
      </c>
      <c r="AN3247">
        <v>1</v>
      </c>
      <c r="AO3247">
        <v>45</v>
      </c>
      <c r="AP3247">
        <v>40</v>
      </c>
      <c r="AQ3247">
        <v>13</v>
      </c>
      <c r="AR3247">
        <v>3</v>
      </c>
      <c r="AS3247">
        <v>0</v>
      </c>
      <c r="AT3247">
        <v>1</v>
      </c>
    </row>
    <row r="3248" spans="1:46">
      <c r="A3248">
        <v>48107</v>
      </c>
      <c r="B3248" t="s">
        <v>18144</v>
      </c>
      <c r="C3248" t="s">
        <v>18145</v>
      </c>
      <c r="D3248" t="s">
        <v>18146</v>
      </c>
      <c r="E3248" t="s">
        <v>18147</v>
      </c>
      <c r="F3248" t="s">
        <v>3111</v>
      </c>
      <c r="G3248" t="s">
        <v>2941</v>
      </c>
      <c r="H3248" t="s">
        <v>3942</v>
      </c>
      <c r="J3248" t="s">
        <v>3962</v>
      </c>
      <c r="K3248" t="s">
        <v>519</v>
      </c>
      <c r="M3248" t="s">
        <v>2287</v>
      </c>
      <c r="N3248" t="s">
        <v>571</v>
      </c>
      <c r="O3248" t="s">
        <v>2942</v>
      </c>
      <c r="P3248" t="s">
        <v>654</v>
      </c>
      <c r="Q3248" t="s">
        <v>2943</v>
      </c>
      <c r="R3248" t="s">
        <v>2944</v>
      </c>
      <c r="S3248" t="s">
        <v>2957</v>
      </c>
      <c r="T3248" t="s">
        <v>2448</v>
      </c>
      <c r="U3248">
        <v>330900</v>
      </c>
      <c r="V3248" t="s">
        <v>3111</v>
      </c>
      <c r="W3248" t="s">
        <v>3014</v>
      </c>
      <c r="X3248" t="s">
        <v>18148</v>
      </c>
      <c r="Y3248" t="s">
        <v>18149</v>
      </c>
      <c r="Z3248" t="s">
        <v>2956</v>
      </c>
      <c r="AA3248" t="s">
        <v>14662</v>
      </c>
      <c r="AB3248" t="s">
        <v>18145</v>
      </c>
      <c r="AC3248">
        <v>99177</v>
      </c>
      <c r="AD3248" t="s">
        <v>2959</v>
      </c>
      <c r="AE3248">
        <v>-43.552244510000001</v>
      </c>
      <c r="AF3248">
        <v>172.66304919000001</v>
      </c>
      <c r="AG3248">
        <v>59</v>
      </c>
      <c r="AH3248">
        <v>13</v>
      </c>
      <c r="AI3248">
        <v>3</v>
      </c>
      <c r="AJ3248">
        <v>11</v>
      </c>
      <c r="AK3248">
        <v>22</v>
      </c>
      <c r="AL3248">
        <v>17</v>
      </c>
      <c r="AM3248">
        <v>15</v>
      </c>
      <c r="AN3248">
        <v>3</v>
      </c>
      <c r="AO3248">
        <v>71</v>
      </c>
      <c r="AP3248">
        <v>60</v>
      </c>
      <c r="AQ3248">
        <v>10</v>
      </c>
      <c r="AR3248">
        <v>2</v>
      </c>
      <c r="AS3248">
        <v>3</v>
      </c>
      <c r="AT3248">
        <v>9</v>
      </c>
    </row>
    <row r="3249" spans="1:46">
      <c r="A3249">
        <v>48109</v>
      </c>
      <c r="B3249" t="s">
        <v>18150</v>
      </c>
      <c r="C3249" t="s">
        <v>18151</v>
      </c>
      <c r="D3249" t="s">
        <v>18152</v>
      </c>
      <c r="E3249" t="s">
        <v>18153</v>
      </c>
      <c r="F3249" t="s">
        <v>1036</v>
      </c>
      <c r="G3249" t="s">
        <v>652</v>
      </c>
      <c r="H3249" t="s">
        <v>3942</v>
      </c>
      <c r="J3249" t="s">
        <v>3962</v>
      </c>
      <c r="K3249" t="s">
        <v>519</v>
      </c>
      <c r="M3249" t="s">
        <v>520</v>
      </c>
      <c r="N3249" t="s">
        <v>539</v>
      </c>
      <c r="O3249" t="s">
        <v>1216</v>
      </c>
      <c r="P3249" t="s">
        <v>654</v>
      </c>
      <c r="Q3249" t="s">
        <v>638</v>
      </c>
      <c r="R3249" t="s">
        <v>729</v>
      </c>
      <c r="S3249" t="s">
        <v>1036</v>
      </c>
      <c r="T3249" t="s">
        <v>709</v>
      </c>
      <c r="U3249">
        <v>159101</v>
      </c>
      <c r="V3249" t="s">
        <v>11994</v>
      </c>
      <c r="W3249" t="s">
        <v>1219</v>
      </c>
      <c r="X3249" t="s">
        <v>17222</v>
      </c>
      <c r="Y3249" t="s">
        <v>18154</v>
      </c>
      <c r="Z3249" t="s">
        <v>1234</v>
      </c>
      <c r="AA3249" t="s">
        <v>7740</v>
      </c>
      <c r="AE3249">
        <v>-37.011625250000002</v>
      </c>
      <c r="AF3249">
        <v>174.88424997999999</v>
      </c>
      <c r="AG3249">
        <v>64</v>
      </c>
      <c r="AH3249">
        <v>16</v>
      </c>
      <c r="AI3249">
        <v>1</v>
      </c>
      <c r="AJ3249">
        <v>8</v>
      </c>
      <c r="AK3249">
        <v>19</v>
      </c>
      <c r="AL3249">
        <v>14</v>
      </c>
      <c r="AM3249">
        <v>18</v>
      </c>
      <c r="AN3249">
        <v>2</v>
      </c>
      <c r="AO3249">
        <v>62</v>
      </c>
      <c r="AP3249">
        <v>6</v>
      </c>
      <c r="AQ3249">
        <v>5</v>
      </c>
      <c r="AR3249">
        <v>14</v>
      </c>
      <c r="AS3249">
        <v>44</v>
      </c>
      <c r="AT3249">
        <v>0</v>
      </c>
    </row>
    <row r="3250" spans="1:46">
      <c r="A3250">
        <v>48111</v>
      </c>
      <c r="B3250" t="s">
        <v>18155</v>
      </c>
      <c r="C3250" t="s">
        <v>18156</v>
      </c>
      <c r="E3250" t="s">
        <v>18157</v>
      </c>
      <c r="F3250" t="s">
        <v>898</v>
      </c>
      <c r="G3250" t="s">
        <v>652</v>
      </c>
      <c r="H3250" t="s">
        <v>3942</v>
      </c>
      <c r="J3250" t="s">
        <v>3962</v>
      </c>
      <c r="K3250" t="s">
        <v>519</v>
      </c>
      <c r="M3250" t="s">
        <v>520</v>
      </c>
      <c r="N3250" t="s">
        <v>557</v>
      </c>
      <c r="O3250" t="s">
        <v>813</v>
      </c>
      <c r="P3250" t="s">
        <v>654</v>
      </c>
      <c r="Q3250" t="s">
        <v>638</v>
      </c>
      <c r="R3250" t="s">
        <v>639</v>
      </c>
      <c r="S3250" t="s">
        <v>899</v>
      </c>
      <c r="T3250" t="s">
        <v>527</v>
      </c>
      <c r="U3250">
        <v>125100</v>
      </c>
      <c r="V3250" t="s">
        <v>4305</v>
      </c>
      <c r="W3250" t="s">
        <v>815</v>
      </c>
      <c r="X3250" t="s">
        <v>15158</v>
      </c>
      <c r="Y3250" t="s">
        <v>15157</v>
      </c>
      <c r="Z3250" t="s">
        <v>898</v>
      </c>
      <c r="AA3250" t="s">
        <v>3964</v>
      </c>
      <c r="AB3250" t="s">
        <v>15156</v>
      </c>
      <c r="AE3250">
        <v>-36.85593257</v>
      </c>
      <c r="AF3250">
        <v>174.62925539</v>
      </c>
      <c r="AG3250">
        <v>60</v>
      </c>
      <c r="AH3250">
        <v>20</v>
      </c>
      <c r="AI3250">
        <v>0</v>
      </c>
      <c r="AJ3250">
        <v>7</v>
      </c>
      <c r="AK3250">
        <v>16</v>
      </c>
      <c r="AL3250">
        <v>19</v>
      </c>
      <c r="AM3250">
        <v>11</v>
      </c>
      <c r="AN3250">
        <v>2</v>
      </c>
      <c r="AO3250">
        <v>55</v>
      </c>
      <c r="AP3250">
        <v>9</v>
      </c>
      <c r="AQ3250">
        <v>1</v>
      </c>
      <c r="AR3250">
        <v>32</v>
      </c>
      <c r="AS3250">
        <v>17</v>
      </c>
      <c r="AT3250">
        <v>4</v>
      </c>
    </row>
    <row r="3251" spans="1:46">
      <c r="A3251">
        <v>48113</v>
      </c>
      <c r="B3251" t="s">
        <v>4266</v>
      </c>
      <c r="C3251" t="s">
        <v>18158</v>
      </c>
      <c r="E3251" t="s">
        <v>18159</v>
      </c>
      <c r="G3251" t="s">
        <v>2526</v>
      </c>
      <c r="H3251" t="s">
        <v>3942</v>
      </c>
      <c r="J3251" t="s">
        <v>3962</v>
      </c>
      <c r="K3251" t="s">
        <v>519</v>
      </c>
      <c r="M3251" t="s">
        <v>2287</v>
      </c>
      <c r="N3251" t="s">
        <v>571</v>
      </c>
      <c r="O3251" t="s">
        <v>2527</v>
      </c>
      <c r="P3251" t="s">
        <v>584</v>
      </c>
      <c r="Q3251" t="s">
        <v>2319</v>
      </c>
      <c r="R3251" t="s">
        <v>2289</v>
      </c>
      <c r="S3251" t="s">
        <v>2528</v>
      </c>
      <c r="T3251" t="s">
        <v>1485</v>
      </c>
      <c r="U3251">
        <v>240100</v>
      </c>
      <c r="V3251" t="s">
        <v>12248</v>
      </c>
      <c r="W3251" t="s">
        <v>2529</v>
      </c>
      <c r="X3251" t="s">
        <v>18160</v>
      </c>
      <c r="Y3251" t="s">
        <v>16265</v>
      </c>
      <c r="Z3251" t="s">
        <v>911</v>
      </c>
      <c r="AA3251" t="s">
        <v>4537</v>
      </c>
      <c r="AB3251" t="s">
        <v>18158</v>
      </c>
      <c r="AE3251">
        <v>-41.12658476</v>
      </c>
      <c r="AF3251">
        <v>174.85594818999999</v>
      </c>
      <c r="AG3251">
        <v>76</v>
      </c>
      <c r="AH3251">
        <v>20</v>
      </c>
      <c r="AI3251">
        <v>5</v>
      </c>
      <c r="AJ3251">
        <v>11</v>
      </c>
      <c r="AK3251">
        <v>25</v>
      </c>
      <c r="AL3251">
        <v>14</v>
      </c>
      <c r="AM3251">
        <v>13</v>
      </c>
      <c r="AN3251">
        <v>0</v>
      </c>
      <c r="AO3251">
        <v>68</v>
      </c>
      <c r="AP3251">
        <v>33</v>
      </c>
      <c r="AQ3251">
        <v>11</v>
      </c>
      <c r="AR3251">
        <v>7</v>
      </c>
      <c r="AS3251">
        <v>31</v>
      </c>
      <c r="AT3251">
        <v>2</v>
      </c>
    </row>
    <row r="3252" spans="1:46">
      <c r="A3252">
        <v>48115</v>
      </c>
      <c r="B3252" t="s">
        <v>18161</v>
      </c>
      <c r="C3252" t="s">
        <v>18162</v>
      </c>
      <c r="E3252" t="s">
        <v>18163</v>
      </c>
      <c r="G3252" t="s">
        <v>18138</v>
      </c>
      <c r="H3252" t="s">
        <v>3942</v>
      </c>
      <c r="J3252" t="s">
        <v>3962</v>
      </c>
      <c r="K3252" t="s">
        <v>519</v>
      </c>
      <c r="M3252" t="s">
        <v>520</v>
      </c>
      <c r="N3252" t="s">
        <v>571</v>
      </c>
      <c r="O3252" t="s">
        <v>1233</v>
      </c>
      <c r="P3252" t="s">
        <v>572</v>
      </c>
      <c r="Q3252" t="s">
        <v>638</v>
      </c>
      <c r="R3252" t="s">
        <v>729</v>
      </c>
      <c r="S3252" t="s">
        <v>1234</v>
      </c>
      <c r="T3252" t="s">
        <v>1235</v>
      </c>
      <c r="U3252">
        <v>164602</v>
      </c>
      <c r="V3252" t="s">
        <v>18164</v>
      </c>
      <c r="W3252" t="s">
        <v>1237</v>
      </c>
      <c r="X3252" t="s">
        <v>17571</v>
      </c>
      <c r="Y3252" t="s">
        <v>12191</v>
      </c>
      <c r="Z3252" t="s">
        <v>12192</v>
      </c>
      <c r="AA3252" t="s">
        <v>12193</v>
      </c>
      <c r="AB3252" t="s">
        <v>17572</v>
      </c>
      <c r="AE3252">
        <v>-37.138202290000002</v>
      </c>
      <c r="AF3252">
        <v>174.97027349999999</v>
      </c>
      <c r="AG3252">
        <v>100</v>
      </c>
      <c r="AH3252">
        <v>35</v>
      </c>
      <c r="AI3252">
        <v>4</v>
      </c>
      <c r="AJ3252">
        <v>26</v>
      </c>
      <c r="AK3252">
        <v>30</v>
      </c>
      <c r="AL3252">
        <v>26</v>
      </c>
      <c r="AM3252">
        <v>9</v>
      </c>
      <c r="AN3252">
        <v>1</v>
      </c>
      <c r="AO3252">
        <v>96</v>
      </c>
      <c r="AP3252">
        <v>78</v>
      </c>
      <c r="AQ3252">
        <v>20</v>
      </c>
      <c r="AR3252">
        <v>8</v>
      </c>
      <c r="AS3252">
        <v>17</v>
      </c>
      <c r="AT3252">
        <v>4</v>
      </c>
    </row>
    <row r="3253" spans="1:46">
      <c r="A3253">
        <v>48116</v>
      </c>
      <c r="B3253" t="s">
        <v>18165</v>
      </c>
      <c r="C3253" t="s">
        <v>18166</v>
      </c>
      <c r="D3253" t="s">
        <v>18167</v>
      </c>
      <c r="E3253" t="s">
        <v>18168</v>
      </c>
      <c r="F3253" t="s">
        <v>9007</v>
      </c>
      <c r="G3253" t="s">
        <v>2081</v>
      </c>
      <c r="H3253" t="s">
        <v>3942</v>
      </c>
      <c r="I3253" t="s">
        <v>6231</v>
      </c>
      <c r="J3253" t="s">
        <v>518</v>
      </c>
      <c r="K3253" t="s">
        <v>519</v>
      </c>
      <c r="M3253" t="s">
        <v>1297</v>
      </c>
      <c r="N3253" t="s">
        <v>557</v>
      </c>
      <c r="O3253" t="s">
        <v>2082</v>
      </c>
      <c r="P3253" t="s">
        <v>584</v>
      </c>
      <c r="Q3253" t="s">
        <v>2083</v>
      </c>
      <c r="R3253" t="s">
        <v>2084</v>
      </c>
      <c r="S3253" t="s">
        <v>1473</v>
      </c>
      <c r="T3253" t="s">
        <v>2085</v>
      </c>
      <c r="U3253">
        <v>205800</v>
      </c>
      <c r="V3253" t="s">
        <v>11488</v>
      </c>
      <c r="W3253" t="s">
        <v>2087</v>
      </c>
      <c r="X3253" t="s">
        <v>18169</v>
      </c>
      <c r="Y3253" t="s">
        <v>8738</v>
      </c>
      <c r="Z3253" t="s">
        <v>1312</v>
      </c>
      <c r="AA3253" t="s">
        <v>1306</v>
      </c>
      <c r="AE3253">
        <v>-38.648595219999997</v>
      </c>
      <c r="AF3253">
        <v>177.99027054000001</v>
      </c>
      <c r="AG3253">
        <v>20</v>
      </c>
      <c r="AH3253">
        <v>0</v>
      </c>
      <c r="AI3253">
        <v>0</v>
      </c>
      <c r="AJ3253">
        <v>0</v>
      </c>
      <c r="AK3253">
        <v>3</v>
      </c>
      <c r="AL3253">
        <v>7</v>
      </c>
      <c r="AM3253">
        <v>13</v>
      </c>
      <c r="AN3253">
        <v>1</v>
      </c>
      <c r="AO3253">
        <v>24</v>
      </c>
      <c r="AP3253">
        <v>16</v>
      </c>
      <c r="AQ3253">
        <v>4</v>
      </c>
      <c r="AR3253">
        <v>1</v>
      </c>
      <c r="AS3253">
        <v>9</v>
      </c>
      <c r="AT3253">
        <v>0</v>
      </c>
    </row>
    <row r="3254" spans="1:46">
      <c r="A3254">
        <v>48117</v>
      </c>
      <c r="B3254" t="s">
        <v>18170</v>
      </c>
      <c r="C3254" t="s">
        <v>18171</v>
      </c>
      <c r="E3254" t="s">
        <v>18172</v>
      </c>
      <c r="F3254" t="s">
        <v>18173</v>
      </c>
      <c r="G3254" t="s">
        <v>1296</v>
      </c>
      <c r="H3254" t="s">
        <v>3942</v>
      </c>
      <c r="J3254" t="s">
        <v>3962</v>
      </c>
      <c r="K3254" t="s">
        <v>519</v>
      </c>
      <c r="M3254" t="s">
        <v>1297</v>
      </c>
      <c r="N3254" t="s">
        <v>571</v>
      </c>
      <c r="O3254" t="s">
        <v>1298</v>
      </c>
      <c r="P3254" t="s">
        <v>654</v>
      </c>
      <c r="Q3254" t="s">
        <v>1299</v>
      </c>
      <c r="R3254" t="s">
        <v>1300</v>
      </c>
      <c r="S3254" t="s">
        <v>1301</v>
      </c>
      <c r="T3254" t="s">
        <v>1235</v>
      </c>
      <c r="U3254">
        <v>175201</v>
      </c>
      <c r="V3254" t="s">
        <v>9060</v>
      </c>
      <c r="W3254" t="s">
        <v>1303</v>
      </c>
      <c r="X3254" t="s">
        <v>18174</v>
      </c>
      <c r="Y3254" t="s">
        <v>18175</v>
      </c>
      <c r="Z3254" t="s">
        <v>9080</v>
      </c>
      <c r="AA3254" t="s">
        <v>18176</v>
      </c>
      <c r="AB3254" t="s">
        <v>18177</v>
      </c>
      <c r="AE3254">
        <v>-37.751702170000002</v>
      </c>
      <c r="AF3254">
        <v>175.2300918</v>
      </c>
      <c r="AG3254">
        <v>80</v>
      </c>
      <c r="AH3254">
        <v>30</v>
      </c>
      <c r="AI3254">
        <v>11</v>
      </c>
      <c r="AJ3254">
        <v>25</v>
      </c>
      <c r="AK3254">
        <v>27</v>
      </c>
      <c r="AL3254">
        <v>20</v>
      </c>
      <c r="AM3254">
        <v>8</v>
      </c>
      <c r="AN3254">
        <v>1</v>
      </c>
      <c r="AO3254">
        <v>92</v>
      </c>
      <c r="AP3254">
        <v>65</v>
      </c>
      <c r="AQ3254">
        <v>31</v>
      </c>
      <c r="AR3254">
        <v>8</v>
      </c>
      <c r="AS3254">
        <v>17</v>
      </c>
      <c r="AT3254">
        <v>10</v>
      </c>
    </row>
    <row r="3255" spans="1:46">
      <c r="A3255">
        <v>48118</v>
      </c>
      <c r="B3255" t="s">
        <v>18178</v>
      </c>
      <c r="E3255" t="s">
        <v>17727</v>
      </c>
      <c r="F3255" t="s">
        <v>1114</v>
      </c>
      <c r="G3255" t="s">
        <v>652</v>
      </c>
      <c r="H3255" t="s">
        <v>4716</v>
      </c>
      <c r="J3255" t="s">
        <v>3962</v>
      </c>
      <c r="K3255" t="s">
        <v>519</v>
      </c>
      <c r="M3255" t="s">
        <v>520</v>
      </c>
      <c r="N3255" t="s">
        <v>571</v>
      </c>
      <c r="O3255" t="s">
        <v>813</v>
      </c>
      <c r="P3255" t="s">
        <v>654</v>
      </c>
      <c r="Q3255" t="s">
        <v>638</v>
      </c>
      <c r="R3255" t="s">
        <v>639</v>
      </c>
      <c r="S3255" t="s">
        <v>899</v>
      </c>
      <c r="T3255" t="s">
        <v>527</v>
      </c>
      <c r="U3255">
        <v>124200</v>
      </c>
      <c r="V3255" t="s">
        <v>17725</v>
      </c>
      <c r="W3255" t="s">
        <v>815</v>
      </c>
      <c r="X3255" t="s">
        <v>18179</v>
      </c>
      <c r="Y3255" t="s">
        <v>17727</v>
      </c>
      <c r="Z3255" t="s">
        <v>1114</v>
      </c>
      <c r="AA3255" t="s">
        <v>3964</v>
      </c>
      <c r="AB3255" t="s">
        <v>18180</v>
      </c>
      <c r="AE3255">
        <v>-36.87452073</v>
      </c>
      <c r="AF3255">
        <v>174.59529660000001</v>
      </c>
      <c r="AG3255">
        <v>20</v>
      </c>
      <c r="AH3255">
        <v>20</v>
      </c>
      <c r="AI3255">
        <v>0</v>
      </c>
      <c r="AJ3255">
        <v>2</v>
      </c>
      <c r="AK3255">
        <v>2</v>
      </c>
      <c r="AL3255">
        <v>2</v>
      </c>
      <c r="AM3255">
        <v>2</v>
      </c>
      <c r="AN3255">
        <v>0</v>
      </c>
      <c r="AO3255">
        <v>8</v>
      </c>
      <c r="AP3255">
        <v>7</v>
      </c>
      <c r="AQ3255">
        <v>2</v>
      </c>
      <c r="AR3255">
        <v>2</v>
      </c>
      <c r="AS3255">
        <v>1</v>
      </c>
      <c r="AT3255">
        <v>0</v>
      </c>
    </row>
    <row r="3256" spans="1:46">
      <c r="A3256">
        <v>48120</v>
      </c>
      <c r="B3256" t="s">
        <v>18181</v>
      </c>
      <c r="E3256" t="s">
        <v>18182</v>
      </c>
      <c r="F3256" t="s">
        <v>964</v>
      </c>
      <c r="G3256" t="s">
        <v>652</v>
      </c>
      <c r="H3256" t="s">
        <v>4716</v>
      </c>
      <c r="J3256" t="s">
        <v>3962</v>
      </c>
      <c r="K3256" t="s">
        <v>519</v>
      </c>
      <c r="M3256" t="s">
        <v>520</v>
      </c>
      <c r="N3256" t="s">
        <v>571</v>
      </c>
      <c r="O3256" t="s">
        <v>912</v>
      </c>
      <c r="P3256" t="s">
        <v>654</v>
      </c>
      <c r="Q3256" t="s">
        <v>638</v>
      </c>
      <c r="R3256" t="s">
        <v>708</v>
      </c>
      <c r="S3256" t="s">
        <v>913</v>
      </c>
      <c r="T3256" t="s">
        <v>709</v>
      </c>
      <c r="U3256">
        <v>140901</v>
      </c>
      <c r="V3256" t="s">
        <v>965</v>
      </c>
      <c r="W3256" t="s">
        <v>860</v>
      </c>
      <c r="X3256" t="s">
        <v>18183</v>
      </c>
      <c r="Y3256" t="s">
        <v>18182</v>
      </c>
      <c r="Z3256" t="s">
        <v>964</v>
      </c>
      <c r="AA3256" t="s">
        <v>7047</v>
      </c>
      <c r="AE3256">
        <v>-36.92808754</v>
      </c>
      <c r="AF3256">
        <v>174.72349159999999</v>
      </c>
      <c r="AG3256">
        <v>50</v>
      </c>
      <c r="AH3256">
        <v>50</v>
      </c>
      <c r="AI3256">
        <v>15</v>
      </c>
      <c r="AJ3256">
        <v>36</v>
      </c>
      <c r="AK3256">
        <v>15</v>
      </c>
      <c r="AL3256">
        <v>12</v>
      </c>
      <c r="AM3256">
        <v>11</v>
      </c>
      <c r="AN3256">
        <v>0</v>
      </c>
      <c r="AO3256">
        <v>89</v>
      </c>
      <c r="AP3256">
        <v>2</v>
      </c>
      <c r="AQ3256">
        <v>0</v>
      </c>
      <c r="AR3256">
        <v>0</v>
      </c>
      <c r="AS3256">
        <v>89</v>
      </c>
      <c r="AT3256">
        <v>0</v>
      </c>
    </row>
    <row r="3257" spans="1:46">
      <c r="A3257">
        <v>48122</v>
      </c>
      <c r="B3257" t="s">
        <v>18184</v>
      </c>
      <c r="C3257" t="s">
        <v>18185</v>
      </c>
      <c r="D3257" t="s">
        <v>18186</v>
      </c>
      <c r="E3257" t="s">
        <v>18187</v>
      </c>
      <c r="F3257" t="s">
        <v>1035</v>
      </c>
      <c r="G3257" t="s">
        <v>652</v>
      </c>
      <c r="H3257" t="s">
        <v>3942</v>
      </c>
      <c r="J3257" t="s">
        <v>3962</v>
      </c>
      <c r="K3257" t="s">
        <v>519</v>
      </c>
      <c r="M3257" t="s">
        <v>520</v>
      </c>
      <c r="N3257" t="s">
        <v>557</v>
      </c>
      <c r="O3257" t="s">
        <v>728</v>
      </c>
      <c r="P3257" t="s">
        <v>654</v>
      </c>
      <c r="Q3257" t="s">
        <v>638</v>
      </c>
      <c r="R3257" t="s">
        <v>729</v>
      </c>
      <c r="S3257" t="s">
        <v>730</v>
      </c>
      <c r="T3257" t="s">
        <v>709</v>
      </c>
      <c r="U3257">
        <v>155602</v>
      </c>
      <c r="V3257" t="s">
        <v>16783</v>
      </c>
      <c r="W3257" t="s">
        <v>732</v>
      </c>
      <c r="X3257" t="s">
        <v>8037</v>
      </c>
      <c r="Y3257" t="s">
        <v>15567</v>
      </c>
      <c r="Z3257" t="s">
        <v>1217</v>
      </c>
      <c r="AA3257" t="s">
        <v>18188</v>
      </c>
      <c r="AB3257" t="s">
        <v>8040</v>
      </c>
      <c r="AE3257">
        <v>-36.974343040000001</v>
      </c>
      <c r="AF3257">
        <v>174.87716090000001</v>
      </c>
      <c r="AG3257">
        <v>25</v>
      </c>
      <c r="AH3257">
        <v>5</v>
      </c>
      <c r="AI3257">
        <v>2</v>
      </c>
      <c r="AJ3257">
        <v>3</v>
      </c>
      <c r="AK3257">
        <v>5</v>
      </c>
      <c r="AL3257">
        <v>15</v>
      </c>
      <c r="AM3257">
        <v>3</v>
      </c>
      <c r="AN3257">
        <v>0</v>
      </c>
      <c r="AO3257">
        <v>28</v>
      </c>
      <c r="AP3257">
        <v>0</v>
      </c>
      <c r="AQ3257">
        <v>3</v>
      </c>
      <c r="AR3257">
        <v>9</v>
      </c>
      <c r="AS3257">
        <v>19</v>
      </c>
      <c r="AT3257">
        <v>0</v>
      </c>
    </row>
    <row r="3258" spans="1:46">
      <c r="A3258">
        <v>48123</v>
      </c>
      <c r="B3258" t="s">
        <v>18189</v>
      </c>
      <c r="C3258" t="s">
        <v>18190</v>
      </c>
      <c r="E3258" t="s">
        <v>18191</v>
      </c>
      <c r="F3258" t="s">
        <v>18192</v>
      </c>
      <c r="G3258" t="s">
        <v>2941</v>
      </c>
      <c r="H3258" t="s">
        <v>3942</v>
      </c>
      <c r="J3258" t="s">
        <v>3962</v>
      </c>
      <c r="K3258" t="s">
        <v>519</v>
      </c>
      <c r="M3258" t="s">
        <v>2287</v>
      </c>
      <c r="N3258" t="s">
        <v>571</v>
      </c>
      <c r="O3258" t="s">
        <v>2942</v>
      </c>
      <c r="P3258" t="s">
        <v>654</v>
      </c>
      <c r="Q3258" t="s">
        <v>2943</v>
      </c>
      <c r="R3258" t="s">
        <v>2944</v>
      </c>
      <c r="S3258" t="s">
        <v>3179</v>
      </c>
      <c r="T3258" t="s">
        <v>2448</v>
      </c>
      <c r="U3258">
        <v>316600</v>
      </c>
      <c r="V3258" t="s">
        <v>10921</v>
      </c>
      <c r="W3258" t="s">
        <v>3020</v>
      </c>
      <c r="X3258" t="s">
        <v>18193</v>
      </c>
      <c r="Y3258" t="s">
        <v>18191</v>
      </c>
      <c r="AA3258" t="s">
        <v>18194</v>
      </c>
      <c r="AB3258" t="s">
        <v>18195</v>
      </c>
      <c r="AE3258">
        <v>-43.518517340000002</v>
      </c>
      <c r="AF3258">
        <v>172.52268470000001</v>
      </c>
      <c r="AG3258">
        <v>150</v>
      </c>
      <c r="AH3258">
        <v>55</v>
      </c>
      <c r="AI3258">
        <v>7</v>
      </c>
      <c r="AJ3258">
        <v>43</v>
      </c>
      <c r="AK3258">
        <v>54</v>
      </c>
      <c r="AL3258">
        <v>29</v>
      </c>
      <c r="AM3258">
        <v>14</v>
      </c>
      <c r="AN3258">
        <v>2</v>
      </c>
      <c r="AO3258">
        <v>149</v>
      </c>
      <c r="AP3258">
        <v>127</v>
      </c>
      <c r="AQ3258">
        <v>20</v>
      </c>
      <c r="AR3258">
        <v>5</v>
      </c>
      <c r="AS3258">
        <v>21</v>
      </c>
      <c r="AT3258">
        <v>5</v>
      </c>
    </row>
    <row r="3259" spans="1:46">
      <c r="A3259">
        <v>48126</v>
      </c>
      <c r="B3259" t="s">
        <v>18196</v>
      </c>
      <c r="C3259" t="s">
        <v>18197</v>
      </c>
      <c r="E3259" t="s">
        <v>18198</v>
      </c>
      <c r="G3259" t="s">
        <v>1586</v>
      </c>
      <c r="H3259" t="s">
        <v>343</v>
      </c>
      <c r="J3259" t="s">
        <v>518</v>
      </c>
      <c r="K3259" t="s">
        <v>519</v>
      </c>
      <c r="L3259" t="s">
        <v>4205</v>
      </c>
      <c r="M3259" t="s">
        <v>1297</v>
      </c>
      <c r="N3259" t="s">
        <v>521</v>
      </c>
      <c r="O3259" t="s">
        <v>1450</v>
      </c>
      <c r="P3259" t="s">
        <v>523</v>
      </c>
      <c r="Q3259" t="s">
        <v>1299</v>
      </c>
      <c r="R3259" t="s">
        <v>1300</v>
      </c>
      <c r="S3259" t="s">
        <v>1300</v>
      </c>
      <c r="T3259" t="s">
        <v>1235</v>
      </c>
      <c r="U3259">
        <v>174001</v>
      </c>
      <c r="V3259" t="s">
        <v>3822</v>
      </c>
      <c r="W3259" t="s">
        <v>1588</v>
      </c>
      <c r="X3259" t="s">
        <v>7630</v>
      </c>
      <c r="Y3259" t="s">
        <v>4208</v>
      </c>
      <c r="Z3259" t="s">
        <v>4209</v>
      </c>
      <c r="AA3259" t="s">
        <v>4210</v>
      </c>
      <c r="AB3259" t="s">
        <v>7631</v>
      </c>
      <c r="AE3259">
        <v>-37.657678519999997</v>
      </c>
      <c r="AF3259">
        <v>175.52981389999999</v>
      </c>
      <c r="AG3259">
        <v>35</v>
      </c>
      <c r="AH3259">
        <v>12</v>
      </c>
      <c r="AI3259">
        <v>1</v>
      </c>
      <c r="AJ3259">
        <v>12</v>
      </c>
      <c r="AK3259">
        <v>6</v>
      </c>
      <c r="AL3259">
        <v>10</v>
      </c>
      <c r="AM3259">
        <v>4</v>
      </c>
      <c r="AN3259">
        <v>0</v>
      </c>
      <c r="AO3259">
        <v>33</v>
      </c>
      <c r="AP3259">
        <v>0</v>
      </c>
      <c r="AQ3259">
        <v>32</v>
      </c>
      <c r="AR3259">
        <v>1</v>
      </c>
      <c r="AS3259">
        <v>0</v>
      </c>
      <c r="AT3259">
        <v>0</v>
      </c>
    </row>
    <row r="3260" spans="1:46">
      <c r="A3260">
        <v>48129</v>
      </c>
      <c r="B3260" t="s">
        <v>18199</v>
      </c>
      <c r="C3260" t="s">
        <v>18200</v>
      </c>
      <c r="E3260" t="s">
        <v>18201</v>
      </c>
      <c r="F3260" t="s">
        <v>7810</v>
      </c>
      <c r="G3260" t="s">
        <v>652</v>
      </c>
      <c r="H3260" t="s">
        <v>3942</v>
      </c>
      <c r="J3260" t="s">
        <v>3962</v>
      </c>
      <c r="K3260" t="s">
        <v>519</v>
      </c>
      <c r="M3260" t="s">
        <v>520</v>
      </c>
      <c r="N3260" t="s">
        <v>571</v>
      </c>
      <c r="O3260" t="s">
        <v>1233</v>
      </c>
      <c r="P3260" t="s">
        <v>523</v>
      </c>
      <c r="Q3260" t="s">
        <v>638</v>
      </c>
      <c r="R3260" t="s">
        <v>708</v>
      </c>
      <c r="S3260" t="s">
        <v>1234</v>
      </c>
      <c r="T3260" t="s">
        <v>1235</v>
      </c>
      <c r="U3260">
        <v>155000</v>
      </c>
      <c r="V3260" t="s">
        <v>7811</v>
      </c>
      <c r="W3260" t="s">
        <v>1237</v>
      </c>
      <c r="X3260" t="s">
        <v>13372</v>
      </c>
      <c r="Y3260" t="s">
        <v>13373</v>
      </c>
      <c r="Z3260" t="s">
        <v>5104</v>
      </c>
      <c r="AA3260" t="s">
        <v>18202</v>
      </c>
      <c r="AE3260">
        <v>-36.884387609999997</v>
      </c>
      <c r="AF3260">
        <v>174.99844751000001</v>
      </c>
      <c r="AG3260">
        <v>50</v>
      </c>
      <c r="AH3260">
        <v>10</v>
      </c>
      <c r="AI3260">
        <v>2</v>
      </c>
      <c r="AJ3260">
        <v>6</v>
      </c>
      <c r="AK3260">
        <v>3</v>
      </c>
      <c r="AL3260">
        <v>2</v>
      </c>
      <c r="AM3260">
        <v>2</v>
      </c>
      <c r="AN3260">
        <v>1</v>
      </c>
      <c r="AO3260">
        <v>16</v>
      </c>
      <c r="AP3260">
        <v>12</v>
      </c>
      <c r="AQ3260">
        <v>4</v>
      </c>
      <c r="AR3260">
        <v>2</v>
      </c>
      <c r="AS3260">
        <v>4</v>
      </c>
      <c r="AT3260">
        <v>9</v>
      </c>
    </row>
    <row r="3261" spans="1:46">
      <c r="A3261">
        <v>48130</v>
      </c>
      <c r="B3261" t="s">
        <v>18203</v>
      </c>
      <c r="C3261" t="s">
        <v>18204</v>
      </c>
      <c r="E3261" t="s">
        <v>18205</v>
      </c>
      <c r="F3261" t="s">
        <v>8402</v>
      </c>
      <c r="G3261" t="s">
        <v>1598</v>
      </c>
      <c r="H3261" t="s">
        <v>4716</v>
      </c>
      <c r="J3261" t="s">
        <v>3962</v>
      </c>
      <c r="K3261" t="s">
        <v>519</v>
      </c>
      <c r="M3261" t="s">
        <v>2287</v>
      </c>
      <c r="N3261" t="s">
        <v>571</v>
      </c>
      <c r="O3261" t="s">
        <v>1698</v>
      </c>
      <c r="P3261" t="s">
        <v>654</v>
      </c>
      <c r="Q3261" t="s">
        <v>1471</v>
      </c>
      <c r="R3261" t="s">
        <v>2944</v>
      </c>
      <c r="S3261" t="s">
        <v>1598</v>
      </c>
      <c r="T3261" t="s">
        <v>1474</v>
      </c>
      <c r="U3261">
        <v>193800</v>
      </c>
      <c r="V3261" t="s">
        <v>8402</v>
      </c>
      <c r="W3261" t="s">
        <v>3724</v>
      </c>
      <c r="X3261" t="s">
        <v>8474</v>
      </c>
      <c r="Y3261" t="s">
        <v>8401</v>
      </c>
      <c r="AA3261" t="s">
        <v>8404</v>
      </c>
      <c r="AE3261">
        <v>-37.684019790000001</v>
      </c>
      <c r="AF3261">
        <v>176.16810770000001</v>
      </c>
      <c r="AG3261">
        <v>50</v>
      </c>
      <c r="AH3261">
        <v>25</v>
      </c>
      <c r="AI3261">
        <v>1</v>
      </c>
      <c r="AJ3261">
        <v>9</v>
      </c>
      <c r="AK3261">
        <v>8</v>
      </c>
      <c r="AL3261">
        <v>12</v>
      </c>
      <c r="AM3261">
        <v>5</v>
      </c>
      <c r="AN3261">
        <v>0</v>
      </c>
      <c r="AO3261">
        <v>35</v>
      </c>
      <c r="AP3261">
        <v>28</v>
      </c>
      <c r="AQ3261">
        <v>3</v>
      </c>
      <c r="AR3261">
        <v>1</v>
      </c>
      <c r="AS3261">
        <v>2</v>
      </c>
      <c r="AT3261">
        <v>10</v>
      </c>
    </row>
    <row r="3262" spans="1:46">
      <c r="A3262">
        <v>48132</v>
      </c>
      <c r="B3262" t="s">
        <v>18206</v>
      </c>
      <c r="C3262" t="s">
        <v>18207</v>
      </c>
      <c r="E3262" t="s">
        <v>18208</v>
      </c>
      <c r="F3262" t="s">
        <v>7182</v>
      </c>
      <c r="G3262" t="s">
        <v>652</v>
      </c>
      <c r="H3262" t="s">
        <v>3942</v>
      </c>
      <c r="J3262" t="s">
        <v>518</v>
      </c>
      <c r="K3262" t="s">
        <v>519</v>
      </c>
      <c r="M3262" t="s">
        <v>520</v>
      </c>
      <c r="N3262" t="s">
        <v>8995</v>
      </c>
      <c r="O3262" t="s">
        <v>7183</v>
      </c>
      <c r="P3262" t="s">
        <v>572</v>
      </c>
      <c r="Q3262" t="s">
        <v>638</v>
      </c>
      <c r="R3262" t="s">
        <v>708</v>
      </c>
      <c r="S3262" t="s">
        <v>958</v>
      </c>
      <c r="T3262" t="s">
        <v>527</v>
      </c>
      <c r="U3262">
        <v>111801</v>
      </c>
      <c r="V3262" t="s">
        <v>7184</v>
      </c>
      <c r="W3262" t="s">
        <v>959</v>
      </c>
      <c r="X3262" t="s">
        <v>18209</v>
      </c>
      <c r="Y3262" t="s">
        <v>18210</v>
      </c>
      <c r="Z3262" t="s">
        <v>7182</v>
      </c>
      <c r="AA3262" t="s">
        <v>18211</v>
      </c>
      <c r="AE3262">
        <v>-36.257823649999999</v>
      </c>
      <c r="AF3262">
        <v>175.47233249999999</v>
      </c>
      <c r="AG3262">
        <v>30</v>
      </c>
      <c r="AH3262">
        <v>0</v>
      </c>
      <c r="AI3262">
        <v>0</v>
      </c>
      <c r="AJ3262">
        <v>0</v>
      </c>
      <c r="AK3262">
        <v>5</v>
      </c>
      <c r="AL3262">
        <v>10</v>
      </c>
      <c r="AM3262">
        <v>3</v>
      </c>
      <c r="AN3262">
        <v>0</v>
      </c>
      <c r="AO3262">
        <v>18</v>
      </c>
      <c r="AP3262">
        <v>15</v>
      </c>
      <c r="AQ3262">
        <v>9</v>
      </c>
      <c r="AR3262">
        <v>1</v>
      </c>
      <c r="AS3262">
        <v>2</v>
      </c>
      <c r="AT3262">
        <v>0</v>
      </c>
    </row>
    <row r="3263" spans="1:46">
      <c r="A3263">
        <v>48133</v>
      </c>
      <c r="B3263" t="s">
        <v>18212</v>
      </c>
      <c r="C3263" t="s">
        <v>18213</v>
      </c>
      <c r="E3263" t="s">
        <v>18214</v>
      </c>
      <c r="F3263" t="s">
        <v>3987</v>
      </c>
      <c r="G3263" t="s">
        <v>652</v>
      </c>
      <c r="H3263" t="s">
        <v>3942</v>
      </c>
      <c r="J3263" t="s">
        <v>3962</v>
      </c>
      <c r="K3263" t="s">
        <v>519</v>
      </c>
      <c r="M3263" t="s">
        <v>520</v>
      </c>
      <c r="N3263" t="s">
        <v>727</v>
      </c>
      <c r="O3263" t="s">
        <v>1233</v>
      </c>
      <c r="P3263" t="s">
        <v>1262</v>
      </c>
      <c r="Q3263" t="s">
        <v>638</v>
      </c>
      <c r="R3263" t="s">
        <v>729</v>
      </c>
      <c r="S3263" t="s">
        <v>1246</v>
      </c>
      <c r="T3263" t="s">
        <v>1235</v>
      </c>
      <c r="U3263">
        <v>165501</v>
      </c>
      <c r="V3263" t="s">
        <v>3987</v>
      </c>
      <c r="W3263" t="s">
        <v>1237</v>
      </c>
      <c r="X3263" t="s">
        <v>4806</v>
      </c>
      <c r="Y3263" t="s">
        <v>3989</v>
      </c>
      <c r="Z3263" t="s">
        <v>3990</v>
      </c>
      <c r="AA3263" t="s">
        <v>3991</v>
      </c>
      <c r="AE3263">
        <v>-37.19547815</v>
      </c>
      <c r="AF3263">
        <v>174.88818029999999</v>
      </c>
      <c r="AG3263">
        <v>46</v>
      </c>
      <c r="AH3263">
        <v>0</v>
      </c>
      <c r="AI3263">
        <v>0</v>
      </c>
      <c r="AJ3263">
        <v>0</v>
      </c>
      <c r="AK3263">
        <v>3</v>
      </c>
      <c r="AL3263">
        <v>9</v>
      </c>
      <c r="AM3263">
        <v>9</v>
      </c>
      <c r="AN3263">
        <v>0</v>
      </c>
      <c r="AO3263">
        <v>21</v>
      </c>
      <c r="AP3263">
        <v>1</v>
      </c>
      <c r="AQ3263">
        <v>7</v>
      </c>
      <c r="AR3263">
        <v>8</v>
      </c>
      <c r="AS3263">
        <v>9</v>
      </c>
      <c r="AT3263">
        <v>0</v>
      </c>
    </row>
    <row r="3264" spans="1:46">
      <c r="A3264">
        <v>48135</v>
      </c>
      <c r="B3264" t="s">
        <v>18215</v>
      </c>
      <c r="C3264" t="s">
        <v>9087</v>
      </c>
      <c r="D3264" t="s">
        <v>18216</v>
      </c>
      <c r="E3264" t="s">
        <v>9086</v>
      </c>
      <c r="F3264" t="s">
        <v>1313</v>
      </c>
      <c r="G3264" t="s">
        <v>1296</v>
      </c>
      <c r="H3264" t="s">
        <v>3942</v>
      </c>
      <c r="J3264" t="s">
        <v>3962</v>
      </c>
      <c r="K3264" t="s">
        <v>519</v>
      </c>
      <c r="M3264" t="s">
        <v>1297</v>
      </c>
      <c r="N3264" t="s">
        <v>557</v>
      </c>
      <c r="O3264" t="s">
        <v>1298</v>
      </c>
      <c r="P3264" t="s">
        <v>654</v>
      </c>
      <c r="Q3264" t="s">
        <v>1299</v>
      </c>
      <c r="R3264" t="s">
        <v>1300</v>
      </c>
      <c r="S3264" t="s">
        <v>1312</v>
      </c>
      <c r="T3264" t="s">
        <v>1235</v>
      </c>
      <c r="U3264">
        <v>177300</v>
      </c>
      <c r="V3264" t="s">
        <v>1313</v>
      </c>
      <c r="W3264" t="s">
        <v>1314</v>
      </c>
      <c r="X3264" t="s">
        <v>9085</v>
      </c>
      <c r="Y3264" t="s">
        <v>9086</v>
      </c>
      <c r="Z3264" t="s">
        <v>1313</v>
      </c>
      <c r="AA3264" t="s">
        <v>8511</v>
      </c>
      <c r="AB3264" t="s">
        <v>9087</v>
      </c>
      <c r="AE3264">
        <v>-37.756693779999999</v>
      </c>
      <c r="AF3264">
        <v>175.27679430000001</v>
      </c>
      <c r="AG3264">
        <v>44</v>
      </c>
      <c r="AH3264">
        <v>10</v>
      </c>
      <c r="AI3264">
        <v>4</v>
      </c>
      <c r="AJ3264">
        <v>5</v>
      </c>
      <c r="AK3264">
        <v>10</v>
      </c>
      <c r="AL3264">
        <v>6</v>
      </c>
      <c r="AM3264">
        <v>13</v>
      </c>
      <c r="AN3264">
        <v>1</v>
      </c>
      <c r="AO3264">
        <v>39</v>
      </c>
      <c r="AP3264">
        <v>15</v>
      </c>
      <c r="AQ3264">
        <v>16</v>
      </c>
      <c r="AR3264">
        <v>6</v>
      </c>
      <c r="AS3264">
        <v>7</v>
      </c>
      <c r="AT3264">
        <v>0</v>
      </c>
    </row>
    <row r="3265" spans="1:46">
      <c r="A3265">
        <v>48137</v>
      </c>
      <c r="B3265" t="s">
        <v>18217</v>
      </c>
      <c r="C3265" t="s">
        <v>18218</v>
      </c>
      <c r="D3265" t="s">
        <v>18219</v>
      </c>
      <c r="E3265" t="s">
        <v>18220</v>
      </c>
      <c r="F3265" t="s">
        <v>3706</v>
      </c>
      <c r="G3265" t="s">
        <v>652</v>
      </c>
      <c r="H3265" t="s">
        <v>3942</v>
      </c>
      <c r="J3265" t="s">
        <v>3962</v>
      </c>
      <c r="K3265" t="s">
        <v>519</v>
      </c>
      <c r="M3265" t="s">
        <v>520</v>
      </c>
      <c r="N3265" t="s">
        <v>571</v>
      </c>
      <c r="O3265" t="s">
        <v>637</v>
      </c>
      <c r="P3265" t="s">
        <v>572</v>
      </c>
      <c r="Q3265" t="s">
        <v>638</v>
      </c>
      <c r="R3265" t="s">
        <v>639</v>
      </c>
      <c r="S3265" t="s">
        <v>668</v>
      </c>
      <c r="T3265" t="s">
        <v>527</v>
      </c>
      <c r="U3265">
        <v>115501</v>
      </c>
      <c r="V3265" t="s">
        <v>7192</v>
      </c>
      <c r="W3265" t="s">
        <v>641</v>
      </c>
      <c r="X3265" t="s">
        <v>17571</v>
      </c>
      <c r="Y3265" t="s">
        <v>12191</v>
      </c>
      <c r="Z3265" t="s">
        <v>12192</v>
      </c>
      <c r="AA3265" t="s">
        <v>12193</v>
      </c>
      <c r="AB3265" t="s">
        <v>17572</v>
      </c>
      <c r="AE3265">
        <v>-36.716697269999997</v>
      </c>
      <c r="AF3265">
        <v>174.63974619999999</v>
      </c>
      <c r="AG3265">
        <v>93</v>
      </c>
      <c r="AH3265">
        <v>25</v>
      </c>
      <c r="AI3265">
        <v>3</v>
      </c>
      <c r="AJ3265">
        <v>15</v>
      </c>
      <c r="AK3265">
        <v>15</v>
      </c>
      <c r="AL3265">
        <v>13</v>
      </c>
      <c r="AM3265">
        <v>15</v>
      </c>
      <c r="AN3265">
        <v>1</v>
      </c>
      <c r="AO3265">
        <v>62</v>
      </c>
      <c r="AP3265">
        <v>55</v>
      </c>
      <c r="AQ3265">
        <v>7</v>
      </c>
      <c r="AR3265">
        <v>2</v>
      </c>
      <c r="AS3265">
        <v>9</v>
      </c>
      <c r="AT3265">
        <v>0</v>
      </c>
    </row>
    <row r="3266" spans="1:46">
      <c r="A3266">
        <v>48138</v>
      </c>
      <c r="B3266" t="s">
        <v>18221</v>
      </c>
      <c r="C3266" t="s">
        <v>18222</v>
      </c>
      <c r="E3266" t="s">
        <v>18223</v>
      </c>
      <c r="F3266" t="s">
        <v>1072</v>
      </c>
      <c r="G3266" t="s">
        <v>652</v>
      </c>
      <c r="H3266" t="s">
        <v>517</v>
      </c>
      <c r="I3266" t="s">
        <v>4253</v>
      </c>
      <c r="J3266" t="s">
        <v>518</v>
      </c>
      <c r="K3266" t="s">
        <v>519</v>
      </c>
      <c r="M3266" t="s">
        <v>520</v>
      </c>
      <c r="N3266" t="s">
        <v>727</v>
      </c>
      <c r="O3266" t="s">
        <v>848</v>
      </c>
      <c r="P3266" t="s">
        <v>654</v>
      </c>
      <c r="Q3266" t="s">
        <v>638</v>
      </c>
      <c r="R3266" t="s">
        <v>729</v>
      </c>
      <c r="S3266" t="s">
        <v>730</v>
      </c>
      <c r="T3266" t="s">
        <v>709</v>
      </c>
      <c r="U3266">
        <v>150101</v>
      </c>
      <c r="V3266" t="s">
        <v>4105</v>
      </c>
      <c r="W3266" t="s">
        <v>732</v>
      </c>
      <c r="X3266" t="s">
        <v>642</v>
      </c>
      <c r="Y3266" t="s">
        <v>643</v>
      </c>
      <c r="Z3266" t="s">
        <v>644</v>
      </c>
      <c r="AA3266" t="s">
        <v>645</v>
      </c>
      <c r="AB3266" t="s">
        <v>18224</v>
      </c>
      <c r="AC3266">
        <v>99151</v>
      </c>
      <c r="AD3266" t="s">
        <v>1074</v>
      </c>
      <c r="AE3266">
        <v>-36.947845549999997</v>
      </c>
      <c r="AF3266">
        <v>174.842703</v>
      </c>
      <c r="AG3266">
        <v>30</v>
      </c>
      <c r="AH3266">
        <v>0</v>
      </c>
      <c r="AI3266">
        <v>0</v>
      </c>
      <c r="AJ3266">
        <v>0</v>
      </c>
      <c r="AK3266">
        <v>5</v>
      </c>
      <c r="AL3266">
        <v>3</v>
      </c>
      <c r="AM3266">
        <v>7</v>
      </c>
      <c r="AN3266">
        <v>0</v>
      </c>
      <c r="AO3266">
        <v>15</v>
      </c>
      <c r="AP3266">
        <v>0</v>
      </c>
      <c r="AQ3266">
        <v>3</v>
      </c>
      <c r="AR3266">
        <v>15</v>
      </c>
      <c r="AS3266">
        <v>0</v>
      </c>
      <c r="AT3266">
        <v>0</v>
      </c>
    </row>
    <row r="3267" spans="1:46">
      <c r="A3267">
        <v>48141</v>
      </c>
      <c r="B3267" t="s">
        <v>18225</v>
      </c>
      <c r="C3267" t="s">
        <v>18226</v>
      </c>
      <c r="E3267" t="s">
        <v>18227</v>
      </c>
      <c r="G3267" t="s">
        <v>675</v>
      </c>
      <c r="H3267" t="s">
        <v>3942</v>
      </c>
      <c r="J3267" t="s">
        <v>3962</v>
      </c>
      <c r="K3267" t="s">
        <v>519</v>
      </c>
      <c r="M3267" t="s">
        <v>520</v>
      </c>
      <c r="N3267" t="s">
        <v>571</v>
      </c>
      <c r="O3267" t="s">
        <v>637</v>
      </c>
      <c r="P3267" t="s">
        <v>523</v>
      </c>
      <c r="Q3267" t="s">
        <v>638</v>
      </c>
      <c r="R3267" t="s">
        <v>639</v>
      </c>
      <c r="S3267" t="s">
        <v>640</v>
      </c>
      <c r="T3267" t="s">
        <v>527</v>
      </c>
      <c r="U3267">
        <v>111100</v>
      </c>
      <c r="V3267" t="s">
        <v>676</v>
      </c>
      <c r="W3267" t="s">
        <v>641</v>
      </c>
      <c r="X3267" t="s">
        <v>4096</v>
      </c>
      <c r="Y3267" t="s">
        <v>4097</v>
      </c>
      <c r="Z3267" t="s">
        <v>4098</v>
      </c>
      <c r="AA3267" t="s">
        <v>4099</v>
      </c>
      <c r="AB3267" t="s">
        <v>6380</v>
      </c>
      <c r="AE3267">
        <v>-36.406874700000003</v>
      </c>
      <c r="AF3267">
        <v>174.6475193</v>
      </c>
      <c r="AG3267">
        <v>104</v>
      </c>
      <c r="AH3267">
        <v>30</v>
      </c>
      <c r="AI3267">
        <v>3</v>
      </c>
      <c r="AJ3267">
        <v>18</v>
      </c>
      <c r="AK3267">
        <v>34</v>
      </c>
      <c r="AL3267">
        <v>27</v>
      </c>
      <c r="AM3267">
        <v>22</v>
      </c>
      <c r="AN3267">
        <v>0</v>
      </c>
      <c r="AO3267">
        <v>104</v>
      </c>
      <c r="AP3267">
        <v>95</v>
      </c>
      <c r="AQ3267">
        <v>23</v>
      </c>
      <c r="AR3267">
        <v>6</v>
      </c>
      <c r="AS3267">
        <v>19</v>
      </c>
      <c r="AT3267">
        <v>1</v>
      </c>
    </row>
    <row r="3268" spans="1:46">
      <c r="A3268">
        <v>48142</v>
      </c>
      <c r="B3268" t="s">
        <v>18228</v>
      </c>
      <c r="C3268" t="s">
        <v>18229</v>
      </c>
      <c r="E3268" t="s">
        <v>18230</v>
      </c>
      <c r="F3268" t="s">
        <v>1146</v>
      </c>
      <c r="G3268" t="s">
        <v>652</v>
      </c>
      <c r="H3268" t="s">
        <v>3942</v>
      </c>
      <c r="J3268" t="s">
        <v>3962</v>
      </c>
      <c r="K3268" t="s">
        <v>519</v>
      </c>
      <c r="M3268" t="s">
        <v>520</v>
      </c>
      <c r="N3268" t="s">
        <v>571</v>
      </c>
      <c r="O3268" t="s">
        <v>957</v>
      </c>
      <c r="P3268" t="s">
        <v>654</v>
      </c>
      <c r="Q3268" t="s">
        <v>638</v>
      </c>
      <c r="R3268" t="s">
        <v>708</v>
      </c>
      <c r="S3268" t="s">
        <v>858</v>
      </c>
      <c r="T3268" t="s">
        <v>709</v>
      </c>
      <c r="U3268">
        <v>131600</v>
      </c>
      <c r="V3268" t="s">
        <v>4916</v>
      </c>
      <c r="W3268" t="s">
        <v>959</v>
      </c>
      <c r="X3268" t="s">
        <v>6722</v>
      </c>
      <c r="Y3268" t="s">
        <v>18230</v>
      </c>
      <c r="Z3268" t="s">
        <v>1146</v>
      </c>
      <c r="AA3268" t="s">
        <v>4414</v>
      </c>
      <c r="AE3268">
        <v>-36.855913149999999</v>
      </c>
      <c r="AF3268">
        <v>174.7389502</v>
      </c>
      <c r="AG3268">
        <v>40</v>
      </c>
      <c r="AH3268">
        <v>0</v>
      </c>
      <c r="AI3268">
        <v>0</v>
      </c>
      <c r="AJ3268">
        <v>0</v>
      </c>
      <c r="AK3268">
        <v>12</v>
      </c>
      <c r="AL3268">
        <v>19</v>
      </c>
      <c r="AM3268">
        <v>11</v>
      </c>
      <c r="AN3268">
        <v>0</v>
      </c>
      <c r="AO3268">
        <v>42</v>
      </c>
      <c r="AP3268">
        <v>36</v>
      </c>
      <c r="AQ3268">
        <v>2</v>
      </c>
      <c r="AR3268">
        <v>1</v>
      </c>
      <c r="AS3268">
        <v>10</v>
      </c>
      <c r="AT3268">
        <v>1</v>
      </c>
    </row>
    <row r="3269" spans="1:46">
      <c r="A3269">
        <v>48143</v>
      </c>
      <c r="B3269" t="s">
        <v>18231</v>
      </c>
      <c r="C3269" t="s">
        <v>18232</v>
      </c>
      <c r="E3269" t="s">
        <v>18233</v>
      </c>
      <c r="G3269" t="s">
        <v>1579</v>
      </c>
      <c r="H3269" t="s">
        <v>3942</v>
      </c>
      <c r="J3269" t="s">
        <v>3962</v>
      </c>
      <c r="K3269" t="s">
        <v>519</v>
      </c>
      <c r="M3269" t="s">
        <v>1297</v>
      </c>
      <c r="N3269" t="s">
        <v>557</v>
      </c>
      <c r="O3269" t="s">
        <v>1450</v>
      </c>
      <c r="P3269" t="s">
        <v>523</v>
      </c>
      <c r="Q3269" t="s">
        <v>1299</v>
      </c>
      <c r="R3269" t="s">
        <v>1300</v>
      </c>
      <c r="S3269" t="s">
        <v>1300</v>
      </c>
      <c r="T3269" t="s">
        <v>1235</v>
      </c>
      <c r="U3269">
        <v>174901</v>
      </c>
      <c r="V3269" t="s">
        <v>1656</v>
      </c>
      <c r="W3269" t="s">
        <v>1581</v>
      </c>
      <c r="X3269" t="s">
        <v>18234</v>
      </c>
      <c r="Y3269" t="s">
        <v>18235</v>
      </c>
      <c r="Z3269" t="s">
        <v>5336</v>
      </c>
      <c r="AA3269" t="s">
        <v>18236</v>
      </c>
      <c r="AB3269" t="s">
        <v>18237</v>
      </c>
      <c r="AE3269">
        <v>-37.803754660000003</v>
      </c>
      <c r="AF3269">
        <v>175.76848960999999</v>
      </c>
      <c r="AG3269">
        <v>40</v>
      </c>
      <c r="AH3269">
        <v>16</v>
      </c>
      <c r="AI3269">
        <v>1</v>
      </c>
      <c r="AJ3269">
        <v>14</v>
      </c>
      <c r="AK3269">
        <v>7</v>
      </c>
      <c r="AL3269">
        <v>11</v>
      </c>
      <c r="AM3269">
        <v>10</v>
      </c>
      <c r="AN3269">
        <v>1</v>
      </c>
      <c r="AO3269">
        <v>44</v>
      </c>
      <c r="AP3269">
        <v>39</v>
      </c>
      <c r="AQ3269">
        <v>14</v>
      </c>
      <c r="AR3269">
        <v>3</v>
      </c>
      <c r="AS3269">
        <v>4</v>
      </c>
      <c r="AT3269">
        <v>0</v>
      </c>
    </row>
    <row r="3270" spans="1:46">
      <c r="A3270">
        <v>48144</v>
      </c>
      <c r="B3270" t="s">
        <v>18238</v>
      </c>
      <c r="C3270" t="s">
        <v>18239</v>
      </c>
      <c r="D3270" t="s">
        <v>18240</v>
      </c>
      <c r="E3270" t="s">
        <v>18241</v>
      </c>
      <c r="F3270" t="s">
        <v>3662</v>
      </c>
      <c r="G3270" t="s">
        <v>2941</v>
      </c>
      <c r="H3270" t="s">
        <v>3942</v>
      </c>
      <c r="J3270" t="s">
        <v>3962</v>
      </c>
      <c r="K3270" t="s">
        <v>519</v>
      </c>
      <c r="M3270" t="s">
        <v>2287</v>
      </c>
      <c r="N3270" t="s">
        <v>571</v>
      </c>
      <c r="O3270" t="s">
        <v>3208</v>
      </c>
      <c r="P3270" t="s">
        <v>523</v>
      </c>
      <c r="Q3270" t="s">
        <v>2943</v>
      </c>
      <c r="R3270" t="s">
        <v>2944</v>
      </c>
      <c r="S3270" t="s">
        <v>3179</v>
      </c>
      <c r="T3270" t="s">
        <v>2448</v>
      </c>
      <c r="U3270">
        <v>336101</v>
      </c>
      <c r="V3270" t="s">
        <v>4476</v>
      </c>
      <c r="W3270" t="s">
        <v>3664</v>
      </c>
      <c r="X3270" t="s">
        <v>18242</v>
      </c>
      <c r="Y3270" t="s">
        <v>18243</v>
      </c>
      <c r="AA3270" t="s">
        <v>12325</v>
      </c>
      <c r="AB3270" t="s">
        <v>18244</v>
      </c>
      <c r="AC3270">
        <v>99113</v>
      </c>
      <c r="AD3270" t="s">
        <v>3665</v>
      </c>
      <c r="AE3270">
        <v>-43.635261020000002</v>
      </c>
      <c r="AF3270">
        <v>172.49612740000001</v>
      </c>
      <c r="AG3270">
        <v>105</v>
      </c>
      <c r="AH3270">
        <v>29</v>
      </c>
      <c r="AI3270">
        <v>6</v>
      </c>
      <c r="AJ3270">
        <v>20</v>
      </c>
      <c r="AK3270">
        <v>36</v>
      </c>
      <c r="AL3270">
        <v>24</v>
      </c>
      <c r="AM3270">
        <v>31</v>
      </c>
      <c r="AN3270">
        <v>1</v>
      </c>
      <c r="AO3270">
        <v>118</v>
      </c>
      <c r="AP3270">
        <v>95</v>
      </c>
      <c r="AQ3270">
        <v>18</v>
      </c>
      <c r="AR3270">
        <v>4</v>
      </c>
      <c r="AS3270">
        <v>17</v>
      </c>
      <c r="AT3270">
        <v>4</v>
      </c>
    </row>
    <row r="3271" spans="1:46">
      <c r="A3271">
        <v>48147</v>
      </c>
      <c r="B3271" t="s">
        <v>18245</v>
      </c>
      <c r="C3271" t="s">
        <v>18246</v>
      </c>
      <c r="E3271" t="s">
        <v>18247</v>
      </c>
      <c r="F3271" t="s">
        <v>5018</v>
      </c>
      <c r="G3271" t="s">
        <v>652</v>
      </c>
      <c r="H3271" t="s">
        <v>3942</v>
      </c>
      <c r="J3271" t="s">
        <v>518</v>
      </c>
      <c r="K3271" t="s">
        <v>519</v>
      </c>
      <c r="M3271" t="s">
        <v>520</v>
      </c>
      <c r="N3271" t="s">
        <v>571</v>
      </c>
      <c r="O3271" t="s">
        <v>1233</v>
      </c>
      <c r="P3271" t="s">
        <v>654</v>
      </c>
      <c r="Q3271" t="s">
        <v>638</v>
      </c>
      <c r="R3271" t="s">
        <v>729</v>
      </c>
      <c r="S3271" t="s">
        <v>1234</v>
      </c>
      <c r="T3271" t="s">
        <v>1235</v>
      </c>
      <c r="U3271">
        <v>164301</v>
      </c>
      <c r="V3271" t="s">
        <v>18248</v>
      </c>
      <c r="W3271" t="s">
        <v>1237</v>
      </c>
      <c r="X3271" t="s">
        <v>3943</v>
      </c>
      <c r="Y3271" t="s">
        <v>3944</v>
      </c>
      <c r="Z3271" t="s">
        <v>3945</v>
      </c>
      <c r="AA3271" t="s">
        <v>3946</v>
      </c>
      <c r="AB3271" t="s">
        <v>3947</v>
      </c>
      <c r="AE3271">
        <v>-37.104328629999998</v>
      </c>
      <c r="AF3271">
        <v>174.94222529999999</v>
      </c>
      <c r="AG3271">
        <v>124</v>
      </c>
      <c r="AH3271">
        <v>24</v>
      </c>
      <c r="AI3271">
        <v>4</v>
      </c>
      <c r="AJ3271">
        <v>12</v>
      </c>
      <c r="AK3271">
        <v>21</v>
      </c>
      <c r="AL3271">
        <v>25</v>
      </c>
      <c r="AM3271">
        <v>21</v>
      </c>
      <c r="AN3271">
        <v>0</v>
      </c>
      <c r="AO3271">
        <v>83</v>
      </c>
      <c r="AP3271">
        <v>20</v>
      </c>
      <c r="AQ3271">
        <v>10</v>
      </c>
      <c r="AR3271">
        <v>13</v>
      </c>
      <c r="AS3271">
        <v>52</v>
      </c>
      <c r="AT3271">
        <v>7</v>
      </c>
    </row>
    <row r="3272" spans="1:46">
      <c r="A3272">
        <v>48148</v>
      </c>
      <c r="B3272" t="s">
        <v>18249</v>
      </c>
      <c r="C3272" t="s">
        <v>18250</v>
      </c>
      <c r="E3272" t="s">
        <v>18251</v>
      </c>
      <c r="G3272" t="s">
        <v>2216</v>
      </c>
      <c r="H3272" t="s">
        <v>3942</v>
      </c>
      <c r="J3272" t="s">
        <v>3962</v>
      </c>
      <c r="K3272" t="s">
        <v>519</v>
      </c>
      <c r="M3272" t="s">
        <v>1297</v>
      </c>
      <c r="N3272" t="s">
        <v>571</v>
      </c>
      <c r="O3272" t="s">
        <v>2198</v>
      </c>
      <c r="P3272" t="s">
        <v>1262</v>
      </c>
      <c r="Q3272" t="s">
        <v>2118</v>
      </c>
      <c r="R3272" t="s">
        <v>2084</v>
      </c>
      <c r="S3272" t="s">
        <v>2199</v>
      </c>
      <c r="T3272" t="s">
        <v>2085</v>
      </c>
      <c r="U3272">
        <v>211401</v>
      </c>
      <c r="V3272" t="s">
        <v>2239</v>
      </c>
      <c r="W3272" t="s">
        <v>2200</v>
      </c>
      <c r="X3272" t="s">
        <v>14157</v>
      </c>
      <c r="Y3272" t="s">
        <v>8723</v>
      </c>
      <c r="AA3272" t="s">
        <v>8791</v>
      </c>
      <c r="AB3272" t="s">
        <v>14158</v>
      </c>
      <c r="AE3272">
        <v>-39.670335049999998</v>
      </c>
      <c r="AF3272">
        <v>176.87280239</v>
      </c>
      <c r="AG3272">
        <v>26</v>
      </c>
      <c r="AH3272">
        <v>20</v>
      </c>
      <c r="AI3272">
        <v>1</v>
      </c>
      <c r="AJ3272">
        <v>12</v>
      </c>
      <c r="AK3272">
        <v>16</v>
      </c>
      <c r="AL3272">
        <v>0</v>
      </c>
      <c r="AM3272">
        <v>0</v>
      </c>
      <c r="AN3272">
        <v>0</v>
      </c>
      <c r="AO3272">
        <v>29</v>
      </c>
      <c r="AP3272">
        <v>26</v>
      </c>
      <c r="AQ3272">
        <v>6</v>
      </c>
      <c r="AR3272">
        <v>1</v>
      </c>
      <c r="AS3272">
        <v>2</v>
      </c>
      <c r="AT3272">
        <v>0</v>
      </c>
    </row>
    <row r="3273" spans="1:46">
      <c r="A3273">
        <v>48149</v>
      </c>
      <c r="B3273" t="s">
        <v>18252</v>
      </c>
      <c r="C3273" t="s">
        <v>18253</v>
      </c>
      <c r="E3273" t="s">
        <v>18254</v>
      </c>
      <c r="F3273" t="s">
        <v>821</v>
      </c>
      <c r="G3273" t="s">
        <v>652</v>
      </c>
      <c r="H3273" t="s">
        <v>3942</v>
      </c>
      <c r="J3273" t="s">
        <v>518</v>
      </c>
      <c r="K3273" t="s">
        <v>519</v>
      </c>
      <c r="M3273" t="s">
        <v>520</v>
      </c>
      <c r="N3273" t="s">
        <v>571</v>
      </c>
      <c r="O3273" t="s">
        <v>804</v>
      </c>
      <c r="P3273" t="s">
        <v>654</v>
      </c>
      <c r="Q3273" t="s">
        <v>638</v>
      </c>
      <c r="R3273" t="s">
        <v>708</v>
      </c>
      <c r="S3273" t="s">
        <v>822</v>
      </c>
      <c r="T3273" t="s">
        <v>709</v>
      </c>
      <c r="U3273">
        <v>140500</v>
      </c>
      <c r="V3273" t="s">
        <v>18255</v>
      </c>
      <c r="W3273" t="s">
        <v>824</v>
      </c>
      <c r="X3273" t="s">
        <v>18256</v>
      </c>
      <c r="Y3273" t="s">
        <v>18257</v>
      </c>
      <c r="Z3273" t="s">
        <v>706</v>
      </c>
      <c r="AA3273" t="s">
        <v>4484</v>
      </c>
      <c r="AB3273" t="s">
        <v>18258</v>
      </c>
      <c r="AE3273">
        <v>-36.863988800000001</v>
      </c>
      <c r="AF3273">
        <v>174.80233192</v>
      </c>
      <c r="AG3273">
        <v>75</v>
      </c>
      <c r="AH3273">
        <v>0</v>
      </c>
      <c r="AI3273">
        <v>0</v>
      </c>
      <c r="AJ3273">
        <v>0</v>
      </c>
      <c r="AK3273">
        <v>2</v>
      </c>
      <c r="AL3273">
        <v>29</v>
      </c>
      <c r="AM3273">
        <v>40</v>
      </c>
      <c r="AN3273">
        <v>4</v>
      </c>
      <c r="AO3273">
        <v>75</v>
      </c>
      <c r="AP3273">
        <v>42</v>
      </c>
      <c r="AQ3273">
        <v>0</v>
      </c>
      <c r="AR3273">
        <v>1</v>
      </c>
      <c r="AS3273">
        <v>36</v>
      </c>
      <c r="AT3273">
        <v>3</v>
      </c>
    </row>
    <row r="3274" spans="1:46">
      <c r="A3274">
        <v>48157</v>
      </c>
      <c r="B3274" t="s">
        <v>18259</v>
      </c>
      <c r="C3274" t="s">
        <v>18260</v>
      </c>
      <c r="E3274" t="s">
        <v>18261</v>
      </c>
      <c r="F3274" t="s">
        <v>2613</v>
      </c>
      <c r="G3274" t="s">
        <v>2526</v>
      </c>
      <c r="H3274" t="s">
        <v>3942</v>
      </c>
      <c r="J3274" t="s">
        <v>3962</v>
      </c>
      <c r="K3274" t="s">
        <v>519</v>
      </c>
      <c r="M3274" t="s">
        <v>2287</v>
      </c>
      <c r="N3274" t="s">
        <v>571</v>
      </c>
      <c r="O3274" t="s">
        <v>2527</v>
      </c>
      <c r="P3274" t="s">
        <v>584</v>
      </c>
      <c r="Q3274" t="s">
        <v>2319</v>
      </c>
      <c r="R3274" t="s">
        <v>2289</v>
      </c>
      <c r="S3274" t="s">
        <v>2528</v>
      </c>
      <c r="T3274" t="s">
        <v>1485</v>
      </c>
      <c r="U3274">
        <v>239900</v>
      </c>
      <c r="V3274" t="s">
        <v>13037</v>
      </c>
      <c r="W3274" t="s">
        <v>2529</v>
      </c>
      <c r="X3274" t="s">
        <v>18262</v>
      </c>
      <c r="Y3274" t="s">
        <v>18263</v>
      </c>
      <c r="Z3274" t="s">
        <v>4405</v>
      </c>
      <c r="AA3274" t="s">
        <v>4529</v>
      </c>
      <c r="AE3274">
        <v>-41.129957589999997</v>
      </c>
      <c r="AF3274">
        <v>174.83350669999999</v>
      </c>
      <c r="AG3274">
        <v>87</v>
      </c>
      <c r="AH3274">
        <v>27</v>
      </c>
      <c r="AI3274">
        <v>3</v>
      </c>
      <c r="AJ3274">
        <v>23</v>
      </c>
      <c r="AK3274">
        <v>19</v>
      </c>
      <c r="AL3274">
        <v>16</v>
      </c>
      <c r="AM3274">
        <v>12</v>
      </c>
      <c r="AN3274">
        <v>0</v>
      </c>
      <c r="AO3274">
        <v>73</v>
      </c>
      <c r="AP3274">
        <v>42</v>
      </c>
      <c r="AQ3274">
        <v>19</v>
      </c>
      <c r="AR3274">
        <v>19</v>
      </c>
      <c r="AS3274">
        <v>14</v>
      </c>
      <c r="AT3274">
        <v>5</v>
      </c>
    </row>
    <row r="3275" spans="1:46">
      <c r="A3275">
        <v>48158</v>
      </c>
      <c r="B3275" t="s">
        <v>18264</v>
      </c>
      <c r="C3275" t="s">
        <v>17404</v>
      </c>
      <c r="E3275" t="s">
        <v>18265</v>
      </c>
      <c r="F3275" t="s">
        <v>1035</v>
      </c>
      <c r="G3275" t="s">
        <v>652</v>
      </c>
      <c r="H3275" t="s">
        <v>3942</v>
      </c>
      <c r="J3275" t="s">
        <v>3962</v>
      </c>
      <c r="K3275" t="s">
        <v>519</v>
      </c>
      <c r="M3275" t="s">
        <v>520</v>
      </c>
      <c r="N3275" t="s">
        <v>557</v>
      </c>
      <c r="O3275" t="s">
        <v>728</v>
      </c>
      <c r="P3275" t="s">
        <v>654</v>
      </c>
      <c r="Q3275" t="s">
        <v>638</v>
      </c>
      <c r="R3275" t="s">
        <v>729</v>
      </c>
      <c r="S3275" t="s">
        <v>730</v>
      </c>
      <c r="T3275" t="s">
        <v>709</v>
      </c>
      <c r="U3275">
        <v>154901</v>
      </c>
      <c r="V3275" t="s">
        <v>1091</v>
      </c>
      <c r="W3275" t="s">
        <v>732</v>
      </c>
      <c r="X3275" t="s">
        <v>17403</v>
      </c>
      <c r="Y3275" t="s">
        <v>18266</v>
      </c>
      <c r="Z3275" t="s">
        <v>4125</v>
      </c>
      <c r="AA3275" t="s">
        <v>5171</v>
      </c>
      <c r="AB3275" t="s">
        <v>17404</v>
      </c>
      <c r="AE3275">
        <v>-36.976413649999998</v>
      </c>
      <c r="AF3275">
        <v>174.85595945</v>
      </c>
      <c r="AG3275">
        <v>72</v>
      </c>
      <c r="AH3275">
        <v>15</v>
      </c>
      <c r="AI3275">
        <v>1</v>
      </c>
      <c r="AJ3275">
        <v>5</v>
      </c>
      <c r="AK3275">
        <v>16</v>
      </c>
      <c r="AL3275">
        <v>11</v>
      </c>
      <c r="AM3275">
        <v>20</v>
      </c>
      <c r="AN3275">
        <v>4</v>
      </c>
      <c r="AO3275">
        <v>57</v>
      </c>
      <c r="AP3275">
        <v>0</v>
      </c>
      <c r="AQ3275">
        <v>1</v>
      </c>
      <c r="AR3275">
        <v>2</v>
      </c>
      <c r="AS3275">
        <v>55</v>
      </c>
      <c r="AT3275">
        <v>0</v>
      </c>
    </row>
    <row r="3276" spans="1:46">
      <c r="A3276">
        <v>48159</v>
      </c>
      <c r="B3276" t="s">
        <v>18267</v>
      </c>
      <c r="C3276" t="s">
        <v>18268</v>
      </c>
      <c r="E3276" t="s">
        <v>18269</v>
      </c>
      <c r="F3276" t="s">
        <v>821</v>
      </c>
      <c r="G3276" t="s">
        <v>652</v>
      </c>
      <c r="H3276" t="s">
        <v>3942</v>
      </c>
      <c r="J3276" t="s">
        <v>518</v>
      </c>
      <c r="K3276" t="s">
        <v>519</v>
      </c>
      <c r="M3276" t="s">
        <v>520</v>
      </c>
      <c r="N3276" t="s">
        <v>571</v>
      </c>
      <c r="O3276" t="s">
        <v>804</v>
      </c>
      <c r="P3276" t="s">
        <v>654</v>
      </c>
      <c r="Q3276" t="s">
        <v>638</v>
      </c>
      <c r="R3276" t="s">
        <v>708</v>
      </c>
      <c r="S3276" t="s">
        <v>822</v>
      </c>
      <c r="T3276" t="s">
        <v>709</v>
      </c>
      <c r="U3276">
        <v>141600</v>
      </c>
      <c r="V3276" t="s">
        <v>17628</v>
      </c>
      <c r="W3276" t="s">
        <v>824</v>
      </c>
      <c r="X3276" t="s">
        <v>18270</v>
      </c>
      <c r="Y3276" t="s">
        <v>18269</v>
      </c>
      <c r="Z3276" t="s">
        <v>821</v>
      </c>
      <c r="AA3276" t="s">
        <v>4069</v>
      </c>
      <c r="AE3276">
        <v>-36.880924520000001</v>
      </c>
      <c r="AF3276">
        <v>174.80518971999999</v>
      </c>
      <c r="AG3276">
        <v>30</v>
      </c>
      <c r="AH3276">
        <v>0</v>
      </c>
      <c r="AI3276">
        <v>0</v>
      </c>
      <c r="AJ3276">
        <v>0</v>
      </c>
      <c r="AK3276">
        <v>2</v>
      </c>
      <c r="AL3276">
        <v>5</v>
      </c>
      <c r="AM3276">
        <v>6</v>
      </c>
      <c r="AN3276">
        <v>1</v>
      </c>
      <c r="AO3276">
        <v>14</v>
      </c>
      <c r="AP3276">
        <v>3</v>
      </c>
      <c r="AQ3276">
        <v>0</v>
      </c>
      <c r="AR3276">
        <v>0</v>
      </c>
      <c r="AS3276">
        <v>4</v>
      </c>
      <c r="AT3276">
        <v>9</v>
      </c>
    </row>
    <row r="3277" spans="1:46">
      <c r="A3277">
        <v>48160</v>
      </c>
      <c r="B3277" t="s">
        <v>18271</v>
      </c>
      <c r="C3277" t="s">
        <v>18272</v>
      </c>
      <c r="E3277" t="s">
        <v>18273</v>
      </c>
      <c r="G3277" t="s">
        <v>10179</v>
      </c>
      <c r="H3277" t="s">
        <v>3942</v>
      </c>
      <c r="J3277" t="s">
        <v>3962</v>
      </c>
      <c r="K3277" t="s">
        <v>519</v>
      </c>
      <c r="M3277" t="s">
        <v>1297</v>
      </c>
      <c r="N3277" t="s">
        <v>521</v>
      </c>
      <c r="O3277" t="s">
        <v>1470</v>
      </c>
      <c r="P3277" t="s">
        <v>540</v>
      </c>
      <c r="Q3277" t="s">
        <v>1471</v>
      </c>
      <c r="R3277" t="s">
        <v>1472</v>
      </c>
      <c r="S3277" t="s">
        <v>1473</v>
      </c>
      <c r="T3277" t="s">
        <v>1474</v>
      </c>
      <c r="U3277">
        <v>203100</v>
      </c>
      <c r="V3277" t="s">
        <v>10180</v>
      </c>
      <c r="W3277" t="s">
        <v>1595</v>
      </c>
      <c r="X3277" t="s">
        <v>18274</v>
      </c>
      <c r="Y3277" t="s">
        <v>14264</v>
      </c>
      <c r="AA3277" t="s">
        <v>18275</v>
      </c>
      <c r="AB3277" t="s">
        <v>18272</v>
      </c>
      <c r="AE3277">
        <v>-38.06184872</v>
      </c>
      <c r="AF3277">
        <v>177.01128489000001</v>
      </c>
      <c r="AG3277">
        <v>20</v>
      </c>
      <c r="AH3277">
        <v>5</v>
      </c>
      <c r="AI3277">
        <v>2</v>
      </c>
      <c r="AJ3277">
        <v>0</v>
      </c>
      <c r="AK3277">
        <v>4</v>
      </c>
      <c r="AL3277">
        <v>5</v>
      </c>
      <c r="AM3277">
        <v>1</v>
      </c>
      <c r="AN3277">
        <v>0</v>
      </c>
      <c r="AO3277">
        <v>12</v>
      </c>
      <c r="AP3277">
        <v>1</v>
      </c>
      <c r="AQ3277">
        <v>12</v>
      </c>
      <c r="AR3277">
        <v>1</v>
      </c>
      <c r="AS3277">
        <v>0</v>
      </c>
      <c r="AT3277">
        <v>1</v>
      </c>
    </row>
    <row r="3278" spans="1:46">
      <c r="A3278">
        <v>48161</v>
      </c>
      <c r="B3278" t="s">
        <v>18276</v>
      </c>
      <c r="C3278" t="s">
        <v>18277</v>
      </c>
      <c r="E3278" t="s">
        <v>18278</v>
      </c>
      <c r="G3278" t="s">
        <v>2067</v>
      </c>
      <c r="H3278" t="s">
        <v>3942</v>
      </c>
      <c r="J3278" t="s">
        <v>3962</v>
      </c>
      <c r="K3278" t="s">
        <v>519</v>
      </c>
      <c r="M3278" t="s">
        <v>2287</v>
      </c>
      <c r="N3278" t="s">
        <v>571</v>
      </c>
      <c r="O3278" t="s">
        <v>2675</v>
      </c>
      <c r="P3278" t="s">
        <v>523</v>
      </c>
      <c r="Q3278" t="s">
        <v>2319</v>
      </c>
      <c r="R3278" t="s">
        <v>2289</v>
      </c>
      <c r="S3278" t="s">
        <v>2067</v>
      </c>
      <c r="T3278" t="s">
        <v>1485</v>
      </c>
      <c r="U3278">
        <v>236500</v>
      </c>
      <c r="V3278" t="s">
        <v>2067</v>
      </c>
      <c r="W3278" t="s">
        <v>2698</v>
      </c>
      <c r="X3278" t="s">
        <v>18279</v>
      </c>
      <c r="Y3278" t="s">
        <v>18280</v>
      </c>
      <c r="AA3278" t="s">
        <v>18281</v>
      </c>
      <c r="AB3278" t="s">
        <v>18277</v>
      </c>
      <c r="AE3278">
        <v>-40.765867</v>
      </c>
      <c r="AF3278">
        <v>175.14116770000001</v>
      </c>
      <c r="AG3278">
        <v>62</v>
      </c>
      <c r="AH3278">
        <v>13</v>
      </c>
      <c r="AI3278">
        <v>4</v>
      </c>
      <c r="AJ3278">
        <v>12</v>
      </c>
      <c r="AK3278">
        <v>17</v>
      </c>
      <c r="AL3278">
        <v>4</v>
      </c>
      <c r="AM3278">
        <v>14</v>
      </c>
      <c r="AN3278">
        <v>0</v>
      </c>
      <c r="AO3278">
        <v>51</v>
      </c>
      <c r="AP3278">
        <v>43</v>
      </c>
      <c r="AQ3278">
        <v>12</v>
      </c>
      <c r="AR3278">
        <v>1</v>
      </c>
      <c r="AS3278">
        <v>2</v>
      </c>
      <c r="AT3278">
        <v>4</v>
      </c>
    </row>
    <row r="3279" spans="1:46">
      <c r="A3279">
        <v>48163</v>
      </c>
      <c r="B3279" t="s">
        <v>18282</v>
      </c>
      <c r="C3279" t="s">
        <v>15179</v>
      </c>
      <c r="D3279" t="s">
        <v>15180</v>
      </c>
      <c r="E3279" t="s">
        <v>18283</v>
      </c>
      <c r="G3279" t="s">
        <v>11192</v>
      </c>
      <c r="H3279" t="s">
        <v>3942</v>
      </c>
      <c r="J3279" t="s">
        <v>3962</v>
      </c>
      <c r="K3279" t="s">
        <v>519</v>
      </c>
      <c r="M3279" t="s">
        <v>2287</v>
      </c>
      <c r="N3279" t="s">
        <v>571</v>
      </c>
      <c r="O3279" t="s">
        <v>3835</v>
      </c>
      <c r="P3279" t="s">
        <v>1262</v>
      </c>
      <c r="Q3279" t="s">
        <v>3337</v>
      </c>
      <c r="R3279" t="s">
        <v>3338</v>
      </c>
      <c r="S3279" t="s">
        <v>3250</v>
      </c>
      <c r="T3279" t="s">
        <v>2448</v>
      </c>
      <c r="U3279">
        <v>346701</v>
      </c>
      <c r="V3279" t="s">
        <v>15182</v>
      </c>
      <c r="W3279" t="s">
        <v>11194</v>
      </c>
      <c r="X3279" t="s">
        <v>15183</v>
      </c>
      <c r="Y3279" t="s">
        <v>15184</v>
      </c>
      <c r="AA3279" t="s">
        <v>11196</v>
      </c>
      <c r="AB3279" t="s">
        <v>15185</v>
      </c>
      <c r="AE3279">
        <v>-44.69013837</v>
      </c>
      <c r="AF3279">
        <v>169.14377127</v>
      </c>
      <c r="AG3279">
        <v>54</v>
      </c>
      <c r="AH3279">
        <v>0</v>
      </c>
      <c r="AI3279">
        <v>0</v>
      </c>
      <c r="AJ3279">
        <v>0</v>
      </c>
      <c r="AK3279">
        <v>0</v>
      </c>
      <c r="AL3279">
        <v>1</v>
      </c>
      <c r="AM3279">
        <v>43</v>
      </c>
      <c r="AN3279">
        <v>2</v>
      </c>
      <c r="AO3279">
        <v>46</v>
      </c>
      <c r="AP3279">
        <v>41</v>
      </c>
      <c r="AQ3279">
        <v>3</v>
      </c>
      <c r="AR3279">
        <v>1</v>
      </c>
      <c r="AS3279">
        <v>6</v>
      </c>
      <c r="AT3279">
        <v>1</v>
      </c>
    </row>
    <row r="3280" spans="1:46">
      <c r="A3280">
        <v>48165</v>
      </c>
      <c r="B3280" t="s">
        <v>18284</v>
      </c>
      <c r="C3280" t="s">
        <v>18285</v>
      </c>
      <c r="E3280" t="s">
        <v>18286</v>
      </c>
      <c r="F3280" t="s">
        <v>2038</v>
      </c>
      <c r="G3280" t="s">
        <v>1974</v>
      </c>
      <c r="H3280" t="s">
        <v>3942</v>
      </c>
      <c r="J3280" t="s">
        <v>3962</v>
      </c>
      <c r="K3280" t="s">
        <v>519</v>
      </c>
      <c r="M3280" t="s">
        <v>1297</v>
      </c>
      <c r="N3280" t="s">
        <v>571</v>
      </c>
      <c r="O3280" t="s">
        <v>1956</v>
      </c>
      <c r="P3280" t="s">
        <v>584</v>
      </c>
      <c r="Q3280" t="s">
        <v>1636</v>
      </c>
      <c r="R3280" t="s">
        <v>1760</v>
      </c>
      <c r="S3280" t="s">
        <v>1974</v>
      </c>
      <c r="T3280" t="s">
        <v>1485</v>
      </c>
      <c r="U3280">
        <v>231000</v>
      </c>
      <c r="V3280" t="s">
        <v>18287</v>
      </c>
      <c r="W3280" t="s">
        <v>1957</v>
      </c>
      <c r="X3280" t="s">
        <v>18288</v>
      </c>
      <c r="Y3280" t="s">
        <v>4107</v>
      </c>
      <c r="AA3280" t="s">
        <v>3982</v>
      </c>
      <c r="AB3280" t="s">
        <v>18285</v>
      </c>
      <c r="AE3280">
        <v>-40.35071456</v>
      </c>
      <c r="AF3280">
        <v>175.62560948999999</v>
      </c>
      <c r="AG3280">
        <v>100</v>
      </c>
      <c r="AH3280">
        <v>25</v>
      </c>
      <c r="AI3280">
        <v>7</v>
      </c>
      <c r="AJ3280">
        <v>19</v>
      </c>
      <c r="AK3280">
        <v>22</v>
      </c>
      <c r="AL3280">
        <v>23</v>
      </c>
      <c r="AM3280">
        <v>28</v>
      </c>
      <c r="AN3280">
        <v>0</v>
      </c>
      <c r="AO3280">
        <v>99</v>
      </c>
      <c r="AP3280">
        <v>72</v>
      </c>
      <c r="AQ3280">
        <v>20</v>
      </c>
      <c r="AR3280">
        <v>7</v>
      </c>
      <c r="AS3280">
        <v>18</v>
      </c>
      <c r="AT3280">
        <v>10</v>
      </c>
    </row>
    <row r="3281" spans="1:46">
      <c r="A3281">
        <v>48166</v>
      </c>
      <c r="B3281" t="s">
        <v>18289</v>
      </c>
      <c r="E3281" t="s">
        <v>18290</v>
      </c>
      <c r="F3281" t="s">
        <v>3970</v>
      </c>
      <c r="G3281" t="s">
        <v>652</v>
      </c>
      <c r="H3281" t="s">
        <v>3942</v>
      </c>
      <c r="J3281" t="s">
        <v>3962</v>
      </c>
      <c r="K3281" t="s">
        <v>519</v>
      </c>
      <c r="M3281" t="s">
        <v>520</v>
      </c>
      <c r="N3281" t="s">
        <v>571</v>
      </c>
      <c r="O3281" t="s">
        <v>873</v>
      </c>
      <c r="P3281" t="s">
        <v>654</v>
      </c>
      <c r="Q3281" t="s">
        <v>638</v>
      </c>
      <c r="R3281" t="s">
        <v>639</v>
      </c>
      <c r="S3281" t="s">
        <v>899</v>
      </c>
      <c r="T3281" t="s">
        <v>527</v>
      </c>
      <c r="U3281">
        <v>122001</v>
      </c>
      <c r="V3281" t="s">
        <v>3970</v>
      </c>
      <c r="W3281" t="s">
        <v>815</v>
      </c>
      <c r="X3281" t="s">
        <v>9115</v>
      </c>
      <c r="Y3281" t="s">
        <v>9116</v>
      </c>
      <c r="Z3281" t="s">
        <v>4125</v>
      </c>
      <c r="AA3281" t="s">
        <v>5171</v>
      </c>
      <c r="AB3281" t="s">
        <v>9117</v>
      </c>
      <c r="AE3281">
        <v>-36.871713319999998</v>
      </c>
      <c r="AF3281">
        <v>174.58862887999999</v>
      </c>
      <c r="AG3281">
        <v>60</v>
      </c>
      <c r="AH3281">
        <v>20</v>
      </c>
      <c r="AI3281">
        <v>3</v>
      </c>
      <c r="AJ3281">
        <v>10</v>
      </c>
      <c r="AK3281">
        <v>19</v>
      </c>
      <c r="AL3281">
        <v>11</v>
      </c>
      <c r="AM3281">
        <v>6</v>
      </c>
      <c r="AN3281">
        <v>1</v>
      </c>
      <c r="AO3281">
        <v>50</v>
      </c>
      <c r="AP3281">
        <v>16</v>
      </c>
      <c r="AQ3281">
        <v>16</v>
      </c>
      <c r="AR3281">
        <v>9</v>
      </c>
      <c r="AS3281">
        <v>19</v>
      </c>
      <c r="AT3281">
        <v>4</v>
      </c>
    </row>
    <row r="3282" spans="1:46">
      <c r="A3282">
        <v>48167</v>
      </c>
      <c r="B3282" t="s">
        <v>18291</v>
      </c>
      <c r="C3282" t="s">
        <v>12794</v>
      </c>
      <c r="E3282" t="s">
        <v>18292</v>
      </c>
      <c r="G3282" t="s">
        <v>1555</v>
      </c>
      <c r="H3282" t="s">
        <v>3942</v>
      </c>
      <c r="J3282" t="s">
        <v>3962</v>
      </c>
      <c r="K3282" t="s">
        <v>519</v>
      </c>
      <c r="M3282" t="s">
        <v>1297</v>
      </c>
      <c r="N3282" t="s">
        <v>539</v>
      </c>
      <c r="O3282" t="s">
        <v>1351</v>
      </c>
      <c r="P3282" t="s">
        <v>523</v>
      </c>
      <c r="Q3282" t="s">
        <v>1299</v>
      </c>
      <c r="R3282" t="s">
        <v>1300</v>
      </c>
      <c r="S3282" t="s">
        <v>1300</v>
      </c>
      <c r="T3282" t="s">
        <v>1235</v>
      </c>
      <c r="U3282">
        <v>171502</v>
      </c>
      <c r="V3282" t="s">
        <v>1556</v>
      </c>
      <c r="W3282" t="s">
        <v>1557</v>
      </c>
      <c r="X3282" t="s">
        <v>12797</v>
      </c>
      <c r="Y3282" t="s">
        <v>12796</v>
      </c>
      <c r="AA3282" t="s">
        <v>12283</v>
      </c>
      <c r="AB3282" t="s">
        <v>12798</v>
      </c>
      <c r="AE3282">
        <v>-37.555745129999998</v>
      </c>
      <c r="AF3282">
        <v>175.16415173999999</v>
      </c>
      <c r="AG3282">
        <v>40</v>
      </c>
      <c r="AH3282">
        <v>0</v>
      </c>
      <c r="AI3282">
        <v>0</v>
      </c>
      <c r="AJ3282">
        <v>0</v>
      </c>
      <c r="AK3282">
        <v>0</v>
      </c>
      <c r="AL3282">
        <v>5</v>
      </c>
      <c r="AM3282">
        <v>14</v>
      </c>
      <c r="AN3282">
        <v>0</v>
      </c>
      <c r="AO3282">
        <v>19</v>
      </c>
      <c r="AP3282">
        <v>8</v>
      </c>
      <c r="AQ3282">
        <v>9</v>
      </c>
      <c r="AR3282">
        <v>3</v>
      </c>
      <c r="AS3282">
        <v>8</v>
      </c>
      <c r="AT3282">
        <v>0</v>
      </c>
    </row>
    <row r="3283" spans="1:46">
      <c r="A3283">
        <v>48168</v>
      </c>
      <c r="B3283" t="s">
        <v>18293</v>
      </c>
      <c r="C3283" t="s">
        <v>8348</v>
      </c>
      <c r="E3283" t="s">
        <v>18294</v>
      </c>
      <c r="F3283" t="s">
        <v>1312</v>
      </c>
      <c r="G3283" t="s">
        <v>1296</v>
      </c>
      <c r="H3283" t="s">
        <v>3942</v>
      </c>
      <c r="J3283" t="s">
        <v>3962</v>
      </c>
      <c r="K3283" t="s">
        <v>519</v>
      </c>
      <c r="M3283" t="s">
        <v>1297</v>
      </c>
      <c r="N3283" t="s">
        <v>571</v>
      </c>
      <c r="O3283" t="s">
        <v>1298</v>
      </c>
      <c r="P3283" t="s">
        <v>654</v>
      </c>
      <c r="Q3283" t="s">
        <v>1299</v>
      </c>
      <c r="R3283" t="s">
        <v>1300</v>
      </c>
      <c r="S3283" t="s">
        <v>1312</v>
      </c>
      <c r="T3283" t="s">
        <v>1235</v>
      </c>
      <c r="U3283">
        <v>179300</v>
      </c>
      <c r="V3283" t="s">
        <v>1398</v>
      </c>
      <c r="W3283" t="s">
        <v>1314</v>
      </c>
      <c r="X3283" t="s">
        <v>8345</v>
      </c>
      <c r="Y3283" t="s">
        <v>18295</v>
      </c>
      <c r="AA3283" t="s">
        <v>18296</v>
      </c>
      <c r="AB3283" t="s">
        <v>8348</v>
      </c>
      <c r="AE3283">
        <v>-37.781181359999998</v>
      </c>
      <c r="AF3283">
        <v>175.29585356999999</v>
      </c>
      <c r="AG3283">
        <v>40</v>
      </c>
      <c r="AH3283">
        <v>0</v>
      </c>
      <c r="AI3283">
        <v>0</v>
      </c>
      <c r="AJ3283">
        <v>0</v>
      </c>
      <c r="AK3283">
        <v>8</v>
      </c>
      <c r="AL3283">
        <v>11</v>
      </c>
      <c r="AM3283">
        <v>7</v>
      </c>
      <c r="AN3283">
        <v>0</v>
      </c>
      <c r="AO3283">
        <v>26</v>
      </c>
      <c r="AP3283">
        <v>11</v>
      </c>
      <c r="AQ3283">
        <v>10</v>
      </c>
      <c r="AR3283">
        <v>5</v>
      </c>
      <c r="AS3283">
        <v>8</v>
      </c>
      <c r="AT3283">
        <v>2</v>
      </c>
    </row>
    <row r="3284" spans="1:46">
      <c r="A3284">
        <v>48172</v>
      </c>
      <c r="B3284" t="s">
        <v>18297</v>
      </c>
      <c r="E3284" t="s">
        <v>18298</v>
      </c>
      <c r="F3284" t="s">
        <v>6326</v>
      </c>
      <c r="G3284" t="s">
        <v>3623</v>
      </c>
      <c r="H3284" t="s">
        <v>3942</v>
      </c>
      <c r="J3284" t="s">
        <v>3962</v>
      </c>
      <c r="K3284" t="s">
        <v>519</v>
      </c>
      <c r="M3284" t="s">
        <v>520</v>
      </c>
      <c r="N3284" t="s">
        <v>571</v>
      </c>
      <c r="O3284" t="s">
        <v>653</v>
      </c>
      <c r="P3284" t="s">
        <v>584</v>
      </c>
      <c r="Q3284" t="s">
        <v>638</v>
      </c>
      <c r="R3284" t="s">
        <v>639</v>
      </c>
      <c r="S3284" t="s">
        <v>668</v>
      </c>
      <c r="T3284" t="s">
        <v>527</v>
      </c>
      <c r="U3284">
        <v>115200</v>
      </c>
      <c r="V3284" t="s">
        <v>7244</v>
      </c>
      <c r="W3284" t="s">
        <v>657</v>
      </c>
      <c r="X3284" t="s">
        <v>18299</v>
      </c>
      <c r="Y3284" t="s">
        <v>18300</v>
      </c>
      <c r="Z3284" t="s">
        <v>6326</v>
      </c>
      <c r="AA3284" t="s">
        <v>4461</v>
      </c>
      <c r="AB3284" t="s">
        <v>18301</v>
      </c>
      <c r="AE3284">
        <v>-36.627278060000002</v>
      </c>
      <c r="AF3284">
        <v>174.75174265000001</v>
      </c>
      <c r="AG3284">
        <v>40</v>
      </c>
      <c r="AH3284">
        <v>15</v>
      </c>
      <c r="AI3284">
        <v>4</v>
      </c>
      <c r="AJ3284">
        <v>7</v>
      </c>
      <c r="AK3284">
        <v>10</v>
      </c>
      <c r="AL3284">
        <v>4</v>
      </c>
      <c r="AM3284">
        <v>7</v>
      </c>
      <c r="AN3284">
        <v>0</v>
      </c>
      <c r="AO3284">
        <v>32</v>
      </c>
      <c r="AP3284">
        <v>29</v>
      </c>
      <c r="AQ3284">
        <v>7</v>
      </c>
      <c r="AR3284">
        <v>4</v>
      </c>
      <c r="AS3284">
        <v>3</v>
      </c>
      <c r="AT3284">
        <v>3</v>
      </c>
    </row>
    <row r="3285" spans="1:46">
      <c r="A3285">
        <v>48174</v>
      </c>
      <c r="B3285" t="s">
        <v>18302</v>
      </c>
      <c r="C3285" t="s">
        <v>18303</v>
      </c>
      <c r="E3285" t="s">
        <v>18304</v>
      </c>
      <c r="G3285" t="s">
        <v>1857</v>
      </c>
      <c r="H3285" t="s">
        <v>3942</v>
      </c>
      <c r="J3285" t="s">
        <v>3962</v>
      </c>
      <c r="K3285" t="s">
        <v>519</v>
      </c>
      <c r="M3285" t="s">
        <v>1297</v>
      </c>
      <c r="N3285" t="s">
        <v>571</v>
      </c>
      <c r="O3285" t="s">
        <v>1851</v>
      </c>
      <c r="P3285" t="s">
        <v>523</v>
      </c>
      <c r="Q3285" t="s">
        <v>1759</v>
      </c>
      <c r="R3285" t="s">
        <v>1760</v>
      </c>
      <c r="S3285" t="s">
        <v>1842</v>
      </c>
      <c r="T3285" t="s">
        <v>1485</v>
      </c>
      <c r="U3285">
        <v>221700</v>
      </c>
      <c r="V3285" t="s">
        <v>10977</v>
      </c>
      <c r="W3285" t="s">
        <v>1859</v>
      </c>
      <c r="X3285" t="s">
        <v>18305</v>
      </c>
      <c r="Y3285" t="s">
        <v>18306</v>
      </c>
      <c r="AA3285" t="s">
        <v>10980</v>
      </c>
      <c r="AB3285" t="s">
        <v>18307</v>
      </c>
      <c r="AE3285">
        <v>-39.575160339999996</v>
      </c>
      <c r="AF3285">
        <v>174.27356882000001</v>
      </c>
      <c r="AG3285">
        <v>90</v>
      </c>
      <c r="AH3285">
        <v>30</v>
      </c>
      <c r="AI3285">
        <v>1</v>
      </c>
      <c r="AJ3285">
        <v>19</v>
      </c>
      <c r="AK3285">
        <v>27</v>
      </c>
      <c r="AL3285">
        <v>21</v>
      </c>
      <c r="AM3285">
        <v>16</v>
      </c>
      <c r="AN3285">
        <v>0</v>
      </c>
      <c r="AO3285">
        <v>84</v>
      </c>
      <c r="AP3285">
        <v>74</v>
      </c>
      <c r="AQ3285">
        <v>26</v>
      </c>
      <c r="AR3285">
        <v>5</v>
      </c>
      <c r="AS3285">
        <v>4</v>
      </c>
      <c r="AT3285">
        <v>1</v>
      </c>
    </row>
    <row r="3286" spans="1:46">
      <c r="A3286">
        <v>48175</v>
      </c>
      <c r="B3286" t="s">
        <v>18308</v>
      </c>
      <c r="C3286" t="s">
        <v>18309</v>
      </c>
      <c r="E3286" t="s">
        <v>18310</v>
      </c>
      <c r="G3286" t="s">
        <v>3834</v>
      </c>
      <c r="H3286" t="s">
        <v>3942</v>
      </c>
      <c r="J3286" t="s">
        <v>518</v>
      </c>
      <c r="K3286" t="s">
        <v>519</v>
      </c>
      <c r="M3286" t="s">
        <v>2287</v>
      </c>
      <c r="N3286" t="s">
        <v>571</v>
      </c>
      <c r="O3286" t="s">
        <v>3835</v>
      </c>
      <c r="P3286" t="s">
        <v>1262</v>
      </c>
      <c r="Q3286" t="s">
        <v>3337</v>
      </c>
      <c r="R3286" t="s">
        <v>3338</v>
      </c>
      <c r="S3286" t="s">
        <v>3361</v>
      </c>
      <c r="T3286" t="s">
        <v>2448</v>
      </c>
      <c r="U3286">
        <v>348901</v>
      </c>
      <c r="V3286" t="s">
        <v>18068</v>
      </c>
      <c r="W3286" t="s">
        <v>3837</v>
      </c>
      <c r="X3286" t="s">
        <v>18311</v>
      </c>
      <c r="Y3286" t="s">
        <v>3944</v>
      </c>
      <c r="Z3286" t="s">
        <v>3945</v>
      </c>
      <c r="AA3286" t="s">
        <v>3946</v>
      </c>
      <c r="AE3286">
        <v>-45.064993880000003</v>
      </c>
      <c r="AF3286">
        <v>168.75170739999999</v>
      </c>
      <c r="AG3286">
        <v>120</v>
      </c>
      <c r="AH3286">
        <v>25</v>
      </c>
      <c r="AI3286">
        <v>3</v>
      </c>
      <c r="AJ3286">
        <v>21</v>
      </c>
      <c r="AK3286">
        <v>32</v>
      </c>
      <c r="AL3286">
        <v>36</v>
      </c>
      <c r="AM3286">
        <v>29</v>
      </c>
      <c r="AN3286">
        <v>1</v>
      </c>
      <c r="AO3286">
        <v>122</v>
      </c>
      <c r="AP3286">
        <v>56</v>
      </c>
      <c r="AQ3286">
        <v>7</v>
      </c>
      <c r="AR3286">
        <v>0</v>
      </c>
      <c r="AS3286">
        <v>40</v>
      </c>
      <c r="AT3286">
        <v>35</v>
      </c>
    </row>
    <row r="3287" spans="1:46">
      <c r="A3287">
        <v>48176</v>
      </c>
      <c r="B3287" t="s">
        <v>18312</v>
      </c>
      <c r="C3287" t="s">
        <v>18313</v>
      </c>
      <c r="E3287" t="s">
        <v>18314</v>
      </c>
      <c r="G3287" t="s">
        <v>2882</v>
      </c>
      <c r="H3287" t="s">
        <v>3942</v>
      </c>
      <c r="J3287" t="s">
        <v>518</v>
      </c>
      <c r="K3287" t="s">
        <v>519</v>
      </c>
      <c r="M3287" t="s">
        <v>2287</v>
      </c>
      <c r="N3287" t="s">
        <v>571</v>
      </c>
      <c r="O3287" t="s">
        <v>2868</v>
      </c>
      <c r="P3287" t="s">
        <v>1262</v>
      </c>
      <c r="Q3287" t="s">
        <v>2869</v>
      </c>
      <c r="R3287" t="s">
        <v>2824</v>
      </c>
      <c r="S3287" t="s">
        <v>2853</v>
      </c>
      <c r="T3287" t="s">
        <v>2448</v>
      </c>
      <c r="U3287">
        <v>302400</v>
      </c>
      <c r="V3287" t="s">
        <v>18315</v>
      </c>
      <c r="W3287" t="s">
        <v>2884</v>
      </c>
      <c r="X3287" t="s">
        <v>18316</v>
      </c>
      <c r="Y3287" t="s">
        <v>3944</v>
      </c>
      <c r="Z3287" t="s">
        <v>3945</v>
      </c>
      <c r="AA3287" t="s">
        <v>3946</v>
      </c>
      <c r="AE3287">
        <v>-41.332487649999997</v>
      </c>
      <c r="AF3287">
        <v>173.17456100000001</v>
      </c>
      <c r="AG3287">
        <v>80</v>
      </c>
      <c r="AH3287">
        <v>15</v>
      </c>
      <c r="AI3287">
        <v>4</v>
      </c>
      <c r="AJ3287">
        <v>9</v>
      </c>
      <c r="AK3287">
        <v>16</v>
      </c>
      <c r="AL3287">
        <v>23</v>
      </c>
      <c r="AM3287">
        <v>18</v>
      </c>
      <c r="AN3287">
        <v>2</v>
      </c>
      <c r="AO3287">
        <v>72</v>
      </c>
      <c r="AP3287">
        <v>52</v>
      </c>
      <c r="AQ3287">
        <v>14</v>
      </c>
      <c r="AR3287">
        <v>2</v>
      </c>
      <c r="AS3287">
        <v>12</v>
      </c>
      <c r="AT3287">
        <v>8</v>
      </c>
    </row>
    <row r="3288" spans="1:46">
      <c r="A3288">
        <v>48177</v>
      </c>
      <c r="B3288" t="s">
        <v>18317</v>
      </c>
      <c r="E3288" t="s">
        <v>18318</v>
      </c>
      <c r="F3288" t="s">
        <v>2038</v>
      </c>
      <c r="G3288" t="s">
        <v>1974</v>
      </c>
      <c r="H3288" t="s">
        <v>3942</v>
      </c>
      <c r="J3288" t="s">
        <v>3962</v>
      </c>
      <c r="K3288" t="s">
        <v>519</v>
      </c>
      <c r="M3288" t="s">
        <v>1297</v>
      </c>
      <c r="N3288" t="s">
        <v>557</v>
      </c>
      <c r="O3288" t="s">
        <v>1956</v>
      </c>
      <c r="P3288" t="s">
        <v>584</v>
      </c>
      <c r="Q3288" t="s">
        <v>1636</v>
      </c>
      <c r="R3288" t="s">
        <v>1760</v>
      </c>
      <c r="S3288" t="s">
        <v>1974</v>
      </c>
      <c r="T3288" t="s">
        <v>1485</v>
      </c>
      <c r="U3288">
        <v>230800</v>
      </c>
      <c r="V3288" t="s">
        <v>2038</v>
      </c>
      <c r="W3288" t="s">
        <v>1957</v>
      </c>
      <c r="X3288" t="s">
        <v>15286</v>
      </c>
      <c r="Y3288" t="s">
        <v>12723</v>
      </c>
      <c r="AA3288" t="s">
        <v>12298</v>
      </c>
      <c r="AB3288" t="s">
        <v>15287</v>
      </c>
      <c r="AE3288">
        <v>-40.344953439999998</v>
      </c>
      <c r="AF3288">
        <v>175.62669511999999</v>
      </c>
      <c r="AG3288">
        <v>31</v>
      </c>
      <c r="AH3288">
        <v>0</v>
      </c>
      <c r="AI3288">
        <v>0</v>
      </c>
      <c r="AJ3288">
        <v>0</v>
      </c>
      <c r="AK3288">
        <v>4</v>
      </c>
      <c r="AL3288">
        <v>10</v>
      </c>
      <c r="AM3288">
        <v>7</v>
      </c>
      <c r="AN3288">
        <v>0</v>
      </c>
      <c r="AO3288">
        <v>21</v>
      </c>
      <c r="AP3288">
        <v>8</v>
      </c>
      <c r="AQ3288">
        <v>5</v>
      </c>
      <c r="AR3288">
        <v>2</v>
      </c>
      <c r="AS3288">
        <v>9</v>
      </c>
      <c r="AT3288">
        <v>0</v>
      </c>
    </row>
    <row r="3289" spans="1:46">
      <c r="A3289">
        <v>48178</v>
      </c>
      <c r="B3289" t="s">
        <v>18319</v>
      </c>
      <c r="C3289" t="s">
        <v>18320</v>
      </c>
      <c r="D3289" t="s">
        <v>18321</v>
      </c>
      <c r="E3289" t="s">
        <v>18322</v>
      </c>
      <c r="F3289" t="s">
        <v>9003</v>
      </c>
      <c r="G3289" t="s">
        <v>2081</v>
      </c>
      <c r="H3289" t="s">
        <v>3942</v>
      </c>
      <c r="J3289" t="s">
        <v>518</v>
      </c>
      <c r="K3289" t="s">
        <v>519</v>
      </c>
      <c r="M3289" t="s">
        <v>1297</v>
      </c>
      <c r="N3289" t="s">
        <v>571</v>
      </c>
      <c r="O3289" t="s">
        <v>2082</v>
      </c>
      <c r="P3289" t="s">
        <v>584</v>
      </c>
      <c r="Q3289" t="s">
        <v>2083</v>
      </c>
      <c r="R3289" t="s">
        <v>2084</v>
      </c>
      <c r="S3289" t="s">
        <v>1473</v>
      </c>
      <c r="T3289" t="s">
        <v>2085</v>
      </c>
      <c r="U3289">
        <v>206700</v>
      </c>
      <c r="V3289" t="s">
        <v>9004</v>
      </c>
      <c r="W3289" t="s">
        <v>2087</v>
      </c>
      <c r="X3289" t="s">
        <v>18323</v>
      </c>
      <c r="Y3289" t="s">
        <v>6369</v>
      </c>
      <c r="Z3289" t="s">
        <v>4555</v>
      </c>
      <c r="AA3289" t="s">
        <v>4556</v>
      </c>
      <c r="AB3289" t="s">
        <v>18320</v>
      </c>
      <c r="AC3289">
        <v>99083</v>
      </c>
      <c r="AD3289" t="s">
        <v>2099</v>
      </c>
      <c r="AE3289">
        <v>-38.663236150000003</v>
      </c>
      <c r="AF3289">
        <v>178.03041775</v>
      </c>
      <c r="AG3289">
        <v>20</v>
      </c>
      <c r="AH3289">
        <v>8</v>
      </c>
      <c r="AI3289">
        <v>1</v>
      </c>
      <c r="AJ3289">
        <v>4</v>
      </c>
      <c r="AK3289">
        <v>2</v>
      </c>
      <c r="AL3289">
        <v>6</v>
      </c>
      <c r="AM3289">
        <v>2</v>
      </c>
      <c r="AN3289">
        <v>0</v>
      </c>
      <c r="AO3289">
        <v>15</v>
      </c>
      <c r="AP3289">
        <v>7</v>
      </c>
      <c r="AQ3289">
        <v>10</v>
      </c>
      <c r="AR3289">
        <v>1</v>
      </c>
      <c r="AS3289">
        <v>0</v>
      </c>
      <c r="AT3289">
        <v>0</v>
      </c>
    </row>
    <row r="3290" spans="1:46">
      <c r="A3290">
        <v>48179</v>
      </c>
      <c r="B3290" t="s">
        <v>18324</v>
      </c>
      <c r="C3290" t="s">
        <v>18325</v>
      </c>
      <c r="D3290" t="s">
        <v>18326</v>
      </c>
      <c r="E3290" t="s">
        <v>18327</v>
      </c>
      <c r="G3290" t="s">
        <v>1586</v>
      </c>
      <c r="H3290" t="s">
        <v>3942</v>
      </c>
      <c r="J3290" t="s">
        <v>3962</v>
      </c>
      <c r="K3290" t="s">
        <v>519</v>
      </c>
      <c r="M3290" t="s">
        <v>1297</v>
      </c>
      <c r="N3290" t="s">
        <v>571</v>
      </c>
      <c r="O3290" t="s">
        <v>1450</v>
      </c>
      <c r="P3290" t="s">
        <v>572</v>
      </c>
      <c r="Q3290" t="s">
        <v>1299</v>
      </c>
      <c r="R3290" t="s">
        <v>1300</v>
      </c>
      <c r="S3290" t="s">
        <v>1300</v>
      </c>
      <c r="T3290" t="s">
        <v>1235</v>
      </c>
      <c r="U3290">
        <v>173801</v>
      </c>
      <c r="V3290" t="s">
        <v>9707</v>
      </c>
      <c r="W3290" t="s">
        <v>1588</v>
      </c>
      <c r="X3290" t="s">
        <v>18328</v>
      </c>
      <c r="Y3290" t="s">
        <v>18329</v>
      </c>
      <c r="AA3290" t="s">
        <v>18330</v>
      </c>
      <c r="AB3290" t="s">
        <v>18325</v>
      </c>
      <c r="AE3290">
        <v>-37.638797220000001</v>
      </c>
      <c r="AF3290">
        <v>175.49757632000001</v>
      </c>
      <c r="AG3290">
        <v>24</v>
      </c>
      <c r="AH3290">
        <v>0</v>
      </c>
      <c r="AI3290">
        <v>0</v>
      </c>
      <c r="AJ3290">
        <v>0</v>
      </c>
      <c r="AK3290">
        <v>6</v>
      </c>
      <c r="AL3290">
        <v>13</v>
      </c>
      <c r="AM3290">
        <v>9</v>
      </c>
      <c r="AN3290">
        <v>1</v>
      </c>
      <c r="AO3290">
        <v>29</v>
      </c>
      <c r="AP3290">
        <v>29</v>
      </c>
      <c r="AQ3290">
        <v>3</v>
      </c>
      <c r="AR3290">
        <v>1</v>
      </c>
      <c r="AS3290">
        <v>0</v>
      </c>
      <c r="AT3290">
        <v>0</v>
      </c>
    </row>
    <row r="3291" spans="1:46">
      <c r="A3291">
        <v>48181</v>
      </c>
      <c r="B3291" t="s">
        <v>18331</v>
      </c>
      <c r="C3291" t="s">
        <v>18332</v>
      </c>
      <c r="E3291" t="s">
        <v>18333</v>
      </c>
      <c r="G3291" t="s">
        <v>10911</v>
      </c>
      <c r="H3291" t="s">
        <v>517</v>
      </c>
      <c r="J3291" t="s">
        <v>518</v>
      </c>
      <c r="K3291" t="s">
        <v>519</v>
      </c>
      <c r="M3291" t="s">
        <v>2287</v>
      </c>
      <c r="N3291" t="s">
        <v>8995</v>
      </c>
      <c r="O3291" t="s">
        <v>3208</v>
      </c>
      <c r="P3291" t="s">
        <v>1262</v>
      </c>
      <c r="Q3291" t="s">
        <v>2943</v>
      </c>
      <c r="R3291" t="s">
        <v>2944</v>
      </c>
      <c r="S3291" t="s">
        <v>3179</v>
      </c>
      <c r="T3291" t="s">
        <v>2448</v>
      </c>
      <c r="U3291">
        <v>335501</v>
      </c>
      <c r="V3291" t="s">
        <v>14697</v>
      </c>
      <c r="W3291" t="s">
        <v>10914</v>
      </c>
      <c r="X3291" t="s">
        <v>2948</v>
      </c>
      <c r="Y3291" t="s">
        <v>2949</v>
      </c>
      <c r="Z3291" t="s">
        <v>2950</v>
      </c>
      <c r="AA3291" t="s">
        <v>2951</v>
      </c>
      <c r="AB3291" t="s">
        <v>18334</v>
      </c>
      <c r="AE3291">
        <v>-43.615632099999999</v>
      </c>
      <c r="AF3291">
        <v>172.3938067</v>
      </c>
      <c r="AG3291">
        <v>40</v>
      </c>
      <c r="AH3291">
        <v>0</v>
      </c>
      <c r="AI3291">
        <v>0</v>
      </c>
      <c r="AJ3291">
        <v>0</v>
      </c>
      <c r="AK3291">
        <v>13</v>
      </c>
      <c r="AL3291">
        <v>19</v>
      </c>
      <c r="AM3291">
        <v>17</v>
      </c>
      <c r="AN3291">
        <v>2</v>
      </c>
      <c r="AO3291">
        <v>51</v>
      </c>
      <c r="AP3291">
        <v>32</v>
      </c>
      <c r="AQ3291">
        <v>7</v>
      </c>
      <c r="AR3291">
        <v>1</v>
      </c>
      <c r="AS3291">
        <v>17</v>
      </c>
      <c r="AT3291">
        <v>1</v>
      </c>
    </row>
    <row r="3292" spans="1:46">
      <c r="A3292">
        <v>48182</v>
      </c>
      <c r="B3292" t="s">
        <v>18335</v>
      </c>
      <c r="C3292" t="s">
        <v>18336</v>
      </c>
      <c r="D3292" t="s">
        <v>18337</v>
      </c>
      <c r="E3292" t="s">
        <v>18338</v>
      </c>
      <c r="G3292" t="s">
        <v>10911</v>
      </c>
      <c r="H3292" t="s">
        <v>3942</v>
      </c>
      <c r="J3292" t="s">
        <v>3962</v>
      </c>
      <c r="K3292" t="s">
        <v>519</v>
      </c>
      <c r="M3292" t="s">
        <v>2287</v>
      </c>
      <c r="N3292" t="s">
        <v>571</v>
      </c>
      <c r="O3292" t="s">
        <v>3208</v>
      </c>
      <c r="P3292" t="s">
        <v>1262</v>
      </c>
      <c r="Q3292" t="s">
        <v>2943</v>
      </c>
      <c r="R3292" t="s">
        <v>2944</v>
      </c>
      <c r="S3292" t="s">
        <v>3179</v>
      </c>
      <c r="T3292" t="s">
        <v>2448</v>
      </c>
      <c r="U3292">
        <v>335502</v>
      </c>
      <c r="V3292" t="s">
        <v>17543</v>
      </c>
      <c r="W3292" t="s">
        <v>10914</v>
      </c>
      <c r="X3292" t="s">
        <v>10915</v>
      </c>
      <c r="Y3292" t="s">
        <v>18338</v>
      </c>
      <c r="AA3292" t="s">
        <v>18339</v>
      </c>
      <c r="AE3292">
        <v>-43.615019089999997</v>
      </c>
      <c r="AF3292">
        <v>172.40296710999999</v>
      </c>
      <c r="AG3292">
        <v>115</v>
      </c>
      <c r="AH3292">
        <v>50</v>
      </c>
      <c r="AI3292">
        <v>8</v>
      </c>
      <c r="AJ3292">
        <v>33</v>
      </c>
      <c r="AK3292">
        <v>33</v>
      </c>
      <c r="AL3292">
        <v>31</v>
      </c>
      <c r="AM3292">
        <v>26</v>
      </c>
      <c r="AN3292">
        <v>2</v>
      </c>
      <c r="AO3292">
        <v>133</v>
      </c>
      <c r="AP3292">
        <v>69</v>
      </c>
      <c r="AQ3292">
        <v>17</v>
      </c>
      <c r="AR3292">
        <v>5</v>
      </c>
      <c r="AS3292">
        <v>41</v>
      </c>
      <c r="AT3292">
        <v>19</v>
      </c>
    </row>
    <row r="3293" spans="1:46">
      <c r="A3293">
        <v>48183</v>
      </c>
      <c r="B3293" t="s">
        <v>18340</v>
      </c>
      <c r="C3293" t="s">
        <v>11463</v>
      </c>
      <c r="E3293" t="s">
        <v>18341</v>
      </c>
      <c r="G3293" t="s">
        <v>10911</v>
      </c>
      <c r="H3293" t="s">
        <v>4716</v>
      </c>
      <c r="J3293" t="s">
        <v>3962</v>
      </c>
      <c r="K3293" t="s">
        <v>519</v>
      </c>
      <c r="M3293" t="s">
        <v>2287</v>
      </c>
      <c r="N3293" t="s">
        <v>571</v>
      </c>
      <c r="O3293" t="s">
        <v>3208</v>
      </c>
      <c r="P3293" t="s">
        <v>1262</v>
      </c>
      <c r="Q3293" t="s">
        <v>2943</v>
      </c>
      <c r="R3293" t="s">
        <v>2944</v>
      </c>
      <c r="S3293" t="s">
        <v>3179</v>
      </c>
      <c r="T3293" t="s">
        <v>2448</v>
      </c>
      <c r="U3293">
        <v>335201</v>
      </c>
      <c r="V3293" t="s">
        <v>10913</v>
      </c>
      <c r="W3293" t="s">
        <v>10914</v>
      </c>
      <c r="X3293" t="s">
        <v>11460</v>
      </c>
      <c r="Y3293" t="s">
        <v>18341</v>
      </c>
      <c r="AA3293" t="s">
        <v>11573</v>
      </c>
      <c r="AB3293" t="s">
        <v>11463</v>
      </c>
      <c r="AE3293">
        <v>-43.593959849999997</v>
      </c>
      <c r="AF3293">
        <v>172.38564502</v>
      </c>
      <c r="AG3293">
        <v>50</v>
      </c>
      <c r="AH3293">
        <v>50</v>
      </c>
      <c r="AI3293">
        <v>3</v>
      </c>
      <c r="AJ3293">
        <v>3</v>
      </c>
      <c r="AK3293">
        <v>10</v>
      </c>
      <c r="AL3293">
        <v>6</v>
      </c>
      <c r="AM3293">
        <v>7</v>
      </c>
      <c r="AN3293">
        <v>0</v>
      </c>
      <c r="AO3293">
        <v>29</v>
      </c>
      <c r="AP3293">
        <v>25</v>
      </c>
      <c r="AQ3293">
        <v>3</v>
      </c>
      <c r="AR3293">
        <v>3</v>
      </c>
      <c r="AS3293">
        <v>3</v>
      </c>
      <c r="AT3293">
        <v>2</v>
      </c>
    </row>
    <row r="3294" spans="1:46">
      <c r="A3294">
        <v>48184</v>
      </c>
      <c r="B3294" t="s">
        <v>18342</v>
      </c>
      <c r="C3294" t="s">
        <v>18343</v>
      </c>
      <c r="E3294" t="s">
        <v>18344</v>
      </c>
      <c r="F3294" t="s">
        <v>18345</v>
      </c>
      <c r="G3294" t="s">
        <v>2371</v>
      </c>
      <c r="H3294" t="s">
        <v>3942</v>
      </c>
      <c r="J3294" t="s">
        <v>3962</v>
      </c>
      <c r="K3294" t="s">
        <v>519</v>
      </c>
      <c r="M3294" t="s">
        <v>2287</v>
      </c>
      <c r="N3294" t="s">
        <v>557</v>
      </c>
      <c r="O3294" t="s">
        <v>2372</v>
      </c>
      <c r="P3294" t="s">
        <v>584</v>
      </c>
      <c r="Q3294" t="s">
        <v>2319</v>
      </c>
      <c r="R3294" t="s">
        <v>2289</v>
      </c>
      <c r="S3294" t="s">
        <v>2373</v>
      </c>
      <c r="T3294" t="s">
        <v>2085</v>
      </c>
      <c r="U3294">
        <v>242200</v>
      </c>
      <c r="V3294" t="s">
        <v>14902</v>
      </c>
      <c r="W3294" t="s">
        <v>1652</v>
      </c>
      <c r="X3294" t="s">
        <v>18346</v>
      </c>
      <c r="Y3294" t="s">
        <v>11155</v>
      </c>
      <c r="AA3294" t="s">
        <v>18347</v>
      </c>
      <c r="AE3294">
        <v>-41.133034360000003</v>
      </c>
      <c r="AF3294">
        <v>175.05870999999999</v>
      </c>
      <c r="AG3294">
        <v>90</v>
      </c>
      <c r="AH3294">
        <v>25</v>
      </c>
      <c r="AI3294">
        <v>0</v>
      </c>
      <c r="AJ3294">
        <v>27</v>
      </c>
      <c r="AK3294">
        <v>28</v>
      </c>
      <c r="AL3294">
        <v>23</v>
      </c>
      <c r="AM3294">
        <v>22</v>
      </c>
      <c r="AN3294">
        <v>1</v>
      </c>
      <c r="AO3294">
        <v>101</v>
      </c>
      <c r="AP3294">
        <v>59</v>
      </c>
      <c r="AQ3294">
        <v>10</v>
      </c>
      <c r="AR3294">
        <v>4</v>
      </c>
      <c r="AS3294">
        <v>22</v>
      </c>
      <c r="AT3294">
        <v>24</v>
      </c>
    </row>
    <row r="3295" spans="1:46">
      <c r="A3295">
        <v>48186</v>
      </c>
      <c r="B3295" t="s">
        <v>18348</v>
      </c>
      <c r="C3295" t="s">
        <v>18349</v>
      </c>
      <c r="E3295" t="s">
        <v>18350</v>
      </c>
      <c r="F3295" t="s">
        <v>2021</v>
      </c>
      <c r="G3295" t="s">
        <v>1974</v>
      </c>
      <c r="H3295" t="s">
        <v>3942</v>
      </c>
      <c r="J3295" t="s">
        <v>518</v>
      </c>
      <c r="K3295" t="s">
        <v>519</v>
      </c>
      <c r="M3295" t="s">
        <v>1297</v>
      </c>
      <c r="N3295" t="s">
        <v>571</v>
      </c>
      <c r="O3295" t="s">
        <v>1956</v>
      </c>
      <c r="P3295" t="s">
        <v>584</v>
      </c>
      <c r="Q3295" t="s">
        <v>1636</v>
      </c>
      <c r="R3295" t="s">
        <v>1760</v>
      </c>
      <c r="S3295" t="s">
        <v>1974</v>
      </c>
      <c r="T3295" t="s">
        <v>1485</v>
      </c>
      <c r="U3295">
        <v>229300</v>
      </c>
      <c r="V3295" t="s">
        <v>18351</v>
      </c>
      <c r="W3295" t="s">
        <v>1957</v>
      </c>
      <c r="X3295" t="s">
        <v>10400</v>
      </c>
      <c r="Y3295" t="s">
        <v>3944</v>
      </c>
      <c r="Z3295" t="s">
        <v>3945</v>
      </c>
      <c r="AA3295" t="s">
        <v>3946</v>
      </c>
      <c r="AB3295" t="s">
        <v>10401</v>
      </c>
      <c r="AE3295">
        <v>-40.33198496</v>
      </c>
      <c r="AF3295">
        <v>175.61583877999999</v>
      </c>
      <c r="AG3295">
        <v>100</v>
      </c>
      <c r="AH3295">
        <v>32</v>
      </c>
      <c r="AI3295">
        <v>4</v>
      </c>
      <c r="AJ3295">
        <v>15</v>
      </c>
      <c r="AK3295">
        <v>18</v>
      </c>
      <c r="AL3295">
        <v>26</v>
      </c>
      <c r="AM3295">
        <v>16</v>
      </c>
      <c r="AN3295">
        <v>0</v>
      </c>
      <c r="AO3295">
        <v>79</v>
      </c>
      <c r="AP3295">
        <v>22</v>
      </c>
      <c r="AQ3295">
        <v>14</v>
      </c>
      <c r="AR3295">
        <v>5</v>
      </c>
      <c r="AS3295">
        <v>40</v>
      </c>
      <c r="AT3295">
        <v>10</v>
      </c>
    </row>
    <row r="3296" spans="1:46">
      <c r="A3296">
        <v>48187</v>
      </c>
      <c r="B3296" t="s">
        <v>18352</v>
      </c>
      <c r="C3296" t="s">
        <v>18353</v>
      </c>
      <c r="E3296" t="s">
        <v>18354</v>
      </c>
      <c r="G3296" t="s">
        <v>7797</v>
      </c>
      <c r="H3296" t="s">
        <v>3942</v>
      </c>
      <c r="J3296" t="s">
        <v>518</v>
      </c>
      <c r="K3296" t="s">
        <v>519</v>
      </c>
      <c r="M3296" t="s">
        <v>1297</v>
      </c>
      <c r="N3296" t="s">
        <v>571</v>
      </c>
      <c r="O3296" t="s">
        <v>1351</v>
      </c>
      <c r="P3296" t="s">
        <v>523</v>
      </c>
      <c r="Q3296" t="s">
        <v>1299</v>
      </c>
      <c r="R3296" t="s">
        <v>1300</v>
      </c>
      <c r="S3296" t="s">
        <v>1246</v>
      </c>
      <c r="T3296" t="s">
        <v>1235</v>
      </c>
      <c r="U3296">
        <v>170802</v>
      </c>
      <c r="V3296" t="s">
        <v>18355</v>
      </c>
      <c r="W3296" t="s">
        <v>7799</v>
      </c>
      <c r="X3296" t="s">
        <v>8377</v>
      </c>
      <c r="Y3296" t="s">
        <v>3944</v>
      </c>
      <c r="Z3296" t="s">
        <v>3945</v>
      </c>
      <c r="AA3296" t="s">
        <v>3946</v>
      </c>
      <c r="AB3296" t="s">
        <v>8378</v>
      </c>
      <c r="AE3296">
        <v>-37.414644350000003</v>
      </c>
      <c r="AF3296">
        <v>175.14799221000001</v>
      </c>
      <c r="AG3296">
        <v>76</v>
      </c>
      <c r="AH3296">
        <v>22</v>
      </c>
      <c r="AI3296">
        <v>3</v>
      </c>
      <c r="AJ3296">
        <v>13</v>
      </c>
      <c r="AK3296">
        <v>16</v>
      </c>
      <c r="AL3296">
        <v>9</v>
      </c>
      <c r="AM3296">
        <v>9</v>
      </c>
      <c r="AN3296">
        <v>0</v>
      </c>
      <c r="AO3296">
        <v>50</v>
      </c>
      <c r="AP3296">
        <v>29</v>
      </c>
      <c r="AQ3296">
        <v>15</v>
      </c>
      <c r="AR3296">
        <v>5</v>
      </c>
      <c r="AS3296">
        <v>10</v>
      </c>
      <c r="AT3296">
        <v>7</v>
      </c>
    </row>
    <row r="3297" spans="1:46">
      <c r="A3297">
        <v>48188</v>
      </c>
      <c r="B3297" t="s">
        <v>18356</v>
      </c>
      <c r="C3297" t="s">
        <v>18357</v>
      </c>
      <c r="E3297" t="s">
        <v>18358</v>
      </c>
      <c r="F3297" t="s">
        <v>1345</v>
      </c>
      <c r="G3297" t="s">
        <v>1296</v>
      </c>
      <c r="H3297" t="s">
        <v>4221</v>
      </c>
      <c r="I3297" t="s">
        <v>3644</v>
      </c>
      <c r="J3297" t="s">
        <v>3962</v>
      </c>
      <c r="K3297" t="s">
        <v>519</v>
      </c>
      <c r="M3297" t="s">
        <v>1297</v>
      </c>
      <c r="N3297" t="s">
        <v>571</v>
      </c>
      <c r="O3297" t="s">
        <v>1298</v>
      </c>
      <c r="P3297" t="s">
        <v>654</v>
      </c>
      <c r="Q3297" t="s">
        <v>1299</v>
      </c>
      <c r="R3297" t="s">
        <v>1300</v>
      </c>
      <c r="S3297" t="s">
        <v>1301</v>
      </c>
      <c r="T3297" t="s">
        <v>1235</v>
      </c>
      <c r="U3297">
        <v>178901</v>
      </c>
      <c r="V3297" t="s">
        <v>8352</v>
      </c>
      <c r="W3297" t="s">
        <v>1303</v>
      </c>
      <c r="X3297" t="s">
        <v>18359</v>
      </c>
      <c r="Y3297" t="s">
        <v>18358</v>
      </c>
      <c r="Z3297" t="s">
        <v>1345</v>
      </c>
      <c r="AA3297" t="s">
        <v>14041</v>
      </c>
      <c r="AB3297" t="s">
        <v>18357</v>
      </c>
      <c r="AE3297">
        <v>-37.783282900000003</v>
      </c>
      <c r="AF3297">
        <v>175.26807260000001</v>
      </c>
      <c r="AG3297">
        <v>85</v>
      </c>
      <c r="AH3297">
        <v>20</v>
      </c>
      <c r="AI3297">
        <v>5</v>
      </c>
      <c r="AJ3297">
        <v>12</v>
      </c>
      <c r="AK3297">
        <v>14</v>
      </c>
      <c r="AL3297">
        <v>11</v>
      </c>
      <c r="AM3297">
        <v>9</v>
      </c>
      <c r="AN3297">
        <v>1</v>
      </c>
      <c r="AO3297">
        <v>52</v>
      </c>
      <c r="AP3297">
        <v>7</v>
      </c>
      <c r="AQ3297">
        <v>20</v>
      </c>
      <c r="AR3297">
        <v>43</v>
      </c>
      <c r="AS3297">
        <v>3</v>
      </c>
      <c r="AT3297">
        <v>0</v>
      </c>
    </row>
    <row r="3298" spans="1:46">
      <c r="A3298">
        <v>48189</v>
      </c>
      <c r="B3298" t="s">
        <v>18360</v>
      </c>
      <c r="D3298" t="s">
        <v>18361</v>
      </c>
      <c r="E3298" t="s">
        <v>18362</v>
      </c>
      <c r="F3298" t="s">
        <v>3629</v>
      </c>
      <c r="G3298" t="s">
        <v>2119</v>
      </c>
      <c r="H3298" t="s">
        <v>3942</v>
      </c>
      <c r="I3298" t="s">
        <v>4113</v>
      </c>
      <c r="J3298" t="s">
        <v>518</v>
      </c>
      <c r="K3298" t="s">
        <v>519</v>
      </c>
      <c r="M3298" t="s">
        <v>1297</v>
      </c>
      <c r="N3298" t="s">
        <v>571</v>
      </c>
      <c r="O3298" t="s">
        <v>2131</v>
      </c>
      <c r="P3298" t="s">
        <v>584</v>
      </c>
      <c r="Q3298" t="s">
        <v>2118</v>
      </c>
      <c r="R3298" t="s">
        <v>2084</v>
      </c>
      <c r="S3298" t="s">
        <v>2119</v>
      </c>
      <c r="T3298" t="s">
        <v>2085</v>
      </c>
      <c r="U3298">
        <v>214500</v>
      </c>
      <c r="V3298" t="s">
        <v>3630</v>
      </c>
      <c r="W3298" t="s">
        <v>2132</v>
      </c>
      <c r="X3298" t="s">
        <v>18363</v>
      </c>
      <c r="Y3298" t="s">
        <v>18364</v>
      </c>
      <c r="AA3298" t="s">
        <v>18365</v>
      </c>
      <c r="AE3298">
        <v>-39.496456700000003</v>
      </c>
      <c r="AF3298">
        <v>176.9063103</v>
      </c>
      <c r="AG3298">
        <v>10</v>
      </c>
      <c r="AH3298">
        <v>0</v>
      </c>
      <c r="AI3298">
        <v>0</v>
      </c>
      <c r="AJ3298">
        <v>0</v>
      </c>
      <c r="AK3298">
        <v>7</v>
      </c>
      <c r="AL3298">
        <v>9</v>
      </c>
      <c r="AM3298">
        <v>3</v>
      </c>
      <c r="AN3298">
        <v>0</v>
      </c>
      <c r="AO3298">
        <v>19</v>
      </c>
      <c r="AP3298">
        <v>11</v>
      </c>
      <c r="AQ3298">
        <v>8</v>
      </c>
      <c r="AR3298">
        <v>2</v>
      </c>
      <c r="AS3298">
        <v>1</v>
      </c>
      <c r="AT3298">
        <v>1</v>
      </c>
    </row>
    <row r="3299" spans="1:46">
      <c r="A3299">
        <v>48190</v>
      </c>
      <c r="B3299" t="s">
        <v>18366</v>
      </c>
      <c r="C3299" t="s">
        <v>18367</v>
      </c>
      <c r="E3299" t="s">
        <v>18368</v>
      </c>
      <c r="F3299" t="s">
        <v>1911</v>
      </c>
      <c r="G3299" t="s">
        <v>1842</v>
      </c>
      <c r="H3299" t="s">
        <v>3942</v>
      </c>
      <c r="J3299" t="s">
        <v>3962</v>
      </c>
      <c r="K3299" t="s">
        <v>519</v>
      </c>
      <c r="M3299" t="s">
        <v>1297</v>
      </c>
      <c r="N3299" t="s">
        <v>521</v>
      </c>
      <c r="O3299" t="s">
        <v>1887</v>
      </c>
      <c r="P3299" t="s">
        <v>584</v>
      </c>
      <c r="Q3299" t="s">
        <v>1636</v>
      </c>
      <c r="R3299" t="s">
        <v>1760</v>
      </c>
      <c r="S3299" t="s">
        <v>1842</v>
      </c>
      <c r="T3299" t="s">
        <v>1485</v>
      </c>
      <c r="U3299">
        <v>225300</v>
      </c>
      <c r="V3299" t="s">
        <v>1912</v>
      </c>
      <c r="W3299" t="s">
        <v>1652</v>
      </c>
      <c r="X3299" t="s">
        <v>18369</v>
      </c>
      <c r="Y3299" t="s">
        <v>18370</v>
      </c>
      <c r="Z3299" t="s">
        <v>1379</v>
      </c>
      <c r="AA3299" t="s">
        <v>18371</v>
      </c>
      <c r="AB3299" t="s">
        <v>18367</v>
      </c>
      <c r="AE3299">
        <v>-39.941270529999997</v>
      </c>
      <c r="AF3299">
        <v>175.03860141999999</v>
      </c>
      <c r="AG3299">
        <v>44</v>
      </c>
      <c r="AH3299">
        <v>8</v>
      </c>
      <c r="AI3299">
        <v>2</v>
      </c>
      <c r="AJ3299">
        <v>0</v>
      </c>
      <c r="AK3299">
        <v>12</v>
      </c>
      <c r="AL3299">
        <v>16</v>
      </c>
      <c r="AM3299">
        <v>12</v>
      </c>
      <c r="AN3299">
        <v>0</v>
      </c>
      <c r="AO3299">
        <v>42</v>
      </c>
      <c r="AP3299">
        <v>31</v>
      </c>
      <c r="AQ3299">
        <v>8</v>
      </c>
      <c r="AR3299">
        <v>1</v>
      </c>
      <c r="AS3299">
        <v>10</v>
      </c>
      <c r="AT3299">
        <v>1</v>
      </c>
    </row>
    <row r="3300" spans="1:46">
      <c r="A3300">
        <v>48196</v>
      </c>
      <c r="B3300" t="s">
        <v>18372</v>
      </c>
      <c r="E3300" t="s">
        <v>18373</v>
      </c>
      <c r="F3300" t="s">
        <v>3770</v>
      </c>
      <c r="G3300" t="s">
        <v>1598</v>
      </c>
      <c r="H3300" t="s">
        <v>3942</v>
      </c>
      <c r="J3300" t="s">
        <v>3962</v>
      </c>
      <c r="K3300" t="s">
        <v>519</v>
      </c>
      <c r="M3300" t="s">
        <v>1297</v>
      </c>
      <c r="N3300" t="s">
        <v>571</v>
      </c>
      <c r="O3300" t="s">
        <v>1698</v>
      </c>
      <c r="P3300" t="s">
        <v>654</v>
      </c>
      <c r="Q3300" t="s">
        <v>1471</v>
      </c>
      <c r="R3300" t="s">
        <v>1472</v>
      </c>
      <c r="S3300" t="s">
        <v>1699</v>
      </c>
      <c r="T3300" t="s">
        <v>1474</v>
      </c>
      <c r="U3300">
        <v>197603</v>
      </c>
      <c r="V3300" t="s">
        <v>17841</v>
      </c>
      <c r="W3300" t="s">
        <v>3772</v>
      </c>
      <c r="X3300" t="s">
        <v>18374</v>
      </c>
      <c r="Y3300" t="s">
        <v>18373</v>
      </c>
      <c r="Z3300" t="s">
        <v>3770</v>
      </c>
      <c r="AA3300" t="s">
        <v>8884</v>
      </c>
      <c r="AB3300" t="s">
        <v>18375</v>
      </c>
      <c r="AE3300">
        <v>-37.72700279</v>
      </c>
      <c r="AF3300">
        <v>176.3378056</v>
      </c>
      <c r="AG3300">
        <v>66</v>
      </c>
      <c r="AH3300">
        <v>16</v>
      </c>
      <c r="AI3300">
        <v>5</v>
      </c>
      <c r="AJ3300">
        <v>9</v>
      </c>
      <c r="AK3300">
        <v>13</v>
      </c>
      <c r="AL3300">
        <v>13</v>
      </c>
      <c r="AM3300">
        <v>6</v>
      </c>
      <c r="AN3300">
        <v>0</v>
      </c>
      <c r="AO3300">
        <v>46</v>
      </c>
      <c r="AP3300">
        <v>29</v>
      </c>
      <c r="AQ3300">
        <v>10</v>
      </c>
      <c r="AR3300">
        <v>3</v>
      </c>
      <c r="AS3300">
        <v>11</v>
      </c>
      <c r="AT3300">
        <v>6</v>
      </c>
    </row>
    <row r="3301" spans="1:46">
      <c r="A3301">
        <v>48197</v>
      </c>
      <c r="B3301" t="s">
        <v>18376</v>
      </c>
      <c r="D3301" t="s">
        <v>18377</v>
      </c>
      <c r="E3301" t="s">
        <v>18378</v>
      </c>
      <c r="G3301" t="s">
        <v>550</v>
      </c>
      <c r="H3301" t="s">
        <v>3942</v>
      </c>
      <c r="I3301" t="s">
        <v>6218</v>
      </c>
      <c r="J3301" t="s">
        <v>3962</v>
      </c>
      <c r="K3301" t="s">
        <v>519</v>
      </c>
      <c r="M3301" t="s">
        <v>520</v>
      </c>
      <c r="N3301" t="s">
        <v>727</v>
      </c>
      <c r="O3301" t="s">
        <v>522</v>
      </c>
      <c r="P3301" t="s">
        <v>523</v>
      </c>
      <c r="Q3301" t="s">
        <v>524</v>
      </c>
      <c r="R3301" t="s">
        <v>525</v>
      </c>
      <c r="S3301" t="s">
        <v>526</v>
      </c>
      <c r="T3301" t="s">
        <v>527</v>
      </c>
      <c r="U3301">
        <v>103501</v>
      </c>
      <c r="V3301" t="s">
        <v>550</v>
      </c>
      <c r="W3301" t="s">
        <v>551</v>
      </c>
      <c r="X3301" t="s">
        <v>18379</v>
      </c>
      <c r="Y3301" t="s">
        <v>18380</v>
      </c>
      <c r="AA3301" t="s">
        <v>4698</v>
      </c>
      <c r="AE3301">
        <v>-35.40490673</v>
      </c>
      <c r="AF3301">
        <v>173.78524819</v>
      </c>
      <c r="AG3301">
        <v>35</v>
      </c>
      <c r="AH3301">
        <v>10</v>
      </c>
      <c r="AI3301">
        <v>0</v>
      </c>
      <c r="AJ3301">
        <v>3</v>
      </c>
      <c r="AK3301">
        <v>6</v>
      </c>
      <c r="AL3301">
        <v>8</v>
      </c>
      <c r="AM3301">
        <v>5</v>
      </c>
      <c r="AN3301">
        <v>2</v>
      </c>
      <c r="AO3301">
        <v>24</v>
      </c>
      <c r="AP3301">
        <v>2</v>
      </c>
      <c r="AQ3301">
        <v>24</v>
      </c>
      <c r="AR3301">
        <v>3</v>
      </c>
      <c r="AS3301">
        <v>2</v>
      </c>
      <c r="AT3301">
        <v>0</v>
      </c>
    </row>
    <row r="3302" spans="1:46">
      <c r="A3302">
        <v>48199</v>
      </c>
      <c r="B3302" t="s">
        <v>18381</v>
      </c>
      <c r="C3302" t="s">
        <v>18382</v>
      </c>
      <c r="D3302" t="s">
        <v>18383</v>
      </c>
      <c r="E3302" t="s">
        <v>18384</v>
      </c>
      <c r="G3302" t="s">
        <v>2882</v>
      </c>
      <c r="H3302" t="s">
        <v>3942</v>
      </c>
      <c r="J3302" t="s">
        <v>3962</v>
      </c>
      <c r="K3302" t="s">
        <v>519</v>
      </c>
      <c r="M3302" t="s">
        <v>2287</v>
      </c>
      <c r="N3302" t="s">
        <v>571</v>
      </c>
      <c r="O3302" t="s">
        <v>2868</v>
      </c>
      <c r="P3302" t="s">
        <v>1262</v>
      </c>
      <c r="Q3302" t="s">
        <v>2869</v>
      </c>
      <c r="R3302" t="s">
        <v>2824</v>
      </c>
      <c r="S3302" t="s">
        <v>2853</v>
      </c>
      <c r="T3302" t="s">
        <v>2448</v>
      </c>
      <c r="U3302">
        <v>302400</v>
      </c>
      <c r="V3302" t="s">
        <v>18315</v>
      </c>
      <c r="W3302" t="s">
        <v>2884</v>
      </c>
      <c r="X3302" t="s">
        <v>18385</v>
      </c>
      <c r="Y3302" t="s">
        <v>18384</v>
      </c>
      <c r="AA3302" t="s">
        <v>10940</v>
      </c>
      <c r="AE3302">
        <v>-41.335004410000003</v>
      </c>
      <c r="AF3302">
        <v>173.16531466000001</v>
      </c>
      <c r="AG3302">
        <v>54</v>
      </c>
      <c r="AH3302">
        <v>20</v>
      </c>
      <c r="AI3302">
        <v>1</v>
      </c>
      <c r="AJ3302">
        <v>19</v>
      </c>
      <c r="AK3302">
        <v>12</v>
      </c>
      <c r="AL3302">
        <v>11</v>
      </c>
      <c r="AM3302">
        <v>8</v>
      </c>
      <c r="AN3302">
        <v>0</v>
      </c>
      <c r="AO3302">
        <v>51</v>
      </c>
      <c r="AP3302">
        <v>45</v>
      </c>
      <c r="AQ3302">
        <v>6</v>
      </c>
      <c r="AR3302">
        <v>5</v>
      </c>
      <c r="AS3302">
        <v>5</v>
      </c>
      <c r="AT3302">
        <v>0</v>
      </c>
    </row>
    <row r="3303" spans="1:46">
      <c r="A3303">
        <v>48201</v>
      </c>
      <c r="B3303" t="s">
        <v>18386</v>
      </c>
      <c r="C3303" t="s">
        <v>18387</v>
      </c>
      <c r="E3303" t="s">
        <v>18388</v>
      </c>
      <c r="G3303" t="s">
        <v>1649</v>
      </c>
      <c r="H3303" t="s">
        <v>3942</v>
      </c>
      <c r="J3303" t="s">
        <v>3962</v>
      </c>
      <c r="K3303" t="s">
        <v>519</v>
      </c>
      <c r="M3303" t="s">
        <v>1297</v>
      </c>
      <c r="N3303" t="s">
        <v>521</v>
      </c>
      <c r="O3303" t="s">
        <v>1650</v>
      </c>
      <c r="P3303" t="s">
        <v>523</v>
      </c>
      <c r="Q3303" t="s">
        <v>1471</v>
      </c>
      <c r="R3303" t="s">
        <v>1472</v>
      </c>
      <c r="S3303" t="s">
        <v>1473</v>
      </c>
      <c r="T3303" t="s">
        <v>1474</v>
      </c>
      <c r="U3303">
        <v>203901</v>
      </c>
      <c r="V3303" t="s">
        <v>10172</v>
      </c>
      <c r="W3303" t="s">
        <v>1652</v>
      </c>
      <c r="X3303" t="s">
        <v>18389</v>
      </c>
      <c r="Y3303" t="s">
        <v>18388</v>
      </c>
      <c r="AA3303" t="s">
        <v>18390</v>
      </c>
      <c r="AB3303" t="s">
        <v>18391</v>
      </c>
      <c r="AE3303">
        <v>-38.089749130000001</v>
      </c>
      <c r="AF3303">
        <v>176.70096864999999</v>
      </c>
      <c r="AG3303">
        <v>33</v>
      </c>
      <c r="AH3303">
        <v>5</v>
      </c>
      <c r="AI3303">
        <v>0</v>
      </c>
      <c r="AJ3303">
        <v>4</v>
      </c>
      <c r="AK3303">
        <v>5</v>
      </c>
      <c r="AL3303">
        <v>6</v>
      </c>
      <c r="AM3303">
        <v>7</v>
      </c>
      <c r="AN3303">
        <v>2</v>
      </c>
      <c r="AO3303">
        <v>24</v>
      </c>
      <c r="AP3303">
        <v>9</v>
      </c>
      <c r="AQ3303">
        <v>18</v>
      </c>
      <c r="AR3303">
        <v>2</v>
      </c>
      <c r="AS3303">
        <v>5</v>
      </c>
      <c r="AT3303">
        <v>1</v>
      </c>
    </row>
    <row r="3304" spans="1:46">
      <c r="A3304">
        <v>48204</v>
      </c>
      <c r="B3304" t="s">
        <v>18392</v>
      </c>
      <c r="C3304" t="s">
        <v>18393</v>
      </c>
      <c r="E3304" t="s">
        <v>18394</v>
      </c>
      <c r="F3304" t="s">
        <v>1384</v>
      </c>
      <c r="G3304" t="s">
        <v>1296</v>
      </c>
      <c r="H3304" t="s">
        <v>3942</v>
      </c>
      <c r="J3304" t="s">
        <v>3962</v>
      </c>
      <c r="K3304" t="s">
        <v>519</v>
      </c>
      <c r="M3304" t="s">
        <v>1297</v>
      </c>
      <c r="N3304" t="s">
        <v>571</v>
      </c>
      <c r="O3304" t="s">
        <v>1298</v>
      </c>
      <c r="P3304" t="s">
        <v>654</v>
      </c>
      <c r="Q3304" t="s">
        <v>1299</v>
      </c>
      <c r="R3304" t="s">
        <v>1300</v>
      </c>
      <c r="S3304" t="s">
        <v>1301</v>
      </c>
      <c r="T3304" t="s">
        <v>1235</v>
      </c>
      <c r="U3304">
        <v>178000</v>
      </c>
      <c r="V3304" t="s">
        <v>9322</v>
      </c>
      <c r="W3304" t="s">
        <v>1303</v>
      </c>
      <c r="X3304" t="s">
        <v>14691</v>
      </c>
      <c r="Y3304" t="s">
        <v>4107</v>
      </c>
      <c r="AA3304" t="s">
        <v>3982</v>
      </c>
      <c r="AB3304" t="s">
        <v>14692</v>
      </c>
      <c r="AE3304">
        <v>-37.774629300000001</v>
      </c>
      <c r="AF3304">
        <v>175.25567122999999</v>
      </c>
      <c r="AG3304">
        <v>75</v>
      </c>
      <c r="AH3304">
        <v>20</v>
      </c>
      <c r="AI3304">
        <v>1</v>
      </c>
      <c r="AJ3304">
        <v>9</v>
      </c>
      <c r="AK3304">
        <v>14</v>
      </c>
      <c r="AL3304">
        <v>19</v>
      </c>
      <c r="AM3304">
        <v>13</v>
      </c>
      <c r="AN3304">
        <v>1</v>
      </c>
      <c r="AO3304">
        <v>57</v>
      </c>
      <c r="AP3304">
        <v>45</v>
      </c>
      <c r="AQ3304">
        <v>13</v>
      </c>
      <c r="AR3304">
        <v>1</v>
      </c>
      <c r="AS3304">
        <v>7</v>
      </c>
      <c r="AT3304">
        <v>5</v>
      </c>
    </row>
    <row r="3305" spans="1:46">
      <c r="A3305">
        <v>48205</v>
      </c>
      <c r="B3305" t="s">
        <v>18395</v>
      </c>
      <c r="D3305" t="s">
        <v>18396</v>
      </c>
      <c r="E3305" t="s">
        <v>18397</v>
      </c>
      <c r="G3305" t="s">
        <v>652</v>
      </c>
      <c r="H3305" t="s">
        <v>3942</v>
      </c>
      <c r="J3305" t="s">
        <v>3962</v>
      </c>
      <c r="K3305" t="s">
        <v>519</v>
      </c>
      <c r="M3305" t="s">
        <v>520</v>
      </c>
      <c r="N3305" t="s">
        <v>571</v>
      </c>
      <c r="O3305" t="s">
        <v>637</v>
      </c>
      <c r="P3305" t="s">
        <v>523</v>
      </c>
      <c r="Q3305" t="s">
        <v>638</v>
      </c>
      <c r="R3305" t="s">
        <v>639</v>
      </c>
      <c r="S3305" t="s">
        <v>640</v>
      </c>
      <c r="T3305" t="s">
        <v>527</v>
      </c>
      <c r="U3305">
        <v>112401</v>
      </c>
      <c r="V3305" t="s">
        <v>4188</v>
      </c>
      <c r="W3305" t="s">
        <v>641</v>
      </c>
      <c r="X3305" t="s">
        <v>5793</v>
      </c>
      <c r="Y3305" t="s">
        <v>18065</v>
      </c>
      <c r="Z3305" t="s">
        <v>4466</v>
      </c>
      <c r="AA3305" t="s">
        <v>3964</v>
      </c>
      <c r="AB3305" t="s">
        <v>5794</v>
      </c>
      <c r="AE3305">
        <v>-36.682490350000002</v>
      </c>
      <c r="AF3305">
        <v>174.46735849999999</v>
      </c>
      <c r="AG3305">
        <v>40</v>
      </c>
      <c r="AH3305">
        <v>15</v>
      </c>
      <c r="AI3305">
        <v>3</v>
      </c>
      <c r="AJ3305">
        <v>1</v>
      </c>
      <c r="AK3305">
        <v>4</v>
      </c>
      <c r="AL3305">
        <v>4</v>
      </c>
      <c r="AM3305">
        <v>1</v>
      </c>
      <c r="AN3305">
        <v>1</v>
      </c>
      <c r="AO3305">
        <v>14</v>
      </c>
      <c r="AP3305">
        <v>9</v>
      </c>
      <c r="AQ3305">
        <v>7</v>
      </c>
      <c r="AR3305">
        <v>1</v>
      </c>
      <c r="AS3305">
        <v>4</v>
      </c>
      <c r="AT3305">
        <v>1</v>
      </c>
    </row>
    <row r="3306" spans="1:46">
      <c r="A3306">
        <v>48206</v>
      </c>
      <c r="B3306" t="s">
        <v>18398</v>
      </c>
      <c r="E3306" t="s">
        <v>16435</v>
      </c>
      <c r="F3306" t="s">
        <v>803</v>
      </c>
      <c r="G3306" t="s">
        <v>652</v>
      </c>
      <c r="H3306" t="s">
        <v>4716</v>
      </c>
      <c r="I3306" t="s">
        <v>4304</v>
      </c>
      <c r="J3306" t="s">
        <v>3962</v>
      </c>
      <c r="K3306" t="s">
        <v>519</v>
      </c>
      <c r="M3306" t="s">
        <v>520</v>
      </c>
      <c r="N3306" t="s">
        <v>8995</v>
      </c>
      <c r="O3306" t="s">
        <v>804</v>
      </c>
      <c r="P3306" t="s">
        <v>654</v>
      </c>
      <c r="Q3306" t="s">
        <v>638</v>
      </c>
      <c r="R3306" t="s">
        <v>708</v>
      </c>
      <c r="S3306" t="s">
        <v>805</v>
      </c>
      <c r="T3306" t="s">
        <v>709</v>
      </c>
      <c r="U3306">
        <v>143301</v>
      </c>
      <c r="V3306" t="s">
        <v>4232</v>
      </c>
      <c r="W3306" t="s">
        <v>807</v>
      </c>
      <c r="X3306" t="s">
        <v>16436</v>
      </c>
      <c r="Y3306" t="s">
        <v>17858</v>
      </c>
      <c r="Z3306" t="s">
        <v>1029</v>
      </c>
      <c r="AA3306" t="s">
        <v>15051</v>
      </c>
      <c r="AB3306" t="s">
        <v>18399</v>
      </c>
      <c r="AE3306">
        <v>-36.893993180000002</v>
      </c>
      <c r="AF3306">
        <v>174.81079291</v>
      </c>
      <c r="AG3306">
        <v>80</v>
      </c>
      <c r="AH3306">
        <v>60</v>
      </c>
      <c r="AI3306">
        <v>9</v>
      </c>
      <c r="AJ3306">
        <v>18</v>
      </c>
      <c r="AK3306">
        <v>7</v>
      </c>
      <c r="AL3306">
        <v>8</v>
      </c>
      <c r="AM3306">
        <v>6</v>
      </c>
      <c r="AN3306">
        <v>0</v>
      </c>
      <c r="AO3306">
        <v>48</v>
      </c>
      <c r="AP3306">
        <v>3</v>
      </c>
      <c r="AQ3306">
        <v>0</v>
      </c>
      <c r="AR3306">
        <v>0</v>
      </c>
      <c r="AS3306">
        <v>46</v>
      </c>
      <c r="AT3306">
        <v>0</v>
      </c>
    </row>
    <row r="3307" spans="1:46">
      <c r="A3307">
        <v>48209</v>
      </c>
      <c r="B3307" t="s">
        <v>18400</v>
      </c>
      <c r="C3307" t="s">
        <v>18401</v>
      </c>
      <c r="E3307" t="s">
        <v>18402</v>
      </c>
      <c r="F3307" t="s">
        <v>15917</v>
      </c>
      <c r="G3307" t="s">
        <v>2289</v>
      </c>
      <c r="H3307" t="s">
        <v>4716</v>
      </c>
      <c r="J3307" t="s">
        <v>518</v>
      </c>
      <c r="K3307" t="s">
        <v>519</v>
      </c>
      <c r="M3307" t="s">
        <v>2287</v>
      </c>
      <c r="N3307" t="s">
        <v>557</v>
      </c>
      <c r="O3307" t="s">
        <v>2536</v>
      </c>
      <c r="P3307" t="s">
        <v>654</v>
      </c>
      <c r="Q3307" t="s">
        <v>2319</v>
      </c>
      <c r="R3307" t="s">
        <v>2289</v>
      </c>
      <c r="S3307" t="s">
        <v>2553</v>
      </c>
      <c r="T3307" t="s">
        <v>2448</v>
      </c>
      <c r="U3307">
        <v>252100</v>
      </c>
      <c r="V3307" t="s">
        <v>18403</v>
      </c>
      <c r="W3307" t="s">
        <v>2573</v>
      </c>
      <c r="X3307" t="s">
        <v>18404</v>
      </c>
      <c r="Y3307" t="s">
        <v>6369</v>
      </c>
      <c r="Z3307" t="s">
        <v>4555</v>
      </c>
      <c r="AA3307" t="s">
        <v>4556</v>
      </c>
      <c r="AE3307">
        <v>-41.295378169999999</v>
      </c>
      <c r="AF3307">
        <v>174.77980629000001</v>
      </c>
      <c r="AG3307">
        <v>80</v>
      </c>
      <c r="AH3307">
        <v>80</v>
      </c>
      <c r="AI3307">
        <v>1</v>
      </c>
      <c r="AJ3307">
        <v>2</v>
      </c>
      <c r="AK3307">
        <v>0</v>
      </c>
      <c r="AL3307">
        <v>2</v>
      </c>
      <c r="AM3307">
        <v>2</v>
      </c>
      <c r="AN3307">
        <v>0</v>
      </c>
      <c r="AO3307">
        <v>7</v>
      </c>
      <c r="AP3307">
        <v>7</v>
      </c>
      <c r="AQ3307">
        <v>0</v>
      </c>
      <c r="AR3307">
        <v>0</v>
      </c>
      <c r="AS3307">
        <v>0</v>
      </c>
      <c r="AT3307">
        <v>0</v>
      </c>
    </row>
    <row r="3308" spans="1:46">
      <c r="A3308">
        <v>48211</v>
      </c>
      <c r="B3308" t="s">
        <v>18405</v>
      </c>
      <c r="C3308" t="s">
        <v>18406</v>
      </c>
      <c r="E3308" t="s">
        <v>18407</v>
      </c>
      <c r="G3308" t="s">
        <v>3217</v>
      </c>
      <c r="H3308" t="s">
        <v>3942</v>
      </c>
      <c r="J3308" t="s">
        <v>3962</v>
      </c>
      <c r="K3308" t="s">
        <v>519</v>
      </c>
      <c r="M3308" t="s">
        <v>2287</v>
      </c>
      <c r="N3308" t="s">
        <v>571</v>
      </c>
      <c r="O3308" t="s">
        <v>3218</v>
      </c>
      <c r="P3308" t="s">
        <v>1262</v>
      </c>
      <c r="Q3308" t="s">
        <v>2943</v>
      </c>
      <c r="R3308" t="s">
        <v>2944</v>
      </c>
      <c r="S3308" t="s">
        <v>3219</v>
      </c>
      <c r="T3308" t="s">
        <v>2448</v>
      </c>
      <c r="U3308">
        <v>337800</v>
      </c>
      <c r="V3308" t="s">
        <v>3243</v>
      </c>
      <c r="W3308" t="s">
        <v>3221</v>
      </c>
      <c r="X3308" t="s">
        <v>18408</v>
      </c>
      <c r="Y3308" t="s">
        <v>18409</v>
      </c>
      <c r="AA3308" t="s">
        <v>18410</v>
      </c>
      <c r="AB3308" t="s">
        <v>18411</v>
      </c>
      <c r="AC3308">
        <v>99043</v>
      </c>
      <c r="AD3308" t="s">
        <v>3226</v>
      </c>
      <c r="AE3308">
        <v>-43.89251153</v>
      </c>
      <c r="AF3308">
        <v>171.76385479000001</v>
      </c>
      <c r="AG3308">
        <v>84</v>
      </c>
      <c r="AH3308">
        <v>20</v>
      </c>
      <c r="AI3308">
        <v>4</v>
      </c>
      <c r="AJ3308">
        <v>25</v>
      </c>
      <c r="AK3308">
        <v>21</v>
      </c>
      <c r="AL3308">
        <v>24</v>
      </c>
      <c r="AM3308">
        <v>16</v>
      </c>
      <c r="AN3308">
        <v>1</v>
      </c>
      <c r="AO3308">
        <v>91</v>
      </c>
      <c r="AP3308">
        <v>71</v>
      </c>
      <c r="AQ3308">
        <v>11</v>
      </c>
      <c r="AR3308">
        <v>4</v>
      </c>
      <c r="AS3308">
        <v>13</v>
      </c>
      <c r="AT3308">
        <v>3</v>
      </c>
    </row>
    <row r="3309" spans="1:46">
      <c r="A3309">
        <v>48214</v>
      </c>
      <c r="B3309" t="s">
        <v>18412</v>
      </c>
      <c r="C3309" t="s">
        <v>18413</v>
      </c>
      <c r="E3309" t="s">
        <v>18414</v>
      </c>
      <c r="G3309" t="s">
        <v>1497</v>
      </c>
      <c r="H3309" t="s">
        <v>343</v>
      </c>
      <c r="J3309" t="s">
        <v>518</v>
      </c>
      <c r="K3309" t="s">
        <v>519</v>
      </c>
      <c r="L3309" t="s">
        <v>4205</v>
      </c>
      <c r="M3309" t="s">
        <v>1297</v>
      </c>
      <c r="N3309" t="s">
        <v>8995</v>
      </c>
      <c r="O3309" t="s">
        <v>1484</v>
      </c>
      <c r="P3309" t="s">
        <v>523</v>
      </c>
      <c r="Q3309" t="s">
        <v>1299</v>
      </c>
      <c r="R3309" t="s">
        <v>1300</v>
      </c>
      <c r="S3309" t="s">
        <v>1320</v>
      </c>
      <c r="T3309" t="s">
        <v>1485</v>
      </c>
      <c r="U3309">
        <v>186000</v>
      </c>
      <c r="V3309" t="s">
        <v>1498</v>
      </c>
      <c r="W3309" t="s">
        <v>1499</v>
      </c>
      <c r="X3309" t="s">
        <v>7630</v>
      </c>
      <c r="Y3309" t="s">
        <v>4208</v>
      </c>
      <c r="Z3309" t="s">
        <v>4209</v>
      </c>
      <c r="AA3309" t="s">
        <v>4210</v>
      </c>
      <c r="AB3309" t="s">
        <v>7631</v>
      </c>
      <c r="AE3309">
        <v>-38.044059230000002</v>
      </c>
      <c r="AF3309">
        <v>175.77421203</v>
      </c>
      <c r="AG3309">
        <v>30</v>
      </c>
      <c r="AH3309">
        <v>5</v>
      </c>
    </row>
    <row r="3310" spans="1:46">
      <c r="A3310">
        <v>48215</v>
      </c>
      <c r="B3310" t="s">
        <v>18415</v>
      </c>
      <c r="C3310" t="s">
        <v>18416</v>
      </c>
      <c r="E3310" t="s">
        <v>18417</v>
      </c>
      <c r="F3310" t="s">
        <v>3902</v>
      </c>
      <c r="G3310" t="s">
        <v>652</v>
      </c>
      <c r="H3310" t="s">
        <v>3942</v>
      </c>
      <c r="J3310" t="s">
        <v>3962</v>
      </c>
      <c r="K3310" t="s">
        <v>519</v>
      </c>
      <c r="M3310" t="s">
        <v>520</v>
      </c>
      <c r="N3310" t="s">
        <v>571</v>
      </c>
      <c r="O3310" t="s">
        <v>1168</v>
      </c>
      <c r="P3310" t="s">
        <v>654</v>
      </c>
      <c r="Q3310" t="s">
        <v>638</v>
      </c>
      <c r="R3310" t="s">
        <v>639</v>
      </c>
      <c r="S3310" t="s">
        <v>739</v>
      </c>
      <c r="T3310" t="s">
        <v>527</v>
      </c>
      <c r="U3310">
        <v>119400</v>
      </c>
      <c r="V3310" t="s">
        <v>18418</v>
      </c>
      <c r="W3310" t="s">
        <v>657</v>
      </c>
      <c r="X3310" t="s">
        <v>17671</v>
      </c>
      <c r="Y3310" t="s">
        <v>18419</v>
      </c>
      <c r="Z3310" t="s">
        <v>3902</v>
      </c>
      <c r="AA3310" t="s">
        <v>4099</v>
      </c>
      <c r="AE3310">
        <v>-36.758553040000002</v>
      </c>
      <c r="AF3310">
        <v>174.70492618</v>
      </c>
      <c r="AG3310">
        <v>80</v>
      </c>
      <c r="AH3310">
        <v>16</v>
      </c>
      <c r="AI3310">
        <v>3</v>
      </c>
      <c r="AJ3310">
        <v>6</v>
      </c>
      <c r="AK3310">
        <v>7</v>
      </c>
      <c r="AL3310">
        <v>3</v>
      </c>
      <c r="AM3310">
        <v>4</v>
      </c>
      <c r="AN3310">
        <v>2</v>
      </c>
      <c r="AO3310">
        <v>25</v>
      </c>
      <c r="AP3310">
        <v>4</v>
      </c>
      <c r="AQ3310">
        <v>1</v>
      </c>
      <c r="AR3310">
        <v>1</v>
      </c>
      <c r="AS3310">
        <v>23</v>
      </c>
      <c r="AT3310">
        <v>0</v>
      </c>
    </row>
    <row r="3311" spans="1:46">
      <c r="A3311">
        <v>48217</v>
      </c>
      <c r="B3311" t="s">
        <v>18420</v>
      </c>
      <c r="C3311" t="s">
        <v>6494</v>
      </c>
      <c r="E3311" t="s">
        <v>18421</v>
      </c>
      <c r="F3311" t="s">
        <v>6993</v>
      </c>
      <c r="G3311" t="s">
        <v>3623</v>
      </c>
      <c r="H3311" t="s">
        <v>3942</v>
      </c>
      <c r="J3311" t="s">
        <v>3962</v>
      </c>
      <c r="K3311" t="s">
        <v>519</v>
      </c>
      <c r="M3311" t="s">
        <v>520</v>
      </c>
      <c r="N3311" t="s">
        <v>571</v>
      </c>
      <c r="O3311" t="s">
        <v>653</v>
      </c>
      <c r="P3311" t="s">
        <v>584</v>
      </c>
      <c r="Q3311" t="s">
        <v>638</v>
      </c>
      <c r="R3311" t="s">
        <v>639</v>
      </c>
      <c r="S3311" t="s">
        <v>668</v>
      </c>
      <c r="T3311" t="s">
        <v>527</v>
      </c>
      <c r="U3311">
        <v>116200</v>
      </c>
      <c r="V3311" t="s">
        <v>18422</v>
      </c>
      <c r="W3311" t="s">
        <v>657</v>
      </c>
      <c r="X3311" t="s">
        <v>18423</v>
      </c>
      <c r="Y3311" t="s">
        <v>8494</v>
      </c>
      <c r="AA3311" t="s">
        <v>18123</v>
      </c>
      <c r="AE3311">
        <v>-36.621002189999999</v>
      </c>
      <c r="AF3311">
        <v>174.79631939999999</v>
      </c>
      <c r="AG3311">
        <v>90</v>
      </c>
      <c r="AH3311">
        <v>20</v>
      </c>
      <c r="AI3311">
        <v>3</v>
      </c>
      <c r="AJ3311">
        <v>5</v>
      </c>
      <c r="AK3311">
        <v>10</v>
      </c>
      <c r="AL3311">
        <v>8</v>
      </c>
      <c r="AM3311">
        <v>8</v>
      </c>
      <c r="AN3311">
        <v>0</v>
      </c>
      <c r="AO3311">
        <v>34</v>
      </c>
      <c r="AP3311">
        <v>21</v>
      </c>
      <c r="AQ3311">
        <v>3</v>
      </c>
      <c r="AR3311">
        <v>1</v>
      </c>
      <c r="AS3311">
        <v>10</v>
      </c>
      <c r="AT3311">
        <v>7</v>
      </c>
    </row>
    <row r="3312" spans="1:46">
      <c r="A3312">
        <v>48223</v>
      </c>
      <c r="B3312" t="s">
        <v>18424</v>
      </c>
      <c r="C3312" t="s">
        <v>18425</v>
      </c>
      <c r="D3312" t="s">
        <v>18426</v>
      </c>
      <c r="E3312" t="s">
        <v>18427</v>
      </c>
      <c r="F3312" t="s">
        <v>812</v>
      </c>
      <c r="G3312" t="s">
        <v>652</v>
      </c>
      <c r="H3312" t="s">
        <v>3942</v>
      </c>
      <c r="J3312" t="s">
        <v>3962</v>
      </c>
      <c r="K3312" t="s">
        <v>519</v>
      </c>
      <c r="M3312" t="s">
        <v>520</v>
      </c>
      <c r="N3312" t="s">
        <v>571</v>
      </c>
      <c r="O3312" t="s">
        <v>813</v>
      </c>
      <c r="P3312" t="s">
        <v>654</v>
      </c>
      <c r="Q3312" t="s">
        <v>638</v>
      </c>
      <c r="R3312" t="s">
        <v>639</v>
      </c>
      <c r="S3312" t="s">
        <v>739</v>
      </c>
      <c r="T3312" t="s">
        <v>527</v>
      </c>
      <c r="U3312">
        <v>121600</v>
      </c>
      <c r="V3312" t="s">
        <v>18428</v>
      </c>
      <c r="W3312" t="s">
        <v>815</v>
      </c>
      <c r="X3312" t="s">
        <v>18429</v>
      </c>
      <c r="Y3312" t="s">
        <v>18430</v>
      </c>
      <c r="Z3312" t="s">
        <v>911</v>
      </c>
      <c r="AA3312" t="s">
        <v>7047</v>
      </c>
      <c r="AE3312">
        <v>-36.831966950000002</v>
      </c>
      <c r="AF3312">
        <v>174.62331427999999</v>
      </c>
      <c r="AG3312">
        <v>50</v>
      </c>
      <c r="AH3312">
        <v>10</v>
      </c>
      <c r="AI3312">
        <v>2</v>
      </c>
      <c r="AJ3312">
        <v>4</v>
      </c>
      <c r="AK3312">
        <v>6</v>
      </c>
      <c r="AL3312">
        <v>8</v>
      </c>
      <c r="AM3312">
        <v>6</v>
      </c>
      <c r="AN3312">
        <v>1</v>
      </c>
      <c r="AO3312">
        <v>27</v>
      </c>
      <c r="AP3312">
        <v>8</v>
      </c>
      <c r="AQ3312">
        <v>5</v>
      </c>
      <c r="AR3312">
        <v>2</v>
      </c>
      <c r="AS3312">
        <v>15</v>
      </c>
      <c r="AT3312">
        <v>3</v>
      </c>
    </row>
    <row r="3313" spans="1:46">
      <c r="A3313">
        <v>48224</v>
      </c>
      <c r="B3313" t="s">
        <v>18431</v>
      </c>
      <c r="C3313" t="s">
        <v>18432</v>
      </c>
      <c r="E3313" t="s">
        <v>18433</v>
      </c>
      <c r="G3313" t="s">
        <v>1987</v>
      </c>
      <c r="H3313" t="s">
        <v>3942</v>
      </c>
      <c r="J3313" t="s">
        <v>3962</v>
      </c>
      <c r="K3313" t="s">
        <v>519</v>
      </c>
      <c r="M3313" t="s">
        <v>1297</v>
      </c>
      <c r="N3313" t="s">
        <v>571</v>
      </c>
      <c r="O3313" t="s">
        <v>1988</v>
      </c>
      <c r="P3313" t="s">
        <v>1262</v>
      </c>
      <c r="Q3313" t="s">
        <v>1636</v>
      </c>
      <c r="R3313" t="s">
        <v>1760</v>
      </c>
      <c r="S3313" t="s">
        <v>1637</v>
      </c>
      <c r="T3313" t="s">
        <v>1485</v>
      </c>
      <c r="U3313">
        <v>228400</v>
      </c>
      <c r="V3313" t="s">
        <v>12551</v>
      </c>
      <c r="W3313" t="s">
        <v>1990</v>
      </c>
      <c r="X3313" t="s">
        <v>18434</v>
      </c>
      <c r="Y3313" t="s">
        <v>8781</v>
      </c>
      <c r="Z3313" t="s">
        <v>7660</v>
      </c>
      <c r="AA3313" t="s">
        <v>8072</v>
      </c>
      <c r="AB3313" t="s">
        <v>18432</v>
      </c>
      <c r="AE3313">
        <v>-40.23153327</v>
      </c>
      <c r="AF3313">
        <v>175.57117052000001</v>
      </c>
      <c r="AG3313">
        <v>46</v>
      </c>
      <c r="AH3313">
        <v>0</v>
      </c>
      <c r="AI3313">
        <v>0</v>
      </c>
      <c r="AJ3313">
        <v>0</v>
      </c>
      <c r="AK3313">
        <v>5</v>
      </c>
      <c r="AL3313">
        <v>14</v>
      </c>
      <c r="AM3313">
        <v>18</v>
      </c>
      <c r="AN3313">
        <v>2</v>
      </c>
      <c r="AO3313">
        <v>39</v>
      </c>
      <c r="AP3313">
        <v>36</v>
      </c>
      <c r="AQ3313">
        <v>2</v>
      </c>
      <c r="AR3313">
        <v>1</v>
      </c>
      <c r="AS3313">
        <v>1</v>
      </c>
      <c r="AT3313">
        <v>2</v>
      </c>
    </row>
    <row r="3314" spans="1:46">
      <c r="A3314">
        <v>48225</v>
      </c>
      <c r="B3314" t="s">
        <v>18435</v>
      </c>
      <c r="E3314" t="s">
        <v>18436</v>
      </c>
      <c r="F3314" t="s">
        <v>858</v>
      </c>
      <c r="G3314" t="s">
        <v>652</v>
      </c>
      <c r="H3314" t="s">
        <v>3942</v>
      </c>
      <c r="I3314" t="s">
        <v>4065</v>
      </c>
      <c r="J3314" t="s">
        <v>3962</v>
      </c>
      <c r="K3314" t="s">
        <v>519</v>
      </c>
      <c r="M3314" t="s">
        <v>520</v>
      </c>
      <c r="N3314" t="s">
        <v>571</v>
      </c>
      <c r="O3314" t="s">
        <v>857</v>
      </c>
      <c r="P3314" t="s">
        <v>654</v>
      </c>
      <c r="Q3314" t="s">
        <v>638</v>
      </c>
      <c r="R3314" t="s">
        <v>708</v>
      </c>
      <c r="S3314" t="s">
        <v>858</v>
      </c>
      <c r="T3314" t="s">
        <v>709</v>
      </c>
      <c r="U3314">
        <v>133600</v>
      </c>
      <c r="V3314" t="s">
        <v>1012</v>
      </c>
      <c r="W3314" t="s">
        <v>860</v>
      </c>
      <c r="X3314" t="s">
        <v>5688</v>
      </c>
      <c r="Y3314" t="s">
        <v>5689</v>
      </c>
      <c r="Z3314" t="s">
        <v>717</v>
      </c>
      <c r="AA3314" t="s">
        <v>5690</v>
      </c>
      <c r="AE3314">
        <v>-36.877338780000002</v>
      </c>
      <c r="AF3314">
        <v>174.73043992000001</v>
      </c>
      <c r="AG3314">
        <v>30</v>
      </c>
      <c r="AH3314">
        <v>0</v>
      </c>
      <c r="AI3314">
        <v>0</v>
      </c>
      <c r="AJ3314">
        <v>0</v>
      </c>
      <c r="AK3314">
        <v>7</v>
      </c>
      <c r="AL3314">
        <v>3</v>
      </c>
      <c r="AM3314">
        <v>0</v>
      </c>
      <c r="AN3314">
        <v>1</v>
      </c>
      <c r="AO3314">
        <v>11</v>
      </c>
      <c r="AP3314">
        <v>9</v>
      </c>
      <c r="AQ3314">
        <v>2</v>
      </c>
      <c r="AR3314">
        <v>3</v>
      </c>
      <c r="AS3314">
        <v>2</v>
      </c>
      <c r="AT3314">
        <v>0</v>
      </c>
    </row>
    <row r="3315" spans="1:46">
      <c r="A3315">
        <v>48226</v>
      </c>
      <c r="B3315" t="s">
        <v>18437</v>
      </c>
      <c r="C3315" t="s">
        <v>18438</v>
      </c>
      <c r="D3315" t="s">
        <v>18439</v>
      </c>
      <c r="E3315" t="s">
        <v>18440</v>
      </c>
      <c r="F3315" t="s">
        <v>1217</v>
      </c>
      <c r="G3315" t="s">
        <v>652</v>
      </c>
      <c r="H3315" t="s">
        <v>3942</v>
      </c>
      <c r="J3315" t="s">
        <v>3962</v>
      </c>
      <c r="K3315" t="s">
        <v>519</v>
      </c>
      <c r="M3315" t="s">
        <v>520</v>
      </c>
      <c r="N3315" t="s">
        <v>539</v>
      </c>
      <c r="O3315" t="s">
        <v>1268</v>
      </c>
      <c r="P3315" t="s">
        <v>654</v>
      </c>
      <c r="Q3315" t="s">
        <v>638</v>
      </c>
      <c r="R3315" t="s">
        <v>729</v>
      </c>
      <c r="S3315" t="s">
        <v>1217</v>
      </c>
      <c r="T3315" t="s">
        <v>709</v>
      </c>
      <c r="U3315">
        <v>162000</v>
      </c>
      <c r="V3315" t="s">
        <v>4049</v>
      </c>
      <c r="W3315" t="s">
        <v>1219</v>
      </c>
      <c r="X3315" t="s">
        <v>18441</v>
      </c>
      <c r="Y3315" t="s">
        <v>18442</v>
      </c>
      <c r="Z3315" t="s">
        <v>5104</v>
      </c>
      <c r="AA3315" t="s">
        <v>5000</v>
      </c>
      <c r="AB3315" t="s">
        <v>18443</v>
      </c>
      <c r="AE3315">
        <v>-37.039206720000003</v>
      </c>
      <c r="AF3315">
        <v>174.92010139000001</v>
      </c>
      <c r="AG3315">
        <v>50</v>
      </c>
      <c r="AH3315">
        <v>10</v>
      </c>
      <c r="AI3315">
        <v>1</v>
      </c>
      <c r="AJ3315">
        <v>7</v>
      </c>
      <c r="AK3315">
        <v>13</v>
      </c>
      <c r="AL3315">
        <v>16</v>
      </c>
      <c r="AM3315">
        <v>9</v>
      </c>
      <c r="AN3315">
        <v>0</v>
      </c>
      <c r="AO3315">
        <v>46</v>
      </c>
      <c r="AP3315">
        <v>2</v>
      </c>
      <c r="AQ3315">
        <v>5</v>
      </c>
      <c r="AR3315">
        <v>5</v>
      </c>
      <c r="AS3315">
        <v>38</v>
      </c>
      <c r="AT3315">
        <v>0</v>
      </c>
    </row>
    <row r="3316" spans="1:46">
      <c r="A3316">
        <v>48227</v>
      </c>
      <c r="B3316" t="s">
        <v>18444</v>
      </c>
      <c r="C3316" t="s">
        <v>18445</v>
      </c>
      <c r="E3316" t="s">
        <v>18446</v>
      </c>
      <c r="F3316" t="s">
        <v>1345</v>
      </c>
      <c r="G3316" t="s">
        <v>3834</v>
      </c>
      <c r="H3316" t="s">
        <v>3942</v>
      </c>
      <c r="J3316" t="s">
        <v>3962</v>
      </c>
      <c r="K3316" t="s">
        <v>519</v>
      </c>
      <c r="M3316" t="s">
        <v>2287</v>
      </c>
      <c r="N3316" t="s">
        <v>571</v>
      </c>
      <c r="O3316" t="s">
        <v>3835</v>
      </c>
      <c r="P3316" t="s">
        <v>1262</v>
      </c>
      <c r="Q3316" t="s">
        <v>3337</v>
      </c>
      <c r="R3316" t="s">
        <v>3338</v>
      </c>
      <c r="S3316" t="s">
        <v>3361</v>
      </c>
      <c r="T3316" t="s">
        <v>2448</v>
      </c>
      <c r="U3316">
        <v>348400</v>
      </c>
      <c r="V3316" t="s">
        <v>1345</v>
      </c>
      <c r="W3316" t="s">
        <v>3837</v>
      </c>
      <c r="X3316" t="s">
        <v>18447</v>
      </c>
      <c r="Y3316" t="s">
        <v>12396</v>
      </c>
      <c r="Z3316" t="s">
        <v>4555</v>
      </c>
      <c r="AA3316" t="s">
        <v>4556</v>
      </c>
      <c r="AE3316">
        <v>-45.013648070000002</v>
      </c>
      <c r="AF3316">
        <v>168.74197015999999</v>
      </c>
      <c r="AG3316">
        <v>82</v>
      </c>
      <c r="AH3316">
        <v>25</v>
      </c>
      <c r="AI3316">
        <v>3</v>
      </c>
      <c r="AJ3316">
        <v>10</v>
      </c>
      <c r="AK3316">
        <v>8</v>
      </c>
      <c r="AL3316">
        <v>8</v>
      </c>
      <c r="AM3316">
        <v>9</v>
      </c>
      <c r="AN3316">
        <v>2</v>
      </c>
      <c r="AO3316">
        <v>40</v>
      </c>
      <c r="AP3316">
        <v>18</v>
      </c>
      <c r="AQ3316">
        <v>1</v>
      </c>
      <c r="AR3316">
        <v>4</v>
      </c>
      <c r="AS3316">
        <v>15</v>
      </c>
      <c r="AT3316">
        <v>9</v>
      </c>
    </row>
    <row r="3317" spans="1:46">
      <c r="A3317">
        <v>48228</v>
      </c>
      <c r="B3317" t="s">
        <v>18448</v>
      </c>
      <c r="C3317" t="s">
        <v>18449</v>
      </c>
      <c r="D3317" t="s">
        <v>18450</v>
      </c>
      <c r="E3317" t="s">
        <v>18451</v>
      </c>
      <c r="F3317" t="s">
        <v>4655</v>
      </c>
      <c r="G3317" t="s">
        <v>652</v>
      </c>
      <c r="H3317" t="s">
        <v>3942</v>
      </c>
      <c r="J3317" t="s">
        <v>3962</v>
      </c>
      <c r="K3317" t="s">
        <v>519</v>
      </c>
      <c r="M3317" t="s">
        <v>520</v>
      </c>
      <c r="N3317" t="s">
        <v>8995</v>
      </c>
      <c r="O3317" t="s">
        <v>957</v>
      </c>
      <c r="P3317" t="s">
        <v>654</v>
      </c>
      <c r="Q3317" t="s">
        <v>638</v>
      </c>
      <c r="R3317" t="s">
        <v>708</v>
      </c>
      <c r="S3317" t="s">
        <v>958</v>
      </c>
      <c r="T3317" t="s">
        <v>709</v>
      </c>
      <c r="U3317">
        <v>130400</v>
      </c>
      <c r="V3317" t="s">
        <v>4656</v>
      </c>
      <c r="W3317" t="s">
        <v>959</v>
      </c>
      <c r="X3317" t="s">
        <v>18452</v>
      </c>
      <c r="Y3317" t="s">
        <v>17293</v>
      </c>
      <c r="Z3317" t="s">
        <v>1096</v>
      </c>
      <c r="AA3317" t="s">
        <v>4077</v>
      </c>
      <c r="AE3317">
        <v>-36.847724130000003</v>
      </c>
      <c r="AF3317">
        <v>174.73166798</v>
      </c>
      <c r="AG3317">
        <v>57</v>
      </c>
      <c r="AH3317">
        <v>0</v>
      </c>
      <c r="AI3317">
        <v>0</v>
      </c>
      <c r="AJ3317">
        <v>0</v>
      </c>
      <c r="AK3317">
        <v>6</v>
      </c>
      <c r="AL3317">
        <v>3</v>
      </c>
      <c r="AM3317">
        <v>2</v>
      </c>
      <c r="AN3317">
        <v>0</v>
      </c>
      <c r="AO3317">
        <v>11</v>
      </c>
      <c r="AP3317">
        <v>10</v>
      </c>
      <c r="AQ3317">
        <v>1</v>
      </c>
      <c r="AR3317">
        <v>0</v>
      </c>
      <c r="AS3317">
        <v>1</v>
      </c>
      <c r="AT3317">
        <v>0</v>
      </c>
    </row>
    <row r="3318" spans="1:46">
      <c r="A3318">
        <v>48230</v>
      </c>
      <c r="B3318" t="s">
        <v>18453</v>
      </c>
      <c r="C3318" t="s">
        <v>18454</v>
      </c>
      <c r="E3318" t="s">
        <v>18455</v>
      </c>
      <c r="F3318" t="s">
        <v>18456</v>
      </c>
      <c r="G3318" t="s">
        <v>2941</v>
      </c>
      <c r="H3318" t="s">
        <v>3942</v>
      </c>
      <c r="I3318" t="s">
        <v>4065</v>
      </c>
      <c r="J3318" t="s">
        <v>3962</v>
      </c>
      <c r="K3318" t="s">
        <v>519</v>
      </c>
      <c r="M3318" t="s">
        <v>2287</v>
      </c>
      <c r="N3318" t="s">
        <v>571</v>
      </c>
      <c r="O3318" t="s">
        <v>2942</v>
      </c>
      <c r="P3318" t="s">
        <v>654</v>
      </c>
      <c r="Q3318" t="s">
        <v>2943</v>
      </c>
      <c r="R3318" t="s">
        <v>2944</v>
      </c>
      <c r="S3318" t="s">
        <v>3019</v>
      </c>
      <c r="T3318" t="s">
        <v>2448</v>
      </c>
      <c r="U3318">
        <v>326900</v>
      </c>
      <c r="V3318" t="s">
        <v>12264</v>
      </c>
      <c r="W3318" t="s">
        <v>3088</v>
      </c>
      <c r="X3318" t="s">
        <v>16495</v>
      </c>
      <c r="Y3318" t="s">
        <v>18457</v>
      </c>
      <c r="Z3318" t="s">
        <v>13207</v>
      </c>
      <c r="AA3318" t="s">
        <v>12325</v>
      </c>
      <c r="AB3318" t="s">
        <v>16497</v>
      </c>
      <c r="AE3318">
        <v>-43.553461200000001</v>
      </c>
      <c r="AF3318">
        <v>172.59521265999999</v>
      </c>
      <c r="AG3318">
        <v>60</v>
      </c>
      <c r="AH3318">
        <v>20</v>
      </c>
      <c r="AI3318">
        <v>1</v>
      </c>
      <c r="AJ3318">
        <v>9</v>
      </c>
      <c r="AK3318">
        <v>12</v>
      </c>
      <c r="AL3318">
        <v>13</v>
      </c>
      <c r="AM3318">
        <v>12</v>
      </c>
      <c r="AN3318">
        <v>0</v>
      </c>
      <c r="AO3318">
        <v>47</v>
      </c>
      <c r="AP3318">
        <v>25</v>
      </c>
      <c r="AQ3318">
        <v>7</v>
      </c>
      <c r="AR3318">
        <v>2</v>
      </c>
      <c r="AS3318">
        <v>21</v>
      </c>
      <c r="AT3318">
        <v>0</v>
      </c>
    </row>
    <row r="3319" spans="1:46">
      <c r="A3319">
        <v>48231</v>
      </c>
      <c r="B3319" t="s">
        <v>18458</v>
      </c>
      <c r="C3319" t="s">
        <v>18459</v>
      </c>
      <c r="E3319" t="s">
        <v>18460</v>
      </c>
      <c r="G3319" t="s">
        <v>10911</v>
      </c>
      <c r="H3319" t="s">
        <v>3942</v>
      </c>
      <c r="J3319" t="s">
        <v>3962</v>
      </c>
      <c r="K3319" t="s">
        <v>519</v>
      </c>
      <c r="M3319" t="s">
        <v>2287</v>
      </c>
      <c r="N3319" t="s">
        <v>8995</v>
      </c>
      <c r="O3319" t="s">
        <v>3208</v>
      </c>
      <c r="P3319" t="s">
        <v>1262</v>
      </c>
      <c r="Q3319" t="s">
        <v>2943</v>
      </c>
      <c r="R3319" t="s">
        <v>2944</v>
      </c>
      <c r="S3319" t="s">
        <v>3179</v>
      </c>
      <c r="T3319" t="s">
        <v>2448</v>
      </c>
      <c r="U3319">
        <v>335302</v>
      </c>
      <c r="V3319" t="s">
        <v>18041</v>
      </c>
      <c r="W3319" t="s">
        <v>10914</v>
      </c>
      <c r="X3319" t="s">
        <v>17591</v>
      </c>
      <c r="Y3319" t="s">
        <v>5358</v>
      </c>
      <c r="AA3319" t="s">
        <v>18461</v>
      </c>
      <c r="AE3319">
        <v>-43.605025130000001</v>
      </c>
      <c r="AF3319">
        <v>172.38064621999999</v>
      </c>
      <c r="AG3319">
        <v>80</v>
      </c>
      <c r="AH3319">
        <v>20</v>
      </c>
      <c r="AI3319">
        <v>2</v>
      </c>
      <c r="AJ3319">
        <v>21</v>
      </c>
      <c r="AK3319">
        <v>12</v>
      </c>
      <c r="AL3319">
        <v>15</v>
      </c>
      <c r="AM3319">
        <v>15</v>
      </c>
      <c r="AN3319">
        <v>0</v>
      </c>
      <c r="AO3319">
        <v>65</v>
      </c>
      <c r="AP3319">
        <v>48</v>
      </c>
      <c r="AQ3319">
        <v>7</v>
      </c>
      <c r="AR3319">
        <v>0</v>
      </c>
      <c r="AS3319">
        <v>21</v>
      </c>
      <c r="AT3319">
        <v>3</v>
      </c>
    </row>
    <row r="3320" spans="1:46">
      <c r="A3320">
        <v>48232</v>
      </c>
      <c r="B3320" t="s">
        <v>18462</v>
      </c>
      <c r="D3320" t="s">
        <v>18463</v>
      </c>
      <c r="E3320" t="s">
        <v>18464</v>
      </c>
      <c r="G3320" t="s">
        <v>652</v>
      </c>
      <c r="H3320" t="s">
        <v>3942</v>
      </c>
      <c r="J3320" t="s">
        <v>518</v>
      </c>
      <c r="K3320" t="s">
        <v>519</v>
      </c>
      <c r="M3320" t="s">
        <v>520</v>
      </c>
      <c r="N3320" t="s">
        <v>8995</v>
      </c>
      <c r="O3320" t="s">
        <v>653</v>
      </c>
      <c r="P3320" t="s">
        <v>584</v>
      </c>
      <c r="Q3320" t="s">
        <v>638</v>
      </c>
      <c r="R3320" t="s">
        <v>639</v>
      </c>
      <c r="S3320" t="s">
        <v>668</v>
      </c>
      <c r="T3320" t="s">
        <v>527</v>
      </c>
      <c r="U3320">
        <v>112702</v>
      </c>
      <c r="V3320" t="s">
        <v>18465</v>
      </c>
      <c r="W3320" t="s">
        <v>657</v>
      </c>
      <c r="X3320" t="s">
        <v>3943</v>
      </c>
      <c r="Y3320" t="s">
        <v>3944</v>
      </c>
      <c r="Z3320" t="s">
        <v>3945</v>
      </c>
      <c r="AA3320" t="s">
        <v>3946</v>
      </c>
      <c r="AB3320" t="s">
        <v>18466</v>
      </c>
      <c r="AE3320">
        <v>-36.58049467</v>
      </c>
      <c r="AF3320">
        <v>174.67408474999999</v>
      </c>
      <c r="AG3320">
        <v>80</v>
      </c>
      <c r="AH3320">
        <v>20</v>
      </c>
      <c r="AI3320">
        <v>3</v>
      </c>
      <c r="AJ3320">
        <v>11</v>
      </c>
      <c r="AK3320">
        <v>6</v>
      </c>
      <c r="AL3320">
        <v>12</v>
      </c>
      <c r="AM3320">
        <v>7</v>
      </c>
      <c r="AN3320">
        <v>0</v>
      </c>
      <c r="AO3320">
        <v>39</v>
      </c>
      <c r="AP3320">
        <v>25</v>
      </c>
      <c r="AQ3320">
        <v>3</v>
      </c>
      <c r="AR3320">
        <v>1</v>
      </c>
      <c r="AS3320">
        <v>14</v>
      </c>
      <c r="AT3320">
        <v>7</v>
      </c>
    </row>
    <row r="3321" spans="1:46">
      <c r="A3321">
        <v>48233</v>
      </c>
      <c r="B3321" t="s">
        <v>18467</v>
      </c>
      <c r="C3321" t="s">
        <v>18468</v>
      </c>
      <c r="E3321" t="s">
        <v>18469</v>
      </c>
      <c r="F3321" t="s">
        <v>1036</v>
      </c>
      <c r="G3321" t="s">
        <v>652</v>
      </c>
      <c r="H3321" t="s">
        <v>3942</v>
      </c>
      <c r="J3321" t="s">
        <v>3962</v>
      </c>
      <c r="K3321" t="s">
        <v>519</v>
      </c>
      <c r="M3321" t="s">
        <v>520</v>
      </c>
      <c r="N3321" t="s">
        <v>8995</v>
      </c>
      <c r="O3321" t="s">
        <v>1216</v>
      </c>
      <c r="P3321" t="s">
        <v>654</v>
      </c>
      <c r="Q3321" t="s">
        <v>638</v>
      </c>
      <c r="R3321" t="s">
        <v>729</v>
      </c>
      <c r="S3321" t="s">
        <v>1217</v>
      </c>
      <c r="T3321" t="s">
        <v>709</v>
      </c>
      <c r="U3321">
        <v>160401</v>
      </c>
      <c r="V3321" t="s">
        <v>8224</v>
      </c>
      <c r="W3321" t="s">
        <v>1219</v>
      </c>
      <c r="X3321" t="s">
        <v>9115</v>
      </c>
      <c r="Y3321" t="s">
        <v>9116</v>
      </c>
      <c r="Z3321" t="s">
        <v>4125</v>
      </c>
      <c r="AA3321" t="s">
        <v>5171</v>
      </c>
      <c r="AB3321" t="s">
        <v>9117</v>
      </c>
      <c r="AE3321">
        <v>-37.018251309999997</v>
      </c>
      <c r="AF3321">
        <v>174.91197285000001</v>
      </c>
      <c r="AG3321">
        <v>90</v>
      </c>
      <c r="AH3321">
        <v>22</v>
      </c>
      <c r="AI3321">
        <v>1</v>
      </c>
      <c r="AJ3321">
        <v>4</v>
      </c>
      <c r="AK3321">
        <v>7</v>
      </c>
      <c r="AL3321">
        <v>9</v>
      </c>
      <c r="AM3321">
        <v>10</v>
      </c>
      <c r="AN3321">
        <v>2</v>
      </c>
      <c r="AO3321">
        <v>33</v>
      </c>
      <c r="AP3321">
        <v>2</v>
      </c>
      <c r="AQ3321">
        <v>7</v>
      </c>
      <c r="AR3321">
        <v>7</v>
      </c>
      <c r="AS3321">
        <v>18</v>
      </c>
      <c r="AT3321">
        <v>2</v>
      </c>
    </row>
    <row r="3322" spans="1:46">
      <c r="A3322">
        <v>48234</v>
      </c>
      <c r="B3322" t="s">
        <v>18470</v>
      </c>
      <c r="E3322" t="s">
        <v>18471</v>
      </c>
      <c r="F3322" t="s">
        <v>15222</v>
      </c>
      <c r="G3322" t="s">
        <v>652</v>
      </c>
      <c r="H3322" t="s">
        <v>3942</v>
      </c>
      <c r="J3322" t="s">
        <v>3962</v>
      </c>
      <c r="K3322" t="s">
        <v>519</v>
      </c>
      <c r="M3322" t="s">
        <v>520</v>
      </c>
      <c r="N3322" t="s">
        <v>571</v>
      </c>
      <c r="O3322" t="s">
        <v>857</v>
      </c>
      <c r="P3322" t="s">
        <v>654</v>
      </c>
      <c r="Q3322" t="s">
        <v>638</v>
      </c>
      <c r="R3322" t="s">
        <v>708</v>
      </c>
      <c r="S3322" t="s">
        <v>858</v>
      </c>
      <c r="T3322" t="s">
        <v>709</v>
      </c>
      <c r="U3322">
        <v>138100</v>
      </c>
      <c r="V3322" t="s">
        <v>18472</v>
      </c>
      <c r="W3322" t="s">
        <v>860</v>
      </c>
      <c r="X3322" t="s">
        <v>18473</v>
      </c>
      <c r="Y3322" t="s">
        <v>3989</v>
      </c>
      <c r="Z3322" t="s">
        <v>3990</v>
      </c>
      <c r="AA3322" t="s">
        <v>4537</v>
      </c>
      <c r="AE3322">
        <v>-36.885710340000003</v>
      </c>
      <c r="AF3322">
        <v>174.74401700000001</v>
      </c>
      <c r="AG3322">
        <v>38</v>
      </c>
      <c r="AH3322">
        <v>6</v>
      </c>
      <c r="AI3322">
        <v>0</v>
      </c>
      <c r="AJ3322">
        <v>5</v>
      </c>
      <c r="AK3322">
        <v>10</v>
      </c>
      <c r="AL3322">
        <v>1</v>
      </c>
      <c r="AM3322">
        <v>2</v>
      </c>
      <c r="AN3322">
        <v>0</v>
      </c>
      <c r="AO3322">
        <v>18</v>
      </c>
      <c r="AP3322">
        <v>0</v>
      </c>
      <c r="AQ3322">
        <v>0</v>
      </c>
      <c r="AR3322">
        <v>0</v>
      </c>
      <c r="AS3322">
        <v>16</v>
      </c>
      <c r="AT3322">
        <v>2</v>
      </c>
    </row>
    <row r="3323" spans="1:46">
      <c r="A3323">
        <v>48235</v>
      </c>
      <c r="B3323" t="s">
        <v>18474</v>
      </c>
      <c r="E3323" t="s">
        <v>18475</v>
      </c>
      <c r="F3323" t="s">
        <v>13925</v>
      </c>
      <c r="G3323" t="s">
        <v>3498</v>
      </c>
      <c r="H3323" t="s">
        <v>3942</v>
      </c>
      <c r="J3323" t="s">
        <v>3962</v>
      </c>
      <c r="K3323" t="s">
        <v>519</v>
      </c>
      <c r="M3323" t="s">
        <v>2287</v>
      </c>
      <c r="N3323" t="s">
        <v>571</v>
      </c>
      <c r="O3323" t="s">
        <v>3496</v>
      </c>
      <c r="P3323" t="s">
        <v>584</v>
      </c>
      <c r="Q3323" t="s">
        <v>3497</v>
      </c>
      <c r="R3323" t="s">
        <v>3338</v>
      </c>
      <c r="S3323" t="s">
        <v>3498</v>
      </c>
      <c r="T3323" t="s">
        <v>2448</v>
      </c>
      <c r="U3323">
        <v>361000</v>
      </c>
      <c r="V3323" t="s">
        <v>11283</v>
      </c>
      <c r="W3323" t="s">
        <v>1652</v>
      </c>
      <c r="X3323" t="s">
        <v>16411</v>
      </c>
      <c r="Y3323" t="s">
        <v>18476</v>
      </c>
      <c r="AA3323" t="s">
        <v>16413</v>
      </c>
      <c r="AB3323" t="s">
        <v>18477</v>
      </c>
      <c r="AE3323">
        <v>-46.397968689999999</v>
      </c>
      <c r="AF3323">
        <v>168.34031014000001</v>
      </c>
      <c r="AG3323">
        <v>90</v>
      </c>
      <c r="AH3323">
        <v>24</v>
      </c>
      <c r="AI3323">
        <v>9</v>
      </c>
      <c r="AJ3323">
        <v>15</v>
      </c>
      <c r="AK3323">
        <v>13</v>
      </c>
      <c r="AL3323">
        <v>18</v>
      </c>
      <c r="AM3323">
        <v>8</v>
      </c>
      <c r="AN3323">
        <v>0</v>
      </c>
      <c r="AO3323">
        <v>63</v>
      </c>
      <c r="AP3323">
        <v>55</v>
      </c>
      <c r="AQ3323">
        <v>21</v>
      </c>
      <c r="AR3323">
        <v>2</v>
      </c>
      <c r="AS3323">
        <v>5</v>
      </c>
      <c r="AT3323">
        <v>3</v>
      </c>
    </row>
    <row r="3324" spans="1:46">
      <c r="A3324">
        <v>48236</v>
      </c>
      <c r="B3324" t="s">
        <v>18478</v>
      </c>
      <c r="C3324" t="s">
        <v>18479</v>
      </c>
      <c r="E3324" t="s">
        <v>18480</v>
      </c>
      <c r="F3324" t="s">
        <v>8375</v>
      </c>
      <c r="G3324" t="s">
        <v>1598</v>
      </c>
      <c r="H3324" t="s">
        <v>3942</v>
      </c>
      <c r="J3324" t="s">
        <v>518</v>
      </c>
      <c r="K3324" t="s">
        <v>519</v>
      </c>
      <c r="M3324" t="s">
        <v>1297</v>
      </c>
      <c r="N3324" t="s">
        <v>571</v>
      </c>
      <c r="O3324" t="s">
        <v>1698</v>
      </c>
      <c r="P3324" t="s">
        <v>654</v>
      </c>
      <c r="Q3324" t="s">
        <v>1471</v>
      </c>
      <c r="R3324" t="s">
        <v>1472</v>
      </c>
      <c r="S3324" t="s">
        <v>1699</v>
      </c>
      <c r="T3324" t="s">
        <v>1474</v>
      </c>
      <c r="U3324">
        <v>195500</v>
      </c>
      <c r="V3324" t="s">
        <v>9870</v>
      </c>
      <c r="W3324" t="s">
        <v>1724</v>
      </c>
      <c r="X3324" t="s">
        <v>8377</v>
      </c>
      <c r="Y3324" t="s">
        <v>3944</v>
      </c>
      <c r="Z3324" t="s">
        <v>3945</v>
      </c>
      <c r="AA3324" t="s">
        <v>3946</v>
      </c>
      <c r="AB3324" t="s">
        <v>8378</v>
      </c>
      <c r="AE3324">
        <v>-37.67294734</v>
      </c>
      <c r="AF3324">
        <v>176.22440367999999</v>
      </c>
      <c r="AG3324">
        <v>75</v>
      </c>
      <c r="AH3324">
        <v>10</v>
      </c>
      <c r="AI3324">
        <v>0</v>
      </c>
      <c r="AJ3324">
        <v>6</v>
      </c>
      <c r="AK3324">
        <v>12</v>
      </c>
      <c r="AL3324">
        <v>14</v>
      </c>
      <c r="AM3324">
        <v>15</v>
      </c>
      <c r="AN3324">
        <v>3</v>
      </c>
      <c r="AO3324">
        <v>50</v>
      </c>
      <c r="AP3324">
        <v>27</v>
      </c>
      <c r="AQ3324">
        <v>15</v>
      </c>
      <c r="AR3324">
        <v>5</v>
      </c>
      <c r="AS3324">
        <v>4</v>
      </c>
      <c r="AT3324">
        <v>16</v>
      </c>
    </row>
    <row r="3325" spans="1:46">
      <c r="A3325">
        <v>48237</v>
      </c>
      <c r="B3325" t="s">
        <v>18481</v>
      </c>
      <c r="D3325" t="s">
        <v>18482</v>
      </c>
      <c r="E3325" t="s">
        <v>18483</v>
      </c>
      <c r="F3325" t="s">
        <v>812</v>
      </c>
      <c r="G3325" t="s">
        <v>652</v>
      </c>
      <c r="H3325" t="s">
        <v>3942</v>
      </c>
      <c r="J3325" t="s">
        <v>3962</v>
      </c>
      <c r="K3325" t="s">
        <v>519</v>
      </c>
      <c r="M3325" t="s">
        <v>520</v>
      </c>
      <c r="N3325" t="s">
        <v>571</v>
      </c>
      <c r="O3325" t="s">
        <v>813</v>
      </c>
      <c r="P3325" t="s">
        <v>654</v>
      </c>
      <c r="Q3325" t="s">
        <v>638</v>
      </c>
      <c r="R3325" t="s">
        <v>639</v>
      </c>
      <c r="S3325" t="s">
        <v>640</v>
      </c>
      <c r="T3325" t="s">
        <v>527</v>
      </c>
      <c r="U3325">
        <v>118800</v>
      </c>
      <c r="V3325" t="s">
        <v>14684</v>
      </c>
      <c r="W3325" t="s">
        <v>815</v>
      </c>
      <c r="X3325" t="s">
        <v>18484</v>
      </c>
      <c r="Y3325" t="s">
        <v>18485</v>
      </c>
      <c r="AB3325" t="s">
        <v>18486</v>
      </c>
      <c r="AE3325">
        <v>-36.815036919999997</v>
      </c>
      <c r="AF3325">
        <v>174.59942695999999</v>
      </c>
      <c r="AG3325">
        <v>50</v>
      </c>
      <c r="AH3325">
        <v>20</v>
      </c>
      <c r="AI3325">
        <v>0</v>
      </c>
      <c r="AJ3325">
        <v>6</v>
      </c>
      <c r="AK3325">
        <v>3</v>
      </c>
      <c r="AL3325">
        <v>5</v>
      </c>
      <c r="AM3325">
        <v>2</v>
      </c>
      <c r="AN3325">
        <v>0</v>
      </c>
      <c r="AO3325">
        <v>16</v>
      </c>
      <c r="AP3325">
        <v>4</v>
      </c>
      <c r="AQ3325">
        <v>7</v>
      </c>
      <c r="AR3325">
        <v>2</v>
      </c>
      <c r="AS3325">
        <v>7</v>
      </c>
      <c r="AT3325">
        <v>0</v>
      </c>
    </row>
    <row r="3326" spans="1:46">
      <c r="A3326">
        <v>48238</v>
      </c>
      <c r="B3326" t="s">
        <v>18487</v>
      </c>
      <c r="C3326" t="s">
        <v>18488</v>
      </c>
      <c r="E3326" t="s">
        <v>18489</v>
      </c>
      <c r="F3326" t="s">
        <v>18490</v>
      </c>
      <c r="G3326" t="s">
        <v>18491</v>
      </c>
      <c r="H3326" t="s">
        <v>6218</v>
      </c>
      <c r="I3326" t="s">
        <v>4951</v>
      </c>
      <c r="J3326" t="s">
        <v>518</v>
      </c>
      <c r="K3326" t="s">
        <v>519</v>
      </c>
      <c r="M3326" t="s">
        <v>2287</v>
      </c>
      <c r="N3326" t="s">
        <v>571</v>
      </c>
      <c r="O3326" t="s">
        <v>18492</v>
      </c>
      <c r="P3326" t="s">
        <v>572</v>
      </c>
      <c r="Q3326" t="s">
        <v>2943</v>
      </c>
      <c r="R3326" t="s">
        <v>2824</v>
      </c>
      <c r="S3326" t="s">
        <v>2825</v>
      </c>
      <c r="T3326" t="s">
        <v>2448</v>
      </c>
      <c r="U3326">
        <v>308800</v>
      </c>
      <c r="V3326" t="s">
        <v>18493</v>
      </c>
      <c r="W3326" t="s">
        <v>1652</v>
      </c>
      <c r="X3326" t="s">
        <v>18494</v>
      </c>
      <c r="Y3326" t="s">
        <v>18495</v>
      </c>
      <c r="AA3326" t="s">
        <v>18496</v>
      </c>
      <c r="AB3326" t="s">
        <v>18488</v>
      </c>
      <c r="AE3326">
        <v>-42.334323529999999</v>
      </c>
      <c r="AF3326">
        <v>173.70466261999999</v>
      </c>
      <c r="AG3326">
        <v>22</v>
      </c>
      <c r="AH3326">
        <v>5</v>
      </c>
      <c r="AI3326">
        <v>0</v>
      </c>
      <c r="AJ3326">
        <v>1</v>
      </c>
      <c r="AK3326">
        <v>1</v>
      </c>
      <c r="AL3326">
        <v>3</v>
      </c>
      <c r="AM3326">
        <v>2</v>
      </c>
      <c r="AN3326">
        <v>0</v>
      </c>
      <c r="AO3326">
        <v>7</v>
      </c>
      <c r="AP3326">
        <v>3</v>
      </c>
      <c r="AQ3326">
        <v>6</v>
      </c>
      <c r="AR3326">
        <v>1</v>
      </c>
      <c r="AS3326">
        <v>0</v>
      </c>
      <c r="AT3326">
        <v>0</v>
      </c>
    </row>
    <row r="3327" spans="1:46">
      <c r="A3327">
        <v>48239</v>
      </c>
      <c r="B3327" t="s">
        <v>18497</v>
      </c>
      <c r="C3327" t="s">
        <v>18498</v>
      </c>
      <c r="E3327" t="s">
        <v>18499</v>
      </c>
      <c r="G3327" t="s">
        <v>667</v>
      </c>
      <c r="H3327" t="s">
        <v>3942</v>
      </c>
      <c r="J3327" t="s">
        <v>3962</v>
      </c>
      <c r="K3327" t="s">
        <v>519</v>
      </c>
      <c r="M3327" t="s">
        <v>520</v>
      </c>
      <c r="N3327" t="s">
        <v>8995</v>
      </c>
      <c r="O3327" t="s">
        <v>653</v>
      </c>
      <c r="P3327" t="s">
        <v>584</v>
      </c>
      <c r="Q3327" t="s">
        <v>638</v>
      </c>
      <c r="R3327" t="s">
        <v>639</v>
      </c>
      <c r="S3327" t="s">
        <v>668</v>
      </c>
      <c r="T3327" t="s">
        <v>527</v>
      </c>
      <c r="U3327">
        <v>112901</v>
      </c>
      <c r="V3327" t="s">
        <v>669</v>
      </c>
      <c r="W3327" t="s">
        <v>657</v>
      </c>
      <c r="X3327" t="s">
        <v>18500</v>
      </c>
      <c r="Y3327" t="s">
        <v>18501</v>
      </c>
      <c r="Z3327" t="s">
        <v>667</v>
      </c>
      <c r="AA3327" t="s">
        <v>6104</v>
      </c>
      <c r="AB3327" t="s">
        <v>18502</v>
      </c>
      <c r="AE3327">
        <v>-36.591184009999999</v>
      </c>
      <c r="AF3327">
        <v>174.68471471000001</v>
      </c>
      <c r="AG3327">
        <v>20</v>
      </c>
      <c r="AH3327">
        <v>5</v>
      </c>
    </row>
    <row r="3328" spans="1:46">
      <c r="A3328">
        <v>48240</v>
      </c>
      <c r="B3328" t="s">
        <v>18503</v>
      </c>
      <c r="C3328" t="s">
        <v>18504</v>
      </c>
      <c r="E3328" t="s">
        <v>18505</v>
      </c>
      <c r="F3328" t="s">
        <v>14301</v>
      </c>
      <c r="G3328" t="s">
        <v>3382</v>
      </c>
      <c r="H3328" t="s">
        <v>517</v>
      </c>
      <c r="J3328" t="s">
        <v>518</v>
      </c>
      <c r="K3328" t="s">
        <v>519</v>
      </c>
      <c r="M3328" t="s">
        <v>2287</v>
      </c>
      <c r="N3328" t="s">
        <v>571</v>
      </c>
      <c r="O3328" t="s">
        <v>3383</v>
      </c>
      <c r="P3328" t="s">
        <v>654</v>
      </c>
      <c r="Q3328" t="s">
        <v>3337</v>
      </c>
      <c r="R3328" t="s">
        <v>3338</v>
      </c>
      <c r="S3328" t="s">
        <v>3382</v>
      </c>
      <c r="T3328" t="s">
        <v>2448</v>
      </c>
      <c r="U3328">
        <v>353500</v>
      </c>
      <c r="V3328" t="s">
        <v>18506</v>
      </c>
      <c r="W3328" t="s">
        <v>1652</v>
      </c>
      <c r="X3328" t="s">
        <v>3385</v>
      </c>
      <c r="Y3328" t="s">
        <v>3386</v>
      </c>
      <c r="Z3328" t="s">
        <v>3387</v>
      </c>
      <c r="AA3328" t="s">
        <v>3388</v>
      </c>
      <c r="AB3328" t="s">
        <v>3389</v>
      </c>
      <c r="AE3328">
        <v>-45.887233539999997</v>
      </c>
      <c r="AF3328">
        <v>170.47570368000001</v>
      </c>
      <c r="AG3328">
        <v>43</v>
      </c>
      <c r="AH3328">
        <v>0</v>
      </c>
      <c r="AI3328">
        <v>0</v>
      </c>
      <c r="AJ3328">
        <v>0</v>
      </c>
      <c r="AK3328">
        <v>8</v>
      </c>
      <c r="AL3328">
        <v>20</v>
      </c>
      <c r="AM3328">
        <v>16</v>
      </c>
      <c r="AN3328">
        <v>0</v>
      </c>
      <c r="AO3328">
        <v>44</v>
      </c>
      <c r="AP3328">
        <v>34</v>
      </c>
      <c r="AQ3328">
        <v>9</v>
      </c>
      <c r="AR3328">
        <v>1</v>
      </c>
      <c r="AS3328">
        <v>10</v>
      </c>
      <c r="AT3328">
        <v>0</v>
      </c>
    </row>
    <row r="3329" spans="1:46">
      <c r="A3329">
        <v>48242</v>
      </c>
      <c r="B3329" t="s">
        <v>18507</v>
      </c>
      <c r="C3329" t="s">
        <v>17240</v>
      </c>
      <c r="E3329" t="s">
        <v>18508</v>
      </c>
      <c r="F3329" t="s">
        <v>792</v>
      </c>
      <c r="G3329" t="s">
        <v>652</v>
      </c>
      <c r="H3329" t="s">
        <v>4716</v>
      </c>
      <c r="J3329" t="s">
        <v>3962</v>
      </c>
      <c r="K3329" t="s">
        <v>519</v>
      </c>
      <c r="M3329" t="s">
        <v>520</v>
      </c>
      <c r="N3329" t="s">
        <v>571</v>
      </c>
      <c r="O3329" t="s">
        <v>707</v>
      </c>
      <c r="P3329" t="s">
        <v>654</v>
      </c>
      <c r="Q3329" t="s">
        <v>638</v>
      </c>
      <c r="R3329" t="s">
        <v>708</v>
      </c>
      <c r="S3329" t="s">
        <v>706</v>
      </c>
      <c r="T3329" t="s">
        <v>709</v>
      </c>
      <c r="U3329">
        <v>148000</v>
      </c>
      <c r="V3329" t="s">
        <v>792</v>
      </c>
      <c r="W3329" t="s">
        <v>711</v>
      </c>
      <c r="X3329" t="s">
        <v>18509</v>
      </c>
      <c r="Y3329" t="s">
        <v>18510</v>
      </c>
      <c r="AA3329" t="s">
        <v>7318</v>
      </c>
      <c r="AB3329" t="s">
        <v>17240</v>
      </c>
      <c r="AE3329">
        <v>-36.877243300000004</v>
      </c>
      <c r="AF3329">
        <v>174.91759012</v>
      </c>
      <c r="AG3329">
        <v>25</v>
      </c>
      <c r="AH3329">
        <v>25</v>
      </c>
      <c r="AI3329">
        <v>4</v>
      </c>
      <c r="AJ3329">
        <v>7</v>
      </c>
      <c r="AK3329">
        <v>5</v>
      </c>
      <c r="AL3329">
        <v>4</v>
      </c>
      <c r="AM3329">
        <v>3</v>
      </c>
      <c r="AN3329">
        <v>0</v>
      </c>
      <c r="AO3329">
        <v>23</v>
      </c>
      <c r="AP3329">
        <v>0</v>
      </c>
      <c r="AQ3329">
        <v>0</v>
      </c>
      <c r="AR3329">
        <v>0</v>
      </c>
      <c r="AS3329">
        <v>23</v>
      </c>
      <c r="AT3329">
        <v>0</v>
      </c>
    </row>
    <row r="3330" spans="1:46">
      <c r="A3330">
        <v>48243</v>
      </c>
      <c r="B3330" t="s">
        <v>18511</v>
      </c>
      <c r="E3330" t="s">
        <v>18512</v>
      </c>
      <c r="F3330" t="s">
        <v>747</v>
      </c>
      <c r="G3330" t="s">
        <v>652</v>
      </c>
      <c r="H3330" t="s">
        <v>4716</v>
      </c>
      <c r="J3330" t="s">
        <v>3962</v>
      </c>
      <c r="K3330" t="s">
        <v>519</v>
      </c>
      <c r="M3330" t="s">
        <v>520</v>
      </c>
      <c r="N3330" t="s">
        <v>8995</v>
      </c>
      <c r="O3330" t="s">
        <v>748</v>
      </c>
      <c r="P3330" t="s">
        <v>654</v>
      </c>
      <c r="Q3330" t="s">
        <v>638</v>
      </c>
      <c r="R3330" t="s">
        <v>639</v>
      </c>
      <c r="S3330" t="s">
        <v>682</v>
      </c>
      <c r="T3330" t="s">
        <v>527</v>
      </c>
      <c r="U3330">
        <v>129400</v>
      </c>
      <c r="V3330" t="s">
        <v>749</v>
      </c>
      <c r="W3330" t="s">
        <v>741</v>
      </c>
      <c r="X3330" t="s">
        <v>18513</v>
      </c>
      <c r="Y3330" t="s">
        <v>18512</v>
      </c>
      <c r="AA3330" t="s">
        <v>4289</v>
      </c>
      <c r="AB3330" t="s">
        <v>18514</v>
      </c>
      <c r="AE3330">
        <v>-36.815443199999997</v>
      </c>
      <c r="AF3330">
        <v>174.77377139999999</v>
      </c>
      <c r="AG3330">
        <v>20</v>
      </c>
      <c r="AH3330">
        <v>20</v>
      </c>
      <c r="AI3330">
        <v>0</v>
      </c>
      <c r="AJ3330">
        <v>2</v>
      </c>
      <c r="AK3330">
        <v>0</v>
      </c>
      <c r="AL3330">
        <v>0</v>
      </c>
      <c r="AM3330">
        <v>0</v>
      </c>
      <c r="AN3330">
        <v>0</v>
      </c>
      <c r="AO3330">
        <v>2</v>
      </c>
      <c r="AP3330">
        <v>1</v>
      </c>
      <c r="AQ3330">
        <v>0</v>
      </c>
      <c r="AR3330">
        <v>0</v>
      </c>
      <c r="AS3330">
        <v>2</v>
      </c>
      <c r="AT3330">
        <v>0</v>
      </c>
    </row>
    <row r="3331" spans="1:46">
      <c r="A3331">
        <v>48244</v>
      </c>
      <c r="B3331" t="s">
        <v>18515</v>
      </c>
      <c r="C3331" t="s">
        <v>18516</v>
      </c>
      <c r="E3331" t="s">
        <v>18517</v>
      </c>
      <c r="F3331" t="s">
        <v>847</v>
      </c>
      <c r="G3331" t="s">
        <v>652</v>
      </c>
      <c r="H3331" t="s">
        <v>3942</v>
      </c>
      <c r="J3331" t="s">
        <v>3962</v>
      </c>
      <c r="K3331" t="s">
        <v>519</v>
      </c>
      <c r="M3331" t="s">
        <v>520</v>
      </c>
      <c r="N3331" t="s">
        <v>727</v>
      </c>
      <c r="O3331" t="s">
        <v>848</v>
      </c>
      <c r="P3331" t="s">
        <v>654</v>
      </c>
      <c r="Q3331" t="s">
        <v>638</v>
      </c>
      <c r="R3331" t="s">
        <v>729</v>
      </c>
      <c r="S3331" t="s">
        <v>849</v>
      </c>
      <c r="T3331" t="s">
        <v>709</v>
      </c>
      <c r="U3331">
        <v>152101</v>
      </c>
      <c r="V3331" t="s">
        <v>7308</v>
      </c>
      <c r="W3331" t="s">
        <v>732</v>
      </c>
      <c r="X3331" t="s">
        <v>18518</v>
      </c>
      <c r="Y3331" t="s">
        <v>13325</v>
      </c>
      <c r="Z3331" t="s">
        <v>5104</v>
      </c>
      <c r="AA3331" t="s">
        <v>3991</v>
      </c>
      <c r="AE3331">
        <v>-36.970998629999997</v>
      </c>
      <c r="AF3331">
        <v>174.81953756999999</v>
      </c>
      <c r="AG3331">
        <v>77</v>
      </c>
      <c r="AH3331">
        <v>12</v>
      </c>
      <c r="AI3331">
        <v>1</v>
      </c>
      <c r="AJ3331">
        <v>4</v>
      </c>
      <c r="AK3331">
        <v>5</v>
      </c>
      <c r="AL3331">
        <v>4</v>
      </c>
      <c r="AM3331">
        <v>1</v>
      </c>
      <c r="AN3331">
        <v>1</v>
      </c>
      <c r="AO3331">
        <v>16</v>
      </c>
      <c r="AP3331">
        <v>2</v>
      </c>
      <c r="AQ3331">
        <v>8</v>
      </c>
      <c r="AR3331">
        <v>7</v>
      </c>
      <c r="AS3331">
        <v>2</v>
      </c>
      <c r="AT3331">
        <v>1</v>
      </c>
    </row>
    <row r="3332" spans="1:46">
      <c r="A3332">
        <v>48245</v>
      </c>
      <c r="B3332" t="s">
        <v>18519</v>
      </c>
      <c r="C3332" t="s">
        <v>18520</v>
      </c>
      <c r="E3332" t="s">
        <v>18521</v>
      </c>
      <c r="F3332" t="s">
        <v>2852</v>
      </c>
      <c r="G3332" t="s">
        <v>2853</v>
      </c>
      <c r="H3332" t="s">
        <v>3942</v>
      </c>
      <c r="J3332" t="s">
        <v>3962</v>
      </c>
      <c r="K3332" t="s">
        <v>519</v>
      </c>
      <c r="M3332" t="s">
        <v>2287</v>
      </c>
      <c r="N3332" t="s">
        <v>8995</v>
      </c>
      <c r="O3332" t="s">
        <v>2854</v>
      </c>
      <c r="P3332" t="s">
        <v>584</v>
      </c>
      <c r="Q3332" t="s">
        <v>2855</v>
      </c>
      <c r="R3332" t="s">
        <v>2824</v>
      </c>
      <c r="S3332" t="s">
        <v>2853</v>
      </c>
      <c r="T3332" t="s">
        <v>2448</v>
      </c>
      <c r="U3332">
        <v>305700</v>
      </c>
      <c r="V3332" t="s">
        <v>18522</v>
      </c>
      <c r="W3332" t="s">
        <v>2857</v>
      </c>
      <c r="X3332" t="s">
        <v>18523</v>
      </c>
      <c r="Y3332" t="s">
        <v>4107</v>
      </c>
      <c r="AA3332" t="s">
        <v>3982</v>
      </c>
      <c r="AB3332" t="s">
        <v>18520</v>
      </c>
      <c r="AE3332">
        <v>-41.318052420000001</v>
      </c>
      <c r="AF3332">
        <v>173.21625419</v>
      </c>
      <c r="AG3332">
        <v>70</v>
      </c>
      <c r="AH3332">
        <v>20</v>
      </c>
      <c r="AI3332">
        <v>7</v>
      </c>
      <c r="AJ3332">
        <v>18</v>
      </c>
      <c r="AK3332">
        <v>10</v>
      </c>
      <c r="AL3332">
        <v>6</v>
      </c>
      <c r="AM3332">
        <v>5</v>
      </c>
      <c r="AN3332">
        <v>0</v>
      </c>
      <c r="AO3332">
        <v>46</v>
      </c>
      <c r="AP3332">
        <v>31</v>
      </c>
      <c r="AQ3332">
        <v>8</v>
      </c>
      <c r="AR3332">
        <v>4</v>
      </c>
      <c r="AS3332">
        <v>10</v>
      </c>
      <c r="AT3332">
        <v>3</v>
      </c>
    </row>
    <row r="3333" spans="1:46">
      <c r="A3333">
        <v>48246</v>
      </c>
      <c r="B3333" t="s">
        <v>18524</v>
      </c>
      <c r="C3333" t="s">
        <v>18525</v>
      </c>
      <c r="E3333" t="s">
        <v>18526</v>
      </c>
      <c r="G3333" t="s">
        <v>1697</v>
      </c>
      <c r="H3333" t="s">
        <v>3942</v>
      </c>
      <c r="J3333" t="s">
        <v>3962</v>
      </c>
      <c r="K3333" t="s">
        <v>519</v>
      </c>
      <c r="M3333" t="s">
        <v>1297</v>
      </c>
      <c r="N3333" t="s">
        <v>571</v>
      </c>
      <c r="O3333" t="s">
        <v>1698</v>
      </c>
      <c r="P3333" t="s">
        <v>654</v>
      </c>
      <c r="Q3333" t="s">
        <v>1471</v>
      </c>
      <c r="R3333" t="s">
        <v>1472</v>
      </c>
      <c r="S3333" t="s">
        <v>1699</v>
      </c>
      <c r="T3333" t="s">
        <v>1474</v>
      </c>
      <c r="U3333">
        <v>195500</v>
      </c>
      <c r="V3333" t="s">
        <v>9870</v>
      </c>
      <c r="W3333" t="s">
        <v>1701</v>
      </c>
      <c r="X3333" t="s">
        <v>10447</v>
      </c>
      <c r="Y3333" t="s">
        <v>10446</v>
      </c>
      <c r="Z3333" t="s">
        <v>3722</v>
      </c>
      <c r="AA3333" t="s">
        <v>8404</v>
      </c>
      <c r="AB3333" t="s">
        <v>10448</v>
      </c>
      <c r="AC3333">
        <v>99064</v>
      </c>
      <c r="AD3333" t="s">
        <v>1702</v>
      </c>
      <c r="AE3333">
        <v>-37.678000959999999</v>
      </c>
      <c r="AF3333">
        <v>176.22626704999999</v>
      </c>
      <c r="AG3333">
        <v>65</v>
      </c>
      <c r="AH3333">
        <v>25</v>
      </c>
      <c r="AI3333">
        <v>5</v>
      </c>
      <c r="AJ3333">
        <v>5</v>
      </c>
      <c r="AK3333">
        <v>2</v>
      </c>
      <c r="AL3333">
        <v>2</v>
      </c>
      <c r="AM3333">
        <v>3</v>
      </c>
      <c r="AN3333">
        <v>0</v>
      </c>
      <c r="AO3333">
        <v>17</v>
      </c>
      <c r="AP3333">
        <v>9</v>
      </c>
      <c r="AQ3333">
        <v>6</v>
      </c>
      <c r="AR3333">
        <v>6</v>
      </c>
      <c r="AS3333">
        <v>3</v>
      </c>
      <c r="AT3333">
        <v>4</v>
      </c>
    </row>
    <row r="3334" spans="1:46">
      <c r="A3334">
        <v>48247</v>
      </c>
      <c r="B3334" t="s">
        <v>18527</v>
      </c>
      <c r="C3334" t="s">
        <v>18528</v>
      </c>
      <c r="E3334" t="s">
        <v>18529</v>
      </c>
      <c r="G3334" t="s">
        <v>582</v>
      </c>
      <c r="H3334" t="s">
        <v>3942</v>
      </c>
      <c r="J3334" t="s">
        <v>518</v>
      </c>
      <c r="K3334" t="s">
        <v>519</v>
      </c>
      <c r="M3334" t="s">
        <v>520</v>
      </c>
      <c r="N3334" t="s">
        <v>539</v>
      </c>
      <c r="O3334" t="s">
        <v>583</v>
      </c>
      <c r="P3334" t="s">
        <v>584</v>
      </c>
      <c r="Q3334" t="s">
        <v>524</v>
      </c>
      <c r="R3334" t="s">
        <v>525</v>
      </c>
      <c r="S3334" t="s">
        <v>585</v>
      </c>
      <c r="T3334" t="s">
        <v>527</v>
      </c>
      <c r="U3334">
        <v>107501</v>
      </c>
      <c r="V3334" t="s">
        <v>4952</v>
      </c>
      <c r="W3334" t="s">
        <v>587</v>
      </c>
      <c r="X3334" t="s">
        <v>4436</v>
      </c>
      <c r="Y3334" t="s">
        <v>3944</v>
      </c>
      <c r="Z3334" t="s">
        <v>3945</v>
      </c>
      <c r="AA3334" t="s">
        <v>3946</v>
      </c>
      <c r="AE3334">
        <v>-35.743236039999999</v>
      </c>
      <c r="AF3334">
        <v>174.31731063999999</v>
      </c>
      <c r="AG3334">
        <v>100</v>
      </c>
      <c r="AH3334">
        <v>24</v>
      </c>
      <c r="AI3334">
        <v>4</v>
      </c>
      <c r="AJ3334">
        <v>11</v>
      </c>
      <c r="AK3334">
        <v>13</v>
      </c>
      <c r="AL3334">
        <v>11</v>
      </c>
      <c r="AM3334">
        <v>10</v>
      </c>
      <c r="AN3334">
        <v>0</v>
      </c>
      <c r="AO3334">
        <v>49</v>
      </c>
      <c r="AP3334">
        <v>22</v>
      </c>
      <c r="AQ3334">
        <v>27</v>
      </c>
      <c r="AR3334">
        <v>5</v>
      </c>
      <c r="AS3334">
        <v>7</v>
      </c>
      <c r="AT3334">
        <v>10</v>
      </c>
    </row>
    <row r="3335" spans="1:46">
      <c r="A3335">
        <v>48250</v>
      </c>
      <c r="B3335" t="s">
        <v>18530</v>
      </c>
      <c r="C3335" t="s">
        <v>18531</v>
      </c>
      <c r="E3335" t="s">
        <v>18532</v>
      </c>
      <c r="G3335" t="s">
        <v>2867</v>
      </c>
      <c r="H3335" t="s">
        <v>3942</v>
      </c>
      <c r="I3335" t="s">
        <v>4231</v>
      </c>
      <c r="J3335" t="s">
        <v>518</v>
      </c>
      <c r="K3335" t="s">
        <v>519</v>
      </c>
      <c r="M3335" t="s">
        <v>2287</v>
      </c>
      <c r="N3335" t="s">
        <v>571</v>
      </c>
      <c r="O3335" t="s">
        <v>2868</v>
      </c>
      <c r="P3335" t="s">
        <v>572</v>
      </c>
      <c r="Q3335" t="s">
        <v>2869</v>
      </c>
      <c r="R3335" t="s">
        <v>2824</v>
      </c>
      <c r="S3335" t="s">
        <v>2870</v>
      </c>
      <c r="T3335" t="s">
        <v>2448</v>
      </c>
      <c r="U3335">
        <v>301000</v>
      </c>
      <c r="V3335" t="s">
        <v>18533</v>
      </c>
      <c r="W3335" t="s">
        <v>2872</v>
      </c>
      <c r="X3335" t="s">
        <v>18534</v>
      </c>
      <c r="Y3335" t="s">
        <v>18535</v>
      </c>
      <c r="AA3335" t="s">
        <v>18536</v>
      </c>
      <c r="AB3335" t="s">
        <v>18531</v>
      </c>
      <c r="AE3335">
        <v>-41.151714349999999</v>
      </c>
      <c r="AF3335">
        <v>172.99717783</v>
      </c>
      <c r="AG3335">
        <v>40</v>
      </c>
      <c r="AH3335">
        <v>0</v>
      </c>
      <c r="AI3335">
        <v>0</v>
      </c>
      <c r="AJ3335">
        <v>0</v>
      </c>
      <c r="AK3335">
        <v>1</v>
      </c>
      <c r="AL3335">
        <v>8</v>
      </c>
      <c r="AM3335">
        <v>10</v>
      </c>
      <c r="AN3335">
        <v>10</v>
      </c>
      <c r="AO3335">
        <v>29</v>
      </c>
      <c r="AP3335">
        <v>28</v>
      </c>
      <c r="AQ3335">
        <v>4</v>
      </c>
      <c r="AR3335">
        <v>1</v>
      </c>
      <c r="AS3335">
        <v>1</v>
      </c>
      <c r="AT3335">
        <v>2</v>
      </c>
    </row>
    <row r="3336" spans="1:46">
      <c r="A3336">
        <v>48251</v>
      </c>
      <c r="B3336" t="s">
        <v>18537</v>
      </c>
      <c r="C3336" t="s">
        <v>18538</v>
      </c>
      <c r="E3336" t="s">
        <v>18539</v>
      </c>
      <c r="F3336" t="s">
        <v>2852</v>
      </c>
      <c r="G3336" t="s">
        <v>2853</v>
      </c>
      <c r="H3336" t="s">
        <v>3942</v>
      </c>
      <c r="J3336" t="s">
        <v>3962</v>
      </c>
      <c r="K3336" t="s">
        <v>519</v>
      </c>
      <c r="M3336" t="s">
        <v>2287</v>
      </c>
      <c r="N3336" t="s">
        <v>571</v>
      </c>
      <c r="O3336" t="s">
        <v>2854</v>
      </c>
      <c r="P3336" t="s">
        <v>584</v>
      </c>
      <c r="Q3336" t="s">
        <v>2855</v>
      </c>
      <c r="R3336" t="s">
        <v>2824</v>
      </c>
      <c r="S3336" t="s">
        <v>2853</v>
      </c>
      <c r="T3336" t="s">
        <v>2448</v>
      </c>
      <c r="U3336">
        <v>305900</v>
      </c>
      <c r="V3336" t="s">
        <v>2915</v>
      </c>
      <c r="W3336" t="s">
        <v>2857</v>
      </c>
      <c r="X3336" t="s">
        <v>18540</v>
      </c>
      <c r="Y3336" t="s">
        <v>18539</v>
      </c>
      <c r="Z3336" t="s">
        <v>2852</v>
      </c>
      <c r="AA3336" t="s">
        <v>16315</v>
      </c>
      <c r="AB3336" t="s">
        <v>18538</v>
      </c>
      <c r="AE3336">
        <v>-41.317108359999999</v>
      </c>
      <c r="AF3336">
        <v>173.23569370999999</v>
      </c>
      <c r="AG3336">
        <v>29</v>
      </c>
      <c r="AH3336">
        <v>10</v>
      </c>
      <c r="AI3336">
        <v>2</v>
      </c>
      <c r="AJ3336">
        <v>6</v>
      </c>
      <c r="AK3336">
        <v>9</v>
      </c>
      <c r="AL3336">
        <v>7</v>
      </c>
      <c r="AM3336">
        <v>5</v>
      </c>
      <c r="AN3336">
        <v>0</v>
      </c>
      <c r="AO3336">
        <v>29</v>
      </c>
      <c r="AP3336">
        <v>25</v>
      </c>
      <c r="AQ3336">
        <v>2</v>
      </c>
      <c r="AR3336">
        <v>0</v>
      </c>
      <c r="AS3336">
        <v>5</v>
      </c>
      <c r="AT3336">
        <v>0</v>
      </c>
    </row>
    <row r="3337" spans="1:46">
      <c r="A3337">
        <v>48252</v>
      </c>
      <c r="B3337" t="s">
        <v>18541</v>
      </c>
      <c r="E3337" t="s">
        <v>18542</v>
      </c>
      <c r="F3337" t="s">
        <v>18543</v>
      </c>
      <c r="G3337" t="s">
        <v>652</v>
      </c>
      <c r="H3337" t="s">
        <v>3942</v>
      </c>
      <c r="J3337" t="s">
        <v>518</v>
      </c>
      <c r="K3337" t="s">
        <v>519</v>
      </c>
      <c r="M3337" t="s">
        <v>520</v>
      </c>
      <c r="N3337" t="s">
        <v>571</v>
      </c>
      <c r="O3337" t="s">
        <v>1168</v>
      </c>
      <c r="P3337" t="s">
        <v>654</v>
      </c>
      <c r="Q3337" t="s">
        <v>638</v>
      </c>
      <c r="R3337" t="s">
        <v>639</v>
      </c>
      <c r="S3337" t="s">
        <v>739</v>
      </c>
      <c r="T3337" t="s">
        <v>527</v>
      </c>
      <c r="U3337">
        <v>120202</v>
      </c>
      <c r="V3337" t="s">
        <v>18544</v>
      </c>
      <c r="W3337" t="s">
        <v>657</v>
      </c>
      <c r="X3337" t="s">
        <v>3943</v>
      </c>
      <c r="Y3337" t="s">
        <v>3944</v>
      </c>
      <c r="Z3337" t="s">
        <v>3945</v>
      </c>
      <c r="AA3337" t="s">
        <v>3946</v>
      </c>
      <c r="AB3337" t="s">
        <v>17757</v>
      </c>
      <c r="AE3337">
        <v>-36.798091489999997</v>
      </c>
      <c r="AF3337">
        <v>174.64984097999999</v>
      </c>
      <c r="AG3337">
        <v>109</v>
      </c>
      <c r="AH3337">
        <v>25</v>
      </c>
      <c r="AI3337">
        <v>8</v>
      </c>
      <c r="AJ3337">
        <v>14</v>
      </c>
      <c r="AK3337">
        <v>24</v>
      </c>
      <c r="AL3337">
        <v>19</v>
      </c>
      <c r="AM3337">
        <v>12</v>
      </c>
      <c r="AN3337">
        <v>0</v>
      </c>
      <c r="AO3337">
        <v>77</v>
      </c>
      <c r="AP3337">
        <v>23</v>
      </c>
      <c r="AQ3337">
        <v>2</v>
      </c>
      <c r="AR3337">
        <v>4</v>
      </c>
      <c r="AS3337">
        <v>47</v>
      </c>
      <c r="AT3337">
        <v>10</v>
      </c>
    </row>
    <row r="3338" spans="1:46">
      <c r="A3338">
        <v>48253</v>
      </c>
      <c r="B3338" t="s">
        <v>18545</v>
      </c>
      <c r="C3338" t="s">
        <v>18546</v>
      </c>
      <c r="E3338" t="s">
        <v>18547</v>
      </c>
      <c r="F3338" t="s">
        <v>18548</v>
      </c>
      <c r="G3338" t="s">
        <v>2941</v>
      </c>
      <c r="H3338" t="s">
        <v>3942</v>
      </c>
      <c r="J3338" t="s">
        <v>518</v>
      </c>
      <c r="K3338" t="s">
        <v>519</v>
      </c>
      <c r="M3338" t="s">
        <v>2287</v>
      </c>
      <c r="N3338" t="s">
        <v>571</v>
      </c>
      <c r="O3338" t="s">
        <v>2942</v>
      </c>
      <c r="P3338" t="s">
        <v>654</v>
      </c>
      <c r="Q3338" t="s">
        <v>2943</v>
      </c>
      <c r="R3338" t="s">
        <v>2944</v>
      </c>
      <c r="S3338" t="s">
        <v>2957</v>
      </c>
      <c r="T3338" t="s">
        <v>2448</v>
      </c>
      <c r="U3338">
        <v>325700</v>
      </c>
      <c r="V3338" t="s">
        <v>18549</v>
      </c>
      <c r="W3338" t="s">
        <v>2443</v>
      </c>
      <c r="X3338" t="s">
        <v>18550</v>
      </c>
      <c r="Y3338" t="s">
        <v>18551</v>
      </c>
      <c r="Z3338" t="s">
        <v>2957</v>
      </c>
      <c r="AA3338" t="s">
        <v>17869</v>
      </c>
      <c r="AB3338" t="s">
        <v>18552</v>
      </c>
      <c r="AE3338">
        <v>-43.532491970000002</v>
      </c>
      <c r="AF3338">
        <v>172.62763541000001</v>
      </c>
      <c r="AG3338">
        <v>55</v>
      </c>
      <c r="AH3338">
        <v>21</v>
      </c>
      <c r="AI3338">
        <v>0</v>
      </c>
      <c r="AJ3338">
        <v>1</v>
      </c>
      <c r="AK3338">
        <v>0</v>
      </c>
      <c r="AL3338">
        <v>1</v>
      </c>
      <c r="AM3338">
        <v>0</v>
      </c>
      <c r="AN3338">
        <v>1</v>
      </c>
      <c r="AO3338">
        <v>3</v>
      </c>
      <c r="AP3338">
        <v>2</v>
      </c>
      <c r="AQ3338">
        <v>0</v>
      </c>
      <c r="AR3338">
        <v>0</v>
      </c>
      <c r="AS3338">
        <v>2</v>
      </c>
      <c r="AT3338">
        <v>0</v>
      </c>
    </row>
    <row r="3339" spans="1:46">
      <c r="A3339">
        <v>48254</v>
      </c>
      <c r="B3339" t="s">
        <v>18553</v>
      </c>
      <c r="E3339" t="s">
        <v>18554</v>
      </c>
      <c r="G3339" t="s">
        <v>18555</v>
      </c>
      <c r="H3339" t="s">
        <v>3942</v>
      </c>
      <c r="J3339" t="s">
        <v>518</v>
      </c>
      <c r="K3339" t="s">
        <v>519</v>
      </c>
      <c r="M3339" t="s">
        <v>520</v>
      </c>
      <c r="N3339" t="s">
        <v>571</v>
      </c>
      <c r="O3339" t="s">
        <v>653</v>
      </c>
      <c r="P3339" t="s">
        <v>654</v>
      </c>
      <c r="Q3339" t="s">
        <v>638</v>
      </c>
      <c r="R3339" t="s">
        <v>639</v>
      </c>
      <c r="S3339" t="s">
        <v>655</v>
      </c>
      <c r="T3339" t="s">
        <v>527</v>
      </c>
      <c r="U3339">
        <v>116500</v>
      </c>
      <c r="V3339" t="s">
        <v>18556</v>
      </c>
      <c r="W3339" t="s">
        <v>657</v>
      </c>
      <c r="X3339" t="s">
        <v>17613</v>
      </c>
      <c r="Y3339" t="s">
        <v>3944</v>
      </c>
      <c r="Z3339" t="s">
        <v>3945</v>
      </c>
      <c r="AA3339" t="s">
        <v>3946</v>
      </c>
      <c r="AE3339">
        <v>-36.685874089999999</v>
      </c>
      <c r="AF3339">
        <v>174.73913919</v>
      </c>
      <c r="AG3339">
        <v>110</v>
      </c>
      <c r="AH3339">
        <v>25</v>
      </c>
      <c r="AI3339">
        <v>4</v>
      </c>
      <c r="AJ3339">
        <v>9</v>
      </c>
      <c r="AK3339">
        <v>12</v>
      </c>
      <c r="AL3339">
        <v>12</v>
      </c>
      <c r="AM3339">
        <v>3</v>
      </c>
      <c r="AN3339">
        <v>0</v>
      </c>
      <c r="AO3339">
        <v>40</v>
      </c>
      <c r="AP3339">
        <v>20</v>
      </c>
      <c r="AQ3339">
        <v>2</v>
      </c>
      <c r="AR3339">
        <v>1</v>
      </c>
      <c r="AS3339">
        <v>17</v>
      </c>
      <c r="AT3339">
        <v>3</v>
      </c>
    </row>
    <row r="3340" spans="1:46">
      <c r="A3340">
        <v>48256</v>
      </c>
      <c r="B3340" t="s">
        <v>18557</v>
      </c>
      <c r="E3340" t="s">
        <v>18558</v>
      </c>
      <c r="G3340" t="s">
        <v>675</v>
      </c>
      <c r="H3340" t="s">
        <v>3942</v>
      </c>
      <c r="J3340" t="s">
        <v>3962</v>
      </c>
      <c r="K3340" t="s">
        <v>519</v>
      </c>
      <c r="M3340" t="s">
        <v>520</v>
      </c>
      <c r="N3340" t="s">
        <v>571</v>
      </c>
      <c r="O3340" t="s">
        <v>637</v>
      </c>
      <c r="P3340" t="s">
        <v>523</v>
      </c>
      <c r="Q3340" t="s">
        <v>638</v>
      </c>
      <c r="R3340" t="s">
        <v>639</v>
      </c>
      <c r="S3340" t="s">
        <v>640</v>
      </c>
      <c r="T3340" t="s">
        <v>527</v>
      </c>
      <c r="U3340">
        <v>111300</v>
      </c>
      <c r="V3340" t="s">
        <v>6869</v>
      </c>
      <c r="W3340" t="s">
        <v>641</v>
      </c>
      <c r="X3340" t="s">
        <v>18559</v>
      </c>
      <c r="Y3340" t="s">
        <v>18560</v>
      </c>
      <c r="Z3340" t="s">
        <v>6601</v>
      </c>
      <c r="AA3340" t="s">
        <v>4391</v>
      </c>
      <c r="AE3340">
        <v>-36.411006970000003</v>
      </c>
      <c r="AF3340">
        <v>174.66292027</v>
      </c>
      <c r="AG3340">
        <v>30</v>
      </c>
      <c r="AH3340">
        <v>15</v>
      </c>
    </row>
    <row r="3341" spans="1:46">
      <c r="A3341">
        <v>48257</v>
      </c>
      <c r="B3341" t="s">
        <v>18561</v>
      </c>
      <c r="C3341" t="s">
        <v>18562</v>
      </c>
      <c r="D3341" t="s">
        <v>18563</v>
      </c>
      <c r="E3341" t="s">
        <v>18564</v>
      </c>
      <c r="F3341" t="s">
        <v>822</v>
      </c>
      <c r="G3341" t="s">
        <v>652</v>
      </c>
      <c r="H3341" t="s">
        <v>3942</v>
      </c>
      <c r="I3341" t="s">
        <v>6218</v>
      </c>
      <c r="J3341" t="s">
        <v>3962</v>
      </c>
      <c r="K3341" t="s">
        <v>519</v>
      </c>
      <c r="M3341" t="s">
        <v>520</v>
      </c>
      <c r="N3341" t="s">
        <v>571</v>
      </c>
      <c r="O3341" t="s">
        <v>857</v>
      </c>
      <c r="P3341" t="s">
        <v>654</v>
      </c>
      <c r="Q3341" t="s">
        <v>638</v>
      </c>
      <c r="R3341" t="s">
        <v>708</v>
      </c>
      <c r="S3341" t="s">
        <v>822</v>
      </c>
      <c r="T3341" t="s">
        <v>709</v>
      </c>
      <c r="U3341">
        <v>140200</v>
      </c>
      <c r="V3341" t="s">
        <v>951</v>
      </c>
      <c r="W3341" t="s">
        <v>860</v>
      </c>
      <c r="X3341" t="s">
        <v>18565</v>
      </c>
      <c r="Y3341" t="s">
        <v>18566</v>
      </c>
      <c r="Z3341" t="s">
        <v>822</v>
      </c>
      <c r="AA3341" t="s">
        <v>4382</v>
      </c>
      <c r="AE3341">
        <v>-36.881874740000001</v>
      </c>
      <c r="AF3341">
        <v>174.76608630000001</v>
      </c>
      <c r="AG3341">
        <v>40</v>
      </c>
      <c r="AH3341">
        <v>10</v>
      </c>
      <c r="AI3341">
        <v>2</v>
      </c>
      <c r="AJ3341">
        <v>5</v>
      </c>
      <c r="AK3341">
        <v>6</v>
      </c>
      <c r="AL3341">
        <v>9</v>
      </c>
      <c r="AM3341">
        <v>11</v>
      </c>
      <c r="AN3341">
        <v>0</v>
      </c>
      <c r="AO3341">
        <v>33</v>
      </c>
      <c r="AP3341">
        <v>20</v>
      </c>
      <c r="AQ3341">
        <v>29</v>
      </c>
      <c r="AR3341">
        <v>6</v>
      </c>
      <c r="AS3341">
        <v>5</v>
      </c>
      <c r="AT3341">
        <v>3</v>
      </c>
    </row>
    <row r="3342" spans="1:46">
      <c r="A3342">
        <v>48258</v>
      </c>
      <c r="B3342" t="s">
        <v>18567</v>
      </c>
      <c r="C3342" t="s">
        <v>18568</v>
      </c>
      <c r="E3342" t="s">
        <v>18569</v>
      </c>
      <c r="F3342" t="s">
        <v>726</v>
      </c>
      <c r="G3342" t="s">
        <v>652</v>
      </c>
      <c r="H3342" t="s">
        <v>4164</v>
      </c>
      <c r="J3342" t="s">
        <v>518</v>
      </c>
      <c r="K3342" t="s">
        <v>519</v>
      </c>
      <c r="M3342" t="s">
        <v>520</v>
      </c>
      <c r="N3342" t="s">
        <v>727</v>
      </c>
      <c r="O3342" t="s">
        <v>728</v>
      </c>
      <c r="P3342" t="s">
        <v>654</v>
      </c>
      <c r="Q3342" t="s">
        <v>638</v>
      </c>
      <c r="R3342" t="s">
        <v>729</v>
      </c>
      <c r="S3342" t="s">
        <v>778</v>
      </c>
      <c r="T3342" t="s">
        <v>709</v>
      </c>
      <c r="U3342">
        <v>156000</v>
      </c>
      <c r="V3342" t="s">
        <v>6408</v>
      </c>
      <c r="W3342" t="s">
        <v>732</v>
      </c>
      <c r="X3342" t="s">
        <v>13291</v>
      </c>
      <c r="Y3342" t="s">
        <v>13292</v>
      </c>
      <c r="Z3342" t="s">
        <v>3945</v>
      </c>
      <c r="AA3342" t="s">
        <v>4585</v>
      </c>
      <c r="AB3342" t="s">
        <v>13293</v>
      </c>
      <c r="AE3342">
        <v>-36.956494399999997</v>
      </c>
      <c r="AF3342">
        <v>174.89159989000001</v>
      </c>
      <c r="AG3342">
        <v>35</v>
      </c>
      <c r="AH3342">
        <v>5</v>
      </c>
    </row>
    <row r="3343" spans="1:46">
      <c r="A3343">
        <v>48260</v>
      </c>
      <c r="B3343" t="s">
        <v>18570</v>
      </c>
      <c r="E3343" t="s">
        <v>18571</v>
      </c>
      <c r="G3343" t="s">
        <v>652</v>
      </c>
      <c r="H3343" t="s">
        <v>3942</v>
      </c>
      <c r="J3343" t="s">
        <v>3962</v>
      </c>
      <c r="K3343" t="s">
        <v>519</v>
      </c>
      <c r="M3343" t="s">
        <v>520</v>
      </c>
      <c r="N3343" t="s">
        <v>571</v>
      </c>
      <c r="O3343" t="s">
        <v>1351</v>
      </c>
      <c r="P3343" t="s">
        <v>572</v>
      </c>
      <c r="Q3343" t="s">
        <v>1299</v>
      </c>
      <c r="R3343" t="s">
        <v>729</v>
      </c>
      <c r="S3343" t="s">
        <v>1246</v>
      </c>
      <c r="T3343" t="s">
        <v>1235</v>
      </c>
      <c r="U3343">
        <v>169800</v>
      </c>
      <c r="V3343" t="s">
        <v>18572</v>
      </c>
      <c r="W3343" t="s">
        <v>7703</v>
      </c>
      <c r="X3343" t="s">
        <v>18573</v>
      </c>
      <c r="Y3343" t="s">
        <v>16453</v>
      </c>
      <c r="Z3343" t="s">
        <v>1234</v>
      </c>
      <c r="AA3343" t="s">
        <v>5162</v>
      </c>
      <c r="AE3343">
        <v>-37.216495459999997</v>
      </c>
      <c r="AF3343">
        <v>175.12139393000001</v>
      </c>
      <c r="AG3343">
        <v>25</v>
      </c>
      <c r="AH3343">
        <v>5</v>
      </c>
    </row>
    <row r="3344" spans="1:46">
      <c r="A3344">
        <v>48261</v>
      </c>
      <c r="B3344" t="s">
        <v>18574</v>
      </c>
      <c r="C3344" t="s">
        <v>18575</v>
      </c>
      <c r="D3344" t="s">
        <v>18576</v>
      </c>
      <c r="E3344" t="s">
        <v>18577</v>
      </c>
      <c r="G3344" t="s">
        <v>699</v>
      </c>
      <c r="H3344" t="s">
        <v>3942</v>
      </c>
      <c r="J3344" t="s">
        <v>3962</v>
      </c>
      <c r="K3344" t="s">
        <v>519</v>
      </c>
      <c r="M3344" t="s">
        <v>520</v>
      </c>
      <c r="N3344" t="s">
        <v>8995</v>
      </c>
      <c r="O3344" t="s">
        <v>653</v>
      </c>
      <c r="P3344" t="s">
        <v>584</v>
      </c>
      <c r="Q3344" t="s">
        <v>638</v>
      </c>
      <c r="R3344" t="s">
        <v>639</v>
      </c>
      <c r="S3344" t="s">
        <v>668</v>
      </c>
      <c r="T3344" t="s">
        <v>527</v>
      </c>
      <c r="U3344">
        <v>115100</v>
      </c>
      <c r="V3344" t="s">
        <v>15035</v>
      </c>
      <c r="W3344" t="s">
        <v>657</v>
      </c>
      <c r="X3344" t="s">
        <v>18578</v>
      </c>
      <c r="Y3344" t="s">
        <v>18579</v>
      </c>
      <c r="Z3344" t="s">
        <v>5176</v>
      </c>
      <c r="AA3344" t="s">
        <v>18580</v>
      </c>
      <c r="AE3344">
        <v>-36.626475190000001</v>
      </c>
      <c r="AF3344">
        <v>174.74541225999999</v>
      </c>
      <c r="AG3344">
        <v>50</v>
      </c>
      <c r="AH3344">
        <v>15</v>
      </c>
    </row>
    <row r="3345" spans="1:46">
      <c r="A3345">
        <v>48262</v>
      </c>
      <c r="B3345" t="s">
        <v>18581</v>
      </c>
      <c r="C3345" t="s">
        <v>18582</v>
      </c>
      <c r="E3345" t="s">
        <v>18583</v>
      </c>
      <c r="F3345" t="s">
        <v>8472</v>
      </c>
      <c r="G3345" t="s">
        <v>1598</v>
      </c>
      <c r="H3345" t="s">
        <v>3942</v>
      </c>
      <c r="J3345" t="s">
        <v>518</v>
      </c>
      <c r="K3345" t="s">
        <v>519</v>
      </c>
      <c r="M3345" t="s">
        <v>1297</v>
      </c>
      <c r="N3345" t="s">
        <v>571</v>
      </c>
      <c r="R3345" t="s">
        <v>1472</v>
      </c>
      <c r="X3345" t="s">
        <v>8377</v>
      </c>
      <c r="Y3345" t="s">
        <v>3944</v>
      </c>
      <c r="Z3345" t="s">
        <v>3945</v>
      </c>
      <c r="AA3345" t="s">
        <v>3946</v>
      </c>
      <c r="AB3345" t="s">
        <v>8378</v>
      </c>
      <c r="AC3345">
        <v>99036</v>
      </c>
      <c r="AD3345" t="s">
        <v>1710</v>
      </c>
      <c r="AG3345">
        <v>40</v>
      </c>
      <c r="AH3345">
        <v>10</v>
      </c>
      <c r="AI3345">
        <v>1</v>
      </c>
      <c r="AJ3345">
        <v>0</v>
      </c>
      <c r="AK3345">
        <v>4</v>
      </c>
      <c r="AL3345">
        <v>2</v>
      </c>
      <c r="AM3345">
        <v>3</v>
      </c>
      <c r="AN3345">
        <v>0</v>
      </c>
      <c r="AO3345">
        <v>10</v>
      </c>
      <c r="AP3345">
        <v>9</v>
      </c>
      <c r="AQ3345">
        <v>4</v>
      </c>
      <c r="AR3345">
        <v>0</v>
      </c>
      <c r="AS3345">
        <v>2</v>
      </c>
      <c r="AT3345">
        <v>0</v>
      </c>
    </row>
    <row r="3346" spans="1:46">
      <c r="A3346">
        <v>48264</v>
      </c>
      <c r="B3346" t="s">
        <v>18584</v>
      </c>
      <c r="C3346" t="s">
        <v>18585</v>
      </c>
      <c r="E3346" t="s">
        <v>18586</v>
      </c>
      <c r="F3346" t="s">
        <v>18587</v>
      </c>
      <c r="G3346" t="s">
        <v>2197</v>
      </c>
      <c r="H3346" t="s">
        <v>343</v>
      </c>
      <c r="I3346" t="s">
        <v>6806</v>
      </c>
      <c r="J3346" t="s">
        <v>518</v>
      </c>
      <c r="K3346" t="s">
        <v>519</v>
      </c>
      <c r="L3346" t="s">
        <v>4205</v>
      </c>
      <c r="M3346" t="s">
        <v>1297</v>
      </c>
      <c r="N3346" t="s">
        <v>539</v>
      </c>
      <c r="O3346" t="s">
        <v>2198</v>
      </c>
      <c r="P3346" t="s">
        <v>572</v>
      </c>
      <c r="Q3346" t="s">
        <v>2118</v>
      </c>
      <c r="R3346" t="s">
        <v>2084</v>
      </c>
      <c r="S3346" t="s">
        <v>2199</v>
      </c>
      <c r="T3346" t="s">
        <v>2085</v>
      </c>
      <c r="U3346">
        <v>210400</v>
      </c>
      <c r="V3346" t="s">
        <v>18588</v>
      </c>
      <c r="W3346" t="s">
        <v>11860</v>
      </c>
      <c r="X3346" t="s">
        <v>8804</v>
      </c>
      <c r="Y3346" t="s">
        <v>4208</v>
      </c>
      <c r="Z3346" t="s">
        <v>4209</v>
      </c>
      <c r="AA3346" t="s">
        <v>4210</v>
      </c>
      <c r="AB3346" t="s">
        <v>8805</v>
      </c>
      <c r="AE3346">
        <v>-39.619770940000002</v>
      </c>
      <c r="AF3346">
        <v>176.8704559</v>
      </c>
      <c r="AG3346">
        <v>45</v>
      </c>
      <c r="AH3346">
        <v>15</v>
      </c>
    </row>
    <row r="3347" spans="1:46">
      <c r="A3347">
        <v>48265</v>
      </c>
      <c r="B3347" t="s">
        <v>18589</v>
      </c>
      <c r="C3347" t="s">
        <v>18590</v>
      </c>
      <c r="D3347" t="s">
        <v>18591</v>
      </c>
      <c r="E3347" t="s">
        <v>18592</v>
      </c>
      <c r="F3347" t="s">
        <v>2668</v>
      </c>
      <c r="G3347" t="s">
        <v>2289</v>
      </c>
      <c r="H3347" t="s">
        <v>4716</v>
      </c>
      <c r="I3347" t="s">
        <v>4304</v>
      </c>
      <c r="J3347" t="s">
        <v>3962</v>
      </c>
      <c r="K3347" t="s">
        <v>519</v>
      </c>
      <c r="M3347" t="s">
        <v>2287</v>
      </c>
      <c r="N3347" t="s">
        <v>8995</v>
      </c>
      <c r="O3347" t="s">
        <v>2536</v>
      </c>
      <c r="P3347" t="s">
        <v>654</v>
      </c>
      <c r="Q3347" t="s">
        <v>2319</v>
      </c>
      <c r="R3347" t="s">
        <v>2289</v>
      </c>
      <c r="S3347" t="s">
        <v>2537</v>
      </c>
      <c r="T3347" t="s">
        <v>2448</v>
      </c>
      <c r="U3347">
        <v>253000</v>
      </c>
      <c r="V3347" t="s">
        <v>18593</v>
      </c>
      <c r="W3347" t="s">
        <v>2538</v>
      </c>
      <c r="X3347" t="s">
        <v>18594</v>
      </c>
      <c r="Y3347" t="s">
        <v>18595</v>
      </c>
      <c r="Z3347" t="s">
        <v>2668</v>
      </c>
      <c r="AA3347" t="s">
        <v>13225</v>
      </c>
      <c r="AB3347" t="s">
        <v>18590</v>
      </c>
      <c r="AE3347">
        <v>-41.315802320000003</v>
      </c>
      <c r="AF3347">
        <v>174.77957284999999</v>
      </c>
      <c r="AG3347">
        <v>80</v>
      </c>
      <c r="AH3347">
        <v>80</v>
      </c>
    </row>
    <row r="3348" spans="1:46">
      <c r="A3348">
        <v>48266</v>
      </c>
      <c r="B3348" t="s">
        <v>18596</v>
      </c>
      <c r="C3348" t="s">
        <v>18597</v>
      </c>
      <c r="D3348" t="s">
        <v>18598</v>
      </c>
      <c r="E3348" t="s">
        <v>18599</v>
      </c>
      <c r="G3348" t="s">
        <v>18600</v>
      </c>
      <c r="H3348" t="s">
        <v>3942</v>
      </c>
      <c r="I3348" t="s">
        <v>3971</v>
      </c>
      <c r="J3348" t="s">
        <v>518</v>
      </c>
      <c r="K3348" t="s">
        <v>519</v>
      </c>
      <c r="M3348" t="s">
        <v>2287</v>
      </c>
      <c r="N3348" t="s">
        <v>8995</v>
      </c>
      <c r="O3348" t="s">
        <v>3006</v>
      </c>
      <c r="P3348" t="s">
        <v>523</v>
      </c>
      <c r="Q3348" t="s">
        <v>2928</v>
      </c>
      <c r="R3348" t="s">
        <v>2824</v>
      </c>
      <c r="S3348" t="s">
        <v>2870</v>
      </c>
      <c r="T3348" t="s">
        <v>2448</v>
      </c>
      <c r="U3348">
        <v>310700</v>
      </c>
      <c r="V3348" t="s">
        <v>18601</v>
      </c>
      <c r="W3348" t="s">
        <v>3040</v>
      </c>
      <c r="X3348" t="s">
        <v>18602</v>
      </c>
      <c r="Y3348" t="s">
        <v>18603</v>
      </c>
      <c r="AA3348" t="s">
        <v>11897</v>
      </c>
      <c r="AB3348" t="s">
        <v>18597</v>
      </c>
      <c r="AE3348">
        <v>-42.510515390000002</v>
      </c>
      <c r="AF3348">
        <v>171.16815851000001</v>
      </c>
      <c r="AG3348">
        <v>20</v>
      </c>
      <c r="AH3348">
        <v>0</v>
      </c>
    </row>
    <row r="3349" spans="1:46">
      <c r="A3349">
        <v>48267</v>
      </c>
      <c r="B3349" t="s">
        <v>18604</v>
      </c>
      <c r="D3349" t="s">
        <v>18605</v>
      </c>
      <c r="E3349" t="s">
        <v>18606</v>
      </c>
      <c r="F3349" t="s">
        <v>872</v>
      </c>
      <c r="G3349" t="s">
        <v>652</v>
      </c>
      <c r="H3349" t="s">
        <v>3942</v>
      </c>
      <c r="J3349" t="s">
        <v>3962</v>
      </c>
      <c r="K3349" t="s">
        <v>519</v>
      </c>
      <c r="M3349" t="s">
        <v>520</v>
      </c>
      <c r="N3349" t="s">
        <v>8995</v>
      </c>
      <c r="O3349" t="s">
        <v>718</v>
      </c>
      <c r="P3349" t="s">
        <v>654</v>
      </c>
      <c r="Q3349" t="s">
        <v>638</v>
      </c>
      <c r="R3349" t="s">
        <v>639</v>
      </c>
      <c r="S3349" t="s">
        <v>719</v>
      </c>
      <c r="T3349" t="s">
        <v>709</v>
      </c>
      <c r="U3349">
        <v>131000</v>
      </c>
      <c r="V3349" t="s">
        <v>4114</v>
      </c>
      <c r="W3349" t="s">
        <v>721</v>
      </c>
      <c r="X3349" t="s">
        <v>18607</v>
      </c>
      <c r="Y3349" t="s">
        <v>18608</v>
      </c>
      <c r="Z3349" t="s">
        <v>872</v>
      </c>
      <c r="AA3349" t="s">
        <v>4985</v>
      </c>
      <c r="AB3349" t="s">
        <v>17597</v>
      </c>
      <c r="AE3349">
        <v>-36.903236110000002</v>
      </c>
      <c r="AF3349">
        <v>174.65773956000001</v>
      </c>
      <c r="AG3349">
        <v>40</v>
      </c>
      <c r="AH3349">
        <v>10</v>
      </c>
    </row>
    <row r="3350" spans="1:46">
      <c r="A3350">
        <v>48268</v>
      </c>
      <c r="B3350" t="s">
        <v>18609</v>
      </c>
      <c r="C3350" t="s">
        <v>18610</v>
      </c>
      <c r="E3350" t="s">
        <v>18611</v>
      </c>
      <c r="G3350" t="s">
        <v>10911</v>
      </c>
      <c r="H3350" t="s">
        <v>4716</v>
      </c>
      <c r="J3350" t="s">
        <v>3962</v>
      </c>
      <c r="K3350" t="s">
        <v>519</v>
      </c>
      <c r="M3350" t="s">
        <v>2287</v>
      </c>
      <c r="N3350" t="s">
        <v>8995</v>
      </c>
      <c r="O3350" t="s">
        <v>3208</v>
      </c>
      <c r="P3350" t="s">
        <v>1262</v>
      </c>
      <c r="Q3350" t="s">
        <v>2943</v>
      </c>
      <c r="R3350" t="s">
        <v>2944</v>
      </c>
      <c r="S3350" t="s">
        <v>3179</v>
      </c>
      <c r="T3350" t="s">
        <v>2448</v>
      </c>
      <c r="U3350">
        <v>335302</v>
      </c>
      <c r="V3350" t="s">
        <v>18041</v>
      </c>
      <c r="W3350" t="s">
        <v>10914</v>
      </c>
      <c r="X3350" t="s">
        <v>18612</v>
      </c>
      <c r="Y3350" t="s">
        <v>18611</v>
      </c>
      <c r="AA3350" t="s">
        <v>11573</v>
      </c>
      <c r="AB3350" t="s">
        <v>18610</v>
      </c>
      <c r="AE3350">
        <v>-43.604724079999997</v>
      </c>
      <c r="AF3350">
        <v>172.38395595</v>
      </c>
      <c r="AG3350">
        <v>50</v>
      </c>
      <c r="AH3350">
        <v>50</v>
      </c>
    </row>
    <row r="3351" spans="1:46">
      <c r="A3351">
        <v>48269</v>
      </c>
      <c r="B3351" t="s">
        <v>18613</v>
      </c>
      <c r="E3351" t="s">
        <v>18614</v>
      </c>
      <c r="G3351" t="s">
        <v>5919</v>
      </c>
      <c r="H3351" t="s">
        <v>3942</v>
      </c>
      <c r="J3351" t="s">
        <v>3962</v>
      </c>
      <c r="K3351" t="s">
        <v>519</v>
      </c>
      <c r="M3351" t="s">
        <v>520</v>
      </c>
      <c r="N3351" t="s">
        <v>8995</v>
      </c>
      <c r="O3351" t="s">
        <v>637</v>
      </c>
      <c r="P3351" t="s">
        <v>540</v>
      </c>
      <c r="Q3351" t="s">
        <v>638</v>
      </c>
      <c r="R3351" t="s">
        <v>639</v>
      </c>
      <c r="S3351" t="s">
        <v>640</v>
      </c>
      <c r="T3351" t="s">
        <v>527</v>
      </c>
      <c r="U3351">
        <v>110900</v>
      </c>
      <c r="V3351" t="s">
        <v>4934</v>
      </c>
      <c r="W3351" t="s">
        <v>641</v>
      </c>
      <c r="X3351" t="s">
        <v>18615</v>
      </c>
      <c r="Y3351" t="s">
        <v>18616</v>
      </c>
      <c r="AA3351" t="s">
        <v>15020</v>
      </c>
      <c r="AB3351" t="s">
        <v>18617</v>
      </c>
      <c r="AE3351">
        <v>-36.35309127</v>
      </c>
      <c r="AF3351">
        <v>174.71685206000001</v>
      </c>
      <c r="AG3351">
        <v>20</v>
      </c>
      <c r="AH3351">
        <v>0</v>
      </c>
    </row>
    <row r="3352" spans="1:46">
      <c r="A3352">
        <v>48270</v>
      </c>
      <c r="B3352" t="s">
        <v>18618</v>
      </c>
      <c r="C3352" t="s">
        <v>18619</v>
      </c>
      <c r="E3352" t="s">
        <v>18620</v>
      </c>
      <c r="F3352" t="s">
        <v>2351</v>
      </c>
      <c r="G3352" t="s">
        <v>2317</v>
      </c>
      <c r="H3352" t="s">
        <v>3942</v>
      </c>
      <c r="J3352" t="s">
        <v>3962</v>
      </c>
      <c r="K3352" t="s">
        <v>519</v>
      </c>
      <c r="M3352" t="s">
        <v>2287</v>
      </c>
      <c r="N3352" t="s">
        <v>8995</v>
      </c>
      <c r="O3352" t="s">
        <v>2318</v>
      </c>
      <c r="P3352" t="s">
        <v>1262</v>
      </c>
      <c r="Q3352" t="s">
        <v>2319</v>
      </c>
      <c r="R3352" t="s">
        <v>2289</v>
      </c>
      <c r="S3352" t="s">
        <v>2269</v>
      </c>
      <c r="T3352" t="s">
        <v>2085</v>
      </c>
      <c r="U3352">
        <v>256200</v>
      </c>
      <c r="V3352" t="s">
        <v>2341</v>
      </c>
      <c r="W3352" t="s">
        <v>2321</v>
      </c>
      <c r="X3352" t="s">
        <v>17903</v>
      </c>
      <c r="Y3352" t="s">
        <v>18621</v>
      </c>
      <c r="Z3352" t="s">
        <v>2395</v>
      </c>
      <c r="AA3352" t="s">
        <v>18622</v>
      </c>
      <c r="AB3352" t="s">
        <v>18623</v>
      </c>
      <c r="AE3352">
        <v>-40.961726810000002</v>
      </c>
      <c r="AF3352">
        <v>175.61252332000001</v>
      </c>
      <c r="AG3352">
        <v>40</v>
      </c>
      <c r="AH3352">
        <v>13</v>
      </c>
    </row>
    <row r="3353" spans="1:46">
      <c r="A3353">
        <v>48271</v>
      </c>
      <c r="B3353" t="s">
        <v>18624</v>
      </c>
      <c r="C3353" t="s">
        <v>18625</v>
      </c>
      <c r="E3353" t="s">
        <v>18626</v>
      </c>
      <c r="G3353" t="s">
        <v>1586</v>
      </c>
      <c r="H3353" t="s">
        <v>3942</v>
      </c>
      <c r="J3353" t="s">
        <v>3962</v>
      </c>
      <c r="K3353" t="s">
        <v>519</v>
      </c>
      <c r="M3353" t="s">
        <v>1297</v>
      </c>
      <c r="N3353" t="s">
        <v>8995</v>
      </c>
      <c r="O3353" t="s">
        <v>583</v>
      </c>
      <c r="P3353" t="s">
        <v>584</v>
      </c>
      <c r="Q3353" t="s">
        <v>524</v>
      </c>
      <c r="R3353" t="s">
        <v>1300</v>
      </c>
      <c r="S3353" t="s">
        <v>585</v>
      </c>
      <c r="T3353" t="s">
        <v>527</v>
      </c>
      <c r="U3353">
        <v>107501</v>
      </c>
      <c r="V3353" t="s">
        <v>4952</v>
      </c>
      <c r="W3353" t="s">
        <v>587</v>
      </c>
      <c r="X3353" t="s">
        <v>18627</v>
      </c>
      <c r="Y3353" t="s">
        <v>18628</v>
      </c>
      <c r="AA3353" t="s">
        <v>18629</v>
      </c>
      <c r="AE3353">
        <v>-37.644087399999997</v>
      </c>
      <c r="AF3353">
        <v>175.52571954999999</v>
      </c>
      <c r="AG3353">
        <v>85</v>
      </c>
      <c r="AH3353">
        <v>25</v>
      </c>
    </row>
    <row r="3354" spans="1:46">
      <c r="A3354">
        <v>48273</v>
      </c>
      <c r="B3354" t="s">
        <v>18630</v>
      </c>
      <c r="C3354" t="s">
        <v>18468</v>
      </c>
      <c r="E3354" t="s">
        <v>18631</v>
      </c>
      <c r="F3354" t="s">
        <v>1411</v>
      </c>
      <c r="G3354" t="s">
        <v>1296</v>
      </c>
      <c r="H3354" t="s">
        <v>3942</v>
      </c>
      <c r="J3354" t="s">
        <v>3962</v>
      </c>
      <c r="K3354" t="s">
        <v>519</v>
      </c>
      <c r="M3354" t="s">
        <v>1297</v>
      </c>
      <c r="N3354" t="s">
        <v>8995</v>
      </c>
      <c r="O3354" t="s">
        <v>1298</v>
      </c>
      <c r="P3354" t="s">
        <v>654</v>
      </c>
      <c r="Q3354" t="s">
        <v>1299</v>
      </c>
      <c r="R3354" t="s">
        <v>1300</v>
      </c>
      <c r="S3354" t="s">
        <v>1301</v>
      </c>
      <c r="T3354" t="s">
        <v>1235</v>
      </c>
      <c r="U3354">
        <v>176301</v>
      </c>
      <c r="V3354" t="s">
        <v>8429</v>
      </c>
      <c r="W3354" t="s">
        <v>1303</v>
      </c>
      <c r="X3354" t="s">
        <v>9115</v>
      </c>
      <c r="Y3354" t="s">
        <v>9116</v>
      </c>
      <c r="Z3354" t="s">
        <v>4125</v>
      </c>
      <c r="AA3354" t="s">
        <v>4564</v>
      </c>
      <c r="AB3354" t="s">
        <v>9117</v>
      </c>
      <c r="AE3354">
        <v>-37.743719540000001</v>
      </c>
      <c r="AF3354">
        <v>175.23199445</v>
      </c>
      <c r="AG3354">
        <v>60</v>
      </c>
      <c r="AH3354">
        <v>20</v>
      </c>
    </row>
    <row r="3355" spans="1:46">
      <c r="A3355">
        <v>48274</v>
      </c>
      <c r="B3355" t="s">
        <v>18632</v>
      </c>
      <c r="E3355" t="s">
        <v>18633</v>
      </c>
      <c r="F3355" t="s">
        <v>18192</v>
      </c>
      <c r="G3355" t="s">
        <v>2941</v>
      </c>
      <c r="H3355" t="s">
        <v>3942</v>
      </c>
      <c r="J3355" t="s">
        <v>518</v>
      </c>
      <c r="K3355" t="s">
        <v>519</v>
      </c>
      <c r="M3355" t="s">
        <v>2287</v>
      </c>
      <c r="N3355" t="s">
        <v>8995</v>
      </c>
      <c r="O3355" t="s">
        <v>2942</v>
      </c>
      <c r="P3355" t="s">
        <v>654</v>
      </c>
      <c r="Q3355" t="s">
        <v>2943</v>
      </c>
      <c r="R3355" t="s">
        <v>2944</v>
      </c>
      <c r="S3355" t="s">
        <v>3019</v>
      </c>
      <c r="T3355" t="s">
        <v>2448</v>
      </c>
      <c r="U3355">
        <v>319800</v>
      </c>
      <c r="V3355" t="s">
        <v>18634</v>
      </c>
      <c r="W3355" t="s">
        <v>3020</v>
      </c>
      <c r="X3355" t="s">
        <v>10801</v>
      </c>
      <c r="Y3355" t="s">
        <v>3944</v>
      </c>
      <c r="Z3355" t="s">
        <v>3945</v>
      </c>
      <c r="AA3355" t="s">
        <v>3946</v>
      </c>
      <c r="AE3355">
        <v>-43.522325979999998</v>
      </c>
      <c r="AF3355">
        <v>172.54013669</v>
      </c>
      <c r="AG3355">
        <v>85</v>
      </c>
      <c r="AH3355">
        <v>16</v>
      </c>
    </row>
    <row r="3356" spans="1:46">
      <c r="A3356">
        <v>48275</v>
      </c>
      <c r="B3356" t="s">
        <v>18635</v>
      </c>
      <c r="C3356" t="s">
        <v>18636</v>
      </c>
      <c r="E3356" t="s">
        <v>18637</v>
      </c>
      <c r="G3356" t="s">
        <v>2116</v>
      </c>
      <c r="H3356" t="s">
        <v>517</v>
      </c>
      <c r="J3356" t="s">
        <v>518</v>
      </c>
      <c r="K3356" t="s">
        <v>519</v>
      </c>
      <c r="M3356" t="s">
        <v>1297</v>
      </c>
      <c r="N3356" t="s">
        <v>8995</v>
      </c>
      <c r="O3356" t="s">
        <v>2117</v>
      </c>
      <c r="P3356" t="s">
        <v>523</v>
      </c>
      <c r="Q3356" t="s">
        <v>2118</v>
      </c>
      <c r="R3356" t="s">
        <v>2084</v>
      </c>
      <c r="S3356" t="s">
        <v>2119</v>
      </c>
      <c r="T3356" t="s">
        <v>2085</v>
      </c>
      <c r="U3356">
        <v>207800</v>
      </c>
      <c r="V3356" t="s">
        <v>2116</v>
      </c>
      <c r="W3356" t="s">
        <v>565</v>
      </c>
      <c r="X3356" t="s">
        <v>2088</v>
      </c>
      <c r="Y3356" t="s">
        <v>2089</v>
      </c>
      <c r="AA3356" t="s">
        <v>2090</v>
      </c>
      <c r="AB3356" t="s">
        <v>2091</v>
      </c>
      <c r="AE3356">
        <v>-39.043311410000001</v>
      </c>
      <c r="AF3356">
        <v>177.42243418000001</v>
      </c>
      <c r="AG3356">
        <v>35</v>
      </c>
      <c r="AH3356">
        <v>0</v>
      </c>
    </row>
    <row r="3357" spans="1:46">
      <c r="A3357">
        <v>48278</v>
      </c>
      <c r="B3357" t="s">
        <v>18638</v>
      </c>
      <c r="C3357" t="s">
        <v>18639</v>
      </c>
      <c r="E3357" t="s">
        <v>18640</v>
      </c>
      <c r="F3357" t="s">
        <v>3990</v>
      </c>
      <c r="G3357" t="s">
        <v>652</v>
      </c>
      <c r="H3357" t="s">
        <v>3942</v>
      </c>
      <c r="J3357" t="s">
        <v>3962</v>
      </c>
      <c r="K3357" t="s">
        <v>519</v>
      </c>
      <c r="M3357" t="s">
        <v>520</v>
      </c>
      <c r="N3357" t="s">
        <v>8995</v>
      </c>
      <c r="O3357" t="s">
        <v>707</v>
      </c>
      <c r="P3357" t="s">
        <v>654</v>
      </c>
      <c r="Q3357" t="s">
        <v>638</v>
      </c>
      <c r="R3357" t="s">
        <v>708</v>
      </c>
      <c r="S3357" t="s">
        <v>778</v>
      </c>
      <c r="T3357" t="s">
        <v>709</v>
      </c>
      <c r="U3357">
        <v>152300</v>
      </c>
      <c r="V3357" t="s">
        <v>3990</v>
      </c>
      <c r="W3357" t="s">
        <v>711</v>
      </c>
      <c r="X3357" t="s">
        <v>14471</v>
      </c>
      <c r="Y3357" t="s">
        <v>18641</v>
      </c>
      <c r="Z3357" t="s">
        <v>777</v>
      </c>
      <c r="AA3357" t="s">
        <v>5171</v>
      </c>
      <c r="AB3357" t="s">
        <v>14473</v>
      </c>
      <c r="AE3357">
        <v>-36.950604820000002</v>
      </c>
      <c r="AF3357">
        <v>174.90242678000001</v>
      </c>
      <c r="AG3357">
        <v>100</v>
      </c>
      <c r="AH3357">
        <v>20</v>
      </c>
    </row>
    <row r="3358" spans="1:46">
      <c r="A3358">
        <v>48280</v>
      </c>
      <c r="B3358" t="s">
        <v>18642</v>
      </c>
      <c r="C3358" t="s">
        <v>18643</v>
      </c>
      <c r="E3358" t="s">
        <v>18644</v>
      </c>
      <c r="F3358" t="s">
        <v>15917</v>
      </c>
      <c r="G3358" t="s">
        <v>2289</v>
      </c>
      <c r="H3358" t="s">
        <v>3942</v>
      </c>
      <c r="J3358" t="s">
        <v>3962</v>
      </c>
      <c r="K3358" t="s">
        <v>519</v>
      </c>
      <c r="M3358" t="s">
        <v>2287</v>
      </c>
      <c r="N3358" t="s">
        <v>8995</v>
      </c>
      <c r="O3358" t="s">
        <v>2536</v>
      </c>
      <c r="P3358" t="s">
        <v>654</v>
      </c>
      <c r="Q3358" t="s">
        <v>2319</v>
      </c>
      <c r="R3358" t="s">
        <v>2289</v>
      </c>
      <c r="S3358" t="s">
        <v>2553</v>
      </c>
      <c r="T3358" t="s">
        <v>2448</v>
      </c>
      <c r="U3358">
        <v>252000</v>
      </c>
      <c r="V3358" t="s">
        <v>18645</v>
      </c>
      <c r="W3358" t="s">
        <v>2573</v>
      </c>
      <c r="X3358" t="s">
        <v>11535</v>
      </c>
      <c r="Y3358" t="s">
        <v>14119</v>
      </c>
      <c r="Z3358" t="s">
        <v>821</v>
      </c>
      <c r="AA3358" t="s">
        <v>4069</v>
      </c>
      <c r="AB3358" t="s">
        <v>11537</v>
      </c>
      <c r="AE3358">
        <v>-41.29847333</v>
      </c>
      <c r="AF3358">
        <v>174.77420896000001</v>
      </c>
      <c r="AG3358">
        <v>40</v>
      </c>
      <c r="AH3358">
        <v>20</v>
      </c>
    </row>
    <row r="3359" spans="1:46">
      <c r="A3359">
        <v>48281</v>
      </c>
      <c r="B3359" t="s">
        <v>18646</v>
      </c>
      <c r="C3359" t="s">
        <v>4454</v>
      </c>
      <c r="E3359" t="s">
        <v>18647</v>
      </c>
      <c r="G3359" t="s">
        <v>550</v>
      </c>
      <c r="H3359" t="s">
        <v>343</v>
      </c>
      <c r="J3359" t="s">
        <v>518</v>
      </c>
      <c r="K3359" t="s">
        <v>519</v>
      </c>
      <c r="L3359" t="s">
        <v>4205</v>
      </c>
      <c r="M3359" t="s">
        <v>520</v>
      </c>
      <c r="N3359" t="s">
        <v>521</v>
      </c>
      <c r="O3359" t="s">
        <v>522</v>
      </c>
      <c r="P3359" t="s">
        <v>523</v>
      </c>
      <c r="Q3359" t="s">
        <v>524</v>
      </c>
      <c r="R3359" t="s">
        <v>525</v>
      </c>
      <c r="S3359" t="s">
        <v>526</v>
      </c>
      <c r="T3359" t="s">
        <v>527</v>
      </c>
      <c r="U3359">
        <v>103501</v>
      </c>
      <c r="V3359" t="s">
        <v>550</v>
      </c>
      <c r="W3359" t="s">
        <v>551</v>
      </c>
      <c r="X3359" t="s">
        <v>4453</v>
      </c>
      <c r="Y3359" t="s">
        <v>4208</v>
      </c>
      <c r="Z3359" t="s">
        <v>4209</v>
      </c>
      <c r="AA3359" t="s">
        <v>4210</v>
      </c>
      <c r="AB3359" t="s">
        <v>4454</v>
      </c>
      <c r="AE3359">
        <v>-35.413297159999999</v>
      </c>
      <c r="AF3359">
        <v>173.8095179</v>
      </c>
      <c r="AG3359">
        <v>30</v>
      </c>
      <c r="AH3359">
        <v>8</v>
      </c>
    </row>
    <row r="3360" spans="1:46">
      <c r="A3360">
        <v>48283</v>
      </c>
      <c r="B3360" t="s">
        <v>18648</v>
      </c>
      <c r="C3360" t="s">
        <v>18649</v>
      </c>
      <c r="D3360" t="s">
        <v>18650</v>
      </c>
      <c r="E3360" t="s">
        <v>18651</v>
      </c>
      <c r="F3360" t="s">
        <v>1819</v>
      </c>
      <c r="G3360" t="s">
        <v>1757</v>
      </c>
      <c r="H3360" t="s">
        <v>3942</v>
      </c>
      <c r="J3360" t="s">
        <v>3962</v>
      </c>
      <c r="K3360" t="s">
        <v>519</v>
      </c>
      <c r="M3360" t="s">
        <v>1297</v>
      </c>
      <c r="N3360" t="s">
        <v>8995</v>
      </c>
      <c r="O3360" t="s">
        <v>1758</v>
      </c>
      <c r="P3360" t="s">
        <v>584</v>
      </c>
      <c r="Q3360" t="s">
        <v>1759</v>
      </c>
      <c r="R3360" t="s">
        <v>1760</v>
      </c>
      <c r="S3360" t="s">
        <v>1757</v>
      </c>
      <c r="T3360" t="s">
        <v>1485</v>
      </c>
      <c r="U3360">
        <v>216300</v>
      </c>
      <c r="V3360" t="s">
        <v>1819</v>
      </c>
      <c r="W3360" t="s">
        <v>1762</v>
      </c>
      <c r="X3360" t="s">
        <v>17111</v>
      </c>
      <c r="Y3360" t="s">
        <v>18651</v>
      </c>
      <c r="Z3360" t="s">
        <v>1819</v>
      </c>
      <c r="AA3360" t="s">
        <v>12572</v>
      </c>
      <c r="AB3360" t="s">
        <v>17112</v>
      </c>
      <c r="AE3360">
        <v>-39.071701969999999</v>
      </c>
      <c r="AF3360">
        <v>174.02562047999999</v>
      </c>
      <c r="AG3360">
        <v>90</v>
      </c>
      <c r="AH3360">
        <v>40</v>
      </c>
    </row>
    <row r="3361" spans="1:34">
      <c r="A3361">
        <v>48285</v>
      </c>
      <c r="B3361" t="s">
        <v>18652</v>
      </c>
      <c r="C3361" t="s">
        <v>18653</v>
      </c>
      <c r="E3361" t="s">
        <v>18654</v>
      </c>
      <c r="G3361" t="s">
        <v>1987</v>
      </c>
      <c r="H3361" t="s">
        <v>3942</v>
      </c>
      <c r="J3361" t="s">
        <v>3962</v>
      </c>
      <c r="K3361" t="s">
        <v>519</v>
      </c>
      <c r="M3361" t="s">
        <v>1297</v>
      </c>
      <c r="N3361" t="s">
        <v>8995</v>
      </c>
      <c r="O3361" t="s">
        <v>1988</v>
      </c>
      <c r="P3361" t="s">
        <v>1262</v>
      </c>
      <c r="Q3361" t="s">
        <v>1636</v>
      </c>
      <c r="R3361" t="s">
        <v>1760</v>
      </c>
      <c r="S3361" t="s">
        <v>1637</v>
      </c>
      <c r="T3361" t="s">
        <v>1485</v>
      </c>
      <c r="U3361">
        <v>228500</v>
      </c>
      <c r="V3361" t="s">
        <v>1989</v>
      </c>
      <c r="W3361" t="s">
        <v>1990</v>
      </c>
      <c r="X3361" t="s">
        <v>12816</v>
      </c>
      <c r="Y3361" t="s">
        <v>4634</v>
      </c>
      <c r="AA3361" t="s">
        <v>4635</v>
      </c>
      <c r="AB3361" t="s">
        <v>12817</v>
      </c>
      <c r="AE3361">
        <v>-40.221824689999998</v>
      </c>
      <c r="AF3361">
        <v>175.57767895999999</v>
      </c>
      <c r="AG3361">
        <v>70</v>
      </c>
      <c r="AH3361">
        <v>20</v>
      </c>
    </row>
    <row r="3362" spans="1:34">
      <c r="A3362">
        <v>48286</v>
      </c>
      <c r="B3362" t="s">
        <v>18655</v>
      </c>
      <c r="C3362" t="s">
        <v>18656</v>
      </c>
      <c r="E3362" t="s">
        <v>18657</v>
      </c>
      <c r="F3362" t="s">
        <v>1411</v>
      </c>
      <c r="G3362" t="s">
        <v>1296</v>
      </c>
      <c r="H3362" t="s">
        <v>3942</v>
      </c>
      <c r="J3362" t="s">
        <v>3962</v>
      </c>
      <c r="K3362" t="s">
        <v>519</v>
      </c>
      <c r="M3362" t="s">
        <v>1297</v>
      </c>
      <c r="N3362" t="s">
        <v>8995</v>
      </c>
      <c r="O3362" t="s">
        <v>1298</v>
      </c>
      <c r="P3362" t="s">
        <v>654</v>
      </c>
      <c r="Q3362" t="s">
        <v>1299</v>
      </c>
      <c r="R3362" t="s">
        <v>1300</v>
      </c>
      <c r="S3362" t="s">
        <v>1301</v>
      </c>
      <c r="T3362" t="s">
        <v>1235</v>
      </c>
      <c r="U3362">
        <v>175201</v>
      </c>
      <c r="V3362" t="s">
        <v>9060</v>
      </c>
      <c r="W3362" t="s">
        <v>1303</v>
      </c>
      <c r="X3362" t="s">
        <v>18658</v>
      </c>
      <c r="Y3362" t="s">
        <v>18659</v>
      </c>
      <c r="Z3362" t="s">
        <v>1411</v>
      </c>
      <c r="AA3362" t="s">
        <v>8998</v>
      </c>
      <c r="AB3362" t="s">
        <v>18656</v>
      </c>
      <c r="AE3362">
        <v>-37.739325000000001</v>
      </c>
      <c r="AF3362">
        <v>175.23173592000001</v>
      </c>
      <c r="AG3362">
        <v>52</v>
      </c>
      <c r="AH3362">
        <v>15</v>
      </c>
    </row>
    <row r="3363" spans="1:34">
      <c r="A3363">
        <v>48288</v>
      </c>
      <c r="B3363" t="s">
        <v>18660</v>
      </c>
      <c r="C3363" t="s">
        <v>18661</v>
      </c>
      <c r="E3363" t="s">
        <v>18662</v>
      </c>
      <c r="G3363" t="s">
        <v>516</v>
      </c>
      <c r="H3363" t="s">
        <v>6218</v>
      </c>
      <c r="J3363" t="s">
        <v>3962</v>
      </c>
      <c r="K3363" t="s">
        <v>519</v>
      </c>
      <c r="M3363" t="s">
        <v>520</v>
      </c>
      <c r="N3363" t="s">
        <v>8995</v>
      </c>
      <c r="O3363" t="s">
        <v>522</v>
      </c>
      <c r="P3363" t="s">
        <v>523</v>
      </c>
      <c r="Q3363" t="s">
        <v>524</v>
      </c>
      <c r="R3363" t="s">
        <v>525</v>
      </c>
      <c r="S3363" t="s">
        <v>526</v>
      </c>
      <c r="T3363" t="s">
        <v>527</v>
      </c>
      <c r="U3363">
        <v>100800</v>
      </c>
      <c r="V3363" t="s">
        <v>528</v>
      </c>
      <c r="W3363" t="s">
        <v>529</v>
      </c>
      <c r="X3363" t="s">
        <v>13017</v>
      </c>
      <c r="Y3363" t="s">
        <v>13018</v>
      </c>
      <c r="AA3363" t="s">
        <v>13019</v>
      </c>
      <c r="AB3363" t="s">
        <v>13020</v>
      </c>
      <c r="AE3363">
        <v>-35.115468509999999</v>
      </c>
      <c r="AF3363">
        <v>173.25865748999999</v>
      </c>
      <c r="AG3363">
        <v>40</v>
      </c>
      <c r="AH3363">
        <v>10</v>
      </c>
    </row>
    <row r="3364" spans="1:34">
      <c r="A3364">
        <v>48289</v>
      </c>
      <c r="B3364" t="s">
        <v>18663</v>
      </c>
      <c r="C3364" t="s">
        <v>18664</v>
      </c>
      <c r="E3364" t="s">
        <v>18665</v>
      </c>
      <c r="F3364" t="s">
        <v>3194</v>
      </c>
      <c r="G3364" t="s">
        <v>2941</v>
      </c>
      <c r="H3364" t="s">
        <v>3942</v>
      </c>
      <c r="I3364" t="s">
        <v>4065</v>
      </c>
      <c r="J3364" t="s">
        <v>3962</v>
      </c>
      <c r="K3364" t="s">
        <v>519</v>
      </c>
      <c r="M3364" t="s">
        <v>2287</v>
      </c>
      <c r="N3364" t="s">
        <v>8995</v>
      </c>
      <c r="O3364" t="s">
        <v>2942</v>
      </c>
      <c r="P3364" t="s">
        <v>654</v>
      </c>
      <c r="Q3364" t="s">
        <v>2943</v>
      </c>
      <c r="R3364" t="s">
        <v>2944</v>
      </c>
      <c r="S3364" t="s">
        <v>2979</v>
      </c>
      <c r="T3364" t="s">
        <v>2448</v>
      </c>
      <c r="U3364">
        <v>329002</v>
      </c>
      <c r="V3364" t="s">
        <v>17440</v>
      </c>
      <c r="W3364" t="s">
        <v>3196</v>
      </c>
      <c r="X3364" t="s">
        <v>11417</v>
      </c>
      <c r="Y3364" t="s">
        <v>11418</v>
      </c>
      <c r="Z3364" t="s">
        <v>3019</v>
      </c>
      <c r="AA3364" t="s">
        <v>11419</v>
      </c>
      <c r="AB3364" t="s">
        <v>18666</v>
      </c>
      <c r="AE3364">
        <v>-43.583021799999997</v>
      </c>
      <c r="AF3364">
        <v>172.57924037999999</v>
      </c>
      <c r="AG3364">
        <v>132</v>
      </c>
      <c r="AH3364">
        <v>32</v>
      </c>
    </row>
    <row r="3365" spans="1:34">
      <c r="A3365">
        <v>48290</v>
      </c>
      <c r="B3365" t="s">
        <v>18667</v>
      </c>
      <c r="C3365" t="s">
        <v>18668</v>
      </c>
      <c r="E3365" t="s">
        <v>18669</v>
      </c>
      <c r="F3365" t="s">
        <v>3068</v>
      </c>
      <c r="G3365" t="s">
        <v>2941</v>
      </c>
      <c r="H3365" t="s">
        <v>3942</v>
      </c>
      <c r="J3365" t="s">
        <v>3962</v>
      </c>
      <c r="K3365" t="s">
        <v>519</v>
      </c>
      <c r="M3365" t="s">
        <v>2287</v>
      </c>
      <c r="N3365" t="s">
        <v>8995</v>
      </c>
      <c r="O3365" t="s">
        <v>2942</v>
      </c>
      <c r="P3365" t="s">
        <v>654</v>
      </c>
      <c r="Q3365" t="s">
        <v>2943</v>
      </c>
      <c r="R3365" t="s">
        <v>2944</v>
      </c>
      <c r="S3365" t="s">
        <v>2973</v>
      </c>
      <c r="T3365" t="s">
        <v>2448</v>
      </c>
      <c r="U3365">
        <v>325900</v>
      </c>
      <c r="V3365" t="s">
        <v>3145</v>
      </c>
      <c r="W3365" t="s">
        <v>2443</v>
      </c>
      <c r="X3365" t="s">
        <v>16860</v>
      </c>
      <c r="Y3365" t="s">
        <v>16861</v>
      </c>
      <c r="Z3365" t="s">
        <v>2957</v>
      </c>
      <c r="AA3365" t="s">
        <v>12325</v>
      </c>
      <c r="AE3365">
        <v>-43.508061689999998</v>
      </c>
      <c r="AF3365">
        <v>172.66090124999999</v>
      </c>
      <c r="AG3365">
        <v>55</v>
      </c>
      <c r="AH3365">
        <v>25</v>
      </c>
    </row>
    <row r="3366" spans="1:34">
      <c r="A3366">
        <v>48291</v>
      </c>
      <c r="B3366" t="s">
        <v>18670</v>
      </c>
      <c r="C3366" t="s">
        <v>18671</v>
      </c>
      <c r="E3366" t="s">
        <v>18672</v>
      </c>
      <c r="G3366" t="s">
        <v>18673</v>
      </c>
      <c r="H3366" t="s">
        <v>3942</v>
      </c>
      <c r="J3366" t="s">
        <v>518</v>
      </c>
      <c r="K3366" t="s">
        <v>519</v>
      </c>
      <c r="M3366" t="s">
        <v>2287</v>
      </c>
      <c r="N3366" t="s">
        <v>8995</v>
      </c>
      <c r="O3366" t="s">
        <v>3835</v>
      </c>
      <c r="P3366" t="s">
        <v>540</v>
      </c>
      <c r="Q3366" t="s">
        <v>3337</v>
      </c>
      <c r="R3366" t="s">
        <v>3338</v>
      </c>
      <c r="S3366" t="s">
        <v>3361</v>
      </c>
      <c r="T3366" t="s">
        <v>2448</v>
      </c>
      <c r="U3366">
        <v>346000</v>
      </c>
      <c r="V3366" t="s">
        <v>18673</v>
      </c>
      <c r="W3366" t="s">
        <v>3837</v>
      </c>
      <c r="X3366" t="s">
        <v>18674</v>
      </c>
      <c r="Y3366" t="s">
        <v>18675</v>
      </c>
      <c r="AA3366" t="s">
        <v>18676</v>
      </c>
      <c r="AE3366">
        <v>-44.851026580000003</v>
      </c>
      <c r="AF3366">
        <v>168.38638107</v>
      </c>
      <c r="AG3366">
        <v>12</v>
      </c>
      <c r="AH3366">
        <v>0</v>
      </c>
    </row>
    <row r="3367" spans="1:34">
      <c r="A3367">
        <v>48292</v>
      </c>
      <c r="B3367" t="s">
        <v>18677</v>
      </c>
      <c r="C3367" t="s">
        <v>18678</v>
      </c>
      <c r="E3367" t="s">
        <v>18679</v>
      </c>
      <c r="F3367" t="s">
        <v>10153</v>
      </c>
      <c r="G3367" t="s">
        <v>1598</v>
      </c>
      <c r="H3367" t="s">
        <v>3942</v>
      </c>
      <c r="J3367" t="s">
        <v>3962</v>
      </c>
      <c r="K3367" t="s">
        <v>519</v>
      </c>
      <c r="M3367" t="s">
        <v>1297</v>
      </c>
      <c r="N3367" t="s">
        <v>8995</v>
      </c>
      <c r="O3367" t="s">
        <v>1698</v>
      </c>
      <c r="P3367" t="s">
        <v>654</v>
      </c>
      <c r="Q3367" t="s">
        <v>1471</v>
      </c>
      <c r="R3367" t="s">
        <v>1472</v>
      </c>
      <c r="S3367" t="s">
        <v>1598</v>
      </c>
      <c r="T3367" t="s">
        <v>1474</v>
      </c>
      <c r="U3367">
        <v>193400</v>
      </c>
      <c r="V3367" t="s">
        <v>10609</v>
      </c>
      <c r="W3367" t="s">
        <v>1709</v>
      </c>
      <c r="X3367" t="s">
        <v>18680</v>
      </c>
      <c r="Y3367" t="s">
        <v>18681</v>
      </c>
      <c r="Z3367" t="s">
        <v>1707</v>
      </c>
      <c r="AA3367" t="s">
        <v>8404</v>
      </c>
      <c r="AE3367">
        <v>-37.689997730000002</v>
      </c>
      <c r="AF3367">
        <v>176.13340081999999</v>
      </c>
      <c r="AG3367">
        <v>20</v>
      </c>
      <c r="AH3367">
        <v>4</v>
      </c>
    </row>
    <row r="3368" spans="1:34">
      <c r="A3368">
        <v>48295</v>
      </c>
      <c r="B3368" t="s">
        <v>18682</v>
      </c>
      <c r="C3368" t="s">
        <v>17698</v>
      </c>
      <c r="E3368" t="s">
        <v>18683</v>
      </c>
      <c r="F3368" t="s">
        <v>12983</v>
      </c>
      <c r="G3368" t="s">
        <v>1296</v>
      </c>
      <c r="H3368" t="s">
        <v>3942</v>
      </c>
      <c r="J3368" t="s">
        <v>3962</v>
      </c>
      <c r="K3368" t="s">
        <v>519</v>
      </c>
      <c r="M3368" t="s">
        <v>1297</v>
      </c>
      <c r="N3368" t="s">
        <v>8995</v>
      </c>
      <c r="O3368" t="s">
        <v>1298</v>
      </c>
      <c r="P3368" t="s">
        <v>654</v>
      </c>
      <c r="Q3368" t="s">
        <v>1299</v>
      </c>
      <c r="R3368" t="s">
        <v>1300</v>
      </c>
      <c r="S3368" t="s">
        <v>1312</v>
      </c>
      <c r="T3368" t="s">
        <v>1235</v>
      </c>
      <c r="U3368">
        <v>178400</v>
      </c>
      <c r="V3368" t="s">
        <v>1375</v>
      </c>
      <c r="W3368" t="s">
        <v>1314</v>
      </c>
      <c r="X3368" t="s">
        <v>9115</v>
      </c>
      <c r="Y3368" t="s">
        <v>9116</v>
      </c>
      <c r="Z3368" t="s">
        <v>4125</v>
      </c>
      <c r="AA3368" t="s">
        <v>4484</v>
      </c>
      <c r="AB3368" t="s">
        <v>9117</v>
      </c>
      <c r="AE3368">
        <v>-37.764968840000002</v>
      </c>
      <c r="AF3368">
        <v>175.29200119000001</v>
      </c>
      <c r="AG3368">
        <v>80</v>
      </c>
      <c r="AH3368">
        <v>20</v>
      </c>
    </row>
    <row r="3369" spans="1:34">
      <c r="A3369">
        <v>48296</v>
      </c>
      <c r="B3369" t="s">
        <v>18684</v>
      </c>
      <c r="E3369" t="s">
        <v>18685</v>
      </c>
      <c r="F3369" t="s">
        <v>581</v>
      </c>
      <c r="G3369" t="s">
        <v>582</v>
      </c>
      <c r="H3369" t="s">
        <v>3942</v>
      </c>
      <c r="J3369" t="s">
        <v>3962</v>
      </c>
      <c r="K3369" t="s">
        <v>519</v>
      </c>
      <c r="M3369" t="s">
        <v>520</v>
      </c>
      <c r="N3369" t="s">
        <v>8995</v>
      </c>
      <c r="O3369" t="s">
        <v>583</v>
      </c>
      <c r="P3369" t="s">
        <v>584</v>
      </c>
      <c r="Q3369" t="s">
        <v>524</v>
      </c>
      <c r="R3369" t="s">
        <v>525</v>
      </c>
      <c r="S3369" t="s">
        <v>585</v>
      </c>
      <c r="T3369" t="s">
        <v>527</v>
      </c>
      <c r="U3369">
        <v>106201</v>
      </c>
      <c r="V3369" t="s">
        <v>586</v>
      </c>
      <c r="W3369" t="s">
        <v>587</v>
      </c>
      <c r="X3369" t="s">
        <v>18686</v>
      </c>
      <c r="Y3369" t="s">
        <v>13304</v>
      </c>
      <c r="Z3369" t="s">
        <v>581</v>
      </c>
      <c r="AA3369" t="s">
        <v>4529</v>
      </c>
      <c r="AB3369" t="s">
        <v>18687</v>
      </c>
      <c r="AE3369">
        <v>-35.686112399999999</v>
      </c>
      <c r="AF3369">
        <v>174.32584141000001</v>
      </c>
      <c r="AG3369">
        <v>40</v>
      </c>
      <c r="AH3369">
        <v>8</v>
      </c>
    </row>
    <row r="3370" spans="1:34">
      <c r="A3370">
        <v>48298</v>
      </c>
      <c r="B3370" t="s">
        <v>18688</v>
      </c>
      <c r="C3370" t="s">
        <v>18689</v>
      </c>
      <c r="E3370" t="s">
        <v>18690</v>
      </c>
      <c r="G3370" t="s">
        <v>611</v>
      </c>
      <c r="H3370" t="s">
        <v>3942</v>
      </c>
      <c r="J3370" t="s">
        <v>3962</v>
      </c>
      <c r="K3370" t="s">
        <v>519</v>
      </c>
      <c r="M3370" t="s">
        <v>520</v>
      </c>
      <c r="N3370" t="s">
        <v>8995</v>
      </c>
      <c r="O3370" t="s">
        <v>583</v>
      </c>
      <c r="P3370" t="s">
        <v>523</v>
      </c>
      <c r="Q3370" t="s">
        <v>524</v>
      </c>
      <c r="R3370" t="s">
        <v>525</v>
      </c>
      <c r="S3370" t="s">
        <v>585</v>
      </c>
      <c r="T3370" t="s">
        <v>527</v>
      </c>
      <c r="U3370">
        <v>105200</v>
      </c>
      <c r="V3370" t="s">
        <v>611</v>
      </c>
      <c r="W3370" t="s">
        <v>612</v>
      </c>
      <c r="X3370" t="s">
        <v>18691</v>
      </c>
      <c r="Y3370" t="s">
        <v>18692</v>
      </c>
      <c r="AA3370" t="s">
        <v>18693</v>
      </c>
      <c r="AE3370">
        <v>-35.598508199999998</v>
      </c>
      <c r="AF3370">
        <v>174.28796335999999</v>
      </c>
      <c r="AG3370">
        <v>27</v>
      </c>
      <c r="AH3370">
        <v>0</v>
      </c>
    </row>
    <row r="3371" spans="1:34">
      <c r="A3371">
        <v>48301</v>
      </c>
      <c r="B3371" t="s">
        <v>18694</v>
      </c>
      <c r="C3371" t="s">
        <v>18695</v>
      </c>
      <c r="E3371" t="s">
        <v>18696</v>
      </c>
      <c r="F3371" t="s">
        <v>14170</v>
      </c>
      <c r="G3371" t="s">
        <v>652</v>
      </c>
      <c r="H3371" t="s">
        <v>3942</v>
      </c>
      <c r="J3371" t="s">
        <v>3962</v>
      </c>
      <c r="K3371" t="s">
        <v>519</v>
      </c>
      <c r="M3371" t="s">
        <v>520</v>
      </c>
      <c r="N3371" t="s">
        <v>8995</v>
      </c>
      <c r="O3371" t="s">
        <v>1216</v>
      </c>
      <c r="P3371" t="s">
        <v>654</v>
      </c>
      <c r="Q3371" t="s">
        <v>638</v>
      </c>
      <c r="R3371" t="s">
        <v>729</v>
      </c>
      <c r="S3371" t="s">
        <v>1036</v>
      </c>
      <c r="T3371" t="s">
        <v>709</v>
      </c>
      <c r="U3371">
        <v>158700</v>
      </c>
      <c r="V3371" t="s">
        <v>1287</v>
      </c>
      <c r="W3371" t="s">
        <v>1219</v>
      </c>
      <c r="X3371" t="s">
        <v>18697</v>
      </c>
      <c r="Y3371" t="s">
        <v>7373</v>
      </c>
      <c r="Z3371" t="s">
        <v>1035</v>
      </c>
      <c r="AA3371" t="s">
        <v>7374</v>
      </c>
      <c r="AE3371">
        <v>-37.022375709999999</v>
      </c>
      <c r="AF3371">
        <v>174.86378816000001</v>
      </c>
      <c r="AG3371">
        <v>25</v>
      </c>
      <c r="AH3371">
        <v>5</v>
      </c>
    </row>
    <row r="3372" spans="1:34">
      <c r="A3372">
        <v>48302</v>
      </c>
      <c r="B3372" t="s">
        <v>18698</v>
      </c>
      <c r="D3372" t="s">
        <v>18699</v>
      </c>
      <c r="E3372" t="s">
        <v>18700</v>
      </c>
      <c r="G3372" t="s">
        <v>516</v>
      </c>
      <c r="H3372" t="s">
        <v>3942</v>
      </c>
      <c r="J3372" t="s">
        <v>3962</v>
      </c>
      <c r="K3372" t="s">
        <v>519</v>
      </c>
      <c r="M3372" t="s">
        <v>520</v>
      </c>
      <c r="N3372" t="s">
        <v>8995</v>
      </c>
      <c r="O3372" t="s">
        <v>522</v>
      </c>
      <c r="P3372" t="s">
        <v>523</v>
      </c>
      <c r="Q3372" t="s">
        <v>524</v>
      </c>
      <c r="R3372" t="s">
        <v>525</v>
      </c>
      <c r="S3372" t="s">
        <v>526</v>
      </c>
      <c r="T3372" t="s">
        <v>527</v>
      </c>
      <c r="U3372">
        <v>100800</v>
      </c>
      <c r="V3372" t="s">
        <v>528</v>
      </c>
      <c r="W3372" t="s">
        <v>529</v>
      </c>
      <c r="X3372" t="s">
        <v>5499</v>
      </c>
      <c r="Y3372" t="s">
        <v>18701</v>
      </c>
      <c r="AA3372" t="s">
        <v>5383</v>
      </c>
      <c r="AE3372">
        <v>-35.11594187</v>
      </c>
      <c r="AF3372">
        <v>173.26038893</v>
      </c>
      <c r="AG3372">
        <v>44</v>
      </c>
      <c r="AH3372">
        <v>20</v>
      </c>
    </row>
    <row r="3373" spans="1:34">
      <c r="A3373">
        <v>48303</v>
      </c>
      <c r="B3373" t="s">
        <v>18702</v>
      </c>
      <c r="E3373" t="s">
        <v>18703</v>
      </c>
      <c r="G3373" t="s">
        <v>11192</v>
      </c>
      <c r="H3373" t="s">
        <v>3942</v>
      </c>
      <c r="J3373" t="s">
        <v>3962</v>
      </c>
      <c r="K3373" t="s">
        <v>519</v>
      </c>
      <c r="M3373" t="s">
        <v>2287</v>
      </c>
      <c r="N3373" t="s">
        <v>8995</v>
      </c>
      <c r="O3373" t="s">
        <v>3835</v>
      </c>
      <c r="P3373" t="s">
        <v>1262</v>
      </c>
      <c r="Q3373" t="s">
        <v>3337</v>
      </c>
      <c r="R3373" t="s">
        <v>3338</v>
      </c>
      <c r="S3373" t="s">
        <v>3250</v>
      </c>
      <c r="T3373" t="s">
        <v>2448</v>
      </c>
      <c r="U3373">
        <v>347000</v>
      </c>
      <c r="V3373" t="s">
        <v>18704</v>
      </c>
      <c r="W3373" t="s">
        <v>11194</v>
      </c>
      <c r="X3373" t="s">
        <v>18705</v>
      </c>
      <c r="Y3373" t="s">
        <v>18706</v>
      </c>
      <c r="AA3373" t="s">
        <v>16336</v>
      </c>
      <c r="AB3373" t="s">
        <v>18707</v>
      </c>
      <c r="AE3373">
        <v>-44.703648700000002</v>
      </c>
      <c r="AF3373">
        <v>169.12944365999999</v>
      </c>
      <c r="AG3373">
        <v>70</v>
      </c>
      <c r="AH3373">
        <v>25</v>
      </c>
    </row>
    <row r="3374" spans="1:34">
      <c r="A3374">
        <v>48304</v>
      </c>
      <c r="B3374" t="s">
        <v>18708</v>
      </c>
      <c r="C3374" t="s">
        <v>18709</v>
      </c>
      <c r="E3374" t="s">
        <v>16711</v>
      </c>
      <c r="F3374" t="s">
        <v>636</v>
      </c>
      <c r="G3374" t="s">
        <v>652</v>
      </c>
      <c r="H3374" t="s">
        <v>3942</v>
      </c>
      <c r="J3374" t="s">
        <v>3962</v>
      </c>
      <c r="K3374" t="s">
        <v>519</v>
      </c>
      <c r="M3374" t="s">
        <v>520</v>
      </c>
      <c r="N3374" t="s">
        <v>8995</v>
      </c>
      <c r="O3374" t="s">
        <v>637</v>
      </c>
      <c r="P3374" t="s">
        <v>523</v>
      </c>
      <c r="Q3374" t="s">
        <v>638</v>
      </c>
      <c r="R3374" t="s">
        <v>639</v>
      </c>
      <c r="S3374" t="s">
        <v>640</v>
      </c>
      <c r="T3374" t="s">
        <v>527</v>
      </c>
      <c r="U3374">
        <v>110501</v>
      </c>
      <c r="V3374" t="s">
        <v>636</v>
      </c>
      <c r="W3374" t="s">
        <v>641</v>
      </c>
      <c r="X3374" t="s">
        <v>16013</v>
      </c>
      <c r="Y3374" t="s">
        <v>16711</v>
      </c>
      <c r="Z3374" t="s">
        <v>636</v>
      </c>
      <c r="AA3374" t="s">
        <v>4537</v>
      </c>
      <c r="AE3374">
        <v>-36.286234749999998</v>
      </c>
      <c r="AF3374">
        <v>174.52007649000001</v>
      </c>
      <c r="AG3374">
        <v>40</v>
      </c>
      <c r="AH3374">
        <v>10</v>
      </c>
    </row>
    <row r="3375" spans="1:34">
      <c r="A3375">
        <v>48305</v>
      </c>
      <c r="B3375" t="s">
        <v>18710</v>
      </c>
      <c r="E3375" t="s">
        <v>18711</v>
      </c>
      <c r="G3375" t="s">
        <v>3480</v>
      </c>
      <c r="H3375" t="s">
        <v>517</v>
      </c>
      <c r="J3375" t="s">
        <v>518</v>
      </c>
      <c r="K3375" t="s">
        <v>519</v>
      </c>
      <c r="M3375" t="s">
        <v>2287</v>
      </c>
      <c r="N3375" t="s">
        <v>8995</v>
      </c>
      <c r="O3375" t="s">
        <v>3481</v>
      </c>
      <c r="P3375" t="s">
        <v>572</v>
      </c>
      <c r="Q3375" t="s">
        <v>3337</v>
      </c>
      <c r="R3375" t="s">
        <v>3338</v>
      </c>
      <c r="S3375" t="s">
        <v>3384</v>
      </c>
      <c r="T3375" t="s">
        <v>2448</v>
      </c>
      <c r="U3375">
        <v>356100</v>
      </c>
      <c r="V3375" t="s">
        <v>18712</v>
      </c>
      <c r="W3375" t="s">
        <v>18713</v>
      </c>
      <c r="X3375" t="s">
        <v>3484</v>
      </c>
      <c r="Y3375" t="s">
        <v>1890</v>
      </c>
      <c r="AA3375" t="s">
        <v>1891</v>
      </c>
      <c r="AB3375" t="s">
        <v>3485</v>
      </c>
      <c r="AE3375">
        <v>-46.094640939999998</v>
      </c>
      <c r="AF3375">
        <v>169.55158304</v>
      </c>
      <c r="AG3375">
        <v>30</v>
      </c>
      <c r="AH3375">
        <v>0</v>
      </c>
    </row>
    <row r="3376" spans="1:34">
      <c r="A3376">
        <v>48308</v>
      </c>
      <c r="B3376" t="s">
        <v>18714</v>
      </c>
      <c r="C3376" t="s">
        <v>18715</v>
      </c>
      <c r="D3376" t="s">
        <v>18716</v>
      </c>
      <c r="E3376" t="s">
        <v>18717</v>
      </c>
      <c r="F3376" t="s">
        <v>4747</v>
      </c>
      <c r="G3376" t="s">
        <v>652</v>
      </c>
      <c r="H3376" t="s">
        <v>517</v>
      </c>
      <c r="J3376" t="s">
        <v>518</v>
      </c>
      <c r="K3376" t="s">
        <v>519</v>
      </c>
      <c r="M3376" t="s">
        <v>520</v>
      </c>
      <c r="N3376" t="s">
        <v>8995</v>
      </c>
      <c r="O3376" t="s">
        <v>873</v>
      </c>
      <c r="P3376" t="s">
        <v>654</v>
      </c>
      <c r="Q3376" t="s">
        <v>638</v>
      </c>
      <c r="R3376" t="s">
        <v>639</v>
      </c>
      <c r="S3376" t="s">
        <v>770</v>
      </c>
      <c r="T3376" t="s">
        <v>709</v>
      </c>
      <c r="U3376">
        <v>136700</v>
      </c>
      <c r="V3376" t="s">
        <v>7171</v>
      </c>
      <c r="W3376" t="s">
        <v>815</v>
      </c>
      <c r="X3376" t="s">
        <v>642</v>
      </c>
      <c r="Y3376" t="s">
        <v>643</v>
      </c>
      <c r="Z3376" t="s">
        <v>644</v>
      </c>
      <c r="AA3376" t="s">
        <v>645</v>
      </c>
      <c r="AB3376" t="s">
        <v>18224</v>
      </c>
      <c r="AE3376">
        <v>-36.938516040000003</v>
      </c>
      <c r="AF3376">
        <v>174.65515081999999</v>
      </c>
      <c r="AG3376">
        <v>40</v>
      </c>
      <c r="AH3376">
        <v>0</v>
      </c>
    </row>
    <row r="3377" spans="1:34">
      <c r="A3377">
        <v>48309</v>
      </c>
      <c r="B3377" t="s">
        <v>18718</v>
      </c>
      <c r="C3377" t="s">
        <v>18719</v>
      </c>
      <c r="E3377" t="s">
        <v>18720</v>
      </c>
      <c r="F3377" t="s">
        <v>8787</v>
      </c>
      <c r="G3377" t="s">
        <v>2197</v>
      </c>
      <c r="H3377" t="s">
        <v>3942</v>
      </c>
      <c r="J3377" t="s">
        <v>518</v>
      </c>
      <c r="K3377" t="s">
        <v>519</v>
      </c>
      <c r="M3377" t="s">
        <v>1297</v>
      </c>
      <c r="N3377" t="s">
        <v>8995</v>
      </c>
      <c r="O3377" t="s">
        <v>2198</v>
      </c>
      <c r="P3377" t="s">
        <v>584</v>
      </c>
      <c r="Q3377" t="s">
        <v>2118</v>
      </c>
      <c r="R3377" t="s">
        <v>2084</v>
      </c>
      <c r="S3377" t="s">
        <v>2199</v>
      </c>
      <c r="T3377" t="s">
        <v>2085</v>
      </c>
      <c r="U3377">
        <v>209700</v>
      </c>
      <c r="V3377" t="s">
        <v>8788</v>
      </c>
      <c r="W3377" t="s">
        <v>2200</v>
      </c>
      <c r="X3377" t="s">
        <v>18721</v>
      </c>
      <c r="Y3377" t="s">
        <v>18722</v>
      </c>
      <c r="Z3377" t="s">
        <v>682</v>
      </c>
      <c r="AA3377" t="s">
        <v>4537</v>
      </c>
      <c r="AB3377" t="s">
        <v>18723</v>
      </c>
      <c r="AE3377">
        <v>-39.632942450000002</v>
      </c>
      <c r="AF3377">
        <v>176.83306622999999</v>
      </c>
      <c r="AG3377">
        <v>36</v>
      </c>
      <c r="AH3377">
        <v>12</v>
      </c>
    </row>
    <row r="3378" spans="1:34">
      <c r="A3378">
        <v>48310</v>
      </c>
      <c r="B3378" t="s">
        <v>18724</v>
      </c>
      <c r="C3378" t="s">
        <v>18725</v>
      </c>
      <c r="E3378" t="s">
        <v>18726</v>
      </c>
      <c r="F3378" t="s">
        <v>660</v>
      </c>
      <c r="G3378" t="s">
        <v>652</v>
      </c>
      <c r="H3378" t="s">
        <v>4716</v>
      </c>
      <c r="J3378" t="s">
        <v>3962</v>
      </c>
      <c r="K3378" t="s">
        <v>519</v>
      </c>
      <c r="M3378" t="s">
        <v>520</v>
      </c>
      <c r="N3378" t="s">
        <v>8995</v>
      </c>
      <c r="O3378" t="s">
        <v>653</v>
      </c>
      <c r="P3378" t="s">
        <v>654</v>
      </c>
      <c r="Q3378" t="s">
        <v>638</v>
      </c>
      <c r="R3378" t="s">
        <v>639</v>
      </c>
      <c r="S3378" t="s">
        <v>655</v>
      </c>
      <c r="T3378" t="s">
        <v>527</v>
      </c>
      <c r="U3378">
        <v>118700</v>
      </c>
      <c r="V3378" t="s">
        <v>5778</v>
      </c>
      <c r="W3378" t="s">
        <v>657</v>
      </c>
      <c r="X3378" t="s">
        <v>18727</v>
      </c>
      <c r="Y3378" t="s">
        <v>18726</v>
      </c>
      <c r="Z3378" t="s">
        <v>660</v>
      </c>
      <c r="AA3378" t="s">
        <v>4084</v>
      </c>
      <c r="AB3378" t="s">
        <v>18725</v>
      </c>
      <c r="AE3378">
        <v>-36.72099918</v>
      </c>
      <c r="AF3378">
        <v>174.74205473000001</v>
      </c>
      <c r="AG3378">
        <v>35</v>
      </c>
      <c r="AH3378">
        <v>35</v>
      </c>
    </row>
    <row r="3379" spans="1:34">
      <c r="A3379">
        <v>48311</v>
      </c>
      <c r="B3379" t="s">
        <v>18728</v>
      </c>
      <c r="C3379" t="s">
        <v>13928</v>
      </c>
      <c r="D3379" t="s">
        <v>18729</v>
      </c>
      <c r="E3379" t="s">
        <v>13927</v>
      </c>
      <c r="F3379" t="s">
        <v>3585</v>
      </c>
      <c r="G3379" t="s">
        <v>3498</v>
      </c>
      <c r="H3379" t="s">
        <v>4716</v>
      </c>
      <c r="J3379" t="s">
        <v>3962</v>
      </c>
      <c r="K3379" t="s">
        <v>519</v>
      </c>
      <c r="M3379" t="s">
        <v>2287</v>
      </c>
      <c r="N3379" t="s">
        <v>8995</v>
      </c>
      <c r="O3379" t="s">
        <v>3496</v>
      </c>
      <c r="P3379" t="s">
        <v>584</v>
      </c>
      <c r="Q3379" t="s">
        <v>3497</v>
      </c>
      <c r="R3379" t="s">
        <v>3338</v>
      </c>
      <c r="S3379" t="s">
        <v>3498</v>
      </c>
      <c r="T3379" t="s">
        <v>2448</v>
      </c>
      <c r="U3379">
        <v>361501</v>
      </c>
      <c r="V3379" t="s">
        <v>3585</v>
      </c>
      <c r="W3379" t="s">
        <v>1652</v>
      </c>
      <c r="X3379" t="s">
        <v>13926</v>
      </c>
      <c r="Y3379" t="s">
        <v>13927</v>
      </c>
      <c r="Z3379" t="s">
        <v>3585</v>
      </c>
      <c r="AA3379" t="s">
        <v>11903</v>
      </c>
      <c r="AB3379" t="s">
        <v>13928</v>
      </c>
      <c r="AE3379">
        <v>-46.39129947</v>
      </c>
      <c r="AF3379">
        <v>168.36247258</v>
      </c>
      <c r="AG3379">
        <v>50</v>
      </c>
      <c r="AH3379">
        <v>50</v>
      </c>
    </row>
    <row r="3380" spans="1:34">
      <c r="A3380">
        <v>48312</v>
      </c>
      <c r="B3380" t="s">
        <v>18730</v>
      </c>
      <c r="E3380" t="s">
        <v>18731</v>
      </c>
      <c r="F3380" t="s">
        <v>3722</v>
      </c>
      <c r="G3380" t="s">
        <v>1598</v>
      </c>
      <c r="H3380" t="s">
        <v>3942</v>
      </c>
      <c r="J3380" t="s">
        <v>3962</v>
      </c>
      <c r="K3380" t="s">
        <v>519</v>
      </c>
      <c r="M3380" t="s">
        <v>1297</v>
      </c>
      <c r="N3380" t="s">
        <v>8995</v>
      </c>
      <c r="O3380" t="s">
        <v>1698</v>
      </c>
      <c r="P3380" t="s">
        <v>654</v>
      </c>
      <c r="Q3380" t="s">
        <v>1471</v>
      </c>
      <c r="R3380" t="s">
        <v>1472</v>
      </c>
      <c r="S3380" t="s">
        <v>1598</v>
      </c>
      <c r="T3380" t="s">
        <v>1474</v>
      </c>
      <c r="U3380">
        <v>194801</v>
      </c>
      <c r="V3380" t="s">
        <v>3722</v>
      </c>
      <c r="W3380" t="s">
        <v>3724</v>
      </c>
      <c r="X3380" t="s">
        <v>10580</v>
      </c>
      <c r="Y3380" t="s">
        <v>18732</v>
      </c>
      <c r="Z3380" t="s">
        <v>13150</v>
      </c>
      <c r="AA3380" t="s">
        <v>9922</v>
      </c>
      <c r="AE3380">
        <v>-37.705282189999998</v>
      </c>
      <c r="AF3380">
        <v>176.15546921000001</v>
      </c>
      <c r="AG3380">
        <v>20</v>
      </c>
      <c r="AH3380">
        <v>0</v>
      </c>
    </row>
    <row r="3381" spans="1:34">
      <c r="A3381">
        <v>48314</v>
      </c>
      <c r="B3381" t="s">
        <v>18733</v>
      </c>
      <c r="C3381" t="s">
        <v>18734</v>
      </c>
      <c r="D3381" t="s">
        <v>18735</v>
      </c>
      <c r="E3381" t="s">
        <v>18736</v>
      </c>
      <c r="G3381" t="s">
        <v>2031</v>
      </c>
      <c r="H3381" t="s">
        <v>343</v>
      </c>
      <c r="J3381" t="s">
        <v>518</v>
      </c>
      <c r="K3381" t="s">
        <v>519</v>
      </c>
      <c r="L3381" t="s">
        <v>4205</v>
      </c>
      <c r="M3381" t="s">
        <v>1297</v>
      </c>
      <c r="N3381" t="s">
        <v>8995</v>
      </c>
      <c r="O3381" t="s">
        <v>1967</v>
      </c>
      <c r="P3381" t="s">
        <v>523</v>
      </c>
      <c r="Q3381" t="s">
        <v>1636</v>
      </c>
      <c r="R3381" t="s">
        <v>1760</v>
      </c>
      <c r="S3381" t="s">
        <v>1637</v>
      </c>
      <c r="T3381" t="s">
        <v>1485</v>
      </c>
      <c r="U3381">
        <v>226900</v>
      </c>
      <c r="V3381" t="s">
        <v>2032</v>
      </c>
      <c r="W3381" t="s">
        <v>2033</v>
      </c>
      <c r="X3381" t="s">
        <v>9070</v>
      </c>
      <c r="Y3381" t="s">
        <v>4208</v>
      </c>
      <c r="Z3381" t="s">
        <v>4209</v>
      </c>
      <c r="AA3381" t="s">
        <v>4210</v>
      </c>
      <c r="AB3381" t="s">
        <v>9071</v>
      </c>
      <c r="AE3381">
        <v>-40.083269020000003</v>
      </c>
      <c r="AF3381">
        <v>175.37043752</v>
      </c>
      <c r="AG3381">
        <v>30</v>
      </c>
      <c r="AH3381">
        <v>12</v>
      </c>
    </row>
    <row r="3382" spans="1:34">
      <c r="A3382">
        <v>48315</v>
      </c>
      <c r="B3382" t="s">
        <v>18737</v>
      </c>
      <c r="C3382" t="s">
        <v>18738</v>
      </c>
      <c r="E3382" t="s">
        <v>18739</v>
      </c>
      <c r="G3382" t="s">
        <v>1697</v>
      </c>
      <c r="H3382" t="s">
        <v>298</v>
      </c>
      <c r="J3382" t="s">
        <v>518</v>
      </c>
      <c r="K3382" t="s">
        <v>519</v>
      </c>
      <c r="M3382" t="s">
        <v>1297</v>
      </c>
      <c r="N3382" t="s">
        <v>8995</v>
      </c>
      <c r="O3382" t="s">
        <v>1698</v>
      </c>
      <c r="P3382" t="s">
        <v>654</v>
      </c>
      <c r="Q3382" t="s">
        <v>1471</v>
      </c>
      <c r="R3382" t="s">
        <v>1472</v>
      </c>
      <c r="S3382" t="s">
        <v>1699</v>
      </c>
      <c r="T3382" t="s">
        <v>1474</v>
      </c>
      <c r="U3382">
        <v>194900</v>
      </c>
      <c r="V3382" t="s">
        <v>18740</v>
      </c>
      <c r="W3382" t="s">
        <v>1724</v>
      </c>
      <c r="X3382" t="s">
        <v>18741</v>
      </c>
      <c r="Y3382" t="s">
        <v>5187</v>
      </c>
      <c r="AA3382" t="s">
        <v>5188</v>
      </c>
      <c r="AB3382" t="s">
        <v>18742</v>
      </c>
      <c r="AE3382">
        <v>-37.659912419999998</v>
      </c>
      <c r="AF3382">
        <v>176.21362400000001</v>
      </c>
      <c r="AG3382">
        <v>30</v>
      </c>
      <c r="AH3382">
        <v>20</v>
      </c>
    </row>
    <row r="3383" spans="1:34">
      <c r="A3383">
        <v>48316</v>
      </c>
      <c r="B3383" t="s">
        <v>18743</v>
      </c>
      <c r="C3383" t="s">
        <v>18744</v>
      </c>
      <c r="E3383" t="s">
        <v>18745</v>
      </c>
      <c r="F3383" t="s">
        <v>1393</v>
      </c>
      <c r="G3383" t="s">
        <v>1296</v>
      </c>
      <c r="H3383" t="s">
        <v>343</v>
      </c>
      <c r="J3383" t="s">
        <v>518</v>
      </c>
      <c r="K3383" t="s">
        <v>519</v>
      </c>
      <c r="L3383" t="s">
        <v>4205</v>
      </c>
      <c r="M3383" t="s">
        <v>1297</v>
      </c>
      <c r="N3383" t="s">
        <v>8995</v>
      </c>
      <c r="O3383" t="s">
        <v>1298</v>
      </c>
      <c r="P3383" t="s">
        <v>654</v>
      </c>
      <c r="Q3383" t="s">
        <v>1299</v>
      </c>
      <c r="R3383" t="s">
        <v>1300</v>
      </c>
      <c r="S3383" t="s">
        <v>1301</v>
      </c>
      <c r="T3383" t="s">
        <v>1235</v>
      </c>
      <c r="U3383">
        <v>180500</v>
      </c>
      <c r="V3383" t="s">
        <v>1394</v>
      </c>
      <c r="W3383" t="s">
        <v>1303</v>
      </c>
      <c r="X3383" t="s">
        <v>7630</v>
      </c>
      <c r="Y3383" t="s">
        <v>4208</v>
      </c>
      <c r="Z3383" t="s">
        <v>4209</v>
      </c>
      <c r="AA3383" t="s">
        <v>4210</v>
      </c>
      <c r="AB3383" t="s">
        <v>7631</v>
      </c>
      <c r="AE3383">
        <v>-37.808655590000001</v>
      </c>
      <c r="AF3383">
        <v>175.29360492000001</v>
      </c>
      <c r="AG3383">
        <v>25</v>
      </c>
      <c r="AH3383">
        <v>8</v>
      </c>
    </row>
    <row r="3384" spans="1:34">
      <c r="A3384">
        <v>48317</v>
      </c>
      <c r="B3384" t="s">
        <v>18746</v>
      </c>
      <c r="D3384" t="s">
        <v>17703</v>
      </c>
      <c r="E3384" t="s">
        <v>17704</v>
      </c>
      <c r="F3384" t="s">
        <v>5104</v>
      </c>
      <c r="G3384" t="s">
        <v>652</v>
      </c>
      <c r="H3384" t="s">
        <v>4716</v>
      </c>
      <c r="J3384" t="s">
        <v>3962</v>
      </c>
      <c r="K3384" t="s">
        <v>519</v>
      </c>
      <c r="M3384" t="s">
        <v>520</v>
      </c>
      <c r="N3384" t="s">
        <v>8995</v>
      </c>
      <c r="O3384" t="s">
        <v>707</v>
      </c>
      <c r="P3384" t="s">
        <v>654</v>
      </c>
      <c r="Q3384" t="s">
        <v>638</v>
      </c>
      <c r="R3384" t="s">
        <v>729</v>
      </c>
      <c r="S3384" t="s">
        <v>778</v>
      </c>
      <c r="T3384" t="s">
        <v>709</v>
      </c>
      <c r="U3384">
        <v>156901</v>
      </c>
      <c r="V3384" t="s">
        <v>13181</v>
      </c>
      <c r="W3384" t="s">
        <v>711</v>
      </c>
      <c r="X3384" t="s">
        <v>17705</v>
      </c>
      <c r="Y3384" t="s">
        <v>17706</v>
      </c>
      <c r="Z3384" t="s">
        <v>5104</v>
      </c>
      <c r="AA3384" t="s">
        <v>3991</v>
      </c>
      <c r="AB3384" t="s">
        <v>17702</v>
      </c>
      <c r="AE3384">
        <v>-36.957393809999999</v>
      </c>
      <c r="AF3384">
        <v>174.91981534999999</v>
      </c>
      <c r="AG3384">
        <v>100</v>
      </c>
      <c r="AH3384">
        <v>100</v>
      </c>
    </row>
    <row r="3385" spans="1:34">
      <c r="A3385">
        <v>48318</v>
      </c>
      <c r="B3385" t="s">
        <v>18747</v>
      </c>
      <c r="C3385" t="s">
        <v>18224</v>
      </c>
      <c r="E3385" t="s">
        <v>18748</v>
      </c>
      <c r="F3385" t="s">
        <v>769</v>
      </c>
      <c r="G3385" t="s">
        <v>652</v>
      </c>
      <c r="H3385" t="s">
        <v>517</v>
      </c>
      <c r="J3385" t="s">
        <v>518</v>
      </c>
      <c r="K3385" t="s">
        <v>519</v>
      </c>
      <c r="M3385" t="s">
        <v>520</v>
      </c>
      <c r="N3385" t="s">
        <v>8995</v>
      </c>
      <c r="O3385" t="s">
        <v>718</v>
      </c>
      <c r="P3385" t="s">
        <v>654</v>
      </c>
      <c r="Q3385" t="s">
        <v>638</v>
      </c>
      <c r="R3385" t="s">
        <v>708</v>
      </c>
      <c r="S3385" t="s">
        <v>770</v>
      </c>
      <c r="T3385" t="s">
        <v>709</v>
      </c>
      <c r="U3385">
        <v>137100</v>
      </c>
      <c r="V3385" t="s">
        <v>6540</v>
      </c>
      <c r="W3385" t="s">
        <v>721</v>
      </c>
      <c r="X3385" t="s">
        <v>642</v>
      </c>
      <c r="Y3385" t="s">
        <v>643</v>
      </c>
      <c r="Z3385" t="s">
        <v>644</v>
      </c>
      <c r="AA3385" t="s">
        <v>645</v>
      </c>
      <c r="AB3385" t="s">
        <v>646</v>
      </c>
      <c r="AE3385">
        <v>-36.90999669</v>
      </c>
      <c r="AF3385">
        <v>174.70208396999999</v>
      </c>
      <c r="AG3385">
        <v>40</v>
      </c>
      <c r="AH3385">
        <v>0</v>
      </c>
    </row>
    <row r="3386" spans="1:34">
      <c r="A3386">
        <v>48319</v>
      </c>
      <c r="B3386" t="s">
        <v>18749</v>
      </c>
      <c r="E3386" t="s">
        <v>18750</v>
      </c>
      <c r="F3386" t="s">
        <v>1036</v>
      </c>
      <c r="G3386" t="s">
        <v>652</v>
      </c>
      <c r="H3386" t="s">
        <v>3942</v>
      </c>
      <c r="J3386" t="s">
        <v>3962</v>
      </c>
      <c r="K3386" t="s">
        <v>519</v>
      </c>
      <c r="M3386" t="s">
        <v>520</v>
      </c>
      <c r="N3386" t="s">
        <v>8995</v>
      </c>
      <c r="O3386" t="s">
        <v>1216</v>
      </c>
      <c r="P3386" t="s">
        <v>654</v>
      </c>
      <c r="Q3386" t="s">
        <v>638</v>
      </c>
      <c r="R3386" t="s">
        <v>729</v>
      </c>
      <c r="S3386" t="s">
        <v>1036</v>
      </c>
      <c r="T3386" t="s">
        <v>709</v>
      </c>
      <c r="U3386">
        <v>159900</v>
      </c>
      <c r="V3386" t="s">
        <v>1241</v>
      </c>
      <c r="W3386" t="s">
        <v>1219</v>
      </c>
      <c r="X3386" t="s">
        <v>4590</v>
      </c>
      <c r="Y3386" t="s">
        <v>18751</v>
      </c>
      <c r="Z3386" t="s">
        <v>1072</v>
      </c>
      <c r="AA3386" t="s">
        <v>4760</v>
      </c>
      <c r="AE3386">
        <v>-37.03092642</v>
      </c>
      <c r="AF3386">
        <v>174.87571958999999</v>
      </c>
      <c r="AG3386">
        <v>48</v>
      </c>
      <c r="AH3386">
        <v>16</v>
      </c>
    </row>
    <row r="3387" spans="1:34">
      <c r="A3387">
        <v>48320</v>
      </c>
      <c r="B3387" t="s">
        <v>18752</v>
      </c>
      <c r="E3387" t="s">
        <v>18753</v>
      </c>
      <c r="F3387" t="s">
        <v>3701</v>
      </c>
      <c r="G3387" t="s">
        <v>2821</v>
      </c>
      <c r="H3387" t="s">
        <v>4716</v>
      </c>
      <c r="J3387" t="s">
        <v>3962</v>
      </c>
      <c r="K3387" t="s">
        <v>519</v>
      </c>
      <c r="M3387" t="s">
        <v>2287</v>
      </c>
      <c r="N3387" t="s">
        <v>8995</v>
      </c>
      <c r="O3387" t="s">
        <v>2822</v>
      </c>
      <c r="P3387" t="s">
        <v>1262</v>
      </c>
      <c r="Q3387" t="s">
        <v>2823</v>
      </c>
      <c r="R3387" t="s">
        <v>2824</v>
      </c>
      <c r="S3387" t="s">
        <v>2825</v>
      </c>
      <c r="T3387" t="s">
        <v>2448</v>
      </c>
      <c r="U3387">
        <v>307501</v>
      </c>
      <c r="V3387" t="s">
        <v>3701</v>
      </c>
      <c r="W3387" t="s">
        <v>2826</v>
      </c>
      <c r="X3387" t="s">
        <v>18754</v>
      </c>
      <c r="Y3387" t="s">
        <v>18753</v>
      </c>
      <c r="Z3387" t="s">
        <v>3701</v>
      </c>
      <c r="AA3387" t="s">
        <v>2829</v>
      </c>
      <c r="AE3387">
        <v>-41.500990430000002</v>
      </c>
      <c r="AF3387">
        <v>173.94083992</v>
      </c>
      <c r="AG3387">
        <v>50</v>
      </c>
      <c r="AH3387">
        <v>50</v>
      </c>
    </row>
    <row r="3388" spans="1:34">
      <c r="A3388">
        <v>48322</v>
      </c>
      <c r="B3388" t="s">
        <v>18755</v>
      </c>
      <c r="C3388" t="s">
        <v>18756</v>
      </c>
      <c r="D3388" t="s">
        <v>18757</v>
      </c>
      <c r="E3388" t="s">
        <v>18758</v>
      </c>
      <c r="G3388" t="s">
        <v>550</v>
      </c>
      <c r="H3388" t="s">
        <v>3942</v>
      </c>
      <c r="J3388" t="s">
        <v>3962</v>
      </c>
      <c r="K3388" t="s">
        <v>519</v>
      </c>
      <c r="M3388" t="s">
        <v>520</v>
      </c>
      <c r="N3388" t="s">
        <v>8995</v>
      </c>
      <c r="O3388" t="s">
        <v>522</v>
      </c>
      <c r="P3388" t="s">
        <v>572</v>
      </c>
      <c r="Q3388" t="s">
        <v>524</v>
      </c>
      <c r="R3388" t="s">
        <v>525</v>
      </c>
      <c r="S3388" t="s">
        <v>526</v>
      </c>
      <c r="T3388" t="s">
        <v>527</v>
      </c>
      <c r="U3388">
        <v>102700</v>
      </c>
      <c r="V3388" t="s">
        <v>5427</v>
      </c>
      <c r="W3388" t="s">
        <v>551</v>
      </c>
      <c r="X3388" t="s">
        <v>18759</v>
      </c>
      <c r="Y3388" t="s">
        <v>18760</v>
      </c>
      <c r="AA3388" t="s">
        <v>18761</v>
      </c>
      <c r="AB3388" t="s">
        <v>18756</v>
      </c>
      <c r="AE3388">
        <v>-35.488889409999999</v>
      </c>
      <c r="AF3388">
        <v>173.58882549</v>
      </c>
      <c r="AG3388">
        <v>40</v>
      </c>
      <c r="AH3388">
        <v>5</v>
      </c>
    </row>
    <row r="3389" spans="1:34">
      <c r="A3389">
        <v>48323</v>
      </c>
      <c r="B3389" t="s">
        <v>18762</v>
      </c>
      <c r="C3389" t="s">
        <v>18763</v>
      </c>
      <c r="D3389" t="s">
        <v>18764</v>
      </c>
      <c r="E3389" t="s">
        <v>18765</v>
      </c>
      <c r="G3389" t="s">
        <v>9172</v>
      </c>
      <c r="H3389" t="s">
        <v>4716</v>
      </c>
      <c r="J3389" t="s">
        <v>3962</v>
      </c>
      <c r="K3389" t="s">
        <v>519</v>
      </c>
      <c r="M3389" t="s">
        <v>1297</v>
      </c>
      <c r="N3389" t="s">
        <v>8995</v>
      </c>
      <c r="O3389" t="s">
        <v>1351</v>
      </c>
      <c r="P3389" t="s">
        <v>572</v>
      </c>
      <c r="Q3389" t="s">
        <v>1299</v>
      </c>
      <c r="R3389" t="s">
        <v>1300</v>
      </c>
      <c r="S3389" t="s">
        <v>1246</v>
      </c>
      <c r="T3389" t="s">
        <v>1235</v>
      </c>
      <c r="U3389">
        <v>170201</v>
      </c>
      <c r="V3389" t="s">
        <v>18766</v>
      </c>
      <c r="W3389" t="s">
        <v>3813</v>
      </c>
      <c r="X3389" t="s">
        <v>18767</v>
      </c>
      <c r="Y3389" t="s">
        <v>18765</v>
      </c>
      <c r="AA3389" t="s">
        <v>18768</v>
      </c>
      <c r="AB3389" t="s">
        <v>18763</v>
      </c>
      <c r="AE3389">
        <v>-37.217411740000003</v>
      </c>
      <c r="AF3389">
        <v>175.01010033</v>
      </c>
      <c r="AG3389">
        <v>40</v>
      </c>
      <c r="AH3389">
        <v>40</v>
      </c>
    </row>
    <row r="3390" spans="1:34">
      <c r="A3390">
        <v>48324</v>
      </c>
      <c r="B3390" t="s">
        <v>18769</v>
      </c>
      <c r="C3390" t="s">
        <v>18770</v>
      </c>
      <c r="E3390" t="s">
        <v>18771</v>
      </c>
      <c r="F3390" t="s">
        <v>11513</v>
      </c>
      <c r="G3390" t="s">
        <v>652</v>
      </c>
      <c r="H3390" t="s">
        <v>343</v>
      </c>
      <c r="J3390" t="s">
        <v>518</v>
      </c>
      <c r="K3390" t="s">
        <v>519</v>
      </c>
      <c r="L3390" t="s">
        <v>4205</v>
      </c>
      <c r="M3390" t="s">
        <v>520</v>
      </c>
      <c r="N3390" t="s">
        <v>8995</v>
      </c>
      <c r="O3390" t="s">
        <v>1216</v>
      </c>
      <c r="P3390" t="s">
        <v>654</v>
      </c>
      <c r="Q3390" t="s">
        <v>638</v>
      </c>
      <c r="R3390" t="s">
        <v>729</v>
      </c>
      <c r="S3390" t="s">
        <v>1217</v>
      </c>
      <c r="T3390" t="s">
        <v>709</v>
      </c>
      <c r="U3390">
        <v>161500</v>
      </c>
      <c r="V3390" t="s">
        <v>1228</v>
      </c>
      <c r="W3390" t="s">
        <v>1219</v>
      </c>
      <c r="X3390" t="s">
        <v>4207</v>
      </c>
      <c r="Y3390" t="s">
        <v>4208</v>
      </c>
      <c r="Z3390" t="s">
        <v>4209</v>
      </c>
      <c r="AA3390" t="s">
        <v>4210</v>
      </c>
      <c r="AE3390">
        <v>-37.041323179999999</v>
      </c>
      <c r="AF3390">
        <v>174.89687746000001</v>
      </c>
      <c r="AG3390">
        <v>15</v>
      </c>
      <c r="AH3390">
        <v>5</v>
      </c>
    </row>
    <row r="3391" spans="1:34">
      <c r="A3391">
        <v>48325</v>
      </c>
      <c r="B3391" t="s">
        <v>18772</v>
      </c>
      <c r="C3391" t="s">
        <v>18773</v>
      </c>
      <c r="E3391" t="s">
        <v>18774</v>
      </c>
      <c r="F3391" t="s">
        <v>5104</v>
      </c>
      <c r="G3391" t="s">
        <v>652</v>
      </c>
      <c r="H3391" t="s">
        <v>4716</v>
      </c>
      <c r="J3391" t="s">
        <v>3962</v>
      </c>
      <c r="K3391" t="s">
        <v>519</v>
      </c>
      <c r="M3391" t="s">
        <v>520</v>
      </c>
      <c r="N3391" t="s">
        <v>8995</v>
      </c>
      <c r="O3391" t="s">
        <v>707</v>
      </c>
      <c r="P3391" t="s">
        <v>654</v>
      </c>
      <c r="Q3391" t="s">
        <v>638</v>
      </c>
      <c r="R3391" t="s">
        <v>729</v>
      </c>
      <c r="S3391" t="s">
        <v>1217</v>
      </c>
      <c r="T3391" t="s">
        <v>709</v>
      </c>
      <c r="U3391">
        <v>158300</v>
      </c>
      <c r="V3391" t="s">
        <v>5093</v>
      </c>
      <c r="W3391" t="s">
        <v>711</v>
      </c>
      <c r="X3391" t="s">
        <v>15833</v>
      </c>
      <c r="Y3391" t="s">
        <v>18774</v>
      </c>
      <c r="Z3391" t="s">
        <v>5104</v>
      </c>
      <c r="AA3391" t="s">
        <v>5000</v>
      </c>
      <c r="AE3391">
        <v>-36.983678449999999</v>
      </c>
      <c r="AF3391">
        <v>174.91163996</v>
      </c>
      <c r="AG3391">
        <v>50</v>
      </c>
      <c r="AH3391">
        <v>50</v>
      </c>
    </row>
    <row r="3392" spans="1:34">
      <c r="A3392">
        <v>48326</v>
      </c>
      <c r="B3392" t="s">
        <v>18775</v>
      </c>
      <c r="C3392" t="s">
        <v>18776</v>
      </c>
      <c r="E3392" t="s">
        <v>18777</v>
      </c>
      <c r="G3392" t="s">
        <v>3369</v>
      </c>
      <c r="H3392" t="s">
        <v>3942</v>
      </c>
      <c r="J3392" t="s">
        <v>518</v>
      </c>
      <c r="K3392" t="s">
        <v>519</v>
      </c>
      <c r="M3392" t="s">
        <v>2287</v>
      </c>
      <c r="N3392" t="s">
        <v>8995</v>
      </c>
      <c r="O3392" t="s">
        <v>3360</v>
      </c>
      <c r="P3392" t="s">
        <v>523</v>
      </c>
      <c r="Q3392" t="s">
        <v>3337</v>
      </c>
      <c r="R3392" t="s">
        <v>3338</v>
      </c>
      <c r="S3392" t="s">
        <v>3250</v>
      </c>
      <c r="T3392" t="s">
        <v>2448</v>
      </c>
      <c r="U3392">
        <v>345000</v>
      </c>
      <c r="V3392" t="s">
        <v>18778</v>
      </c>
      <c r="W3392" t="s">
        <v>3371</v>
      </c>
      <c r="X3392" t="s">
        <v>18311</v>
      </c>
      <c r="Y3392" t="s">
        <v>3944</v>
      </c>
      <c r="Z3392" t="s">
        <v>3945</v>
      </c>
      <c r="AA3392" t="s">
        <v>3946</v>
      </c>
      <c r="AE3392">
        <v>-45.03402131</v>
      </c>
      <c r="AF3392">
        <v>169.20020944999999</v>
      </c>
      <c r="AG3392">
        <v>80</v>
      </c>
      <c r="AH3392">
        <v>30</v>
      </c>
    </row>
    <row r="3393" spans="1:46">
      <c r="A3393">
        <v>48328</v>
      </c>
      <c r="B3393" t="s">
        <v>18779</v>
      </c>
      <c r="C3393" t="s">
        <v>18780</v>
      </c>
      <c r="E3393" t="s">
        <v>18781</v>
      </c>
      <c r="F3393" t="s">
        <v>2175</v>
      </c>
      <c r="G3393" t="s">
        <v>2119</v>
      </c>
      <c r="H3393" t="s">
        <v>3942</v>
      </c>
      <c r="J3393" t="s">
        <v>3962</v>
      </c>
      <c r="K3393" t="s">
        <v>519</v>
      </c>
      <c r="M3393" t="s">
        <v>1297</v>
      </c>
      <c r="N3393" t="s">
        <v>8995</v>
      </c>
      <c r="O3393" t="s">
        <v>2131</v>
      </c>
      <c r="P3393" t="s">
        <v>584</v>
      </c>
      <c r="Q3393" t="s">
        <v>2118</v>
      </c>
      <c r="R3393" t="s">
        <v>2084</v>
      </c>
      <c r="S3393" t="s">
        <v>2119</v>
      </c>
      <c r="T3393" t="s">
        <v>2085</v>
      </c>
      <c r="U3393">
        <v>214900</v>
      </c>
      <c r="V3393" t="s">
        <v>2176</v>
      </c>
      <c r="W3393" t="s">
        <v>2140</v>
      </c>
      <c r="X3393" t="s">
        <v>18782</v>
      </c>
      <c r="Y3393" t="s">
        <v>18783</v>
      </c>
      <c r="Z3393" t="s">
        <v>2175</v>
      </c>
      <c r="AA3393" t="s">
        <v>13598</v>
      </c>
      <c r="AB3393" t="s">
        <v>18784</v>
      </c>
      <c r="AE3393">
        <v>-39.538926719999999</v>
      </c>
      <c r="AF3393">
        <v>176.85502969000001</v>
      </c>
      <c r="AG3393">
        <v>10</v>
      </c>
      <c r="AH3393">
        <v>5</v>
      </c>
    </row>
    <row r="3394" spans="1:46">
      <c r="A3394">
        <v>48332</v>
      </c>
      <c r="B3394" t="s">
        <v>18785</v>
      </c>
      <c r="C3394" t="s">
        <v>18786</v>
      </c>
      <c r="D3394" t="s">
        <v>18787</v>
      </c>
      <c r="E3394" t="s">
        <v>18788</v>
      </c>
      <c r="G3394" t="s">
        <v>2526</v>
      </c>
      <c r="H3394" t="s">
        <v>3942</v>
      </c>
      <c r="J3394" t="s">
        <v>3962</v>
      </c>
      <c r="K3394" t="s">
        <v>519</v>
      </c>
      <c r="M3394" t="s">
        <v>2287</v>
      </c>
      <c r="O3394" t="s">
        <v>2527</v>
      </c>
      <c r="P3394" t="s">
        <v>584</v>
      </c>
      <c r="Q3394" t="s">
        <v>2319</v>
      </c>
      <c r="R3394" t="s">
        <v>2289</v>
      </c>
      <c r="S3394" t="s">
        <v>2528</v>
      </c>
      <c r="T3394" t="s">
        <v>1485</v>
      </c>
      <c r="U3394">
        <v>239900</v>
      </c>
      <c r="V3394" t="s">
        <v>13037</v>
      </c>
      <c r="W3394" t="s">
        <v>2529</v>
      </c>
      <c r="X3394" t="s">
        <v>18789</v>
      </c>
      <c r="Y3394" t="s">
        <v>18790</v>
      </c>
      <c r="Z3394" t="s">
        <v>5104</v>
      </c>
      <c r="AA3394" t="s">
        <v>5000</v>
      </c>
      <c r="AE3394">
        <v>-41.14836038</v>
      </c>
      <c r="AF3394">
        <v>174.83258303</v>
      </c>
      <c r="AG3394">
        <v>65</v>
      </c>
      <c r="AH3394">
        <v>15</v>
      </c>
    </row>
    <row r="3395" spans="1:46">
      <c r="A3395">
        <v>48334</v>
      </c>
      <c r="B3395" t="s">
        <v>18791</v>
      </c>
      <c r="C3395" t="s">
        <v>18792</v>
      </c>
      <c r="E3395" t="s">
        <v>18793</v>
      </c>
      <c r="G3395" t="s">
        <v>1234</v>
      </c>
      <c r="H3395" t="s">
        <v>3942</v>
      </c>
      <c r="J3395" t="s">
        <v>518</v>
      </c>
      <c r="K3395" t="s">
        <v>519</v>
      </c>
      <c r="M3395" t="s">
        <v>520</v>
      </c>
      <c r="O3395" t="s">
        <v>1268</v>
      </c>
      <c r="P3395" t="s">
        <v>654</v>
      </c>
      <c r="Q3395" t="s">
        <v>638</v>
      </c>
      <c r="R3395" t="s">
        <v>729</v>
      </c>
      <c r="S3395" t="s">
        <v>1234</v>
      </c>
      <c r="T3395" t="s">
        <v>1235</v>
      </c>
      <c r="U3395">
        <v>163400</v>
      </c>
      <c r="V3395" t="s">
        <v>18794</v>
      </c>
      <c r="W3395" t="s">
        <v>1219</v>
      </c>
      <c r="X3395" t="s">
        <v>17613</v>
      </c>
      <c r="Y3395" t="s">
        <v>3944</v>
      </c>
      <c r="Z3395" t="s">
        <v>3945</v>
      </c>
      <c r="AA3395" t="s">
        <v>3946</v>
      </c>
      <c r="AB3395" t="s">
        <v>17611</v>
      </c>
      <c r="AE3395">
        <v>-37.086212410000002</v>
      </c>
      <c r="AF3395">
        <v>174.93225558</v>
      </c>
      <c r="AG3395">
        <v>100</v>
      </c>
      <c r="AH3395">
        <v>20</v>
      </c>
    </row>
    <row r="3396" spans="1:46">
      <c r="A3396">
        <v>48335</v>
      </c>
      <c r="B3396" t="s">
        <v>18795</v>
      </c>
      <c r="C3396" t="s">
        <v>18796</v>
      </c>
      <c r="E3396" t="s">
        <v>18797</v>
      </c>
      <c r="F3396" t="s">
        <v>821</v>
      </c>
      <c r="G3396" t="s">
        <v>652</v>
      </c>
      <c r="H3396" t="s">
        <v>3942</v>
      </c>
      <c r="J3396" t="s">
        <v>3962</v>
      </c>
      <c r="K3396" t="s">
        <v>519</v>
      </c>
      <c r="M3396" t="s">
        <v>520</v>
      </c>
      <c r="N3396" t="s">
        <v>8995</v>
      </c>
      <c r="O3396" t="s">
        <v>804</v>
      </c>
      <c r="P3396" t="s">
        <v>654</v>
      </c>
      <c r="Q3396" t="s">
        <v>638</v>
      </c>
      <c r="R3396" t="s">
        <v>708</v>
      </c>
      <c r="S3396" t="s">
        <v>880</v>
      </c>
      <c r="T3396" t="s">
        <v>709</v>
      </c>
      <c r="U3396">
        <v>143100</v>
      </c>
      <c r="V3396" t="s">
        <v>6196</v>
      </c>
      <c r="W3396" t="s">
        <v>824</v>
      </c>
      <c r="X3396" t="s">
        <v>18798</v>
      </c>
      <c r="Y3396" t="s">
        <v>18797</v>
      </c>
      <c r="Z3396" t="s">
        <v>821</v>
      </c>
      <c r="AA3396" t="s">
        <v>15881</v>
      </c>
      <c r="AE3396">
        <v>-36.882997240000002</v>
      </c>
      <c r="AF3396">
        <v>174.81366009000001</v>
      </c>
      <c r="AG3396">
        <v>150</v>
      </c>
      <c r="AH3396">
        <v>45</v>
      </c>
    </row>
    <row r="3397" spans="1:46">
      <c r="A3397">
        <v>48336</v>
      </c>
      <c r="B3397" t="s">
        <v>18799</v>
      </c>
      <c r="C3397" t="s">
        <v>18800</v>
      </c>
      <c r="E3397" t="s">
        <v>18801</v>
      </c>
      <c r="G3397" t="s">
        <v>667</v>
      </c>
      <c r="H3397" t="s">
        <v>3942</v>
      </c>
      <c r="J3397" t="s">
        <v>3962</v>
      </c>
      <c r="K3397" t="s">
        <v>519</v>
      </c>
      <c r="M3397" t="s">
        <v>520</v>
      </c>
      <c r="N3397" t="s">
        <v>8995</v>
      </c>
      <c r="O3397" t="s">
        <v>653</v>
      </c>
      <c r="P3397" t="s">
        <v>584</v>
      </c>
      <c r="Q3397" t="s">
        <v>638</v>
      </c>
      <c r="R3397" t="s">
        <v>639</v>
      </c>
      <c r="S3397" t="s">
        <v>668</v>
      </c>
      <c r="T3397" t="s">
        <v>527</v>
      </c>
      <c r="U3397">
        <v>112902</v>
      </c>
      <c r="V3397" t="s">
        <v>18802</v>
      </c>
      <c r="W3397" t="s">
        <v>657</v>
      </c>
      <c r="X3397" t="s">
        <v>17753</v>
      </c>
      <c r="Y3397" t="s">
        <v>18801</v>
      </c>
      <c r="AA3397" t="s">
        <v>18803</v>
      </c>
      <c r="AB3397" t="s">
        <v>17755</v>
      </c>
      <c r="AE3397">
        <v>-36.593224669999998</v>
      </c>
      <c r="AF3397">
        <v>174.67038840000001</v>
      </c>
      <c r="AG3397">
        <v>60</v>
      </c>
      <c r="AH3397">
        <v>20</v>
      </c>
    </row>
    <row r="3398" spans="1:46">
      <c r="A3398">
        <v>48337</v>
      </c>
      <c r="B3398" t="s">
        <v>18804</v>
      </c>
      <c r="C3398" t="s">
        <v>18805</v>
      </c>
      <c r="E3398" t="s">
        <v>18806</v>
      </c>
      <c r="F3398" t="s">
        <v>1177</v>
      </c>
      <c r="G3398" t="s">
        <v>652</v>
      </c>
      <c r="H3398" t="s">
        <v>3942</v>
      </c>
      <c r="I3398" t="s">
        <v>4065</v>
      </c>
      <c r="J3398" t="s">
        <v>3962</v>
      </c>
      <c r="K3398" t="s">
        <v>519</v>
      </c>
      <c r="M3398" t="s">
        <v>520</v>
      </c>
      <c r="N3398" t="s">
        <v>8995</v>
      </c>
      <c r="O3398" t="s">
        <v>748</v>
      </c>
      <c r="P3398" t="s">
        <v>654</v>
      </c>
      <c r="Q3398" t="s">
        <v>638</v>
      </c>
      <c r="R3398" t="s">
        <v>639</v>
      </c>
      <c r="S3398" t="s">
        <v>682</v>
      </c>
      <c r="T3398" t="s">
        <v>527</v>
      </c>
      <c r="U3398">
        <v>126801</v>
      </c>
      <c r="V3398" t="s">
        <v>1178</v>
      </c>
      <c r="W3398" t="s">
        <v>741</v>
      </c>
      <c r="X3398" t="s">
        <v>4179</v>
      </c>
      <c r="Y3398" t="s">
        <v>4180</v>
      </c>
      <c r="Z3398" t="s">
        <v>4181</v>
      </c>
      <c r="AA3398" t="s">
        <v>4182</v>
      </c>
      <c r="AB3398" t="s">
        <v>4183</v>
      </c>
      <c r="AE3398">
        <v>-36.785593519999999</v>
      </c>
      <c r="AF3398">
        <v>174.76838838</v>
      </c>
      <c r="AG3398">
        <v>30</v>
      </c>
      <c r="AH3398">
        <v>0</v>
      </c>
    </row>
    <row r="3399" spans="1:46">
      <c r="A3399">
        <v>48339</v>
      </c>
      <c r="B3399" t="s">
        <v>18807</v>
      </c>
      <c r="C3399" t="s">
        <v>16639</v>
      </c>
      <c r="E3399" t="s">
        <v>18808</v>
      </c>
      <c r="F3399" t="s">
        <v>1096</v>
      </c>
      <c r="G3399" t="s">
        <v>652</v>
      </c>
      <c r="H3399" t="s">
        <v>3942</v>
      </c>
      <c r="J3399" t="s">
        <v>518</v>
      </c>
      <c r="K3399" t="s">
        <v>519</v>
      </c>
      <c r="M3399" t="s">
        <v>520</v>
      </c>
      <c r="N3399" t="s">
        <v>8995</v>
      </c>
      <c r="O3399" t="s">
        <v>957</v>
      </c>
      <c r="P3399" t="s">
        <v>654</v>
      </c>
      <c r="Q3399" t="s">
        <v>638</v>
      </c>
      <c r="R3399" t="s">
        <v>708</v>
      </c>
      <c r="S3399" t="s">
        <v>958</v>
      </c>
      <c r="T3399" t="s">
        <v>709</v>
      </c>
      <c r="U3399">
        <v>136400</v>
      </c>
      <c r="V3399" t="s">
        <v>18809</v>
      </c>
      <c r="W3399" t="s">
        <v>824</v>
      </c>
      <c r="X3399" t="s">
        <v>5727</v>
      </c>
      <c r="Y3399" t="s">
        <v>5728</v>
      </c>
      <c r="AA3399" t="s">
        <v>4659</v>
      </c>
      <c r="AE3399">
        <v>-36.852626299999997</v>
      </c>
      <c r="AF3399">
        <v>174.77530705000001</v>
      </c>
      <c r="AG3399">
        <v>55</v>
      </c>
      <c r="AH3399">
        <v>23</v>
      </c>
    </row>
    <row r="3400" spans="1:46">
      <c r="A3400">
        <v>48344</v>
      </c>
      <c r="B3400" t="s">
        <v>18810</v>
      </c>
      <c r="C3400" t="s">
        <v>18811</v>
      </c>
      <c r="E3400" t="s">
        <v>18812</v>
      </c>
      <c r="G3400" t="s">
        <v>8890</v>
      </c>
      <c r="H3400" t="s">
        <v>3942</v>
      </c>
      <c r="J3400" t="s">
        <v>518</v>
      </c>
      <c r="K3400" t="s">
        <v>519</v>
      </c>
      <c r="M3400" t="s">
        <v>1297</v>
      </c>
      <c r="N3400" t="s">
        <v>8995</v>
      </c>
      <c r="O3400" t="s">
        <v>1743</v>
      </c>
      <c r="P3400" t="s">
        <v>523</v>
      </c>
      <c r="Q3400" t="s">
        <v>1471</v>
      </c>
      <c r="R3400" t="s">
        <v>1472</v>
      </c>
      <c r="S3400" t="s">
        <v>1438</v>
      </c>
      <c r="T3400" t="s">
        <v>1474</v>
      </c>
      <c r="U3400">
        <v>191001</v>
      </c>
      <c r="V3400" t="s">
        <v>8891</v>
      </c>
      <c r="W3400" t="s">
        <v>8759</v>
      </c>
      <c r="X3400" t="s">
        <v>8706</v>
      </c>
      <c r="Y3400" t="s">
        <v>8707</v>
      </c>
      <c r="AA3400" t="s">
        <v>8708</v>
      </c>
      <c r="AB3400" t="s">
        <v>8709</v>
      </c>
      <c r="AE3400">
        <v>-37.648796300000001</v>
      </c>
      <c r="AF3400">
        <v>176.02627924999999</v>
      </c>
      <c r="AG3400">
        <v>40</v>
      </c>
      <c r="AH3400">
        <v>8</v>
      </c>
    </row>
    <row r="3401" spans="1:46">
      <c r="A3401">
        <v>48345</v>
      </c>
      <c r="B3401" t="s">
        <v>18813</v>
      </c>
      <c r="C3401" t="s">
        <v>18814</v>
      </c>
      <c r="D3401" t="s">
        <v>18815</v>
      </c>
      <c r="E3401" t="s">
        <v>18816</v>
      </c>
      <c r="F3401" t="s">
        <v>1949</v>
      </c>
      <c r="G3401" t="s">
        <v>1842</v>
      </c>
      <c r="H3401" t="s">
        <v>3942</v>
      </c>
      <c r="J3401" t="s">
        <v>518</v>
      </c>
      <c r="K3401" t="s">
        <v>519</v>
      </c>
      <c r="M3401" t="s">
        <v>1297</v>
      </c>
      <c r="N3401" t="s">
        <v>8995</v>
      </c>
      <c r="O3401" t="s">
        <v>1887</v>
      </c>
      <c r="P3401" t="s">
        <v>584</v>
      </c>
      <c r="Q3401" t="s">
        <v>1636</v>
      </c>
      <c r="R3401" t="s">
        <v>1760</v>
      </c>
      <c r="S3401" t="s">
        <v>1842</v>
      </c>
      <c r="T3401" t="s">
        <v>1485</v>
      </c>
      <c r="U3401">
        <v>225500</v>
      </c>
      <c r="V3401" t="s">
        <v>1950</v>
      </c>
      <c r="W3401" t="s">
        <v>1652</v>
      </c>
      <c r="X3401" t="s">
        <v>18817</v>
      </c>
      <c r="Y3401" t="s">
        <v>18816</v>
      </c>
      <c r="Z3401" t="s">
        <v>1949</v>
      </c>
      <c r="AA3401" t="s">
        <v>14509</v>
      </c>
      <c r="AB3401" t="s">
        <v>18818</v>
      </c>
      <c r="AE3401">
        <v>-39.920094849999998</v>
      </c>
      <c r="AF3401">
        <v>175.06716997999999</v>
      </c>
      <c r="AG3401">
        <v>60</v>
      </c>
      <c r="AH3401">
        <v>0</v>
      </c>
    </row>
    <row r="3402" spans="1:46">
      <c r="A3402">
        <v>48346</v>
      </c>
      <c r="B3402" t="s">
        <v>18819</v>
      </c>
      <c r="C3402" t="s">
        <v>18820</v>
      </c>
      <c r="D3402" t="s">
        <v>18821</v>
      </c>
      <c r="E3402" t="s">
        <v>18822</v>
      </c>
      <c r="F3402" t="s">
        <v>3608</v>
      </c>
      <c r="G3402" t="s">
        <v>2941</v>
      </c>
      <c r="H3402" t="s">
        <v>3942</v>
      </c>
      <c r="J3402" t="s">
        <v>3962</v>
      </c>
      <c r="K3402" t="s">
        <v>519</v>
      </c>
      <c r="M3402" t="s">
        <v>2287</v>
      </c>
      <c r="N3402" t="s">
        <v>8995</v>
      </c>
      <c r="O3402" t="s">
        <v>2942</v>
      </c>
      <c r="P3402" t="s">
        <v>654</v>
      </c>
      <c r="Q3402" t="s">
        <v>2943</v>
      </c>
      <c r="R3402" t="s">
        <v>2944</v>
      </c>
      <c r="S3402" t="s">
        <v>2965</v>
      </c>
      <c r="T3402" t="s">
        <v>2448</v>
      </c>
      <c r="U3402">
        <v>316900</v>
      </c>
      <c r="V3402" t="s">
        <v>18823</v>
      </c>
      <c r="W3402" t="s">
        <v>2986</v>
      </c>
      <c r="X3402" t="s">
        <v>17854</v>
      </c>
      <c r="Y3402" t="s">
        <v>18822</v>
      </c>
      <c r="Z3402" t="s">
        <v>3608</v>
      </c>
      <c r="AA3402" t="s">
        <v>12325</v>
      </c>
      <c r="AE3402">
        <v>-43.44930591</v>
      </c>
      <c r="AF3402">
        <v>172.62617098999999</v>
      </c>
      <c r="AG3402">
        <v>40</v>
      </c>
      <c r="AH3402">
        <v>20</v>
      </c>
    </row>
    <row r="3403" spans="1:46">
      <c r="A3403">
        <v>48347</v>
      </c>
      <c r="B3403" t="s">
        <v>16748</v>
      </c>
      <c r="C3403" t="s">
        <v>18824</v>
      </c>
      <c r="E3403" t="s">
        <v>18825</v>
      </c>
      <c r="F3403" t="s">
        <v>770</v>
      </c>
      <c r="G3403" t="s">
        <v>652</v>
      </c>
      <c r="H3403" t="s">
        <v>3942</v>
      </c>
      <c r="J3403" t="s">
        <v>3962</v>
      </c>
      <c r="K3403" t="s">
        <v>519</v>
      </c>
      <c r="M3403" t="s">
        <v>520</v>
      </c>
      <c r="N3403" t="s">
        <v>8995</v>
      </c>
      <c r="O3403" t="s">
        <v>718</v>
      </c>
      <c r="P3403" t="s">
        <v>654</v>
      </c>
      <c r="Q3403" t="s">
        <v>638</v>
      </c>
      <c r="R3403" t="s">
        <v>639</v>
      </c>
      <c r="S3403" t="s">
        <v>719</v>
      </c>
      <c r="T3403" t="s">
        <v>709</v>
      </c>
      <c r="U3403">
        <v>132600</v>
      </c>
      <c r="V3403" t="s">
        <v>11742</v>
      </c>
      <c r="W3403" t="s">
        <v>721</v>
      </c>
      <c r="X3403" t="s">
        <v>16752</v>
      </c>
      <c r="Y3403" t="s">
        <v>16751</v>
      </c>
      <c r="Z3403" t="s">
        <v>872</v>
      </c>
      <c r="AA3403" t="s">
        <v>4985</v>
      </c>
      <c r="AB3403" t="s">
        <v>16753</v>
      </c>
      <c r="AE3403">
        <v>-36.908665550000002</v>
      </c>
      <c r="AF3403">
        <v>174.67439207999999</v>
      </c>
      <c r="AG3403">
        <v>60</v>
      </c>
      <c r="AH3403">
        <v>20</v>
      </c>
    </row>
    <row r="3404" spans="1:46">
      <c r="A3404">
        <v>48348</v>
      </c>
      <c r="B3404" t="s">
        <v>18826</v>
      </c>
      <c r="C3404" t="s">
        <v>18827</v>
      </c>
      <c r="E3404" t="s">
        <v>18828</v>
      </c>
      <c r="F3404" t="s">
        <v>3706</v>
      </c>
      <c r="G3404" t="s">
        <v>652</v>
      </c>
      <c r="H3404" t="s">
        <v>4716</v>
      </c>
      <c r="J3404" t="s">
        <v>3962</v>
      </c>
      <c r="K3404" t="s">
        <v>519</v>
      </c>
      <c r="M3404" t="s">
        <v>520</v>
      </c>
      <c r="N3404" t="s">
        <v>8995</v>
      </c>
      <c r="O3404" t="s">
        <v>1168</v>
      </c>
      <c r="P3404" t="s">
        <v>654</v>
      </c>
      <c r="Q3404" t="s">
        <v>638</v>
      </c>
      <c r="R3404" t="s">
        <v>639</v>
      </c>
      <c r="S3404" t="s">
        <v>655</v>
      </c>
      <c r="T3404" t="s">
        <v>527</v>
      </c>
      <c r="U3404">
        <v>118100</v>
      </c>
      <c r="V3404" t="s">
        <v>18829</v>
      </c>
      <c r="W3404" t="s">
        <v>657</v>
      </c>
      <c r="X3404" t="s">
        <v>18830</v>
      </c>
      <c r="Y3404" t="s">
        <v>18828</v>
      </c>
      <c r="Z3404" t="s">
        <v>3706</v>
      </c>
      <c r="AA3404" t="s">
        <v>4084</v>
      </c>
      <c r="AE3404">
        <v>-36.7404741</v>
      </c>
      <c r="AF3404">
        <v>174.70185000000001</v>
      </c>
      <c r="AG3404">
        <v>20</v>
      </c>
      <c r="AH3404">
        <v>20</v>
      </c>
    </row>
    <row r="3405" spans="1:46">
      <c r="A3405">
        <v>48349</v>
      </c>
      <c r="B3405" t="s">
        <v>18831</v>
      </c>
      <c r="C3405" t="s">
        <v>18832</v>
      </c>
      <c r="E3405" t="s">
        <v>18833</v>
      </c>
      <c r="F3405" t="s">
        <v>706</v>
      </c>
      <c r="G3405" t="s">
        <v>652</v>
      </c>
      <c r="H3405" t="s">
        <v>3942</v>
      </c>
      <c r="J3405" t="s">
        <v>3962</v>
      </c>
      <c r="K3405" t="s">
        <v>519</v>
      </c>
      <c r="M3405" t="s">
        <v>520</v>
      </c>
      <c r="R3405" t="s">
        <v>708</v>
      </c>
      <c r="X3405" t="s">
        <v>8037</v>
      </c>
      <c r="Y3405" t="s">
        <v>18834</v>
      </c>
      <c r="AA3405" t="s">
        <v>18835</v>
      </c>
      <c r="AB3405" t="s">
        <v>8040</v>
      </c>
      <c r="AG3405">
        <v>50</v>
      </c>
      <c r="AH3405">
        <v>0</v>
      </c>
    </row>
    <row r="3406" spans="1:46">
      <c r="A3406">
        <v>48350</v>
      </c>
      <c r="B3406" t="s">
        <v>18836</v>
      </c>
      <c r="C3406" t="s">
        <v>18837</v>
      </c>
      <c r="E3406" t="s">
        <v>18838</v>
      </c>
      <c r="G3406" t="s">
        <v>18839</v>
      </c>
      <c r="H3406" t="s">
        <v>3942</v>
      </c>
      <c r="I3406" t="s">
        <v>4231</v>
      </c>
      <c r="J3406" t="s">
        <v>518</v>
      </c>
      <c r="K3406" t="s">
        <v>519</v>
      </c>
      <c r="M3406" t="s">
        <v>1297</v>
      </c>
      <c r="R3406" t="s">
        <v>2084</v>
      </c>
      <c r="X3406" t="s">
        <v>18840</v>
      </c>
      <c r="AB3406" t="s">
        <v>18837</v>
      </c>
      <c r="AG3406">
        <v>20</v>
      </c>
      <c r="AH3406">
        <v>0</v>
      </c>
    </row>
    <row r="3407" spans="1:46">
      <c r="A3407">
        <v>48351</v>
      </c>
      <c r="B3407" t="s">
        <v>18841</v>
      </c>
      <c r="C3407" t="s">
        <v>18842</v>
      </c>
      <c r="D3407" t="s">
        <v>18843</v>
      </c>
      <c r="E3407" t="s">
        <v>18844</v>
      </c>
      <c r="G3407" t="s">
        <v>699</v>
      </c>
      <c r="H3407" t="s">
        <v>4716</v>
      </c>
      <c r="J3407" t="s">
        <v>3962</v>
      </c>
      <c r="K3407" t="s">
        <v>519</v>
      </c>
      <c r="M3407" t="s">
        <v>520</v>
      </c>
      <c r="N3407" t="s">
        <v>8995</v>
      </c>
      <c r="R3407" t="s">
        <v>639</v>
      </c>
      <c r="X3407" t="s">
        <v>18845</v>
      </c>
      <c r="Y3407" t="s">
        <v>18846</v>
      </c>
      <c r="AA3407" t="s">
        <v>4537</v>
      </c>
      <c r="AB3407" t="s">
        <v>18842</v>
      </c>
    </row>
    <row r="3408" spans="1:46">
      <c r="A3408">
        <v>50003</v>
      </c>
      <c r="B3408" t="s">
        <v>18847</v>
      </c>
      <c r="C3408" t="s">
        <v>18848</v>
      </c>
      <c r="D3408" t="s">
        <v>18849</v>
      </c>
      <c r="E3408" t="s">
        <v>18850</v>
      </c>
      <c r="G3408" t="s">
        <v>18851</v>
      </c>
      <c r="H3408" t="s">
        <v>298</v>
      </c>
      <c r="J3408" t="s">
        <v>518</v>
      </c>
      <c r="K3408" t="s">
        <v>519</v>
      </c>
      <c r="M3408" t="s">
        <v>1297</v>
      </c>
      <c r="N3408" t="s">
        <v>571</v>
      </c>
      <c r="O3408" t="s">
        <v>1758</v>
      </c>
      <c r="P3408" t="s">
        <v>540</v>
      </c>
      <c r="Q3408" t="s">
        <v>1759</v>
      </c>
      <c r="R3408" t="s">
        <v>1760</v>
      </c>
      <c r="S3408" t="s">
        <v>1417</v>
      </c>
      <c r="T3408" t="s">
        <v>1485</v>
      </c>
      <c r="U3408">
        <v>219401</v>
      </c>
      <c r="V3408" t="s">
        <v>18852</v>
      </c>
      <c r="W3408" t="s">
        <v>1826</v>
      </c>
      <c r="X3408" t="s">
        <v>10355</v>
      </c>
      <c r="Y3408" t="s">
        <v>5187</v>
      </c>
      <c r="AA3408" t="s">
        <v>5188</v>
      </c>
      <c r="AB3408" t="s">
        <v>10356</v>
      </c>
      <c r="AE3408">
        <v>-39.000002979999998</v>
      </c>
      <c r="AF3408">
        <v>174.38880768000001</v>
      </c>
      <c r="AG3408">
        <v>30</v>
      </c>
      <c r="AH3408">
        <v>15</v>
      </c>
      <c r="AI3408">
        <v>5</v>
      </c>
      <c r="AJ3408">
        <v>2</v>
      </c>
      <c r="AK3408">
        <v>6</v>
      </c>
      <c r="AL3408">
        <v>4</v>
      </c>
      <c r="AM3408">
        <v>1</v>
      </c>
      <c r="AN3408">
        <v>0</v>
      </c>
      <c r="AO3408">
        <v>18</v>
      </c>
      <c r="AP3408">
        <v>14</v>
      </c>
      <c r="AQ3408">
        <v>8</v>
      </c>
      <c r="AR3408">
        <v>0</v>
      </c>
      <c r="AS3408">
        <v>0</v>
      </c>
      <c r="AT3408">
        <v>0</v>
      </c>
    </row>
    <row r="3409" spans="1:46">
      <c r="A3409">
        <v>50004</v>
      </c>
      <c r="B3409" t="s">
        <v>18853</v>
      </c>
      <c r="C3409" t="s">
        <v>18848</v>
      </c>
      <c r="D3409" t="s">
        <v>18854</v>
      </c>
      <c r="E3409" t="s">
        <v>18855</v>
      </c>
      <c r="G3409" t="s">
        <v>18856</v>
      </c>
      <c r="H3409" t="s">
        <v>298</v>
      </c>
      <c r="J3409" t="s">
        <v>518</v>
      </c>
      <c r="K3409" t="s">
        <v>519</v>
      </c>
      <c r="M3409" t="s">
        <v>1297</v>
      </c>
      <c r="N3409" t="s">
        <v>571</v>
      </c>
      <c r="O3409" t="s">
        <v>1841</v>
      </c>
      <c r="P3409" t="s">
        <v>572</v>
      </c>
      <c r="Q3409" t="s">
        <v>1759</v>
      </c>
      <c r="R3409" t="s">
        <v>1760</v>
      </c>
      <c r="S3409" t="s">
        <v>1417</v>
      </c>
      <c r="T3409" t="s">
        <v>1485</v>
      </c>
      <c r="U3409">
        <v>220001</v>
      </c>
      <c r="V3409" t="s">
        <v>18856</v>
      </c>
      <c r="W3409" t="s">
        <v>18857</v>
      </c>
      <c r="X3409" t="s">
        <v>10355</v>
      </c>
      <c r="Y3409" t="s">
        <v>5187</v>
      </c>
      <c r="AA3409" t="s">
        <v>5188</v>
      </c>
      <c r="AB3409" t="s">
        <v>10356</v>
      </c>
      <c r="AE3409">
        <v>-39.335126680000002</v>
      </c>
      <c r="AF3409">
        <v>174.39360468999999</v>
      </c>
      <c r="AG3409">
        <v>30</v>
      </c>
      <c r="AH3409">
        <v>15</v>
      </c>
      <c r="AI3409">
        <v>5</v>
      </c>
      <c r="AJ3409">
        <v>2</v>
      </c>
      <c r="AK3409">
        <v>8</v>
      </c>
      <c r="AL3409">
        <v>2</v>
      </c>
      <c r="AM3409">
        <v>4</v>
      </c>
      <c r="AN3409">
        <v>0</v>
      </c>
      <c r="AO3409">
        <v>21</v>
      </c>
      <c r="AP3409">
        <v>21</v>
      </c>
      <c r="AQ3409">
        <v>1</v>
      </c>
      <c r="AR3409">
        <v>1</v>
      </c>
      <c r="AS3409">
        <v>0</v>
      </c>
      <c r="AT3409">
        <v>0</v>
      </c>
    </row>
    <row r="3410" spans="1:46">
      <c r="A3410">
        <v>50005</v>
      </c>
      <c r="B3410" t="s">
        <v>18858</v>
      </c>
      <c r="C3410" t="s">
        <v>18848</v>
      </c>
      <c r="D3410" t="s">
        <v>18859</v>
      </c>
      <c r="E3410" t="s">
        <v>18860</v>
      </c>
      <c r="G3410" t="s">
        <v>1824</v>
      </c>
      <c r="H3410" t="s">
        <v>298</v>
      </c>
      <c r="J3410" t="s">
        <v>518</v>
      </c>
      <c r="K3410" t="s">
        <v>519</v>
      </c>
      <c r="M3410" t="s">
        <v>1297</v>
      </c>
      <c r="N3410" t="s">
        <v>8995</v>
      </c>
      <c r="O3410" t="s">
        <v>1758</v>
      </c>
      <c r="P3410" t="s">
        <v>572</v>
      </c>
      <c r="Q3410" t="s">
        <v>1759</v>
      </c>
      <c r="R3410" t="s">
        <v>1760</v>
      </c>
      <c r="S3410" t="s">
        <v>1417</v>
      </c>
      <c r="T3410" t="s">
        <v>1485</v>
      </c>
      <c r="U3410">
        <v>219401</v>
      </c>
      <c r="V3410" t="s">
        <v>18852</v>
      </c>
      <c r="W3410" t="s">
        <v>1826</v>
      </c>
      <c r="X3410" t="s">
        <v>10355</v>
      </c>
      <c r="Y3410" t="s">
        <v>5187</v>
      </c>
      <c r="AA3410" t="s">
        <v>5188</v>
      </c>
      <c r="AB3410" t="s">
        <v>10356</v>
      </c>
      <c r="AE3410">
        <v>-39.034397570000003</v>
      </c>
      <c r="AF3410">
        <v>174.27835809999999</v>
      </c>
      <c r="AG3410">
        <v>30</v>
      </c>
      <c r="AH3410">
        <v>15</v>
      </c>
      <c r="AI3410">
        <v>2</v>
      </c>
      <c r="AJ3410">
        <v>2</v>
      </c>
      <c r="AK3410">
        <v>2</v>
      </c>
      <c r="AL3410">
        <v>5</v>
      </c>
      <c r="AM3410">
        <v>2</v>
      </c>
      <c r="AN3410">
        <v>0</v>
      </c>
      <c r="AO3410">
        <v>13</v>
      </c>
      <c r="AP3410">
        <v>13</v>
      </c>
      <c r="AQ3410">
        <v>6</v>
      </c>
      <c r="AR3410">
        <v>0</v>
      </c>
      <c r="AS3410">
        <v>0</v>
      </c>
      <c r="AT3410">
        <v>0</v>
      </c>
    </row>
    <row r="3411" spans="1:46">
      <c r="A3411">
        <v>50007</v>
      </c>
      <c r="B3411" t="s">
        <v>18861</v>
      </c>
      <c r="C3411" t="s">
        <v>18848</v>
      </c>
      <c r="D3411" t="s">
        <v>18862</v>
      </c>
      <c r="E3411" t="s">
        <v>18863</v>
      </c>
      <c r="G3411" t="s">
        <v>1840</v>
      </c>
      <c r="H3411" t="s">
        <v>298</v>
      </c>
      <c r="J3411" t="s">
        <v>518</v>
      </c>
      <c r="K3411" t="s">
        <v>519</v>
      </c>
      <c r="M3411" t="s">
        <v>1297</v>
      </c>
      <c r="N3411" t="s">
        <v>4519</v>
      </c>
      <c r="O3411" t="s">
        <v>1841</v>
      </c>
      <c r="P3411" t="s">
        <v>523</v>
      </c>
      <c r="Q3411" t="s">
        <v>1759</v>
      </c>
      <c r="R3411" t="s">
        <v>1760</v>
      </c>
      <c r="S3411" t="s">
        <v>1842</v>
      </c>
      <c r="T3411" t="s">
        <v>1485</v>
      </c>
      <c r="U3411">
        <v>220301</v>
      </c>
      <c r="V3411" t="s">
        <v>1877</v>
      </c>
      <c r="W3411" t="s">
        <v>1844</v>
      </c>
      <c r="X3411" t="s">
        <v>10355</v>
      </c>
      <c r="Y3411" t="s">
        <v>5187</v>
      </c>
      <c r="AA3411" t="s">
        <v>5188</v>
      </c>
      <c r="AB3411" t="s">
        <v>10356</v>
      </c>
      <c r="AE3411">
        <v>-39.341291499999997</v>
      </c>
      <c r="AF3411">
        <v>174.28799889999999</v>
      </c>
      <c r="AG3411">
        <v>30</v>
      </c>
      <c r="AH3411">
        <v>20</v>
      </c>
      <c r="AI3411">
        <v>7</v>
      </c>
      <c r="AJ3411">
        <v>5</v>
      </c>
      <c r="AK3411">
        <v>3</v>
      </c>
      <c r="AL3411">
        <v>4</v>
      </c>
      <c r="AM3411">
        <v>2</v>
      </c>
      <c r="AN3411">
        <v>0</v>
      </c>
      <c r="AO3411">
        <v>21</v>
      </c>
      <c r="AP3411">
        <v>21</v>
      </c>
      <c r="AQ3411">
        <v>5</v>
      </c>
      <c r="AR3411">
        <v>0</v>
      </c>
      <c r="AS3411">
        <v>1</v>
      </c>
      <c r="AT3411">
        <v>0</v>
      </c>
    </row>
    <row r="3412" spans="1:46">
      <c r="A3412">
        <v>50008</v>
      </c>
      <c r="B3412" t="s">
        <v>18864</v>
      </c>
      <c r="C3412" t="s">
        <v>18848</v>
      </c>
      <c r="D3412" t="s">
        <v>18865</v>
      </c>
      <c r="E3412" t="s">
        <v>5444</v>
      </c>
      <c r="G3412" t="s">
        <v>18866</v>
      </c>
      <c r="H3412" t="s">
        <v>298</v>
      </c>
      <c r="J3412" t="s">
        <v>518</v>
      </c>
      <c r="K3412" t="s">
        <v>519</v>
      </c>
      <c r="M3412" t="s">
        <v>1297</v>
      </c>
      <c r="N3412" t="s">
        <v>571</v>
      </c>
      <c r="O3412" t="s">
        <v>1851</v>
      </c>
      <c r="P3412" t="s">
        <v>572</v>
      </c>
      <c r="Q3412" t="s">
        <v>1759</v>
      </c>
      <c r="R3412" t="s">
        <v>1760</v>
      </c>
      <c r="S3412" t="s">
        <v>1757</v>
      </c>
      <c r="T3412" t="s">
        <v>1485</v>
      </c>
      <c r="U3412">
        <v>220501</v>
      </c>
      <c r="V3412" t="s">
        <v>18867</v>
      </c>
      <c r="W3412" t="s">
        <v>10368</v>
      </c>
      <c r="X3412" t="s">
        <v>10355</v>
      </c>
      <c r="Y3412" t="s">
        <v>5187</v>
      </c>
      <c r="AA3412" t="s">
        <v>5188</v>
      </c>
      <c r="AB3412" t="s">
        <v>10356</v>
      </c>
      <c r="AE3412">
        <v>-39.324641149999998</v>
      </c>
      <c r="AF3412">
        <v>173.80290138999999</v>
      </c>
      <c r="AG3412">
        <v>30</v>
      </c>
      <c r="AH3412">
        <v>15</v>
      </c>
      <c r="AI3412">
        <v>0</v>
      </c>
      <c r="AJ3412">
        <v>2</v>
      </c>
      <c r="AK3412">
        <v>5</v>
      </c>
      <c r="AL3412">
        <v>1</v>
      </c>
      <c r="AM3412">
        <v>4</v>
      </c>
      <c r="AN3412">
        <v>0</v>
      </c>
      <c r="AO3412">
        <v>12</v>
      </c>
      <c r="AP3412">
        <v>11</v>
      </c>
      <c r="AQ3412">
        <v>5</v>
      </c>
      <c r="AR3412">
        <v>0</v>
      </c>
      <c r="AS3412">
        <v>0</v>
      </c>
      <c r="AT3412">
        <v>0</v>
      </c>
    </row>
    <row r="3413" spans="1:46">
      <c r="A3413">
        <v>50009</v>
      </c>
      <c r="B3413" t="s">
        <v>18868</v>
      </c>
      <c r="C3413" t="s">
        <v>18848</v>
      </c>
      <c r="D3413" t="s">
        <v>18869</v>
      </c>
      <c r="E3413" t="s">
        <v>18870</v>
      </c>
      <c r="G3413" t="s">
        <v>18871</v>
      </c>
      <c r="H3413" t="s">
        <v>298</v>
      </c>
      <c r="J3413" t="s">
        <v>518</v>
      </c>
      <c r="K3413" t="s">
        <v>519</v>
      </c>
      <c r="M3413" t="s">
        <v>1297</v>
      </c>
      <c r="N3413" t="s">
        <v>571</v>
      </c>
      <c r="O3413" t="s">
        <v>1851</v>
      </c>
      <c r="P3413" t="s">
        <v>523</v>
      </c>
      <c r="Q3413" t="s">
        <v>1759</v>
      </c>
      <c r="R3413" t="s">
        <v>1760</v>
      </c>
      <c r="S3413" t="s">
        <v>1757</v>
      </c>
      <c r="T3413" t="s">
        <v>1485</v>
      </c>
      <c r="U3413">
        <v>220700</v>
      </c>
      <c r="V3413" t="s">
        <v>18872</v>
      </c>
      <c r="W3413" t="s">
        <v>10368</v>
      </c>
      <c r="X3413" t="s">
        <v>10355</v>
      </c>
      <c r="Y3413" t="s">
        <v>5187</v>
      </c>
      <c r="AA3413" t="s">
        <v>5188</v>
      </c>
      <c r="AB3413" t="s">
        <v>10356</v>
      </c>
      <c r="AE3413">
        <v>-39.452498390000002</v>
      </c>
      <c r="AF3413">
        <v>173.85665437</v>
      </c>
      <c r="AG3413">
        <v>30</v>
      </c>
      <c r="AH3413">
        <v>15</v>
      </c>
      <c r="AI3413">
        <v>0</v>
      </c>
      <c r="AJ3413">
        <v>5</v>
      </c>
      <c r="AK3413">
        <v>9</v>
      </c>
      <c r="AL3413">
        <v>6</v>
      </c>
      <c r="AM3413">
        <v>7</v>
      </c>
      <c r="AN3413">
        <v>0</v>
      </c>
      <c r="AO3413">
        <v>27</v>
      </c>
      <c r="AP3413">
        <v>21</v>
      </c>
      <c r="AQ3413">
        <v>12</v>
      </c>
      <c r="AR3413">
        <v>0</v>
      </c>
      <c r="AS3413">
        <v>0</v>
      </c>
      <c r="AT3413">
        <v>0</v>
      </c>
    </row>
    <row r="3414" spans="1:46">
      <c r="A3414">
        <v>50010</v>
      </c>
      <c r="B3414" t="s">
        <v>18873</v>
      </c>
      <c r="C3414" t="s">
        <v>18874</v>
      </c>
      <c r="D3414" t="s">
        <v>18875</v>
      </c>
      <c r="E3414" t="s">
        <v>18876</v>
      </c>
      <c r="G3414" t="s">
        <v>12769</v>
      </c>
      <c r="H3414" t="s">
        <v>298</v>
      </c>
      <c r="J3414" t="s">
        <v>518</v>
      </c>
      <c r="K3414" t="s">
        <v>519</v>
      </c>
      <c r="M3414" t="s">
        <v>1297</v>
      </c>
      <c r="N3414" t="s">
        <v>571</v>
      </c>
      <c r="O3414" t="s">
        <v>1758</v>
      </c>
      <c r="P3414" t="s">
        <v>540</v>
      </c>
      <c r="Q3414" t="s">
        <v>1759</v>
      </c>
      <c r="R3414" t="s">
        <v>1760</v>
      </c>
      <c r="S3414" t="s">
        <v>1757</v>
      </c>
      <c r="T3414" t="s">
        <v>1485</v>
      </c>
      <c r="U3414">
        <v>216700</v>
      </c>
      <c r="V3414" t="s">
        <v>12770</v>
      </c>
      <c r="W3414" t="s">
        <v>1762</v>
      </c>
      <c r="X3414" t="s">
        <v>10355</v>
      </c>
      <c r="Y3414" t="s">
        <v>5187</v>
      </c>
      <c r="AA3414" t="s">
        <v>5188</v>
      </c>
      <c r="AB3414" t="s">
        <v>10356</v>
      </c>
      <c r="AE3414">
        <v>-39.188750310000003</v>
      </c>
      <c r="AF3414">
        <v>173.87750402</v>
      </c>
      <c r="AG3414">
        <v>30</v>
      </c>
      <c r="AH3414">
        <v>15</v>
      </c>
      <c r="AI3414">
        <v>2</v>
      </c>
      <c r="AJ3414">
        <v>5</v>
      </c>
      <c r="AK3414">
        <v>1</v>
      </c>
      <c r="AL3414">
        <v>3</v>
      </c>
      <c r="AM3414">
        <v>1</v>
      </c>
      <c r="AN3414">
        <v>0</v>
      </c>
      <c r="AO3414">
        <v>12</v>
      </c>
      <c r="AP3414">
        <v>12</v>
      </c>
      <c r="AQ3414">
        <v>1</v>
      </c>
      <c r="AR3414">
        <v>1</v>
      </c>
      <c r="AS3414">
        <v>1</v>
      </c>
      <c r="AT3414">
        <v>0</v>
      </c>
    </row>
    <row r="3415" spans="1:46">
      <c r="A3415">
        <v>50012</v>
      </c>
      <c r="B3415" t="s">
        <v>18877</v>
      </c>
      <c r="C3415" t="s">
        <v>18848</v>
      </c>
      <c r="D3415" t="s">
        <v>18878</v>
      </c>
      <c r="E3415" t="s">
        <v>18879</v>
      </c>
      <c r="G3415" t="s">
        <v>18880</v>
      </c>
      <c r="H3415" t="s">
        <v>298</v>
      </c>
      <c r="J3415" t="s">
        <v>518</v>
      </c>
      <c r="K3415" t="s">
        <v>519</v>
      </c>
      <c r="M3415" t="s">
        <v>1297</v>
      </c>
      <c r="N3415" t="s">
        <v>571</v>
      </c>
      <c r="O3415" t="s">
        <v>1851</v>
      </c>
      <c r="P3415" t="s">
        <v>523</v>
      </c>
      <c r="Q3415" t="s">
        <v>1759</v>
      </c>
      <c r="R3415" t="s">
        <v>1760</v>
      </c>
      <c r="S3415" t="s">
        <v>1842</v>
      </c>
      <c r="T3415" t="s">
        <v>1485</v>
      </c>
      <c r="U3415">
        <v>221401</v>
      </c>
      <c r="V3415" t="s">
        <v>18881</v>
      </c>
      <c r="W3415" t="s">
        <v>1859</v>
      </c>
      <c r="X3415" t="s">
        <v>10355</v>
      </c>
      <c r="Y3415" t="s">
        <v>5187</v>
      </c>
      <c r="AA3415" t="s">
        <v>5188</v>
      </c>
      <c r="AB3415" t="s">
        <v>10356</v>
      </c>
      <c r="AE3415">
        <v>-39.538827419999997</v>
      </c>
      <c r="AF3415">
        <v>174.27200192999999</v>
      </c>
      <c r="AG3415">
        <v>30</v>
      </c>
      <c r="AH3415">
        <v>15</v>
      </c>
      <c r="AI3415">
        <v>15</v>
      </c>
      <c r="AJ3415">
        <v>3</v>
      </c>
      <c r="AK3415">
        <v>2</v>
      </c>
      <c r="AL3415">
        <v>0</v>
      </c>
      <c r="AM3415">
        <v>0</v>
      </c>
      <c r="AN3415">
        <v>0</v>
      </c>
      <c r="AO3415">
        <v>20</v>
      </c>
      <c r="AP3415">
        <v>19</v>
      </c>
      <c r="AQ3415">
        <v>3</v>
      </c>
      <c r="AR3415">
        <v>1</v>
      </c>
      <c r="AS3415">
        <v>0</v>
      </c>
      <c r="AT3415">
        <v>1</v>
      </c>
    </row>
    <row r="3416" spans="1:46">
      <c r="A3416">
        <v>50013</v>
      </c>
      <c r="B3416" t="s">
        <v>18882</v>
      </c>
      <c r="C3416" t="s">
        <v>18848</v>
      </c>
      <c r="D3416" t="s">
        <v>18883</v>
      </c>
      <c r="E3416" t="s">
        <v>18884</v>
      </c>
      <c r="G3416" t="s">
        <v>1757</v>
      </c>
      <c r="H3416" t="s">
        <v>298</v>
      </c>
      <c r="J3416" t="s">
        <v>518</v>
      </c>
      <c r="K3416" t="s">
        <v>519</v>
      </c>
      <c r="M3416" t="s">
        <v>1297</v>
      </c>
      <c r="N3416" t="s">
        <v>571</v>
      </c>
      <c r="O3416" t="s">
        <v>1758</v>
      </c>
      <c r="P3416" t="s">
        <v>584</v>
      </c>
      <c r="Q3416" t="s">
        <v>1759</v>
      </c>
      <c r="R3416" t="s">
        <v>1760</v>
      </c>
      <c r="S3416" t="s">
        <v>1757</v>
      </c>
      <c r="T3416" t="s">
        <v>1485</v>
      </c>
      <c r="U3416">
        <v>217800</v>
      </c>
      <c r="V3416" t="s">
        <v>18885</v>
      </c>
      <c r="W3416" t="s">
        <v>1762</v>
      </c>
      <c r="X3416" t="s">
        <v>10355</v>
      </c>
      <c r="Y3416" t="s">
        <v>5187</v>
      </c>
      <c r="AA3416" t="s">
        <v>5188</v>
      </c>
      <c r="AB3416" t="s">
        <v>10356</v>
      </c>
      <c r="AE3416">
        <v>-39.077613880000001</v>
      </c>
      <c r="AF3416">
        <v>174.08161903999999</v>
      </c>
      <c r="AG3416">
        <v>30</v>
      </c>
      <c r="AH3416">
        <v>20</v>
      </c>
      <c r="AI3416">
        <v>49</v>
      </c>
      <c r="AJ3416">
        <v>7</v>
      </c>
      <c r="AK3416">
        <v>12</v>
      </c>
      <c r="AL3416">
        <v>4</v>
      </c>
      <c r="AM3416">
        <v>5</v>
      </c>
      <c r="AN3416">
        <v>1</v>
      </c>
      <c r="AO3416">
        <v>78</v>
      </c>
      <c r="AP3416">
        <v>74</v>
      </c>
      <c r="AQ3416">
        <v>15</v>
      </c>
      <c r="AR3416">
        <v>1</v>
      </c>
      <c r="AS3416">
        <v>3</v>
      </c>
      <c r="AT3416">
        <v>3</v>
      </c>
    </row>
    <row r="3417" spans="1:46">
      <c r="A3417">
        <v>50015</v>
      </c>
      <c r="B3417" t="s">
        <v>18886</v>
      </c>
      <c r="C3417" t="s">
        <v>18848</v>
      </c>
      <c r="D3417" t="s">
        <v>18887</v>
      </c>
      <c r="E3417" t="s">
        <v>18888</v>
      </c>
      <c r="G3417" t="s">
        <v>16653</v>
      </c>
      <c r="H3417" t="s">
        <v>298</v>
      </c>
      <c r="J3417" t="s">
        <v>518</v>
      </c>
      <c r="K3417" t="s">
        <v>519</v>
      </c>
      <c r="M3417" t="s">
        <v>1297</v>
      </c>
      <c r="N3417" t="s">
        <v>571</v>
      </c>
      <c r="O3417" t="s">
        <v>1758</v>
      </c>
      <c r="P3417" t="s">
        <v>540</v>
      </c>
      <c r="Q3417" t="s">
        <v>1759</v>
      </c>
      <c r="R3417" t="s">
        <v>1760</v>
      </c>
      <c r="S3417" t="s">
        <v>1757</v>
      </c>
      <c r="T3417" t="s">
        <v>1485</v>
      </c>
      <c r="U3417">
        <v>219000</v>
      </c>
      <c r="V3417" t="s">
        <v>16654</v>
      </c>
      <c r="W3417" t="s">
        <v>1826</v>
      </c>
      <c r="X3417" t="s">
        <v>10355</v>
      </c>
      <c r="Y3417" t="s">
        <v>5187</v>
      </c>
      <c r="AA3417" t="s">
        <v>5188</v>
      </c>
      <c r="AB3417" t="s">
        <v>10356</v>
      </c>
      <c r="AE3417">
        <v>-39.061922070000001</v>
      </c>
      <c r="AF3417">
        <v>174.2101241</v>
      </c>
      <c r="AG3417">
        <v>30</v>
      </c>
      <c r="AH3417">
        <v>20</v>
      </c>
      <c r="AI3417">
        <v>11</v>
      </c>
      <c r="AJ3417">
        <v>5</v>
      </c>
      <c r="AK3417">
        <v>6</v>
      </c>
      <c r="AL3417">
        <v>4</v>
      </c>
      <c r="AM3417">
        <v>2</v>
      </c>
      <c r="AN3417">
        <v>0</v>
      </c>
      <c r="AO3417">
        <v>28</v>
      </c>
      <c r="AP3417">
        <v>27</v>
      </c>
      <c r="AQ3417">
        <v>3</v>
      </c>
      <c r="AR3417">
        <v>0</v>
      </c>
      <c r="AS3417">
        <v>2</v>
      </c>
      <c r="AT3417">
        <v>1</v>
      </c>
    </row>
    <row r="3418" spans="1:46">
      <c r="A3418">
        <v>50016</v>
      </c>
      <c r="B3418" t="s">
        <v>18889</v>
      </c>
      <c r="C3418" t="s">
        <v>18848</v>
      </c>
      <c r="D3418" t="s">
        <v>18890</v>
      </c>
      <c r="E3418" t="s">
        <v>18891</v>
      </c>
      <c r="G3418" t="s">
        <v>18892</v>
      </c>
      <c r="H3418" t="s">
        <v>298</v>
      </c>
      <c r="J3418" t="s">
        <v>518</v>
      </c>
      <c r="K3418" t="s">
        <v>519</v>
      </c>
      <c r="M3418" t="s">
        <v>1297</v>
      </c>
      <c r="N3418" t="s">
        <v>571</v>
      </c>
      <c r="O3418" t="s">
        <v>1851</v>
      </c>
      <c r="P3418" t="s">
        <v>540</v>
      </c>
      <c r="Q3418" t="s">
        <v>1759</v>
      </c>
      <c r="R3418" t="s">
        <v>1760</v>
      </c>
      <c r="S3418" t="s">
        <v>1842</v>
      </c>
      <c r="T3418" t="s">
        <v>1485</v>
      </c>
      <c r="U3418">
        <v>220800</v>
      </c>
      <c r="V3418" t="s">
        <v>18893</v>
      </c>
      <c r="W3418" t="s">
        <v>1852</v>
      </c>
      <c r="X3418" t="s">
        <v>10355</v>
      </c>
      <c r="Y3418" t="s">
        <v>5187</v>
      </c>
      <c r="AA3418" t="s">
        <v>5188</v>
      </c>
      <c r="AB3418" t="s">
        <v>10356</v>
      </c>
      <c r="AE3418">
        <v>-39.427229369999999</v>
      </c>
      <c r="AF3418">
        <v>174.14959641999999</v>
      </c>
      <c r="AG3418">
        <v>30</v>
      </c>
      <c r="AH3418">
        <v>15</v>
      </c>
      <c r="AI3418">
        <v>0</v>
      </c>
      <c r="AJ3418">
        <v>1</v>
      </c>
      <c r="AK3418">
        <v>1</v>
      </c>
      <c r="AL3418">
        <v>0</v>
      </c>
      <c r="AM3418">
        <v>1</v>
      </c>
      <c r="AN3418">
        <v>0</v>
      </c>
      <c r="AO3418">
        <v>3</v>
      </c>
      <c r="AP3418">
        <v>3</v>
      </c>
      <c r="AQ3418">
        <v>1</v>
      </c>
      <c r="AR3418">
        <v>0</v>
      </c>
      <c r="AS3418">
        <v>0</v>
      </c>
      <c r="AT3418">
        <v>0</v>
      </c>
    </row>
    <row r="3419" spans="1:46">
      <c r="A3419">
        <v>50017</v>
      </c>
      <c r="B3419" t="s">
        <v>18894</v>
      </c>
      <c r="C3419" t="s">
        <v>18848</v>
      </c>
      <c r="D3419" t="s">
        <v>18895</v>
      </c>
      <c r="E3419" t="s">
        <v>18896</v>
      </c>
      <c r="G3419" t="s">
        <v>18892</v>
      </c>
      <c r="H3419" t="s">
        <v>298</v>
      </c>
      <c r="J3419" t="s">
        <v>518</v>
      </c>
      <c r="K3419" t="s">
        <v>519</v>
      </c>
      <c r="M3419" t="s">
        <v>1297</v>
      </c>
      <c r="N3419" t="s">
        <v>571</v>
      </c>
      <c r="O3419" t="s">
        <v>1851</v>
      </c>
      <c r="P3419" t="s">
        <v>572</v>
      </c>
      <c r="Q3419" t="s">
        <v>1759</v>
      </c>
      <c r="R3419" t="s">
        <v>1760</v>
      </c>
      <c r="S3419" t="s">
        <v>1842</v>
      </c>
      <c r="T3419" t="s">
        <v>1485</v>
      </c>
      <c r="U3419">
        <v>220600</v>
      </c>
      <c r="V3419" t="s">
        <v>18897</v>
      </c>
      <c r="W3419" t="s">
        <v>10368</v>
      </c>
      <c r="X3419" t="s">
        <v>10355</v>
      </c>
      <c r="Y3419" t="s">
        <v>5187</v>
      </c>
      <c r="AA3419" t="s">
        <v>5188</v>
      </c>
      <c r="AB3419" t="s">
        <v>10356</v>
      </c>
      <c r="AE3419">
        <v>-39.435884340000001</v>
      </c>
      <c r="AF3419">
        <v>174.03240951999999</v>
      </c>
      <c r="AG3419">
        <v>30</v>
      </c>
      <c r="AH3419">
        <v>15</v>
      </c>
      <c r="AI3419">
        <v>2</v>
      </c>
      <c r="AJ3419">
        <v>1</v>
      </c>
      <c r="AK3419">
        <v>4</v>
      </c>
      <c r="AL3419">
        <v>1</v>
      </c>
      <c r="AM3419">
        <v>2</v>
      </c>
      <c r="AN3419">
        <v>1</v>
      </c>
      <c r="AO3419">
        <v>11</v>
      </c>
      <c r="AP3419">
        <v>11</v>
      </c>
      <c r="AQ3419">
        <v>0</v>
      </c>
      <c r="AR3419">
        <v>0</v>
      </c>
      <c r="AS3419">
        <v>0</v>
      </c>
      <c r="AT3419">
        <v>0</v>
      </c>
    </row>
    <row r="3420" spans="1:46">
      <c r="A3420">
        <v>50018</v>
      </c>
      <c r="B3420" t="s">
        <v>18898</v>
      </c>
      <c r="C3420" t="s">
        <v>18848</v>
      </c>
      <c r="D3420" t="s">
        <v>18899</v>
      </c>
      <c r="E3420" t="s">
        <v>18900</v>
      </c>
      <c r="G3420" t="s">
        <v>1857</v>
      </c>
      <c r="H3420" t="s">
        <v>298</v>
      </c>
      <c r="J3420" t="s">
        <v>518</v>
      </c>
      <c r="K3420" t="s">
        <v>519</v>
      </c>
      <c r="M3420" t="s">
        <v>1297</v>
      </c>
      <c r="N3420" t="s">
        <v>571</v>
      </c>
      <c r="O3420" t="s">
        <v>1851</v>
      </c>
      <c r="P3420" t="s">
        <v>523</v>
      </c>
      <c r="Q3420" t="s">
        <v>1759</v>
      </c>
      <c r="R3420" t="s">
        <v>1760</v>
      </c>
      <c r="S3420" t="s">
        <v>1842</v>
      </c>
      <c r="T3420" t="s">
        <v>1485</v>
      </c>
      <c r="U3420">
        <v>221800</v>
      </c>
      <c r="V3420" t="s">
        <v>1858</v>
      </c>
      <c r="W3420" t="s">
        <v>1859</v>
      </c>
      <c r="X3420" t="s">
        <v>10355</v>
      </c>
      <c r="Y3420" t="s">
        <v>5187</v>
      </c>
      <c r="AA3420" t="s">
        <v>5188</v>
      </c>
      <c r="AB3420" t="s">
        <v>10356</v>
      </c>
      <c r="AE3420">
        <v>-39.60070975</v>
      </c>
      <c r="AF3420">
        <v>174.27862984000001</v>
      </c>
      <c r="AG3420">
        <v>30</v>
      </c>
      <c r="AH3420">
        <v>20</v>
      </c>
      <c r="AI3420">
        <v>3</v>
      </c>
      <c r="AJ3420">
        <v>9</v>
      </c>
      <c r="AK3420">
        <v>5</v>
      </c>
      <c r="AL3420">
        <v>4</v>
      </c>
      <c r="AM3420">
        <v>8</v>
      </c>
      <c r="AN3420">
        <v>2</v>
      </c>
      <c r="AO3420">
        <v>31</v>
      </c>
      <c r="AP3420">
        <v>28</v>
      </c>
      <c r="AQ3420">
        <v>6</v>
      </c>
      <c r="AR3420">
        <v>0</v>
      </c>
      <c r="AS3420">
        <v>1</v>
      </c>
      <c r="AT3420">
        <v>1</v>
      </c>
    </row>
    <row r="3421" spans="1:46">
      <c r="A3421">
        <v>50019</v>
      </c>
      <c r="B3421" t="s">
        <v>18901</v>
      </c>
      <c r="C3421" t="s">
        <v>18848</v>
      </c>
      <c r="D3421" t="s">
        <v>18902</v>
      </c>
      <c r="E3421" t="s">
        <v>18903</v>
      </c>
      <c r="G3421" t="s">
        <v>1792</v>
      </c>
      <c r="H3421" t="s">
        <v>298</v>
      </c>
      <c r="J3421" t="s">
        <v>518</v>
      </c>
      <c r="K3421" t="s">
        <v>519</v>
      </c>
      <c r="M3421" t="s">
        <v>1297</v>
      </c>
      <c r="N3421" t="s">
        <v>557</v>
      </c>
      <c r="O3421" t="s">
        <v>1758</v>
      </c>
      <c r="P3421" t="s">
        <v>523</v>
      </c>
      <c r="Q3421" t="s">
        <v>1759</v>
      </c>
      <c r="R3421" t="s">
        <v>1760</v>
      </c>
      <c r="S3421" t="s">
        <v>1417</v>
      </c>
      <c r="T3421" t="s">
        <v>1485</v>
      </c>
      <c r="U3421">
        <v>219601</v>
      </c>
      <c r="V3421" t="s">
        <v>1792</v>
      </c>
      <c r="W3421" t="s">
        <v>1793</v>
      </c>
      <c r="X3421" t="s">
        <v>10355</v>
      </c>
      <c r="Y3421" t="s">
        <v>5187</v>
      </c>
      <c r="AA3421" t="s">
        <v>5188</v>
      </c>
      <c r="AB3421" t="s">
        <v>10356</v>
      </c>
      <c r="AC3421">
        <v>99059</v>
      </c>
      <c r="AD3421" t="s">
        <v>1794</v>
      </c>
      <c r="AE3421">
        <v>-39.156492110000002</v>
      </c>
      <c r="AF3421">
        <v>174.20479756</v>
      </c>
      <c r="AG3421">
        <v>30</v>
      </c>
      <c r="AH3421">
        <v>15</v>
      </c>
      <c r="AI3421">
        <v>19</v>
      </c>
      <c r="AJ3421">
        <v>7</v>
      </c>
      <c r="AK3421">
        <v>2</v>
      </c>
      <c r="AL3421">
        <v>2</v>
      </c>
      <c r="AM3421">
        <v>2</v>
      </c>
      <c r="AN3421">
        <v>0</v>
      </c>
      <c r="AO3421">
        <v>32</v>
      </c>
      <c r="AP3421">
        <v>32</v>
      </c>
      <c r="AQ3421">
        <v>5</v>
      </c>
      <c r="AR3421">
        <v>2</v>
      </c>
      <c r="AS3421">
        <v>2</v>
      </c>
      <c r="AT3421">
        <v>0</v>
      </c>
    </row>
    <row r="3422" spans="1:46">
      <c r="A3422">
        <v>50020</v>
      </c>
      <c r="B3422" t="s">
        <v>18904</v>
      </c>
      <c r="C3422" t="s">
        <v>18848</v>
      </c>
      <c r="D3422" t="s">
        <v>18905</v>
      </c>
      <c r="E3422" t="s">
        <v>18906</v>
      </c>
      <c r="G3422" t="s">
        <v>3896</v>
      </c>
      <c r="H3422" t="s">
        <v>298</v>
      </c>
      <c r="J3422" t="s">
        <v>518</v>
      </c>
      <c r="K3422" t="s">
        <v>519</v>
      </c>
      <c r="M3422" t="s">
        <v>1297</v>
      </c>
      <c r="N3422" t="s">
        <v>571</v>
      </c>
      <c r="O3422" t="s">
        <v>1758</v>
      </c>
      <c r="P3422" t="s">
        <v>523</v>
      </c>
      <c r="Q3422" t="s">
        <v>1759</v>
      </c>
      <c r="R3422" t="s">
        <v>1760</v>
      </c>
      <c r="S3422" t="s">
        <v>1757</v>
      </c>
      <c r="T3422" t="s">
        <v>1485</v>
      </c>
      <c r="U3422">
        <v>216500</v>
      </c>
      <c r="V3422" t="s">
        <v>3897</v>
      </c>
      <c r="W3422" t="s">
        <v>1762</v>
      </c>
      <c r="X3422" t="s">
        <v>10355</v>
      </c>
      <c r="Y3422" t="s">
        <v>5187</v>
      </c>
      <c r="AA3422" t="s">
        <v>5188</v>
      </c>
      <c r="AB3422" t="s">
        <v>10356</v>
      </c>
      <c r="AE3422">
        <v>-39.118773429999997</v>
      </c>
      <c r="AF3422">
        <v>173.95730395000001</v>
      </c>
      <c r="AG3422">
        <v>30</v>
      </c>
      <c r="AH3422">
        <v>20</v>
      </c>
      <c r="AI3422">
        <v>20</v>
      </c>
      <c r="AJ3422">
        <v>11</v>
      </c>
      <c r="AK3422">
        <v>10</v>
      </c>
      <c r="AL3422">
        <v>4</v>
      </c>
      <c r="AM3422">
        <v>2</v>
      </c>
      <c r="AN3422">
        <v>2</v>
      </c>
      <c r="AO3422">
        <v>49</v>
      </c>
      <c r="AP3422">
        <v>47</v>
      </c>
      <c r="AQ3422">
        <v>8</v>
      </c>
      <c r="AR3422">
        <v>2</v>
      </c>
      <c r="AS3422">
        <v>1</v>
      </c>
      <c r="AT3422">
        <v>1</v>
      </c>
    </row>
    <row r="3423" spans="1:46">
      <c r="A3423">
        <v>50021</v>
      </c>
      <c r="B3423" t="s">
        <v>18907</v>
      </c>
      <c r="C3423" t="s">
        <v>18908</v>
      </c>
      <c r="D3423" t="s">
        <v>18909</v>
      </c>
      <c r="E3423" t="s">
        <v>18910</v>
      </c>
      <c r="G3423" t="s">
        <v>1842</v>
      </c>
      <c r="H3423" t="s">
        <v>3942</v>
      </c>
      <c r="J3423" t="s">
        <v>3962</v>
      </c>
      <c r="K3423" t="s">
        <v>519</v>
      </c>
      <c r="M3423" t="s">
        <v>1297</v>
      </c>
      <c r="N3423" t="s">
        <v>539</v>
      </c>
      <c r="O3423" t="s">
        <v>1887</v>
      </c>
      <c r="P3423" t="s">
        <v>584</v>
      </c>
      <c r="Q3423" t="s">
        <v>1636</v>
      </c>
      <c r="R3423" t="s">
        <v>1760</v>
      </c>
      <c r="S3423" t="s">
        <v>1842</v>
      </c>
      <c r="T3423" t="s">
        <v>1485</v>
      </c>
      <c r="U3423">
        <v>225700</v>
      </c>
      <c r="V3423" t="s">
        <v>10264</v>
      </c>
      <c r="W3423" t="s">
        <v>1652</v>
      </c>
      <c r="X3423" t="s">
        <v>18911</v>
      </c>
      <c r="Y3423" t="s">
        <v>18912</v>
      </c>
      <c r="AA3423" t="s">
        <v>15084</v>
      </c>
      <c r="AB3423" t="s">
        <v>18908</v>
      </c>
      <c r="AC3423">
        <v>99219</v>
      </c>
      <c r="AD3423" t="s">
        <v>1900</v>
      </c>
      <c r="AE3423">
        <v>-39.930209490000003</v>
      </c>
      <c r="AF3423">
        <v>175.04443649999999</v>
      </c>
      <c r="AG3423">
        <v>50</v>
      </c>
      <c r="AH3423">
        <v>20</v>
      </c>
      <c r="AI3423">
        <v>3</v>
      </c>
      <c r="AJ3423">
        <v>19</v>
      </c>
      <c r="AK3423">
        <v>10</v>
      </c>
      <c r="AL3423">
        <v>19</v>
      </c>
      <c r="AM3423">
        <v>13</v>
      </c>
      <c r="AN3423">
        <v>1</v>
      </c>
      <c r="AO3423">
        <v>65</v>
      </c>
      <c r="AP3423">
        <v>55</v>
      </c>
      <c r="AQ3423">
        <v>16</v>
      </c>
      <c r="AR3423">
        <v>0</v>
      </c>
      <c r="AS3423">
        <v>6</v>
      </c>
      <c r="AT3423">
        <v>1</v>
      </c>
    </row>
    <row r="3424" spans="1:46">
      <c r="A3424">
        <v>50022</v>
      </c>
      <c r="B3424" t="s">
        <v>18913</v>
      </c>
      <c r="C3424" t="s">
        <v>18914</v>
      </c>
      <c r="E3424" t="s">
        <v>18915</v>
      </c>
      <c r="G3424" t="s">
        <v>1857</v>
      </c>
      <c r="H3424" t="s">
        <v>343</v>
      </c>
      <c r="J3424" t="s">
        <v>518</v>
      </c>
      <c r="K3424" t="s">
        <v>519</v>
      </c>
      <c r="L3424" t="s">
        <v>4205</v>
      </c>
      <c r="M3424" t="s">
        <v>1297</v>
      </c>
      <c r="N3424" t="s">
        <v>557</v>
      </c>
      <c r="O3424" t="s">
        <v>1851</v>
      </c>
      <c r="P3424" t="s">
        <v>523</v>
      </c>
      <c r="Q3424" t="s">
        <v>1759</v>
      </c>
      <c r="R3424" t="s">
        <v>1760</v>
      </c>
      <c r="S3424" t="s">
        <v>1842</v>
      </c>
      <c r="T3424" t="s">
        <v>1485</v>
      </c>
      <c r="U3424">
        <v>221900</v>
      </c>
      <c r="V3424" t="s">
        <v>11312</v>
      </c>
      <c r="W3424" t="s">
        <v>1859</v>
      </c>
      <c r="X3424" t="s">
        <v>18916</v>
      </c>
      <c r="Y3424" t="s">
        <v>4208</v>
      </c>
      <c r="Z3424" t="s">
        <v>4209</v>
      </c>
      <c r="AA3424" t="s">
        <v>4210</v>
      </c>
      <c r="AE3424">
        <v>-39.590223479999999</v>
      </c>
      <c r="AF3424">
        <v>174.27684762000001</v>
      </c>
      <c r="AG3424">
        <v>31</v>
      </c>
      <c r="AH3424">
        <v>8</v>
      </c>
      <c r="AI3424">
        <v>0</v>
      </c>
      <c r="AJ3424">
        <v>3</v>
      </c>
      <c r="AK3424">
        <v>6</v>
      </c>
      <c r="AL3424">
        <v>4</v>
      </c>
      <c r="AM3424">
        <v>9</v>
      </c>
      <c r="AN3424">
        <v>0</v>
      </c>
      <c r="AO3424">
        <v>22</v>
      </c>
      <c r="AP3424">
        <v>0</v>
      </c>
      <c r="AQ3424">
        <v>17</v>
      </c>
      <c r="AR3424">
        <v>2</v>
      </c>
      <c r="AS3424">
        <v>0</v>
      </c>
      <c r="AT3424">
        <v>3</v>
      </c>
    </row>
    <row r="3425" spans="1:46">
      <c r="A3425">
        <v>50025</v>
      </c>
      <c r="B3425" t="s">
        <v>18917</v>
      </c>
      <c r="C3425" t="s">
        <v>18918</v>
      </c>
      <c r="D3425" t="s">
        <v>18919</v>
      </c>
      <c r="E3425" t="s">
        <v>18920</v>
      </c>
      <c r="G3425" t="s">
        <v>2197</v>
      </c>
      <c r="H3425" t="s">
        <v>517</v>
      </c>
      <c r="J3425" t="s">
        <v>518</v>
      </c>
      <c r="K3425" t="s">
        <v>519</v>
      </c>
      <c r="M3425" t="s">
        <v>1297</v>
      </c>
      <c r="N3425" t="s">
        <v>571</v>
      </c>
      <c r="O3425" t="s">
        <v>2198</v>
      </c>
      <c r="P3425" t="s">
        <v>572</v>
      </c>
      <c r="Q3425" t="s">
        <v>2118</v>
      </c>
      <c r="R3425" t="s">
        <v>2084</v>
      </c>
      <c r="S3425" t="s">
        <v>2199</v>
      </c>
      <c r="T3425" t="s">
        <v>2085</v>
      </c>
      <c r="U3425">
        <v>211201</v>
      </c>
      <c r="V3425" t="s">
        <v>15029</v>
      </c>
      <c r="W3425" t="s">
        <v>8749</v>
      </c>
      <c r="X3425" t="s">
        <v>2120</v>
      </c>
      <c r="Y3425" t="s">
        <v>2121</v>
      </c>
      <c r="Z3425" t="s">
        <v>2122</v>
      </c>
      <c r="AA3425" t="s">
        <v>2123</v>
      </c>
      <c r="AB3425" t="s">
        <v>2124</v>
      </c>
      <c r="AE3425">
        <v>-39.624797659999999</v>
      </c>
      <c r="AF3425">
        <v>176.95170010000001</v>
      </c>
      <c r="AG3425">
        <v>40</v>
      </c>
      <c r="AH3425">
        <v>0</v>
      </c>
      <c r="AI3425">
        <v>0</v>
      </c>
      <c r="AJ3425">
        <v>0</v>
      </c>
      <c r="AK3425">
        <v>4</v>
      </c>
      <c r="AL3425">
        <v>7</v>
      </c>
      <c r="AM3425">
        <v>12</v>
      </c>
      <c r="AN3425">
        <v>0</v>
      </c>
      <c r="AO3425">
        <v>23</v>
      </c>
      <c r="AP3425">
        <v>22</v>
      </c>
      <c r="AQ3425">
        <v>2</v>
      </c>
      <c r="AR3425">
        <v>0</v>
      </c>
      <c r="AS3425">
        <v>1</v>
      </c>
      <c r="AT3425">
        <v>0</v>
      </c>
    </row>
    <row r="3426" spans="1:46">
      <c r="A3426">
        <v>50028</v>
      </c>
      <c r="B3426" t="s">
        <v>18921</v>
      </c>
      <c r="C3426" t="s">
        <v>18922</v>
      </c>
      <c r="D3426" t="s">
        <v>18923</v>
      </c>
      <c r="E3426" t="s">
        <v>18924</v>
      </c>
      <c r="G3426" t="s">
        <v>16385</v>
      </c>
      <c r="H3426" t="s">
        <v>3942</v>
      </c>
      <c r="I3426" t="s">
        <v>4231</v>
      </c>
      <c r="J3426" t="s">
        <v>518</v>
      </c>
      <c r="K3426" t="s">
        <v>519</v>
      </c>
      <c r="M3426" t="s">
        <v>2287</v>
      </c>
      <c r="N3426" t="s">
        <v>571</v>
      </c>
      <c r="O3426" t="s">
        <v>2675</v>
      </c>
      <c r="P3426" t="s">
        <v>1262</v>
      </c>
      <c r="Q3426" t="s">
        <v>2319</v>
      </c>
      <c r="R3426" t="s">
        <v>2289</v>
      </c>
      <c r="S3426" t="s">
        <v>2528</v>
      </c>
      <c r="T3426" t="s">
        <v>1485</v>
      </c>
      <c r="U3426">
        <v>238500</v>
      </c>
      <c r="V3426" t="s">
        <v>16385</v>
      </c>
      <c r="W3426" t="s">
        <v>2751</v>
      </c>
      <c r="X3426" t="s">
        <v>18925</v>
      </c>
      <c r="Y3426" t="s">
        <v>18926</v>
      </c>
      <c r="Z3426" t="s">
        <v>16385</v>
      </c>
      <c r="AA3426" t="s">
        <v>18927</v>
      </c>
      <c r="AB3426" t="s">
        <v>18928</v>
      </c>
      <c r="AC3426">
        <v>99110</v>
      </c>
      <c r="AD3426" t="s">
        <v>4237</v>
      </c>
      <c r="AE3426">
        <v>-40.937823280000003</v>
      </c>
      <c r="AF3426">
        <v>174.98515771999999</v>
      </c>
      <c r="AG3426">
        <v>50</v>
      </c>
      <c r="AH3426">
        <v>0</v>
      </c>
      <c r="AI3426">
        <v>0</v>
      </c>
      <c r="AJ3426">
        <v>0</v>
      </c>
      <c r="AK3426">
        <v>0</v>
      </c>
      <c r="AL3426">
        <v>7</v>
      </c>
      <c r="AM3426">
        <v>6</v>
      </c>
      <c r="AN3426">
        <v>12</v>
      </c>
      <c r="AO3426">
        <v>25</v>
      </c>
      <c r="AP3426">
        <v>22</v>
      </c>
      <c r="AQ3426">
        <v>6</v>
      </c>
      <c r="AR3426">
        <v>1</v>
      </c>
      <c r="AS3426">
        <v>0</v>
      </c>
      <c r="AT3426">
        <v>2</v>
      </c>
    </row>
    <row r="3427" spans="1:46">
      <c r="A3427">
        <v>50029</v>
      </c>
      <c r="B3427" t="s">
        <v>18929</v>
      </c>
      <c r="C3427" t="s">
        <v>18930</v>
      </c>
      <c r="D3427" t="s">
        <v>18931</v>
      </c>
      <c r="E3427" t="s">
        <v>18932</v>
      </c>
      <c r="F3427" t="s">
        <v>2049</v>
      </c>
      <c r="G3427" t="s">
        <v>1974</v>
      </c>
      <c r="H3427" t="s">
        <v>4164</v>
      </c>
      <c r="I3427" t="s">
        <v>4253</v>
      </c>
      <c r="J3427" t="s">
        <v>518</v>
      </c>
      <c r="K3427" t="s">
        <v>519</v>
      </c>
      <c r="M3427" t="s">
        <v>1297</v>
      </c>
      <c r="N3427" t="s">
        <v>557</v>
      </c>
      <c r="O3427" t="s">
        <v>1956</v>
      </c>
      <c r="P3427" t="s">
        <v>584</v>
      </c>
      <c r="Q3427" t="s">
        <v>1636</v>
      </c>
      <c r="R3427" t="s">
        <v>1760</v>
      </c>
      <c r="S3427" t="s">
        <v>1974</v>
      </c>
      <c r="T3427" t="s">
        <v>1485</v>
      </c>
      <c r="U3427">
        <v>230200</v>
      </c>
      <c r="V3427" t="s">
        <v>10390</v>
      </c>
      <c r="W3427" t="s">
        <v>1957</v>
      </c>
      <c r="X3427" t="s">
        <v>18933</v>
      </c>
      <c r="Y3427" t="s">
        <v>18934</v>
      </c>
      <c r="Z3427" t="s">
        <v>2049</v>
      </c>
      <c r="AA3427" t="s">
        <v>15867</v>
      </c>
      <c r="AB3427" t="s">
        <v>18935</v>
      </c>
      <c r="AC3427">
        <v>99164</v>
      </c>
      <c r="AD3427" t="s">
        <v>17952</v>
      </c>
      <c r="AE3427">
        <v>-40.332773510000003</v>
      </c>
      <c r="AF3427">
        <v>175.63222021999999</v>
      </c>
      <c r="AG3427">
        <v>30</v>
      </c>
      <c r="AH3427">
        <v>10</v>
      </c>
      <c r="AI3427">
        <v>2</v>
      </c>
      <c r="AJ3427">
        <v>5</v>
      </c>
      <c r="AK3427">
        <v>8</v>
      </c>
      <c r="AL3427">
        <v>6</v>
      </c>
      <c r="AM3427">
        <v>6</v>
      </c>
      <c r="AN3427">
        <v>0</v>
      </c>
      <c r="AO3427">
        <v>27</v>
      </c>
      <c r="AP3427">
        <v>3</v>
      </c>
      <c r="AQ3427">
        <v>6</v>
      </c>
      <c r="AR3427">
        <v>27</v>
      </c>
      <c r="AS3427">
        <v>0</v>
      </c>
      <c r="AT3427">
        <v>3</v>
      </c>
    </row>
    <row r="3428" spans="1:46">
      <c r="A3428">
        <v>50030</v>
      </c>
      <c r="B3428" t="s">
        <v>18936</v>
      </c>
      <c r="C3428" t="s">
        <v>18937</v>
      </c>
      <c r="D3428" t="s">
        <v>18938</v>
      </c>
      <c r="E3428" t="s">
        <v>18939</v>
      </c>
      <c r="G3428" t="s">
        <v>18940</v>
      </c>
      <c r="H3428" t="s">
        <v>517</v>
      </c>
      <c r="J3428" t="s">
        <v>518</v>
      </c>
      <c r="K3428" t="s">
        <v>519</v>
      </c>
      <c r="M3428" t="s">
        <v>1297</v>
      </c>
      <c r="N3428" t="s">
        <v>571</v>
      </c>
      <c r="O3428" t="s">
        <v>1887</v>
      </c>
      <c r="P3428" t="s">
        <v>572</v>
      </c>
      <c r="Q3428" t="s">
        <v>1636</v>
      </c>
      <c r="R3428" t="s">
        <v>1760</v>
      </c>
      <c r="S3428" t="s">
        <v>1842</v>
      </c>
      <c r="T3428" t="s">
        <v>1485</v>
      </c>
      <c r="U3428">
        <v>223400</v>
      </c>
      <c r="V3428" t="s">
        <v>18941</v>
      </c>
      <c r="W3428" t="s">
        <v>1652</v>
      </c>
      <c r="X3428" t="s">
        <v>1889</v>
      </c>
      <c r="Y3428" t="s">
        <v>1890</v>
      </c>
      <c r="AA3428" t="s">
        <v>1891</v>
      </c>
      <c r="AB3428" t="s">
        <v>1892</v>
      </c>
      <c r="AC3428">
        <v>99219</v>
      </c>
      <c r="AD3428" t="s">
        <v>1900</v>
      </c>
      <c r="AE3428">
        <v>-39.821122639999999</v>
      </c>
      <c r="AF3428">
        <v>174.86188949999999</v>
      </c>
      <c r="AG3428">
        <v>30</v>
      </c>
      <c r="AH3428">
        <v>0</v>
      </c>
      <c r="AI3428">
        <v>0</v>
      </c>
      <c r="AJ3428">
        <v>0</v>
      </c>
      <c r="AK3428">
        <v>5</v>
      </c>
      <c r="AL3428">
        <v>11</v>
      </c>
      <c r="AM3428">
        <v>10</v>
      </c>
      <c r="AN3428">
        <v>0</v>
      </c>
      <c r="AO3428">
        <v>26</v>
      </c>
      <c r="AP3428">
        <v>22</v>
      </c>
      <c r="AQ3428">
        <v>4</v>
      </c>
      <c r="AR3428">
        <v>1</v>
      </c>
      <c r="AS3428">
        <v>1</v>
      </c>
      <c r="AT3428">
        <v>0</v>
      </c>
    </row>
    <row r="3429" spans="1:46">
      <c r="A3429">
        <v>50034</v>
      </c>
      <c r="B3429" t="s">
        <v>18942</v>
      </c>
      <c r="C3429" t="s">
        <v>18943</v>
      </c>
      <c r="D3429" t="s">
        <v>18944</v>
      </c>
      <c r="E3429" t="s">
        <v>18945</v>
      </c>
      <c r="G3429" t="s">
        <v>18946</v>
      </c>
      <c r="H3429" t="s">
        <v>343</v>
      </c>
      <c r="J3429" t="s">
        <v>518</v>
      </c>
      <c r="K3429" t="s">
        <v>519</v>
      </c>
      <c r="L3429" t="s">
        <v>4205</v>
      </c>
      <c r="M3429" t="s">
        <v>1297</v>
      </c>
      <c r="N3429" t="s">
        <v>727</v>
      </c>
      <c r="O3429" t="s">
        <v>2117</v>
      </c>
      <c r="P3429" t="s">
        <v>572</v>
      </c>
      <c r="Q3429" t="s">
        <v>2118</v>
      </c>
      <c r="R3429" t="s">
        <v>2084</v>
      </c>
      <c r="S3429" t="s">
        <v>2119</v>
      </c>
      <c r="T3429" t="s">
        <v>2085</v>
      </c>
      <c r="U3429">
        <v>207400</v>
      </c>
      <c r="V3429" t="s">
        <v>10301</v>
      </c>
      <c r="W3429" t="s">
        <v>565</v>
      </c>
      <c r="X3429" t="s">
        <v>8804</v>
      </c>
      <c r="Y3429" t="s">
        <v>4208</v>
      </c>
      <c r="Z3429" t="s">
        <v>4209</v>
      </c>
      <c r="AA3429" t="s">
        <v>4210</v>
      </c>
      <c r="AB3429" t="s">
        <v>8805</v>
      </c>
      <c r="AE3429">
        <v>-39.061991570000004</v>
      </c>
      <c r="AF3429">
        <v>177.12896855</v>
      </c>
      <c r="AG3429">
        <v>16</v>
      </c>
      <c r="AH3429">
        <v>3</v>
      </c>
      <c r="AI3429">
        <v>2</v>
      </c>
      <c r="AJ3429">
        <v>3</v>
      </c>
      <c r="AK3429">
        <v>6</v>
      </c>
      <c r="AL3429">
        <v>2</v>
      </c>
      <c r="AM3429">
        <v>1</v>
      </c>
      <c r="AN3429">
        <v>0</v>
      </c>
      <c r="AO3429">
        <v>14</v>
      </c>
      <c r="AP3429">
        <v>0</v>
      </c>
      <c r="AQ3429">
        <v>14</v>
      </c>
      <c r="AR3429">
        <v>0</v>
      </c>
      <c r="AS3429">
        <v>0</v>
      </c>
      <c r="AT3429">
        <v>0</v>
      </c>
    </row>
    <row r="3430" spans="1:46">
      <c r="A3430">
        <v>50036</v>
      </c>
      <c r="B3430" t="s">
        <v>18947</v>
      </c>
      <c r="C3430" t="s">
        <v>18948</v>
      </c>
      <c r="D3430" t="s">
        <v>18949</v>
      </c>
      <c r="E3430" t="s">
        <v>18950</v>
      </c>
      <c r="G3430" t="s">
        <v>1955</v>
      </c>
      <c r="H3430" t="s">
        <v>3942</v>
      </c>
      <c r="J3430" t="s">
        <v>3962</v>
      </c>
      <c r="K3430" t="s">
        <v>519</v>
      </c>
      <c r="M3430" t="s">
        <v>1297</v>
      </c>
      <c r="N3430" t="s">
        <v>571</v>
      </c>
      <c r="O3430" t="s">
        <v>1956</v>
      </c>
      <c r="P3430" t="s">
        <v>523</v>
      </c>
      <c r="Q3430" t="s">
        <v>1636</v>
      </c>
      <c r="R3430" t="s">
        <v>1760</v>
      </c>
      <c r="S3430" t="s">
        <v>1637</v>
      </c>
      <c r="T3430" t="s">
        <v>1485</v>
      </c>
      <c r="U3430">
        <v>232200</v>
      </c>
      <c r="V3430" t="s">
        <v>1955</v>
      </c>
      <c r="W3430" t="s">
        <v>1957</v>
      </c>
      <c r="X3430" t="s">
        <v>18951</v>
      </c>
      <c r="Y3430" t="s">
        <v>4658</v>
      </c>
      <c r="Z3430" t="s">
        <v>958</v>
      </c>
      <c r="AA3430" t="s">
        <v>4659</v>
      </c>
      <c r="AB3430" t="s">
        <v>18952</v>
      </c>
      <c r="AE3430">
        <v>-40.293052109999998</v>
      </c>
      <c r="AF3430">
        <v>175.7545058</v>
      </c>
      <c r="AG3430">
        <v>51</v>
      </c>
      <c r="AH3430">
        <v>12</v>
      </c>
      <c r="AI3430">
        <v>3</v>
      </c>
      <c r="AJ3430">
        <v>9</v>
      </c>
      <c r="AK3430">
        <v>13</v>
      </c>
      <c r="AL3430">
        <v>10</v>
      </c>
      <c r="AM3430">
        <v>8</v>
      </c>
      <c r="AN3430">
        <v>0</v>
      </c>
      <c r="AO3430">
        <v>43</v>
      </c>
      <c r="AP3430">
        <v>39</v>
      </c>
      <c r="AQ3430">
        <v>14</v>
      </c>
      <c r="AR3430">
        <v>0</v>
      </c>
      <c r="AS3430">
        <v>3</v>
      </c>
      <c r="AT3430">
        <v>0</v>
      </c>
    </row>
    <row r="3431" spans="1:46">
      <c r="A3431">
        <v>50039</v>
      </c>
      <c r="B3431" t="s">
        <v>18953</v>
      </c>
      <c r="C3431" t="s">
        <v>18954</v>
      </c>
      <c r="D3431" t="s">
        <v>18955</v>
      </c>
      <c r="E3431" t="s">
        <v>18956</v>
      </c>
      <c r="G3431" t="s">
        <v>1840</v>
      </c>
      <c r="H3431" t="s">
        <v>3942</v>
      </c>
      <c r="J3431" t="s">
        <v>518</v>
      </c>
      <c r="K3431" t="s">
        <v>519</v>
      </c>
      <c r="M3431" t="s">
        <v>1297</v>
      </c>
      <c r="N3431" t="s">
        <v>557</v>
      </c>
      <c r="O3431" t="s">
        <v>1841</v>
      </c>
      <c r="P3431" t="s">
        <v>572</v>
      </c>
      <c r="Q3431" t="s">
        <v>1759</v>
      </c>
      <c r="R3431" t="s">
        <v>1760</v>
      </c>
      <c r="S3431" t="s">
        <v>1842</v>
      </c>
      <c r="T3431" t="s">
        <v>1485</v>
      </c>
      <c r="U3431">
        <v>220001</v>
      </c>
      <c r="V3431" t="s">
        <v>18856</v>
      </c>
      <c r="W3431" t="s">
        <v>18857</v>
      </c>
      <c r="X3431" t="s">
        <v>18957</v>
      </c>
      <c r="Y3431" t="s">
        <v>18958</v>
      </c>
      <c r="AA3431" t="s">
        <v>18959</v>
      </c>
      <c r="AB3431" t="s">
        <v>18960</v>
      </c>
      <c r="AC3431">
        <v>99108</v>
      </c>
      <c r="AD3431" t="s">
        <v>1845</v>
      </c>
      <c r="AE3431">
        <v>-39.352926549999999</v>
      </c>
      <c r="AF3431">
        <v>174.29306075</v>
      </c>
      <c r="AG3431">
        <v>50</v>
      </c>
      <c r="AH3431">
        <v>10</v>
      </c>
      <c r="AI3431">
        <v>1</v>
      </c>
      <c r="AJ3431">
        <v>10</v>
      </c>
      <c r="AK3431">
        <v>9</v>
      </c>
      <c r="AL3431">
        <v>16</v>
      </c>
      <c r="AM3431">
        <v>18</v>
      </c>
      <c r="AN3431">
        <v>0</v>
      </c>
      <c r="AO3431">
        <v>54</v>
      </c>
      <c r="AP3431">
        <v>50</v>
      </c>
      <c r="AQ3431">
        <v>11</v>
      </c>
      <c r="AR3431">
        <v>0</v>
      </c>
      <c r="AS3431">
        <v>5</v>
      </c>
      <c r="AT3431">
        <v>2</v>
      </c>
    </row>
    <row r="3432" spans="1:46">
      <c r="A3432">
        <v>50045</v>
      </c>
      <c r="B3432" t="s">
        <v>18961</v>
      </c>
      <c r="C3432" t="s">
        <v>18962</v>
      </c>
      <c r="D3432" t="s">
        <v>11797</v>
      </c>
      <c r="E3432" t="s">
        <v>18963</v>
      </c>
      <c r="F3432" t="s">
        <v>2505</v>
      </c>
      <c r="G3432" t="s">
        <v>2427</v>
      </c>
      <c r="H3432" t="s">
        <v>3942</v>
      </c>
      <c r="I3432" t="s">
        <v>3644</v>
      </c>
      <c r="J3432" t="s">
        <v>3962</v>
      </c>
      <c r="K3432" t="s">
        <v>519</v>
      </c>
      <c r="M3432" t="s">
        <v>2287</v>
      </c>
      <c r="N3432" t="s">
        <v>539</v>
      </c>
      <c r="O3432" t="s">
        <v>2428</v>
      </c>
      <c r="P3432" t="s">
        <v>654</v>
      </c>
      <c r="Q3432" t="s">
        <v>2319</v>
      </c>
      <c r="R3432" t="s">
        <v>2289</v>
      </c>
      <c r="S3432" t="s">
        <v>2373</v>
      </c>
      <c r="T3432" t="s">
        <v>2085</v>
      </c>
      <c r="U3432">
        <v>244600</v>
      </c>
      <c r="V3432" t="s">
        <v>2506</v>
      </c>
      <c r="W3432" t="s">
        <v>2468</v>
      </c>
      <c r="X3432" t="s">
        <v>17380</v>
      </c>
      <c r="Y3432" t="s">
        <v>4584</v>
      </c>
      <c r="Z3432" t="s">
        <v>3945</v>
      </c>
      <c r="AA3432" t="s">
        <v>4585</v>
      </c>
      <c r="AB3432" t="s">
        <v>17381</v>
      </c>
      <c r="AE3432">
        <v>-41.181521109999998</v>
      </c>
      <c r="AF3432">
        <v>174.95455304999999</v>
      </c>
      <c r="AG3432">
        <v>50</v>
      </c>
      <c r="AH3432">
        <v>12</v>
      </c>
      <c r="AI3432">
        <v>0</v>
      </c>
      <c r="AJ3432">
        <v>4</v>
      </c>
      <c r="AK3432">
        <v>16</v>
      </c>
      <c r="AL3432">
        <v>12</v>
      </c>
      <c r="AM3432">
        <v>10</v>
      </c>
      <c r="AN3432">
        <v>0</v>
      </c>
      <c r="AO3432">
        <v>42</v>
      </c>
      <c r="AP3432">
        <v>17</v>
      </c>
      <c r="AQ3432">
        <v>11</v>
      </c>
      <c r="AR3432">
        <v>39</v>
      </c>
      <c r="AS3432">
        <v>1</v>
      </c>
      <c r="AT3432">
        <v>2</v>
      </c>
    </row>
    <row r="3433" spans="1:46">
      <c r="A3433">
        <v>50047</v>
      </c>
      <c r="B3433" t="s">
        <v>18964</v>
      </c>
      <c r="C3433" t="s">
        <v>18848</v>
      </c>
      <c r="D3433" t="s">
        <v>18965</v>
      </c>
      <c r="E3433" t="s">
        <v>18966</v>
      </c>
      <c r="G3433" t="s">
        <v>1824</v>
      </c>
      <c r="H3433" t="s">
        <v>298</v>
      </c>
      <c r="J3433" t="s">
        <v>518</v>
      </c>
      <c r="K3433" t="s">
        <v>519</v>
      </c>
      <c r="M3433" t="s">
        <v>1297</v>
      </c>
      <c r="N3433" t="s">
        <v>539</v>
      </c>
      <c r="O3433" t="s">
        <v>1758</v>
      </c>
      <c r="P3433" t="s">
        <v>523</v>
      </c>
      <c r="Q3433" t="s">
        <v>1759</v>
      </c>
      <c r="R3433" t="s">
        <v>1760</v>
      </c>
      <c r="S3433" t="s">
        <v>1757</v>
      </c>
      <c r="T3433" t="s">
        <v>1485</v>
      </c>
      <c r="U3433">
        <v>218901</v>
      </c>
      <c r="V3433" t="s">
        <v>18967</v>
      </c>
      <c r="W3433" t="s">
        <v>1826</v>
      </c>
      <c r="X3433" t="s">
        <v>10355</v>
      </c>
      <c r="Y3433" t="s">
        <v>5187</v>
      </c>
      <c r="AA3433" t="s">
        <v>5188</v>
      </c>
      <c r="AB3433" t="s">
        <v>10356</v>
      </c>
      <c r="AE3433">
        <v>-38.993243679999999</v>
      </c>
      <c r="AF3433">
        <v>174.24234208999999</v>
      </c>
      <c r="AG3433">
        <v>26</v>
      </c>
      <c r="AH3433">
        <v>15</v>
      </c>
      <c r="AI3433">
        <v>0</v>
      </c>
      <c r="AJ3433">
        <v>1</v>
      </c>
      <c r="AK3433">
        <v>0</v>
      </c>
      <c r="AL3433">
        <v>3</v>
      </c>
      <c r="AM3433">
        <v>0</v>
      </c>
      <c r="AN3433">
        <v>0</v>
      </c>
      <c r="AO3433">
        <v>4</v>
      </c>
      <c r="AP3433">
        <v>3</v>
      </c>
      <c r="AQ3433">
        <v>0</v>
      </c>
      <c r="AR3433">
        <v>0</v>
      </c>
      <c r="AS3433">
        <v>1</v>
      </c>
      <c r="AT3433">
        <v>0</v>
      </c>
    </row>
    <row r="3434" spans="1:46">
      <c r="A3434">
        <v>50048</v>
      </c>
      <c r="B3434" t="s">
        <v>10261</v>
      </c>
      <c r="C3434" t="s">
        <v>18968</v>
      </c>
      <c r="D3434" t="s">
        <v>18969</v>
      </c>
      <c r="E3434" t="s">
        <v>18970</v>
      </c>
      <c r="G3434" t="s">
        <v>1842</v>
      </c>
      <c r="H3434" t="s">
        <v>3942</v>
      </c>
      <c r="J3434" t="s">
        <v>3962</v>
      </c>
      <c r="K3434" t="s">
        <v>519</v>
      </c>
      <c r="M3434" t="s">
        <v>1297</v>
      </c>
      <c r="N3434" t="s">
        <v>571</v>
      </c>
      <c r="O3434" t="s">
        <v>1887</v>
      </c>
      <c r="P3434" t="s">
        <v>584</v>
      </c>
      <c r="Q3434" t="s">
        <v>1636</v>
      </c>
      <c r="R3434" t="s">
        <v>1760</v>
      </c>
      <c r="S3434" t="s">
        <v>1842</v>
      </c>
      <c r="T3434" t="s">
        <v>1485</v>
      </c>
      <c r="U3434">
        <v>224800</v>
      </c>
      <c r="V3434" t="s">
        <v>1905</v>
      </c>
      <c r="W3434" t="s">
        <v>1652</v>
      </c>
      <c r="X3434" t="s">
        <v>10265</v>
      </c>
      <c r="Y3434" t="s">
        <v>10266</v>
      </c>
      <c r="Z3434" t="s">
        <v>10267</v>
      </c>
      <c r="AA3434" t="s">
        <v>10268</v>
      </c>
      <c r="AB3434" t="s">
        <v>10269</v>
      </c>
      <c r="AC3434">
        <v>99219</v>
      </c>
      <c r="AD3434" t="s">
        <v>1900</v>
      </c>
      <c r="AE3434">
        <v>-39.920072130000001</v>
      </c>
      <c r="AF3434">
        <v>175.04841583999999</v>
      </c>
      <c r="AG3434">
        <v>29</v>
      </c>
      <c r="AH3434">
        <v>12</v>
      </c>
      <c r="AI3434">
        <v>1</v>
      </c>
      <c r="AJ3434">
        <v>5</v>
      </c>
      <c r="AK3434">
        <v>7</v>
      </c>
      <c r="AL3434">
        <v>7</v>
      </c>
      <c r="AM3434">
        <v>7</v>
      </c>
      <c r="AN3434">
        <v>0</v>
      </c>
      <c r="AO3434">
        <v>27</v>
      </c>
      <c r="AP3434">
        <v>24</v>
      </c>
      <c r="AQ3434">
        <v>4</v>
      </c>
      <c r="AR3434">
        <v>1</v>
      </c>
      <c r="AS3434">
        <v>0</v>
      </c>
      <c r="AT3434">
        <v>1</v>
      </c>
    </row>
    <row r="3435" spans="1:46">
      <c r="A3435">
        <v>50049</v>
      </c>
      <c r="B3435" t="s">
        <v>18971</v>
      </c>
      <c r="C3435" t="s">
        <v>18972</v>
      </c>
      <c r="D3435" t="s">
        <v>12809</v>
      </c>
      <c r="E3435" t="s">
        <v>18973</v>
      </c>
      <c r="F3435" t="s">
        <v>2733</v>
      </c>
      <c r="G3435" t="s">
        <v>2427</v>
      </c>
      <c r="H3435" t="s">
        <v>3942</v>
      </c>
      <c r="J3435" t="s">
        <v>3962</v>
      </c>
      <c r="K3435" t="s">
        <v>519</v>
      </c>
      <c r="M3435" t="s">
        <v>2287</v>
      </c>
      <c r="N3435" t="s">
        <v>571</v>
      </c>
      <c r="O3435" t="s">
        <v>2428</v>
      </c>
      <c r="P3435" t="s">
        <v>654</v>
      </c>
      <c r="Q3435" t="s">
        <v>2319</v>
      </c>
      <c r="R3435" t="s">
        <v>2289</v>
      </c>
      <c r="S3435" t="s">
        <v>2429</v>
      </c>
      <c r="T3435" t="s">
        <v>2448</v>
      </c>
      <c r="U3435">
        <v>243700</v>
      </c>
      <c r="V3435" t="s">
        <v>10956</v>
      </c>
      <c r="W3435" t="s">
        <v>2491</v>
      </c>
      <c r="X3435" t="s">
        <v>18974</v>
      </c>
      <c r="Y3435" t="s">
        <v>18973</v>
      </c>
      <c r="Z3435" t="s">
        <v>2733</v>
      </c>
      <c r="AA3435" t="s">
        <v>12812</v>
      </c>
      <c r="AB3435" t="s">
        <v>18975</v>
      </c>
      <c r="AE3435">
        <v>-41.219481909999999</v>
      </c>
      <c r="AF3435">
        <v>174.88804597000001</v>
      </c>
      <c r="AG3435">
        <v>20</v>
      </c>
      <c r="AH3435">
        <v>0</v>
      </c>
      <c r="AI3435">
        <v>0</v>
      </c>
      <c r="AJ3435">
        <v>0</v>
      </c>
      <c r="AK3435">
        <v>6</v>
      </c>
      <c r="AL3435">
        <v>9</v>
      </c>
      <c r="AM3435">
        <v>8</v>
      </c>
      <c r="AN3435">
        <v>1</v>
      </c>
      <c r="AO3435">
        <v>24</v>
      </c>
      <c r="AP3435">
        <v>21</v>
      </c>
      <c r="AQ3435">
        <v>5</v>
      </c>
      <c r="AR3435">
        <v>0</v>
      </c>
      <c r="AS3435">
        <v>5</v>
      </c>
      <c r="AT3435">
        <v>1</v>
      </c>
    </row>
    <row r="3436" spans="1:46">
      <c r="A3436">
        <v>50051</v>
      </c>
      <c r="B3436" t="s">
        <v>18976</v>
      </c>
      <c r="C3436" t="s">
        <v>18977</v>
      </c>
      <c r="D3436" t="s">
        <v>18978</v>
      </c>
      <c r="E3436" t="s">
        <v>18979</v>
      </c>
      <c r="G3436" t="s">
        <v>2725</v>
      </c>
      <c r="H3436" t="s">
        <v>3942</v>
      </c>
      <c r="J3436" t="s">
        <v>3962</v>
      </c>
      <c r="K3436" t="s">
        <v>519</v>
      </c>
      <c r="M3436" t="s">
        <v>2287</v>
      </c>
      <c r="N3436" t="s">
        <v>539</v>
      </c>
      <c r="O3436" t="s">
        <v>2066</v>
      </c>
      <c r="P3436" t="s">
        <v>1262</v>
      </c>
      <c r="Q3436" t="s">
        <v>1636</v>
      </c>
      <c r="R3436" t="s">
        <v>2289</v>
      </c>
      <c r="S3436" t="s">
        <v>2067</v>
      </c>
      <c r="T3436" t="s">
        <v>1485</v>
      </c>
      <c r="U3436">
        <v>234900</v>
      </c>
      <c r="V3436" t="s">
        <v>3691</v>
      </c>
      <c r="W3436" t="s">
        <v>2727</v>
      </c>
      <c r="X3436" t="s">
        <v>18980</v>
      </c>
      <c r="Y3436" t="s">
        <v>18981</v>
      </c>
      <c r="AA3436" t="s">
        <v>18982</v>
      </c>
      <c r="AB3436" t="s">
        <v>18983</v>
      </c>
      <c r="AC3436">
        <v>99058</v>
      </c>
      <c r="AD3436" t="s">
        <v>2728</v>
      </c>
      <c r="AE3436">
        <v>-40.618980530000002</v>
      </c>
      <c r="AF3436">
        <v>175.28041171000001</v>
      </c>
      <c r="AG3436">
        <v>38</v>
      </c>
      <c r="AH3436">
        <v>15</v>
      </c>
      <c r="AI3436">
        <v>2</v>
      </c>
      <c r="AJ3436">
        <v>9</v>
      </c>
      <c r="AK3436">
        <v>8</v>
      </c>
      <c r="AL3436">
        <v>12</v>
      </c>
      <c r="AM3436">
        <v>8</v>
      </c>
      <c r="AN3436">
        <v>0</v>
      </c>
      <c r="AO3436">
        <v>39</v>
      </c>
      <c r="AP3436">
        <v>30</v>
      </c>
      <c r="AQ3436">
        <v>15</v>
      </c>
      <c r="AR3436">
        <v>4</v>
      </c>
      <c r="AS3436">
        <v>3</v>
      </c>
      <c r="AT3436">
        <v>1</v>
      </c>
    </row>
    <row r="3437" spans="1:46">
      <c r="A3437">
        <v>50053</v>
      </c>
      <c r="B3437" t="s">
        <v>18984</v>
      </c>
      <c r="C3437" t="s">
        <v>18985</v>
      </c>
      <c r="D3437" t="s">
        <v>18986</v>
      </c>
      <c r="E3437" t="s">
        <v>18987</v>
      </c>
      <c r="F3437" t="s">
        <v>1886</v>
      </c>
      <c r="G3437" t="s">
        <v>1842</v>
      </c>
      <c r="H3437" t="s">
        <v>3942</v>
      </c>
      <c r="I3437" t="s">
        <v>3644</v>
      </c>
      <c r="J3437" t="s">
        <v>518</v>
      </c>
      <c r="K3437" t="s">
        <v>519</v>
      </c>
      <c r="M3437" t="s">
        <v>1297</v>
      </c>
      <c r="N3437" t="s">
        <v>521</v>
      </c>
      <c r="O3437" t="s">
        <v>1887</v>
      </c>
      <c r="P3437" t="s">
        <v>584</v>
      </c>
      <c r="Q3437" t="s">
        <v>1636</v>
      </c>
      <c r="R3437" t="s">
        <v>1760</v>
      </c>
      <c r="S3437" t="s">
        <v>1842</v>
      </c>
      <c r="T3437" t="s">
        <v>1485</v>
      </c>
      <c r="U3437">
        <v>224000</v>
      </c>
      <c r="V3437" t="s">
        <v>1888</v>
      </c>
      <c r="W3437" t="s">
        <v>1652</v>
      </c>
      <c r="X3437" t="s">
        <v>15659</v>
      </c>
      <c r="Y3437" t="s">
        <v>15660</v>
      </c>
      <c r="Z3437" t="s">
        <v>1886</v>
      </c>
      <c r="AA3437" t="s">
        <v>14509</v>
      </c>
      <c r="AB3437" t="s">
        <v>15661</v>
      </c>
      <c r="AE3437">
        <v>-39.90183236</v>
      </c>
      <c r="AF3437">
        <v>175.06414046</v>
      </c>
      <c r="AG3437">
        <v>40</v>
      </c>
      <c r="AH3437">
        <v>10</v>
      </c>
      <c r="AI3437">
        <v>0</v>
      </c>
      <c r="AJ3437">
        <v>4</v>
      </c>
      <c r="AK3437">
        <v>6</v>
      </c>
      <c r="AL3437">
        <v>4</v>
      </c>
      <c r="AM3437">
        <v>6</v>
      </c>
      <c r="AN3437">
        <v>0</v>
      </c>
      <c r="AO3437">
        <v>20</v>
      </c>
      <c r="AP3437">
        <v>4</v>
      </c>
      <c r="AQ3437">
        <v>10</v>
      </c>
      <c r="AR3437">
        <v>13</v>
      </c>
      <c r="AS3437">
        <v>1</v>
      </c>
      <c r="AT3437">
        <v>0</v>
      </c>
    </row>
    <row r="3438" spans="1:46">
      <c r="A3438">
        <v>50054</v>
      </c>
      <c r="B3438" t="s">
        <v>18988</v>
      </c>
      <c r="C3438" t="s">
        <v>18989</v>
      </c>
      <c r="D3438" t="s">
        <v>12429</v>
      </c>
      <c r="E3438" t="s">
        <v>18990</v>
      </c>
      <c r="F3438" t="s">
        <v>2620</v>
      </c>
      <c r="G3438" t="s">
        <v>2289</v>
      </c>
      <c r="H3438" t="s">
        <v>3942</v>
      </c>
      <c r="J3438" t="s">
        <v>3962</v>
      </c>
      <c r="K3438" t="s">
        <v>519</v>
      </c>
      <c r="M3438" t="s">
        <v>2287</v>
      </c>
      <c r="N3438" t="s">
        <v>4519</v>
      </c>
      <c r="O3438" t="s">
        <v>2536</v>
      </c>
      <c r="P3438" t="s">
        <v>654</v>
      </c>
      <c r="Q3438" t="s">
        <v>2319</v>
      </c>
      <c r="R3438" t="s">
        <v>2289</v>
      </c>
      <c r="S3438" t="s">
        <v>2545</v>
      </c>
      <c r="T3438" t="s">
        <v>2448</v>
      </c>
      <c r="U3438">
        <v>250000</v>
      </c>
      <c r="V3438" t="s">
        <v>2621</v>
      </c>
      <c r="W3438" t="s">
        <v>2561</v>
      </c>
      <c r="X3438" t="s">
        <v>14816</v>
      </c>
      <c r="Y3438" t="s">
        <v>12432</v>
      </c>
      <c r="Z3438" t="s">
        <v>2620</v>
      </c>
      <c r="AA3438" t="s">
        <v>12433</v>
      </c>
      <c r="AB3438" t="s">
        <v>14818</v>
      </c>
      <c r="AE3438">
        <v>-41.241944859999997</v>
      </c>
      <c r="AF3438">
        <v>174.79267247000001</v>
      </c>
      <c r="AG3438">
        <v>30</v>
      </c>
      <c r="AH3438">
        <v>0</v>
      </c>
      <c r="AI3438">
        <v>0</v>
      </c>
      <c r="AJ3438">
        <v>0</v>
      </c>
      <c r="AK3438">
        <v>25</v>
      </c>
      <c r="AL3438">
        <v>11</v>
      </c>
      <c r="AM3438">
        <v>0</v>
      </c>
      <c r="AN3438">
        <v>0</v>
      </c>
      <c r="AO3438">
        <v>36</v>
      </c>
      <c r="AP3438">
        <v>31</v>
      </c>
      <c r="AQ3438">
        <v>3</v>
      </c>
      <c r="AR3438">
        <v>1</v>
      </c>
      <c r="AS3438">
        <v>8</v>
      </c>
      <c r="AT3438">
        <v>1</v>
      </c>
    </row>
    <row r="3439" spans="1:46">
      <c r="A3439">
        <v>50055</v>
      </c>
      <c r="B3439" t="s">
        <v>18991</v>
      </c>
      <c r="C3439" t="s">
        <v>18992</v>
      </c>
      <c r="D3439" t="s">
        <v>18993</v>
      </c>
      <c r="E3439" t="s">
        <v>18994</v>
      </c>
      <c r="F3439" t="s">
        <v>12163</v>
      </c>
      <c r="G3439" t="s">
        <v>2289</v>
      </c>
      <c r="H3439" t="s">
        <v>3942</v>
      </c>
      <c r="J3439" t="s">
        <v>518</v>
      </c>
      <c r="K3439" t="s">
        <v>519</v>
      </c>
      <c r="M3439" t="s">
        <v>2287</v>
      </c>
      <c r="N3439" t="s">
        <v>571</v>
      </c>
      <c r="O3439" t="s">
        <v>2536</v>
      </c>
      <c r="P3439" t="s">
        <v>654</v>
      </c>
      <c r="Q3439" t="s">
        <v>2319</v>
      </c>
      <c r="R3439" t="s">
        <v>2289</v>
      </c>
      <c r="S3439" t="s">
        <v>2553</v>
      </c>
      <c r="T3439" t="s">
        <v>2448</v>
      </c>
      <c r="U3439">
        <v>250902</v>
      </c>
      <c r="V3439" t="s">
        <v>18995</v>
      </c>
      <c r="W3439" t="s">
        <v>2573</v>
      </c>
      <c r="X3439" t="s">
        <v>18996</v>
      </c>
      <c r="Y3439" t="s">
        <v>18997</v>
      </c>
      <c r="Z3439" t="s">
        <v>12163</v>
      </c>
      <c r="AA3439" t="s">
        <v>12167</v>
      </c>
      <c r="AE3439">
        <v>-41.272004879999997</v>
      </c>
      <c r="AF3439">
        <v>174.77935837999999</v>
      </c>
      <c r="AG3439">
        <v>40</v>
      </c>
      <c r="AH3439">
        <v>0</v>
      </c>
      <c r="AI3439">
        <v>0</v>
      </c>
      <c r="AJ3439">
        <v>0</v>
      </c>
      <c r="AK3439">
        <v>0</v>
      </c>
      <c r="AL3439">
        <v>15</v>
      </c>
      <c r="AM3439">
        <v>23</v>
      </c>
      <c r="AN3439">
        <v>1</v>
      </c>
      <c r="AO3439">
        <v>39</v>
      </c>
      <c r="AP3439">
        <v>18</v>
      </c>
      <c r="AQ3439">
        <v>0</v>
      </c>
      <c r="AR3439">
        <v>0</v>
      </c>
      <c r="AS3439">
        <v>22</v>
      </c>
      <c r="AT3439">
        <v>3</v>
      </c>
    </row>
    <row r="3440" spans="1:46">
      <c r="A3440">
        <v>50060</v>
      </c>
      <c r="B3440" t="s">
        <v>18998</v>
      </c>
      <c r="C3440" t="s">
        <v>18999</v>
      </c>
      <c r="D3440" t="s">
        <v>19000</v>
      </c>
      <c r="E3440" t="s">
        <v>19001</v>
      </c>
      <c r="F3440" t="s">
        <v>2620</v>
      </c>
      <c r="G3440" t="s">
        <v>2289</v>
      </c>
      <c r="H3440" t="s">
        <v>3942</v>
      </c>
      <c r="J3440" t="s">
        <v>518</v>
      </c>
      <c r="K3440" t="s">
        <v>519</v>
      </c>
      <c r="M3440" t="s">
        <v>2287</v>
      </c>
      <c r="N3440" t="s">
        <v>571</v>
      </c>
      <c r="O3440" t="s">
        <v>2536</v>
      </c>
      <c r="P3440" t="s">
        <v>654</v>
      </c>
      <c r="Q3440" t="s">
        <v>2319</v>
      </c>
      <c r="R3440" t="s">
        <v>2289</v>
      </c>
      <c r="S3440" t="s">
        <v>2545</v>
      </c>
      <c r="T3440" t="s">
        <v>2448</v>
      </c>
      <c r="U3440">
        <v>250000</v>
      </c>
      <c r="V3440" t="s">
        <v>2621</v>
      </c>
      <c r="W3440" t="s">
        <v>2561</v>
      </c>
      <c r="X3440" t="s">
        <v>19002</v>
      </c>
      <c r="Y3440" t="s">
        <v>19003</v>
      </c>
      <c r="Z3440" t="s">
        <v>2620</v>
      </c>
      <c r="AA3440" t="s">
        <v>12433</v>
      </c>
      <c r="AE3440">
        <v>-41.247373629999998</v>
      </c>
      <c r="AF3440">
        <v>174.79190184999999</v>
      </c>
      <c r="AG3440">
        <v>25</v>
      </c>
      <c r="AH3440">
        <v>10</v>
      </c>
      <c r="AI3440">
        <v>0</v>
      </c>
      <c r="AJ3440">
        <v>6</v>
      </c>
      <c r="AK3440">
        <v>12</v>
      </c>
      <c r="AL3440">
        <v>9</v>
      </c>
      <c r="AM3440">
        <v>3</v>
      </c>
      <c r="AN3440">
        <v>0</v>
      </c>
      <c r="AO3440">
        <v>30</v>
      </c>
      <c r="AP3440">
        <v>24</v>
      </c>
      <c r="AQ3440">
        <v>0</v>
      </c>
      <c r="AR3440">
        <v>0</v>
      </c>
      <c r="AS3440">
        <v>6</v>
      </c>
      <c r="AT3440">
        <v>1</v>
      </c>
    </row>
    <row r="3441" spans="1:46">
      <c r="A3441">
        <v>50061</v>
      </c>
      <c r="B3441" t="s">
        <v>19004</v>
      </c>
      <c r="C3441" t="s">
        <v>19005</v>
      </c>
      <c r="D3441" t="s">
        <v>19006</v>
      </c>
      <c r="E3441" t="s">
        <v>19007</v>
      </c>
      <c r="F3441" t="s">
        <v>19008</v>
      </c>
      <c r="G3441" t="s">
        <v>2289</v>
      </c>
      <c r="H3441" t="s">
        <v>3942</v>
      </c>
      <c r="J3441" t="s">
        <v>518</v>
      </c>
      <c r="K3441" t="s">
        <v>519</v>
      </c>
      <c r="M3441" t="s">
        <v>2287</v>
      </c>
      <c r="N3441" t="s">
        <v>571</v>
      </c>
      <c r="O3441" t="s">
        <v>2536</v>
      </c>
      <c r="P3441" t="s">
        <v>654</v>
      </c>
      <c r="Q3441" t="s">
        <v>2319</v>
      </c>
      <c r="R3441" t="s">
        <v>2289</v>
      </c>
      <c r="S3441" t="s">
        <v>2537</v>
      </c>
      <c r="T3441" t="s">
        <v>2448</v>
      </c>
      <c r="U3441">
        <v>253700</v>
      </c>
      <c r="V3441" t="s">
        <v>19009</v>
      </c>
      <c r="W3441" t="s">
        <v>2591</v>
      </c>
      <c r="X3441" t="s">
        <v>10434</v>
      </c>
      <c r="Y3441" t="s">
        <v>3944</v>
      </c>
      <c r="Z3441" t="s">
        <v>3945</v>
      </c>
      <c r="AA3441" t="s">
        <v>3946</v>
      </c>
      <c r="AC3441">
        <v>99141</v>
      </c>
      <c r="AD3441" t="s">
        <v>2592</v>
      </c>
      <c r="AE3441">
        <v>-41.31458387</v>
      </c>
      <c r="AF3441">
        <v>174.79175839999999</v>
      </c>
      <c r="AG3441">
        <v>26</v>
      </c>
      <c r="AH3441">
        <v>10</v>
      </c>
      <c r="AI3441">
        <v>0</v>
      </c>
      <c r="AJ3441">
        <v>6</v>
      </c>
      <c r="AK3441">
        <v>8</v>
      </c>
      <c r="AL3441">
        <v>8</v>
      </c>
      <c r="AM3441">
        <v>5</v>
      </c>
      <c r="AN3441">
        <v>2</v>
      </c>
      <c r="AO3441">
        <v>29</v>
      </c>
      <c r="AP3441">
        <v>24</v>
      </c>
      <c r="AQ3441">
        <v>0</v>
      </c>
      <c r="AR3441">
        <v>1</v>
      </c>
      <c r="AS3441">
        <v>4</v>
      </c>
      <c r="AT3441">
        <v>5</v>
      </c>
    </row>
    <row r="3442" spans="1:46">
      <c r="A3442">
        <v>50063</v>
      </c>
      <c r="B3442" t="s">
        <v>19010</v>
      </c>
      <c r="C3442" t="s">
        <v>19011</v>
      </c>
      <c r="D3442" t="s">
        <v>19012</v>
      </c>
      <c r="E3442" t="s">
        <v>19013</v>
      </c>
      <c r="F3442" t="s">
        <v>13344</v>
      </c>
      <c r="G3442" t="s">
        <v>2289</v>
      </c>
      <c r="H3442" t="s">
        <v>3942</v>
      </c>
      <c r="J3442" t="s">
        <v>518</v>
      </c>
      <c r="K3442" t="s">
        <v>519</v>
      </c>
      <c r="M3442" t="s">
        <v>2287</v>
      </c>
      <c r="N3442" t="s">
        <v>571</v>
      </c>
      <c r="O3442" t="s">
        <v>2536</v>
      </c>
      <c r="P3442" t="s">
        <v>654</v>
      </c>
      <c r="Q3442" t="s">
        <v>2319</v>
      </c>
      <c r="R3442" t="s">
        <v>2289</v>
      </c>
      <c r="S3442" t="s">
        <v>2545</v>
      </c>
      <c r="T3442" t="s">
        <v>2448</v>
      </c>
      <c r="U3442">
        <v>250700</v>
      </c>
      <c r="V3442" t="s">
        <v>12164</v>
      </c>
      <c r="W3442" t="s">
        <v>2561</v>
      </c>
      <c r="X3442" t="s">
        <v>10434</v>
      </c>
      <c r="Y3442" t="s">
        <v>3944</v>
      </c>
      <c r="Z3442" t="s">
        <v>3945</v>
      </c>
      <c r="AA3442" t="s">
        <v>3946</v>
      </c>
      <c r="AE3442">
        <v>-41.257299279999998</v>
      </c>
      <c r="AF3442">
        <v>174.7940548</v>
      </c>
      <c r="AG3442">
        <v>100</v>
      </c>
      <c r="AH3442">
        <v>28</v>
      </c>
      <c r="AI3442">
        <v>4</v>
      </c>
      <c r="AJ3442">
        <v>22</v>
      </c>
      <c r="AK3442">
        <v>23</v>
      </c>
      <c r="AL3442">
        <v>21</v>
      </c>
      <c r="AM3442">
        <v>24</v>
      </c>
      <c r="AN3442">
        <v>0</v>
      </c>
      <c r="AO3442">
        <v>94</v>
      </c>
      <c r="AP3442">
        <v>63</v>
      </c>
      <c r="AQ3442">
        <v>7</v>
      </c>
      <c r="AR3442">
        <v>3</v>
      </c>
      <c r="AS3442">
        <v>34</v>
      </c>
      <c r="AT3442">
        <v>10</v>
      </c>
    </row>
    <row r="3443" spans="1:46">
      <c r="A3443">
        <v>50064</v>
      </c>
      <c r="B3443" t="s">
        <v>19014</v>
      </c>
      <c r="C3443" t="s">
        <v>19015</v>
      </c>
      <c r="D3443" t="s">
        <v>19016</v>
      </c>
      <c r="E3443" t="s">
        <v>19017</v>
      </c>
      <c r="G3443" t="s">
        <v>14441</v>
      </c>
      <c r="H3443" t="s">
        <v>3942</v>
      </c>
      <c r="J3443" t="s">
        <v>3962</v>
      </c>
      <c r="K3443" t="s">
        <v>519</v>
      </c>
      <c r="M3443" t="s">
        <v>2287</v>
      </c>
      <c r="N3443" t="s">
        <v>571</v>
      </c>
      <c r="O3443" t="s">
        <v>2333</v>
      </c>
      <c r="P3443" t="s">
        <v>523</v>
      </c>
      <c r="Q3443" t="s">
        <v>2319</v>
      </c>
      <c r="R3443" t="s">
        <v>2289</v>
      </c>
      <c r="S3443" t="s">
        <v>2269</v>
      </c>
      <c r="T3443" t="s">
        <v>2085</v>
      </c>
      <c r="U3443">
        <v>257901</v>
      </c>
      <c r="V3443" t="s">
        <v>14441</v>
      </c>
      <c r="W3443" t="s">
        <v>14442</v>
      </c>
      <c r="X3443" t="s">
        <v>19018</v>
      </c>
      <c r="Y3443" t="s">
        <v>3981</v>
      </c>
      <c r="AA3443" t="s">
        <v>3982</v>
      </c>
      <c r="AB3443" t="s">
        <v>19019</v>
      </c>
      <c r="AC3443">
        <v>99109</v>
      </c>
      <c r="AD3443" t="s">
        <v>2335</v>
      </c>
      <c r="AE3443">
        <v>-41.216738970000002</v>
      </c>
      <c r="AF3443">
        <v>175.45685302000001</v>
      </c>
      <c r="AG3443">
        <v>49</v>
      </c>
      <c r="AH3443">
        <v>13</v>
      </c>
      <c r="AI3443">
        <v>5</v>
      </c>
      <c r="AJ3443">
        <v>8</v>
      </c>
      <c r="AK3443">
        <v>17</v>
      </c>
      <c r="AL3443">
        <v>15</v>
      </c>
      <c r="AM3443">
        <v>12</v>
      </c>
      <c r="AN3443">
        <v>0</v>
      </c>
      <c r="AO3443">
        <v>57</v>
      </c>
      <c r="AP3443">
        <v>48</v>
      </c>
      <c r="AQ3443">
        <v>17</v>
      </c>
      <c r="AR3443">
        <v>0</v>
      </c>
      <c r="AS3443">
        <v>3</v>
      </c>
      <c r="AT3443">
        <v>4</v>
      </c>
    </row>
    <row r="3444" spans="1:46">
      <c r="A3444">
        <v>50065</v>
      </c>
      <c r="B3444" t="s">
        <v>19020</v>
      </c>
      <c r="C3444" t="s">
        <v>19021</v>
      </c>
      <c r="D3444" t="s">
        <v>19022</v>
      </c>
      <c r="E3444" t="s">
        <v>19023</v>
      </c>
      <c r="G3444" t="s">
        <v>19024</v>
      </c>
      <c r="H3444" t="s">
        <v>517</v>
      </c>
      <c r="J3444" t="s">
        <v>518</v>
      </c>
      <c r="K3444" t="s">
        <v>519</v>
      </c>
      <c r="M3444" t="s">
        <v>2287</v>
      </c>
      <c r="N3444" t="s">
        <v>521</v>
      </c>
      <c r="O3444" t="s">
        <v>2066</v>
      </c>
      <c r="P3444" t="s">
        <v>523</v>
      </c>
      <c r="Q3444" t="s">
        <v>1636</v>
      </c>
      <c r="R3444" t="s">
        <v>2289</v>
      </c>
      <c r="S3444" t="s">
        <v>1637</v>
      </c>
      <c r="T3444" t="s">
        <v>1485</v>
      </c>
      <c r="U3444">
        <v>235400</v>
      </c>
      <c r="V3444" t="s">
        <v>19024</v>
      </c>
      <c r="W3444" t="s">
        <v>19025</v>
      </c>
      <c r="X3444" t="s">
        <v>1889</v>
      </c>
      <c r="Y3444" t="s">
        <v>1890</v>
      </c>
      <c r="AA3444" t="s">
        <v>1891</v>
      </c>
      <c r="AB3444" t="s">
        <v>1892</v>
      </c>
      <c r="AC3444">
        <v>99058</v>
      </c>
      <c r="AD3444" t="s">
        <v>2728</v>
      </c>
      <c r="AE3444">
        <v>-40.545613680000002</v>
      </c>
      <c r="AF3444">
        <v>175.41510592</v>
      </c>
      <c r="AG3444">
        <v>30</v>
      </c>
      <c r="AH3444">
        <v>0</v>
      </c>
      <c r="AI3444">
        <v>0</v>
      </c>
      <c r="AJ3444">
        <v>0</v>
      </c>
      <c r="AK3444">
        <v>9</v>
      </c>
      <c r="AL3444">
        <v>6</v>
      </c>
      <c r="AM3444">
        <v>13</v>
      </c>
      <c r="AN3444">
        <v>0</v>
      </c>
      <c r="AO3444">
        <v>28</v>
      </c>
      <c r="AP3444">
        <v>22</v>
      </c>
      <c r="AQ3444">
        <v>18</v>
      </c>
      <c r="AR3444">
        <v>4</v>
      </c>
      <c r="AS3444">
        <v>1</v>
      </c>
      <c r="AT3444">
        <v>0</v>
      </c>
    </row>
    <row r="3445" spans="1:46">
      <c r="A3445">
        <v>50066</v>
      </c>
      <c r="B3445" t="s">
        <v>19026</v>
      </c>
      <c r="C3445" t="s">
        <v>19027</v>
      </c>
      <c r="D3445" t="s">
        <v>19028</v>
      </c>
      <c r="E3445" t="s">
        <v>15081</v>
      </c>
      <c r="G3445" t="s">
        <v>1842</v>
      </c>
      <c r="H3445" t="s">
        <v>4716</v>
      </c>
      <c r="J3445" t="s">
        <v>3962</v>
      </c>
      <c r="K3445" t="s">
        <v>519</v>
      </c>
      <c r="M3445" t="s">
        <v>1297</v>
      </c>
      <c r="N3445" t="s">
        <v>521</v>
      </c>
      <c r="O3445" t="s">
        <v>1887</v>
      </c>
      <c r="P3445" t="s">
        <v>584</v>
      </c>
      <c r="Q3445" t="s">
        <v>1636</v>
      </c>
      <c r="R3445" t="s">
        <v>1760</v>
      </c>
      <c r="S3445" t="s">
        <v>1842</v>
      </c>
      <c r="T3445" t="s">
        <v>1485</v>
      </c>
      <c r="U3445">
        <v>225700</v>
      </c>
      <c r="V3445" t="s">
        <v>10264</v>
      </c>
      <c r="W3445" t="s">
        <v>1652</v>
      </c>
      <c r="X3445" t="s">
        <v>19029</v>
      </c>
      <c r="Y3445" t="s">
        <v>15083</v>
      </c>
      <c r="AA3445" t="s">
        <v>15084</v>
      </c>
      <c r="AB3445" t="s">
        <v>19030</v>
      </c>
      <c r="AC3445">
        <v>99218</v>
      </c>
      <c r="AD3445" t="s">
        <v>1893</v>
      </c>
      <c r="AE3445">
        <v>-39.930631300000002</v>
      </c>
      <c r="AF3445">
        <v>175.04822322999999</v>
      </c>
      <c r="AG3445">
        <v>80</v>
      </c>
      <c r="AH3445">
        <v>80</v>
      </c>
      <c r="AI3445">
        <v>6</v>
      </c>
      <c r="AJ3445">
        <v>12</v>
      </c>
      <c r="AK3445">
        <v>11</v>
      </c>
      <c r="AL3445">
        <v>10</v>
      </c>
      <c r="AM3445">
        <v>7</v>
      </c>
      <c r="AN3445">
        <v>3</v>
      </c>
      <c r="AO3445">
        <v>49</v>
      </c>
      <c r="AP3445">
        <v>38</v>
      </c>
      <c r="AQ3445">
        <v>14</v>
      </c>
      <c r="AR3445">
        <v>5</v>
      </c>
      <c r="AS3445">
        <v>4</v>
      </c>
      <c r="AT3445">
        <v>6</v>
      </c>
    </row>
    <row r="3446" spans="1:46">
      <c r="A3446">
        <v>50067</v>
      </c>
      <c r="B3446" t="s">
        <v>19031</v>
      </c>
      <c r="C3446" t="s">
        <v>19032</v>
      </c>
      <c r="D3446" t="s">
        <v>19033</v>
      </c>
      <c r="E3446" t="s">
        <v>19034</v>
      </c>
      <c r="G3446" t="s">
        <v>2714</v>
      </c>
      <c r="H3446" t="s">
        <v>3942</v>
      </c>
      <c r="J3446" t="s">
        <v>518</v>
      </c>
      <c r="K3446" t="s">
        <v>519</v>
      </c>
      <c r="M3446" t="s">
        <v>2287</v>
      </c>
      <c r="N3446" t="s">
        <v>571</v>
      </c>
      <c r="O3446" t="s">
        <v>2675</v>
      </c>
      <c r="P3446" t="s">
        <v>1262</v>
      </c>
      <c r="Q3446" t="s">
        <v>2319</v>
      </c>
      <c r="R3446" t="s">
        <v>2289</v>
      </c>
      <c r="S3446" t="s">
        <v>2067</v>
      </c>
      <c r="T3446" t="s">
        <v>1485</v>
      </c>
      <c r="U3446">
        <v>237001</v>
      </c>
      <c r="V3446" t="s">
        <v>2715</v>
      </c>
      <c r="W3446" t="s">
        <v>2677</v>
      </c>
      <c r="X3446" t="s">
        <v>10434</v>
      </c>
      <c r="Y3446" t="s">
        <v>3944</v>
      </c>
      <c r="Z3446" t="s">
        <v>3945</v>
      </c>
      <c r="AA3446" t="s">
        <v>3946</v>
      </c>
      <c r="AE3446">
        <v>-40.882663899999997</v>
      </c>
      <c r="AF3446">
        <v>174.99772085000001</v>
      </c>
      <c r="AG3446">
        <v>75</v>
      </c>
      <c r="AH3446">
        <v>19</v>
      </c>
      <c r="AI3446">
        <v>2</v>
      </c>
      <c r="AJ3446">
        <v>9</v>
      </c>
      <c r="AK3446">
        <v>24</v>
      </c>
      <c r="AL3446">
        <v>12</v>
      </c>
      <c r="AM3446">
        <v>24</v>
      </c>
      <c r="AN3446">
        <v>0</v>
      </c>
      <c r="AO3446">
        <v>71</v>
      </c>
      <c r="AP3446">
        <v>52</v>
      </c>
      <c r="AQ3446">
        <v>30</v>
      </c>
      <c r="AR3446">
        <v>9</v>
      </c>
      <c r="AS3446">
        <v>6</v>
      </c>
      <c r="AT3446">
        <v>2</v>
      </c>
    </row>
    <row r="3447" spans="1:46">
      <c r="A3447">
        <v>50070</v>
      </c>
      <c r="B3447" t="s">
        <v>19035</v>
      </c>
      <c r="C3447" t="s">
        <v>19036</v>
      </c>
      <c r="D3447" t="s">
        <v>19037</v>
      </c>
      <c r="E3447" t="s">
        <v>19038</v>
      </c>
      <c r="G3447" t="s">
        <v>1974</v>
      </c>
      <c r="H3447" t="s">
        <v>3942</v>
      </c>
      <c r="J3447" t="s">
        <v>3962</v>
      </c>
      <c r="K3447" t="s">
        <v>519</v>
      </c>
      <c r="M3447" t="s">
        <v>1297</v>
      </c>
      <c r="N3447" t="s">
        <v>557</v>
      </c>
      <c r="O3447" t="s">
        <v>1956</v>
      </c>
      <c r="P3447" t="s">
        <v>584</v>
      </c>
      <c r="Q3447" t="s">
        <v>1636</v>
      </c>
      <c r="R3447" t="s">
        <v>1760</v>
      </c>
      <c r="S3447" t="s">
        <v>1974</v>
      </c>
      <c r="T3447" t="s">
        <v>1485</v>
      </c>
      <c r="U3447">
        <v>230600</v>
      </c>
      <c r="V3447" t="s">
        <v>1975</v>
      </c>
      <c r="W3447" t="s">
        <v>1957</v>
      </c>
      <c r="X3447" t="s">
        <v>19039</v>
      </c>
      <c r="Y3447" t="s">
        <v>4658</v>
      </c>
      <c r="Z3447" t="s">
        <v>958</v>
      </c>
      <c r="AA3447" t="s">
        <v>4659</v>
      </c>
      <c r="AB3447" t="s">
        <v>19036</v>
      </c>
      <c r="AC3447">
        <v>99052</v>
      </c>
      <c r="AD3447" t="s">
        <v>1962</v>
      </c>
      <c r="AE3447">
        <v>-40.350663959999999</v>
      </c>
      <c r="AF3447">
        <v>175.61440769999999</v>
      </c>
      <c r="AG3447">
        <v>55</v>
      </c>
      <c r="AH3447">
        <v>20</v>
      </c>
      <c r="AI3447">
        <v>2</v>
      </c>
      <c r="AJ3447">
        <v>16</v>
      </c>
      <c r="AK3447">
        <v>16</v>
      </c>
      <c r="AL3447">
        <v>13</v>
      </c>
      <c r="AM3447">
        <v>9</v>
      </c>
      <c r="AN3447">
        <v>0</v>
      </c>
      <c r="AO3447">
        <v>56</v>
      </c>
      <c r="AP3447">
        <v>37</v>
      </c>
      <c r="AQ3447">
        <v>13</v>
      </c>
      <c r="AR3447">
        <v>2</v>
      </c>
      <c r="AS3447">
        <v>11</v>
      </c>
      <c r="AT3447">
        <v>2</v>
      </c>
    </row>
    <row r="3448" spans="1:46">
      <c r="A3448">
        <v>50073</v>
      </c>
      <c r="B3448" t="s">
        <v>19040</v>
      </c>
      <c r="C3448" t="s">
        <v>19041</v>
      </c>
      <c r="E3448" t="s">
        <v>19042</v>
      </c>
      <c r="F3448" t="s">
        <v>2637</v>
      </c>
      <c r="G3448" t="s">
        <v>2289</v>
      </c>
      <c r="H3448" t="s">
        <v>3942</v>
      </c>
      <c r="J3448" t="s">
        <v>3962</v>
      </c>
      <c r="K3448" t="s">
        <v>519</v>
      </c>
      <c r="M3448" t="s">
        <v>2287</v>
      </c>
      <c r="N3448" t="s">
        <v>571</v>
      </c>
      <c r="O3448" t="s">
        <v>2536</v>
      </c>
      <c r="P3448" t="s">
        <v>654</v>
      </c>
      <c r="Q3448" t="s">
        <v>2319</v>
      </c>
      <c r="R3448" t="s">
        <v>2289</v>
      </c>
      <c r="S3448" t="s">
        <v>2537</v>
      </c>
      <c r="T3448" t="s">
        <v>2448</v>
      </c>
      <c r="U3448">
        <v>254401</v>
      </c>
      <c r="V3448" t="s">
        <v>19043</v>
      </c>
      <c r="W3448" t="s">
        <v>2591</v>
      </c>
      <c r="X3448" t="s">
        <v>19044</v>
      </c>
      <c r="Y3448" t="s">
        <v>19045</v>
      </c>
      <c r="Z3448" t="s">
        <v>2657</v>
      </c>
      <c r="AA3448" t="s">
        <v>19046</v>
      </c>
      <c r="AB3448" t="s">
        <v>19047</v>
      </c>
      <c r="AE3448">
        <v>-41.311546540000002</v>
      </c>
      <c r="AF3448">
        <v>174.81959818999999</v>
      </c>
      <c r="AG3448">
        <v>28</v>
      </c>
      <c r="AH3448">
        <v>8</v>
      </c>
      <c r="AI3448">
        <v>0</v>
      </c>
      <c r="AJ3448">
        <v>4</v>
      </c>
      <c r="AK3448">
        <v>9</v>
      </c>
      <c r="AL3448">
        <v>3</v>
      </c>
      <c r="AM3448">
        <v>11</v>
      </c>
      <c r="AN3448">
        <v>0</v>
      </c>
      <c r="AO3448">
        <v>27</v>
      </c>
      <c r="AP3448">
        <v>22</v>
      </c>
      <c r="AQ3448">
        <v>2</v>
      </c>
      <c r="AR3448">
        <v>4</v>
      </c>
      <c r="AS3448">
        <v>4</v>
      </c>
      <c r="AT3448">
        <v>0</v>
      </c>
    </row>
    <row r="3449" spans="1:46">
      <c r="A3449">
        <v>50074</v>
      </c>
      <c r="B3449" t="s">
        <v>19048</v>
      </c>
      <c r="C3449" t="s">
        <v>19049</v>
      </c>
      <c r="D3449" t="s">
        <v>19050</v>
      </c>
      <c r="E3449" t="s">
        <v>19051</v>
      </c>
      <c r="F3449" t="s">
        <v>1996</v>
      </c>
      <c r="G3449" t="s">
        <v>1974</v>
      </c>
      <c r="H3449" t="s">
        <v>3942</v>
      </c>
      <c r="J3449" t="s">
        <v>518</v>
      </c>
      <c r="K3449" t="s">
        <v>519</v>
      </c>
      <c r="M3449" t="s">
        <v>1297</v>
      </c>
      <c r="N3449" t="s">
        <v>727</v>
      </c>
      <c r="O3449" t="s">
        <v>1956</v>
      </c>
      <c r="P3449" t="s">
        <v>584</v>
      </c>
      <c r="Q3449" t="s">
        <v>1636</v>
      </c>
      <c r="R3449" t="s">
        <v>1760</v>
      </c>
      <c r="S3449" t="s">
        <v>1974</v>
      </c>
      <c r="T3449" t="s">
        <v>1485</v>
      </c>
      <c r="U3449">
        <v>229900</v>
      </c>
      <c r="V3449" t="s">
        <v>2054</v>
      </c>
      <c r="W3449" t="s">
        <v>1957</v>
      </c>
      <c r="X3449" t="s">
        <v>19052</v>
      </c>
      <c r="Y3449" t="s">
        <v>19053</v>
      </c>
      <c r="Z3449" t="s">
        <v>19054</v>
      </c>
      <c r="AA3449" t="s">
        <v>19055</v>
      </c>
      <c r="AB3449" t="s">
        <v>19056</v>
      </c>
      <c r="AE3449">
        <v>-40.357756690000002</v>
      </c>
      <c r="AF3449">
        <v>175.58785775000001</v>
      </c>
      <c r="AG3449">
        <v>45</v>
      </c>
      <c r="AH3449">
        <v>0</v>
      </c>
      <c r="AI3449">
        <v>0</v>
      </c>
      <c r="AJ3449">
        <v>0</v>
      </c>
      <c r="AK3449">
        <v>5</v>
      </c>
      <c r="AL3449">
        <v>15</v>
      </c>
      <c r="AM3449">
        <v>24</v>
      </c>
      <c r="AN3449">
        <v>0</v>
      </c>
      <c r="AO3449">
        <v>44</v>
      </c>
      <c r="AP3449">
        <v>8</v>
      </c>
      <c r="AQ3449">
        <v>40</v>
      </c>
      <c r="AR3449">
        <v>8</v>
      </c>
      <c r="AS3449">
        <v>2</v>
      </c>
      <c r="AT3449">
        <v>0</v>
      </c>
    </row>
    <row r="3450" spans="1:46">
      <c r="A3450">
        <v>50075</v>
      </c>
      <c r="B3450" t="s">
        <v>19057</v>
      </c>
      <c r="C3450" t="s">
        <v>19058</v>
      </c>
      <c r="D3450" t="s">
        <v>19059</v>
      </c>
      <c r="E3450" t="s">
        <v>19060</v>
      </c>
      <c r="G3450" t="s">
        <v>2067</v>
      </c>
      <c r="H3450" t="s">
        <v>3942</v>
      </c>
      <c r="I3450" t="s">
        <v>4951</v>
      </c>
      <c r="J3450" t="s">
        <v>518</v>
      </c>
      <c r="K3450" t="s">
        <v>519</v>
      </c>
      <c r="M3450" t="s">
        <v>2287</v>
      </c>
      <c r="N3450" t="s">
        <v>557</v>
      </c>
      <c r="O3450" t="s">
        <v>2675</v>
      </c>
      <c r="P3450" t="s">
        <v>523</v>
      </c>
      <c r="Q3450" t="s">
        <v>2319</v>
      </c>
      <c r="R3450" t="s">
        <v>2289</v>
      </c>
      <c r="S3450" t="s">
        <v>2067</v>
      </c>
      <c r="T3450" t="s">
        <v>1485</v>
      </c>
      <c r="U3450">
        <v>236500</v>
      </c>
      <c r="V3450" t="s">
        <v>2067</v>
      </c>
      <c r="W3450" t="s">
        <v>2698</v>
      </c>
      <c r="X3450" t="s">
        <v>19061</v>
      </c>
      <c r="Y3450" t="s">
        <v>19062</v>
      </c>
      <c r="Z3450" t="s">
        <v>2067</v>
      </c>
      <c r="AA3450" t="s">
        <v>19063</v>
      </c>
      <c r="AB3450" t="s">
        <v>19064</v>
      </c>
      <c r="AE3450">
        <v>-40.751159729999998</v>
      </c>
      <c r="AF3450">
        <v>175.13577365</v>
      </c>
      <c r="AG3450">
        <v>40</v>
      </c>
      <c r="AH3450">
        <v>15</v>
      </c>
      <c r="AI3450">
        <v>2</v>
      </c>
      <c r="AJ3450">
        <v>7</v>
      </c>
      <c r="AK3450">
        <v>5</v>
      </c>
      <c r="AL3450">
        <v>7</v>
      </c>
      <c r="AM3450">
        <v>12</v>
      </c>
      <c r="AN3450">
        <v>0</v>
      </c>
      <c r="AO3450">
        <v>33</v>
      </c>
      <c r="AP3450">
        <v>2</v>
      </c>
      <c r="AQ3450">
        <v>32</v>
      </c>
      <c r="AR3450">
        <v>0</v>
      </c>
      <c r="AS3450">
        <v>0</v>
      </c>
      <c r="AT3450">
        <v>1</v>
      </c>
    </row>
    <row r="3451" spans="1:46">
      <c r="A3451">
        <v>50077</v>
      </c>
      <c r="B3451" t="s">
        <v>19065</v>
      </c>
      <c r="C3451" t="s">
        <v>19066</v>
      </c>
      <c r="D3451" t="s">
        <v>19067</v>
      </c>
      <c r="E3451" t="s">
        <v>19068</v>
      </c>
      <c r="F3451" t="s">
        <v>2630</v>
      </c>
      <c r="G3451" t="s">
        <v>2526</v>
      </c>
      <c r="H3451" t="s">
        <v>517</v>
      </c>
      <c r="I3451" t="s">
        <v>4165</v>
      </c>
      <c r="J3451" t="s">
        <v>518</v>
      </c>
      <c r="K3451" t="s">
        <v>519</v>
      </c>
      <c r="M3451" t="s">
        <v>2287</v>
      </c>
      <c r="N3451" t="s">
        <v>539</v>
      </c>
      <c r="O3451" t="s">
        <v>2527</v>
      </c>
      <c r="P3451" t="s">
        <v>584</v>
      </c>
      <c r="Q3451" t="s">
        <v>2319</v>
      </c>
      <c r="R3451" t="s">
        <v>2289</v>
      </c>
      <c r="S3451" t="s">
        <v>2528</v>
      </c>
      <c r="T3451" t="s">
        <v>1485</v>
      </c>
      <c r="U3451">
        <v>240700</v>
      </c>
      <c r="V3451" t="s">
        <v>19069</v>
      </c>
      <c r="W3451" t="s">
        <v>2529</v>
      </c>
      <c r="X3451" t="s">
        <v>1889</v>
      </c>
      <c r="Y3451" t="s">
        <v>1890</v>
      </c>
      <c r="AA3451" t="s">
        <v>1891</v>
      </c>
      <c r="AB3451" t="s">
        <v>1892</v>
      </c>
      <c r="AC3451">
        <v>99074</v>
      </c>
      <c r="AD3451" t="s">
        <v>2632</v>
      </c>
      <c r="AE3451">
        <v>-41.139213570000003</v>
      </c>
      <c r="AF3451">
        <v>174.86458472999999</v>
      </c>
      <c r="AG3451">
        <v>63</v>
      </c>
      <c r="AH3451">
        <v>10</v>
      </c>
      <c r="AI3451">
        <v>0</v>
      </c>
      <c r="AJ3451">
        <v>4</v>
      </c>
      <c r="AK3451">
        <v>18</v>
      </c>
      <c r="AL3451">
        <v>16</v>
      </c>
      <c r="AM3451">
        <v>23</v>
      </c>
      <c r="AN3451">
        <v>0</v>
      </c>
      <c r="AO3451">
        <v>61</v>
      </c>
      <c r="AP3451">
        <v>6</v>
      </c>
      <c r="AQ3451">
        <v>27</v>
      </c>
      <c r="AR3451">
        <v>54</v>
      </c>
      <c r="AS3451">
        <v>3</v>
      </c>
      <c r="AT3451">
        <v>1</v>
      </c>
    </row>
    <row r="3452" spans="1:46">
      <c r="A3452">
        <v>50079</v>
      </c>
      <c r="B3452" t="s">
        <v>19070</v>
      </c>
      <c r="C3452" t="s">
        <v>19071</v>
      </c>
      <c r="D3452" t="s">
        <v>19072</v>
      </c>
      <c r="E3452" t="s">
        <v>19073</v>
      </c>
      <c r="F3452" t="s">
        <v>19074</v>
      </c>
      <c r="G3452" t="s">
        <v>2289</v>
      </c>
      <c r="H3452" t="s">
        <v>3942</v>
      </c>
      <c r="J3452" t="s">
        <v>518</v>
      </c>
      <c r="K3452" t="s">
        <v>519</v>
      </c>
      <c r="M3452" t="s">
        <v>2287</v>
      </c>
      <c r="N3452" t="s">
        <v>571</v>
      </c>
      <c r="O3452" t="s">
        <v>2536</v>
      </c>
      <c r="P3452" t="s">
        <v>654</v>
      </c>
      <c r="Q3452" t="s">
        <v>2319</v>
      </c>
      <c r="R3452" t="s">
        <v>2289</v>
      </c>
      <c r="S3452" t="s">
        <v>2537</v>
      </c>
      <c r="T3452" t="s">
        <v>2448</v>
      </c>
      <c r="U3452">
        <v>255100</v>
      </c>
      <c r="V3452" t="s">
        <v>2762</v>
      </c>
      <c r="W3452" t="s">
        <v>2591</v>
      </c>
      <c r="X3452" t="s">
        <v>19075</v>
      </c>
      <c r="Y3452" t="s">
        <v>19073</v>
      </c>
      <c r="Z3452" t="s">
        <v>19074</v>
      </c>
      <c r="AA3452" t="s">
        <v>19076</v>
      </c>
      <c r="AC3452">
        <v>99141</v>
      </c>
      <c r="AD3452" t="s">
        <v>2592</v>
      </c>
      <c r="AE3452">
        <v>-41.327641630000002</v>
      </c>
      <c r="AF3452">
        <v>174.82115895000001</v>
      </c>
      <c r="AG3452">
        <v>30</v>
      </c>
      <c r="AH3452">
        <v>0</v>
      </c>
      <c r="AI3452">
        <v>0</v>
      </c>
      <c r="AJ3452">
        <v>0</v>
      </c>
      <c r="AK3452">
        <v>3</v>
      </c>
      <c r="AL3452">
        <v>12</v>
      </c>
      <c r="AM3452">
        <v>8</v>
      </c>
      <c r="AN3452">
        <v>0</v>
      </c>
      <c r="AO3452">
        <v>23</v>
      </c>
      <c r="AP3452">
        <v>20</v>
      </c>
      <c r="AQ3452">
        <v>4</v>
      </c>
      <c r="AR3452">
        <v>1</v>
      </c>
      <c r="AS3452">
        <v>7</v>
      </c>
      <c r="AT3452">
        <v>1</v>
      </c>
    </row>
    <row r="3453" spans="1:46">
      <c r="A3453">
        <v>50080</v>
      </c>
      <c r="B3453" t="s">
        <v>19077</v>
      </c>
      <c r="C3453" t="s">
        <v>19078</v>
      </c>
      <c r="D3453" t="s">
        <v>19079</v>
      </c>
      <c r="E3453" t="s">
        <v>19080</v>
      </c>
      <c r="F3453" t="s">
        <v>2038</v>
      </c>
      <c r="G3453" t="s">
        <v>1974</v>
      </c>
      <c r="H3453" t="s">
        <v>3942</v>
      </c>
      <c r="J3453" t="s">
        <v>518</v>
      </c>
      <c r="K3453" t="s">
        <v>519</v>
      </c>
      <c r="M3453" t="s">
        <v>1297</v>
      </c>
      <c r="N3453" t="s">
        <v>571</v>
      </c>
      <c r="O3453" t="s">
        <v>1956</v>
      </c>
      <c r="P3453" t="s">
        <v>584</v>
      </c>
      <c r="Q3453" t="s">
        <v>1636</v>
      </c>
      <c r="R3453" t="s">
        <v>1760</v>
      </c>
      <c r="S3453" t="s">
        <v>1974</v>
      </c>
      <c r="T3453" t="s">
        <v>1485</v>
      </c>
      <c r="U3453">
        <v>229800</v>
      </c>
      <c r="V3453" t="s">
        <v>15938</v>
      </c>
      <c r="W3453" t="s">
        <v>1957</v>
      </c>
      <c r="X3453" t="s">
        <v>10400</v>
      </c>
      <c r="Y3453" t="s">
        <v>3944</v>
      </c>
      <c r="Z3453" t="s">
        <v>3945</v>
      </c>
      <c r="AA3453" t="s">
        <v>3946</v>
      </c>
      <c r="AB3453" t="s">
        <v>10401</v>
      </c>
      <c r="AE3453">
        <v>-40.339512229999997</v>
      </c>
      <c r="AF3453">
        <v>175.61186194000001</v>
      </c>
      <c r="AG3453">
        <v>74</v>
      </c>
      <c r="AH3453">
        <v>20</v>
      </c>
      <c r="AI3453">
        <v>4</v>
      </c>
      <c r="AJ3453">
        <v>11</v>
      </c>
      <c r="AK3453">
        <v>25</v>
      </c>
      <c r="AL3453">
        <v>23</v>
      </c>
      <c r="AM3453">
        <v>21</v>
      </c>
      <c r="AN3453">
        <v>1</v>
      </c>
      <c r="AO3453">
        <v>85</v>
      </c>
      <c r="AP3453">
        <v>51</v>
      </c>
      <c r="AQ3453">
        <v>12</v>
      </c>
      <c r="AR3453">
        <v>6</v>
      </c>
      <c r="AS3453">
        <v>17</v>
      </c>
      <c r="AT3453">
        <v>15</v>
      </c>
    </row>
    <row r="3454" spans="1:46">
      <c r="A3454">
        <v>50082</v>
      </c>
      <c r="B3454" t="s">
        <v>19081</v>
      </c>
      <c r="C3454" t="s">
        <v>19082</v>
      </c>
      <c r="D3454" t="s">
        <v>12429</v>
      </c>
      <c r="E3454" t="s">
        <v>19083</v>
      </c>
      <c r="F3454" t="s">
        <v>2566</v>
      </c>
      <c r="G3454" t="s">
        <v>2289</v>
      </c>
      <c r="H3454" t="s">
        <v>3942</v>
      </c>
      <c r="J3454" t="s">
        <v>3962</v>
      </c>
      <c r="K3454" t="s">
        <v>519</v>
      </c>
      <c r="M3454" t="s">
        <v>2287</v>
      </c>
      <c r="N3454" t="s">
        <v>4519</v>
      </c>
      <c r="O3454" t="s">
        <v>2536</v>
      </c>
      <c r="P3454" t="s">
        <v>654</v>
      </c>
      <c r="Q3454" t="s">
        <v>2319</v>
      </c>
      <c r="R3454" t="s">
        <v>2289</v>
      </c>
      <c r="S3454" t="s">
        <v>2545</v>
      </c>
      <c r="T3454" t="s">
        <v>2448</v>
      </c>
      <c r="U3454">
        <v>248101</v>
      </c>
      <c r="V3454" t="s">
        <v>19084</v>
      </c>
      <c r="W3454" t="s">
        <v>2547</v>
      </c>
      <c r="X3454" t="s">
        <v>14816</v>
      </c>
      <c r="Y3454" t="s">
        <v>12432</v>
      </c>
      <c r="Z3454" t="s">
        <v>2620</v>
      </c>
      <c r="AA3454" t="s">
        <v>12433</v>
      </c>
      <c r="AB3454" t="s">
        <v>14818</v>
      </c>
      <c r="AE3454">
        <v>-41.201409570000003</v>
      </c>
      <c r="AF3454">
        <v>174.80792495</v>
      </c>
      <c r="AG3454">
        <v>40</v>
      </c>
      <c r="AH3454">
        <v>0</v>
      </c>
      <c r="AI3454">
        <v>0</v>
      </c>
      <c r="AJ3454">
        <v>0</v>
      </c>
      <c r="AK3454">
        <v>11</v>
      </c>
      <c r="AL3454">
        <v>20</v>
      </c>
      <c r="AM3454">
        <v>19</v>
      </c>
      <c r="AN3454">
        <v>2</v>
      </c>
      <c r="AO3454">
        <v>52</v>
      </c>
      <c r="AP3454">
        <v>21</v>
      </c>
      <c r="AQ3454">
        <v>5</v>
      </c>
      <c r="AR3454">
        <v>3</v>
      </c>
      <c r="AS3454">
        <v>34</v>
      </c>
      <c r="AT3454">
        <v>1</v>
      </c>
    </row>
    <row r="3455" spans="1:46">
      <c r="A3455">
        <v>50083</v>
      </c>
      <c r="B3455" t="s">
        <v>19085</v>
      </c>
      <c r="C3455" t="s">
        <v>19086</v>
      </c>
      <c r="D3455" t="s">
        <v>19087</v>
      </c>
      <c r="E3455" t="s">
        <v>19088</v>
      </c>
      <c r="G3455" t="s">
        <v>1521</v>
      </c>
      <c r="H3455" t="s">
        <v>343</v>
      </c>
      <c r="J3455" t="s">
        <v>518</v>
      </c>
      <c r="K3455" t="s">
        <v>519</v>
      </c>
      <c r="L3455" t="s">
        <v>4205</v>
      </c>
      <c r="M3455" t="s">
        <v>1297</v>
      </c>
      <c r="N3455" t="s">
        <v>557</v>
      </c>
      <c r="O3455" t="s">
        <v>1522</v>
      </c>
      <c r="P3455" t="s">
        <v>572</v>
      </c>
      <c r="Q3455" t="s">
        <v>1471</v>
      </c>
      <c r="R3455" t="s">
        <v>1472</v>
      </c>
      <c r="S3455" t="s">
        <v>1521</v>
      </c>
      <c r="T3455" t="s">
        <v>1474</v>
      </c>
      <c r="U3455">
        <v>200401</v>
      </c>
      <c r="V3455" t="s">
        <v>19089</v>
      </c>
      <c r="W3455" t="s">
        <v>1523</v>
      </c>
      <c r="X3455" t="s">
        <v>19090</v>
      </c>
      <c r="Y3455" t="s">
        <v>4208</v>
      </c>
      <c r="Z3455" t="s">
        <v>4209</v>
      </c>
      <c r="AA3455" t="s">
        <v>4210</v>
      </c>
      <c r="AB3455" t="s">
        <v>7631</v>
      </c>
      <c r="AE3455">
        <v>-38.095820349999997</v>
      </c>
      <c r="AF3455">
        <v>176.32306277999999</v>
      </c>
      <c r="AG3455">
        <v>25</v>
      </c>
      <c r="AH3455">
        <v>8</v>
      </c>
      <c r="AI3455">
        <v>1</v>
      </c>
      <c r="AJ3455">
        <v>3</v>
      </c>
      <c r="AK3455">
        <v>6</v>
      </c>
      <c r="AL3455">
        <v>4</v>
      </c>
      <c r="AM3455">
        <v>10</v>
      </c>
      <c r="AN3455">
        <v>0</v>
      </c>
      <c r="AO3455">
        <v>24</v>
      </c>
      <c r="AP3455">
        <v>0</v>
      </c>
      <c r="AQ3455">
        <v>24</v>
      </c>
      <c r="AR3455">
        <v>0</v>
      </c>
      <c r="AS3455">
        <v>0</v>
      </c>
      <c r="AT3455">
        <v>0</v>
      </c>
    </row>
    <row r="3456" spans="1:46">
      <c r="A3456">
        <v>50084</v>
      </c>
      <c r="B3456" t="s">
        <v>19091</v>
      </c>
      <c r="C3456" t="s">
        <v>19092</v>
      </c>
      <c r="D3456" t="s">
        <v>19093</v>
      </c>
      <c r="E3456" t="s">
        <v>19094</v>
      </c>
      <c r="F3456" t="s">
        <v>2544</v>
      </c>
      <c r="G3456" t="s">
        <v>2289</v>
      </c>
      <c r="H3456" t="s">
        <v>3942</v>
      </c>
      <c r="J3456" t="s">
        <v>518</v>
      </c>
      <c r="K3456" t="s">
        <v>519</v>
      </c>
      <c r="M3456" t="s">
        <v>2287</v>
      </c>
      <c r="N3456" t="s">
        <v>571</v>
      </c>
      <c r="O3456" t="s">
        <v>2536</v>
      </c>
      <c r="P3456" t="s">
        <v>654</v>
      </c>
      <c r="Q3456" t="s">
        <v>2319</v>
      </c>
      <c r="R3456" t="s">
        <v>2289</v>
      </c>
      <c r="S3456" t="s">
        <v>2545</v>
      </c>
      <c r="T3456" t="s">
        <v>1485</v>
      </c>
      <c r="U3456">
        <v>247800</v>
      </c>
      <c r="V3456" t="s">
        <v>12021</v>
      </c>
      <c r="W3456" t="s">
        <v>2547</v>
      </c>
      <c r="X3456" t="s">
        <v>10434</v>
      </c>
      <c r="Y3456" t="s">
        <v>3944</v>
      </c>
      <c r="Z3456" t="s">
        <v>3945</v>
      </c>
      <c r="AA3456" t="s">
        <v>3946</v>
      </c>
      <c r="AE3456">
        <v>-41.179000250000001</v>
      </c>
      <c r="AF3456">
        <v>174.82182161</v>
      </c>
      <c r="AG3456">
        <v>70</v>
      </c>
      <c r="AH3456">
        <v>20</v>
      </c>
      <c r="AI3456">
        <v>4</v>
      </c>
      <c r="AJ3456">
        <v>16</v>
      </c>
      <c r="AK3456">
        <v>20</v>
      </c>
      <c r="AL3456">
        <v>15</v>
      </c>
      <c r="AM3456">
        <v>19</v>
      </c>
      <c r="AN3456">
        <v>0</v>
      </c>
      <c r="AO3456">
        <v>74</v>
      </c>
      <c r="AP3456">
        <v>42</v>
      </c>
      <c r="AQ3456">
        <v>13</v>
      </c>
      <c r="AR3456">
        <v>16</v>
      </c>
      <c r="AS3456">
        <v>29</v>
      </c>
      <c r="AT3456">
        <v>4</v>
      </c>
    </row>
    <row r="3457" spans="1:46">
      <c r="A3457">
        <v>50086</v>
      </c>
      <c r="B3457" t="s">
        <v>19095</v>
      </c>
      <c r="C3457" t="s">
        <v>19096</v>
      </c>
      <c r="D3457" t="s">
        <v>19097</v>
      </c>
      <c r="E3457" t="s">
        <v>19098</v>
      </c>
      <c r="F3457" t="s">
        <v>2597</v>
      </c>
      <c r="G3457" t="s">
        <v>2289</v>
      </c>
      <c r="H3457" t="s">
        <v>3942</v>
      </c>
      <c r="J3457" t="s">
        <v>3962</v>
      </c>
      <c r="K3457" t="s">
        <v>519</v>
      </c>
      <c r="M3457" t="s">
        <v>2287</v>
      </c>
      <c r="N3457" t="s">
        <v>571</v>
      </c>
      <c r="O3457" t="s">
        <v>2536</v>
      </c>
      <c r="P3457" t="s">
        <v>654</v>
      </c>
      <c r="Q3457" t="s">
        <v>2319</v>
      </c>
      <c r="R3457" t="s">
        <v>2289</v>
      </c>
      <c r="S3457" t="s">
        <v>2545</v>
      </c>
      <c r="T3457" t="s">
        <v>2448</v>
      </c>
      <c r="U3457">
        <v>248600</v>
      </c>
      <c r="V3457" t="s">
        <v>16887</v>
      </c>
      <c r="W3457" t="s">
        <v>2547</v>
      </c>
      <c r="X3457" t="s">
        <v>19099</v>
      </c>
      <c r="Y3457" t="s">
        <v>19098</v>
      </c>
      <c r="Z3457" t="s">
        <v>2597</v>
      </c>
      <c r="AA3457" t="s">
        <v>12404</v>
      </c>
      <c r="AB3457" t="s">
        <v>19100</v>
      </c>
      <c r="AE3457">
        <v>-41.223716410000002</v>
      </c>
      <c r="AF3457">
        <v>174.80128357999999</v>
      </c>
      <c r="AG3457">
        <v>29</v>
      </c>
      <c r="AH3457">
        <v>8</v>
      </c>
      <c r="AI3457">
        <v>1</v>
      </c>
      <c r="AJ3457">
        <v>6</v>
      </c>
      <c r="AK3457">
        <v>10</v>
      </c>
      <c r="AL3457">
        <v>6</v>
      </c>
      <c r="AM3457">
        <v>8</v>
      </c>
      <c r="AN3457">
        <v>0</v>
      </c>
      <c r="AO3457">
        <v>31</v>
      </c>
      <c r="AP3457">
        <v>28</v>
      </c>
      <c r="AQ3457">
        <v>12</v>
      </c>
      <c r="AR3457">
        <v>3</v>
      </c>
      <c r="AS3457">
        <v>8</v>
      </c>
      <c r="AT3457">
        <v>0</v>
      </c>
    </row>
    <row r="3458" spans="1:46">
      <c r="A3458">
        <v>50087</v>
      </c>
      <c r="B3458" t="s">
        <v>19101</v>
      </c>
      <c r="C3458" t="s">
        <v>19102</v>
      </c>
      <c r="D3458" t="s">
        <v>19103</v>
      </c>
      <c r="E3458" t="s">
        <v>19104</v>
      </c>
      <c r="F3458" t="s">
        <v>12051</v>
      </c>
      <c r="G3458" t="s">
        <v>1974</v>
      </c>
      <c r="H3458" t="s">
        <v>3942</v>
      </c>
      <c r="J3458" t="s">
        <v>3962</v>
      </c>
      <c r="K3458" t="s">
        <v>519</v>
      </c>
      <c r="M3458" t="s">
        <v>1297</v>
      </c>
      <c r="N3458" t="s">
        <v>557</v>
      </c>
      <c r="O3458" t="s">
        <v>1956</v>
      </c>
      <c r="P3458" t="s">
        <v>584</v>
      </c>
      <c r="Q3458" t="s">
        <v>1636</v>
      </c>
      <c r="R3458" t="s">
        <v>1760</v>
      </c>
      <c r="S3458" t="s">
        <v>1974</v>
      </c>
      <c r="T3458" t="s">
        <v>1485</v>
      </c>
      <c r="U3458">
        <v>231200</v>
      </c>
      <c r="V3458" t="s">
        <v>12051</v>
      </c>
      <c r="W3458" t="s">
        <v>1957</v>
      </c>
      <c r="X3458" t="s">
        <v>12816</v>
      </c>
      <c r="Y3458" t="s">
        <v>4634</v>
      </c>
      <c r="AA3458" t="s">
        <v>4635</v>
      </c>
      <c r="AB3458" t="s">
        <v>12817</v>
      </c>
      <c r="AE3458">
        <v>-40.364238120000003</v>
      </c>
      <c r="AF3458">
        <v>175.60326663999999</v>
      </c>
      <c r="AG3458">
        <v>52</v>
      </c>
      <c r="AH3458">
        <v>0</v>
      </c>
      <c r="AI3458">
        <v>0</v>
      </c>
      <c r="AJ3458">
        <v>4</v>
      </c>
      <c r="AK3458">
        <v>8</v>
      </c>
      <c r="AL3458">
        <v>15</v>
      </c>
      <c r="AM3458">
        <v>11</v>
      </c>
      <c r="AN3458">
        <v>6</v>
      </c>
      <c r="AO3458">
        <v>44</v>
      </c>
      <c r="AP3458">
        <v>29</v>
      </c>
      <c r="AQ3458">
        <v>22</v>
      </c>
      <c r="AR3458">
        <v>2</v>
      </c>
      <c r="AS3458">
        <v>4</v>
      </c>
      <c r="AT3458">
        <v>1</v>
      </c>
    </row>
    <row r="3459" spans="1:46">
      <c r="A3459">
        <v>50088</v>
      </c>
      <c r="B3459" t="s">
        <v>19105</v>
      </c>
      <c r="C3459" t="s">
        <v>19106</v>
      </c>
      <c r="D3459" t="s">
        <v>19107</v>
      </c>
      <c r="E3459" t="s">
        <v>19108</v>
      </c>
      <c r="F3459" t="s">
        <v>2049</v>
      </c>
      <c r="G3459" t="s">
        <v>1974</v>
      </c>
      <c r="H3459" t="s">
        <v>3942</v>
      </c>
      <c r="J3459" t="s">
        <v>518</v>
      </c>
      <c r="K3459" t="s">
        <v>519</v>
      </c>
      <c r="M3459" t="s">
        <v>1297</v>
      </c>
      <c r="N3459" t="s">
        <v>727</v>
      </c>
      <c r="O3459" t="s">
        <v>1956</v>
      </c>
      <c r="P3459" t="s">
        <v>584</v>
      </c>
      <c r="Q3459" t="s">
        <v>1636</v>
      </c>
      <c r="R3459" t="s">
        <v>1760</v>
      </c>
      <c r="S3459" t="s">
        <v>1974</v>
      </c>
      <c r="T3459" t="s">
        <v>1485</v>
      </c>
      <c r="U3459">
        <v>230200</v>
      </c>
      <c r="V3459" t="s">
        <v>10390</v>
      </c>
      <c r="W3459" t="s">
        <v>1957</v>
      </c>
      <c r="X3459" t="s">
        <v>19109</v>
      </c>
      <c r="Y3459" t="s">
        <v>19110</v>
      </c>
      <c r="Z3459" t="s">
        <v>12507</v>
      </c>
      <c r="AA3459" t="s">
        <v>19111</v>
      </c>
      <c r="AB3459" t="s">
        <v>19112</v>
      </c>
      <c r="AC3459">
        <v>99052</v>
      </c>
      <c r="AD3459" t="s">
        <v>1962</v>
      </c>
      <c r="AE3459">
        <v>-40.3330889</v>
      </c>
      <c r="AF3459">
        <v>175.62519839999999</v>
      </c>
      <c r="AG3459">
        <v>37</v>
      </c>
      <c r="AH3459">
        <v>25</v>
      </c>
      <c r="AI3459">
        <v>1</v>
      </c>
      <c r="AJ3459">
        <v>12</v>
      </c>
      <c r="AK3459">
        <v>6</v>
      </c>
      <c r="AL3459">
        <v>5</v>
      </c>
      <c r="AM3459">
        <v>5</v>
      </c>
      <c r="AN3459">
        <v>1</v>
      </c>
      <c r="AO3459">
        <v>30</v>
      </c>
      <c r="AP3459">
        <v>21</v>
      </c>
      <c r="AQ3459">
        <v>14</v>
      </c>
      <c r="AR3459">
        <v>1</v>
      </c>
      <c r="AS3459">
        <v>1</v>
      </c>
      <c r="AT3459">
        <v>2</v>
      </c>
    </row>
    <row r="3460" spans="1:46">
      <c r="A3460">
        <v>50090</v>
      </c>
      <c r="B3460" t="s">
        <v>19113</v>
      </c>
      <c r="C3460" t="s">
        <v>19027</v>
      </c>
      <c r="D3460" t="s">
        <v>19028</v>
      </c>
      <c r="E3460" t="s">
        <v>15081</v>
      </c>
      <c r="G3460" t="s">
        <v>1842</v>
      </c>
      <c r="H3460" t="s">
        <v>4716</v>
      </c>
      <c r="J3460" t="s">
        <v>3962</v>
      </c>
      <c r="K3460" t="s">
        <v>519</v>
      </c>
      <c r="M3460" t="s">
        <v>1297</v>
      </c>
      <c r="N3460" t="s">
        <v>557</v>
      </c>
      <c r="O3460" t="s">
        <v>1887</v>
      </c>
      <c r="P3460" t="s">
        <v>584</v>
      </c>
      <c r="Q3460" t="s">
        <v>1636</v>
      </c>
      <c r="R3460" t="s">
        <v>1760</v>
      </c>
      <c r="S3460" t="s">
        <v>1842</v>
      </c>
      <c r="T3460" t="s">
        <v>1485</v>
      </c>
      <c r="U3460">
        <v>225700</v>
      </c>
      <c r="V3460" t="s">
        <v>10264</v>
      </c>
      <c r="W3460" t="s">
        <v>1652</v>
      </c>
      <c r="X3460" t="s">
        <v>19029</v>
      </c>
      <c r="Y3460" t="s">
        <v>15083</v>
      </c>
      <c r="AA3460" t="s">
        <v>15084</v>
      </c>
      <c r="AB3460" t="s">
        <v>19030</v>
      </c>
      <c r="AC3460">
        <v>99218</v>
      </c>
      <c r="AD3460" t="s">
        <v>1893</v>
      </c>
      <c r="AE3460">
        <v>-39.930631300000002</v>
      </c>
      <c r="AF3460">
        <v>175.04822322999999</v>
      </c>
      <c r="AG3460">
        <v>80</v>
      </c>
      <c r="AH3460">
        <v>80</v>
      </c>
      <c r="AI3460">
        <v>1</v>
      </c>
      <c r="AJ3460">
        <v>1</v>
      </c>
      <c r="AK3460">
        <v>3</v>
      </c>
      <c r="AL3460">
        <v>10</v>
      </c>
      <c r="AM3460">
        <v>3</v>
      </c>
      <c r="AN3460">
        <v>0</v>
      </c>
      <c r="AO3460">
        <v>18</v>
      </c>
      <c r="AP3460">
        <v>14</v>
      </c>
      <c r="AQ3460">
        <v>6</v>
      </c>
      <c r="AR3460">
        <v>1</v>
      </c>
      <c r="AS3460">
        <v>3</v>
      </c>
      <c r="AT3460">
        <v>0</v>
      </c>
    </row>
    <row r="3461" spans="1:46">
      <c r="A3461">
        <v>50092</v>
      </c>
      <c r="B3461" t="s">
        <v>19114</v>
      </c>
      <c r="C3461" t="s">
        <v>13135</v>
      </c>
      <c r="E3461" t="s">
        <v>19115</v>
      </c>
      <c r="F3461" t="s">
        <v>13632</v>
      </c>
      <c r="G3461" t="s">
        <v>1757</v>
      </c>
      <c r="H3461" t="s">
        <v>3942</v>
      </c>
      <c r="J3461" t="s">
        <v>3962</v>
      </c>
      <c r="K3461" t="s">
        <v>519</v>
      </c>
      <c r="M3461" t="s">
        <v>1297</v>
      </c>
      <c r="N3461" t="s">
        <v>571</v>
      </c>
      <c r="O3461" t="s">
        <v>1758</v>
      </c>
      <c r="P3461" t="s">
        <v>584</v>
      </c>
      <c r="Q3461" t="s">
        <v>1759</v>
      </c>
      <c r="R3461" t="s">
        <v>1760</v>
      </c>
      <c r="S3461" t="s">
        <v>1757</v>
      </c>
      <c r="T3461" t="s">
        <v>1485</v>
      </c>
      <c r="U3461">
        <v>217000</v>
      </c>
      <c r="V3461" t="s">
        <v>13632</v>
      </c>
      <c r="W3461" t="s">
        <v>1762</v>
      </c>
      <c r="X3461" t="s">
        <v>19116</v>
      </c>
      <c r="Y3461" t="s">
        <v>4658</v>
      </c>
      <c r="Z3461" t="s">
        <v>958</v>
      </c>
      <c r="AA3461" t="s">
        <v>4659</v>
      </c>
      <c r="AB3461" t="s">
        <v>19117</v>
      </c>
      <c r="AE3461">
        <v>-39.060074</v>
      </c>
      <c r="AF3461">
        <v>174.06393388999999</v>
      </c>
      <c r="AG3461">
        <v>100</v>
      </c>
      <c r="AH3461">
        <v>23</v>
      </c>
      <c r="AI3461">
        <v>7</v>
      </c>
      <c r="AJ3461">
        <v>25</v>
      </c>
      <c r="AK3461">
        <v>17</v>
      </c>
      <c r="AL3461">
        <v>18</v>
      </c>
      <c r="AM3461">
        <v>15</v>
      </c>
      <c r="AN3461">
        <v>0</v>
      </c>
      <c r="AO3461">
        <v>82</v>
      </c>
      <c r="AP3461">
        <v>63</v>
      </c>
      <c r="AQ3461">
        <v>17</v>
      </c>
      <c r="AR3461">
        <v>0</v>
      </c>
      <c r="AS3461">
        <v>12</v>
      </c>
      <c r="AT3461">
        <v>3</v>
      </c>
    </row>
    <row r="3462" spans="1:46">
      <c r="A3462">
        <v>50093</v>
      </c>
      <c r="B3462" t="s">
        <v>19118</v>
      </c>
      <c r="C3462" t="s">
        <v>19119</v>
      </c>
      <c r="D3462" t="s">
        <v>11310</v>
      </c>
      <c r="E3462" t="s">
        <v>19120</v>
      </c>
      <c r="G3462" t="s">
        <v>1857</v>
      </c>
      <c r="H3462" t="s">
        <v>3942</v>
      </c>
      <c r="J3462" t="s">
        <v>518</v>
      </c>
      <c r="K3462" t="s">
        <v>519</v>
      </c>
      <c r="M3462" t="s">
        <v>1297</v>
      </c>
      <c r="N3462" t="s">
        <v>571</v>
      </c>
      <c r="O3462" t="s">
        <v>1851</v>
      </c>
      <c r="P3462" t="s">
        <v>523</v>
      </c>
      <c r="Q3462" t="s">
        <v>1759</v>
      </c>
      <c r="R3462" t="s">
        <v>1760</v>
      </c>
      <c r="S3462" t="s">
        <v>1842</v>
      </c>
      <c r="T3462" t="s">
        <v>1485</v>
      </c>
      <c r="U3462">
        <v>221800</v>
      </c>
      <c r="V3462" t="s">
        <v>1858</v>
      </c>
      <c r="W3462" t="s">
        <v>1859</v>
      </c>
      <c r="X3462" t="s">
        <v>10362</v>
      </c>
      <c r="Y3462" t="s">
        <v>3944</v>
      </c>
      <c r="Z3462" t="s">
        <v>3945</v>
      </c>
      <c r="AA3462" t="s">
        <v>3946</v>
      </c>
      <c r="AE3462">
        <v>-39.591775869999999</v>
      </c>
      <c r="AF3462">
        <v>174.27060968000001</v>
      </c>
      <c r="AG3462">
        <v>51</v>
      </c>
      <c r="AH3462">
        <v>0</v>
      </c>
      <c r="AI3462">
        <v>0</v>
      </c>
      <c r="AJ3462">
        <v>0</v>
      </c>
      <c r="AK3462">
        <v>9</v>
      </c>
      <c r="AL3462">
        <v>21</v>
      </c>
      <c r="AM3462">
        <v>9</v>
      </c>
      <c r="AN3462">
        <v>2</v>
      </c>
      <c r="AO3462">
        <v>41</v>
      </c>
      <c r="AP3462">
        <v>28</v>
      </c>
      <c r="AQ3462">
        <v>17</v>
      </c>
      <c r="AR3462">
        <v>4</v>
      </c>
      <c r="AS3462">
        <v>3</v>
      </c>
      <c r="AT3462">
        <v>3</v>
      </c>
    </row>
    <row r="3463" spans="1:46">
      <c r="A3463">
        <v>50095</v>
      </c>
      <c r="B3463" t="s">
        <v>19121</v>
      </c>
      <c r="C3463" t="s">
        <v>19027</v>
      </c>
      <c r="D3463" t="s">
        <v>19122</v>
      </c>
      <c r="E3463" t="s">
        <v>15081</v>
      </c>
      <c r="G3463" t="s">
        <v>1842</v>
      </c>
      <c r="H3463" t="s">
        <v>4716</v>
      </c>
      <c r="J3463" t="s">
        <v>3962</v>
      </c>
      <c r="K3463" t="s">
        <v>519</v>
      </c>
      <c r="M3463" t="s">
        <v>1297</v>
      </c>
      <c r="N3463" t="s">
        <v>557</v>
      </c>
      <c r="O3463" t="s">
        <v>1887</v>
      </c>
      <c r="P3463" t="s">
        <v>584</v>
      </c>
      <c r="Q3463" t="s">
        <v>1636</v>
      </c>
      <c r="R3463" t="s">
        <v>1472</v>
      </c>
      <c r="S3463" t="s">
        <v>1842</v>
      </c>
      <c r="T3463" t="s">
        <v>1485</v>
      </c>
      <c r="U3463">
        <v>225700</v>
      </c>
      <c r="V3463" t="s">
        <v>10264</v>
      </c>
      <c r="W3463" t="s">
        <v>1652</v>
      </c>
      <c r="X3463" t="s">
        <v>19123</v>
      </c>
      <c r="Y3463" t="s">
        <v>15083</v>
      </c>
      <c r="AA3463" t="s">
        <v>15084</v>
      </c>
      <c r="AE3463">
        <v>-39.930631300000002</v>
      </c>
      <c r="AF3463">
        <v>175.04822322999999</v>
      </c>
      <c r="AG3463">
        <v>80</v>
      </c>
      <c r="AH3463">
        <v>80</v>
      </c>
      <c r="AI3463">
        <v>0</v>
      </c>
      <c r="AJ3463">
        <v>2</v>
      </c>
      <c r="AK3463">
        <v>1</v>
      </c>
      <c r="AL3463">
        <v>1</v>
      </c>
      <c r="AM3463">
        <v>0</v>
      </c>
      <c r="AN3463">
        <v>0</v>
      </c>
      <c r="AO3463">
        <v>4</v>
      </c>
      <c r="AP3463">
        <v>4</v>
      </c>
      <c r="AQ3463">
        <v>3</v>
      </c>
      <c r="AR3463">
        <v>0</v>
      </c>
      <c r="AS3463">
        <v>0</v>
      </c>
      <c r="AT3463">
        <v>0</v>
      </c>
    </row>
    <row r="3464" spans="1:46">
      <c r="A3464">
        <v>50099</v>
      </c>
      <c r="B3464" t="s">
        <v>19124</v>
      </c>
      <c r="C3464" t="s">
        <v>19125</v>
      </c>
      <c r="D3464" t="s">
        <v>19126</v>
      </c>
      <c r="E3464" t="s">
        <v>19127</v>
      </c>
      <c r="F3464" t="s">
        <v>12507</v>
      </c>
      <c r="G3464" t="s">
        <v>1974</v>
      </c>
      <c r="H3464" t="s">
        <v>3942</v>
      </c>
      <c r="J3464" t="s">
        <v>518</v>
      </c>
      <c r="K3464" t="s">
        <v>519</v>
      </c>
      <c r="L3464" t="s">
        <v>4205</v>
      </c>
      <c r="M3464" t="s">
        <v>2287</v>
      </c>
      <c r="N3464" t="s">
        <v>571</v>
      </c>
      <c r="O3464" t="s">
        <v>1956</v>
      </c>
      <c r="P3464" t="s">
        <v>584</v>
      </c>
      <c r="Q3464" t="s">
        <v>1636</v>
      </c>
      <c r="R3464" t="s">
        <v>2289</v>
      </c>
      <c r="S3464" t="s">
        <v>1974</v>
      </c>
      <c r="T3464" t="s">
        <v>1485</v>
      </c>
      <c r="U3464">
        <v>230500</v>
      </c>
      <c r="V3464" t="s">
        <v>10406</v>
      </c>
      <c r="W3464" t="s">
        <v>1957</v>
      </c>
      <c r="X3464" t="s">
        <v>10329</v>
      </c>
      <c r="Y3464" t="s">
        <v>4208</v>
      </c>
      <c r="Z3464" t="s">
        <v>4209</v>
      </c>
      <c r="AA3464" t="s">
        <v>4210</v>
      </c>
      <c r="AB3464" t="s">
        <v>10330</v>
      </c>
      <c r="AE3464">
        <v>-40.349271080000001</v>
      </c>
      <c r="AF3464">
        <v>175.61635136999999</v>
      </c>
      <c r="AG3464">
        <v>50</v>
      </c>
      <c r="AH3464">
        <v>15</v>
      </c>
      <c r="AI3464">
        <v>1</v>
      </c>
      <c r="AJ3464">
        <v>9</v>
      </c>
      <c r="AK3464">
        <v>4</v>
      </c>
      <c r="AL3464">
        <v>9</v>
      </c>
      <c r="AM3464">
        <v>1</v>
      </c>
      <c r="AN3464">
        <v>0</v>
      </c>
      <c r="AO3464">
        <v>24</v>
      </c>
      <c r="AP3464">
        <v>0</v>
      </c>
      <c r="AQ3464">
        <v>24</v>
      </c>
      <c r="AR3464">
        <v>0</v>
      </c>
      <c r="AS3464">
        <v>0</v>
      </c>
      <c r="AT3464">
        <v>0</v>
      </c>
    </row>
    <row r="3465" spans="1:46">
      <c r="A3465">
        <v>50101</v>
      </c>
      <c r="B3465" t="s">
        <v>19128</v>
      </c>
      <c r="C3465" t="s">
        <v>19129</v>
      </c>
      <c r="D3465" t="s">
        <v>19130</v>
      </c>
      <c r="E3465" t="s">
        <v>19131</v>
      </c>
      <c r="G3465" t="s">
        <v>1842</v>
      </c>
      <c r="H3465" t="s">
        <v>3942</v>
      </c>
      <c r="J3465" t="s">
        <v>518</v>
      </c>
      <c r="K3465" t="s">
        <v>519</v>
      </c>
      <c r="M3465" t="s">
        <v>1297</v>
      </c>
      <c r="N3465" t="s">
        <v>557</v>
      </c>
      <c r="O3465" t="s">
        <v>1887</v>
      </c>
      <c r="P3465" t="s">
        <v>584</v>
      </c>
      <c r="Q3465" t="s">
        <v>1636</v>
      </c>
      <c r="R3465" t="s">
        <v>1760</v>
      </c>
      <c r="S3465" t="s">
        <v>1842</v>
      </c>
      <c r="T3465" t="s">
        <v>1485</v>
      </c>
      <c r="U3465">
        <v>225700</v>
      </c>
      <c r="V3465" t="s">
        <v>10264</v>
      </c>
      <c r="W3465" t="s">
        <v>1652</v>
      </c>
      <c r="X3465" t="s">
        <v>19132</v>
      </c>
      <c r="Y3465" t="s">
        <v>19133</v>
      </c>
      <c r="AA3465" t="s">
        <v>14509</v>
      </c>
      <c r="AB3465" t="s">
        <v>19134</v>
      </c>
      <c r="AC3465">
        <v>99218</v>
      </c>
      <c r="AD3465" t="s">
        <v>1893</v>
      </c>
      <c r="AE3465">
        <v>-39.92638135</v>
      </c>
      <c r="AF3465">
        <v>175.04296835</v>
      </c>
      <c r="AG3465">
        <v>22</v>
      </c>
      <c r="AH3465">
        <v>22</v>
      </c>
      <c r="AI3465">
        <v>4</v>
      </c>
      <c r="AJ3465">
        <v>12</v>
      </c>
      <c r="AK3465">
        <v>4</v>
      </c>
      <c r="AL3465">
        <v>0</v>
      </c>
      <c r="AM3465">
        <v>0</v>
      </c>
      <c r="AN3465">
        <v>0</v>
      </c>
      <c r="AO3465">
        <v>20</v>
      </c>
      <c r="AP3465">
        <v>19</v>
      </c>
      <c r="AQ3465">
        <v>6</v>
      </c>
      <c r="AR3465">
        <v>1</v>
      </c>
      <c r="AS3465">
        <v>1</v>
      </c>
      <c r="AT3465">
        <v>1</v>
      </c>
    </row>
    <row r="3466" spans="1:46">
      <c r="A3466">
        <v>50103</v>
      </c>
      <c r="B3466" t="s">
        <v>19135</v>
      </c>
      <c r="C3466" t="s">
        <v>19136</v>
      </c>
      <c r="D3466" t="s">
        <v>19137</v>
      </c>
      <c r="E3466" t="s">
        <v>19138</v>
      </c>
      <c r="G3466" t="s">
        <v>19139</v>
      </c>
      <c r="H3466" t="s">
        <v>3942</v>
      </c>
      <c r="J3466" t="s">
        <v>518</v>
      </c>
      <c r="K3466" t="s">
        <v>519</v>
      </c>
      <c r="M3466" t="s">
        <v>1297</v>
      </c>
      <c r="N3466" t="s">
        <v>571</v>
      </c>
      <c r="O3466" t="s">
        <v>1635</v>
      </c>
      <c r="P3466" t="s">
        <v>523</v>
      </c>
      <c r="Q3466" t="s">
        <v>1636</v>
      </c>
      <c r="R3466" t="s">
        <v>1760</v>
      </c>
      <c r="S3466" t="s">
        <v>1637</v>
      </c>
      <c r="T3466" t="s">
        <v>1485</v>
      </c>
      <c r="U3466">
        <v>223000</v>
      </c>
      <c r="V3466" t="s">
        <v>19139</v>
      </c>
      <c r="W3466" t="s">
        <v>1639</v>
      </c>
      <c r="X3466" t="s">
        <v>19140</v>
      </c>
      <c r="Y3466" t="s">
        <v>19138</v>
      </c>
      <c r="AA3466" t="s">
        <v>19141</v>
      </c>
      <c r="AB3466" t="s">
        <v>19142</v>
      </c>
      <c r="AC3466">
        <v>99079</v>
      </c>
      <c r="AD3466" t="s">
        <v>2011</v>
      </c>
      <c r="AE3466">
        <v>-39.431230079999999</v>
      </c>
      <c r="AF3466">
        <v>175.27897307999999</v>
      </c>
      <c r="AG3466">
        <v>53</v>
      </c>
      <c r="AH3466">
        <v>10</v>
      </c>
      <c r="AI3466">
        <v>1</v>
      </c>
      <c r="AJ3466">
        <v>9</v>
      </c>
      <c r="AK3466">
        <v>16</v>
      </c>
      <c r="AL3466">
        <v>17</v>
      </c>
      <c r="AM3466">
        <v>17</v>
      </c>
      <c r="AN3466">
        <v>0</v>
      </c>
      <c r="AO3466">
        <v>60</v>
      </c>
      <c r="AP3466">
        <v>44</v>
      </c>
      <c r="AQ3466">
        <v>33</v>
      </c>
      <c r="AR3466">
        <v>0</v>
      </c>
      <c r="AS3466">
        <v>1</v>
      </c>
      <c r="AT3466">
        <v>3</v>
      </c>
    </row>
    <row r="3467" spans="1:46">
      <c r="A3467">
        <v>50105</v>
      </c>
      <c r="B3467" t="s">
        <v>19143</v>
      </c>
      <c r="C3467" t="s">
        <v>19144</v>
      </c>
      <c r="D3467" t="s">
        <v>10346</v>
      </c>
      <c r="E3467" t="s">
        <v>10350</v>
      </c>
      <c r="F3467" t="s">
        <v>2038</v>
      </c>
      <c r="G3467" t="s">
        <v>1974</v>
      </c>
      <c r="H3467" t="s">
        <v>3942</v>
      </c>
      <c r="J3467" t="s">
        <v>3962</v>
      </c>
      <c r="K3467" t="s">
        <v>519</v>
      </c>
      <c r="M3467" t="s">
        <v>1297</v>
      </c>
      <c r="N3467" t="s">
        <v>571</v>
      </c>
      <c r="O3467" t="s">
        <v>1956</v>
      </c>
      <c r="P3467" t="s">
        <v>584</v>
      </c>
      <c r="Q3467" t="s">
        <v>1636</v>
      </c>
      <c r="R3467" t="s">
        <v>1760</v>
      </c>
      <c r="S3467" t="s">
        <v>1974</v>
      </c>
      <c r="T3467" t="s">
        <v>1485</v>
      </c>
      <c r="U3467">
        <v>231500</v>
      </c>
      <c r="V3467" t="s">
        <v>2039</v>
      </c>
      <c r="W3467" t="s">
        <v>1957</v>
      </c>
      <c r="X3467" t="s">
        <v>10349</v>
      </c>
      <c r="Y3467" t="s">
        <v>10350</v>
      </c>
      <c r="Z3467" t="s">
        <v>2038</v>
      </c>
      <c r="AA3467" t="s">
        <v>1960</v>
      </c>
      <c r="AB3467" t="s">
        <v>10345</v>
      </c>
      <c r="AC3467">
        <v>99052</v>
      </c>
      <c r="AD3467" t="s">
        <v>1962</v>
      </c>
      <c r="AE3467">
        <v>-40.344124119999996</v>
      </c>
      <c r="AF3467">
        <v>175.64255899</v>
      </c>
      <c r="AG3467">
        <v>80</v>
      </c>
      <c r="AH3467">
        <v>20</v>
      </c>
      <c r="AI3467">
        <v>3</v>
      </c>
      <c r="AJ3467">
        <v>6</v>
      </c>
      <c r="AK3467">
        <v>17</v>
      </c>
      <c r="AL3467">
        <v>18</v>
      </c>
      <c r="AM3467">
        <v>22</v>
      </c>
      <c r="AN3467">
        <v>0</v>
      </c>
      <c r="AO3467">
        <v>66</v>
      </c>
      <c r="AP3467">
        <v>55</v>
      </c>
      <c r="AQ3467">
        <v>14</v>
      </c>
      <c r="AR3467">
        <v>4</v>
      </c>
      <c r="AS3467">
        <v>9</v>
      </c>
      <c r="AT3467">
        <v>0</v>
      </c>
    </row>
    <row r="3468" spans="1:46">
      <c r="A3468">
        <v>50107</v>
      </c>
      <c r="B3468" t="s">
        <v>19145</v>
      </c>
      <c r="C3468" t="s">
        <v>19146</v>
      </c>
      <c r="D3468" t="s">
        <v>19147</v>
      </c>
      <c r="E3468" t="s">
        <v>19148</v>
      </c>
      <c r="G3468" t="s">
        <v>1842</v>
      </c>
      <c r="H3468" t="s">
        <v>3942</v>
      </c>
      <c r="J3468" t="s">
        <v>3962</v>
      </c>
      <c r="K3468" t="s">
        <v>519</v>
      </c>
      <c r="M3468" t="s">
        <v>1297</v>
      </c>
      <c r="N3468" t="s">
        <v>4519</v>
      </c>
      <c r="O3468" t="s">
        <v>1887</v>
      </c>
      <c r="P3468" t="s">
        <v>584</v>
      </c>
      <c r="Q3468" t="s">
        <v>1636</v>
      </c>
      <c r="R3468" t="s">
        <v>1760</v>
      </c>
      <c r="S3468" t="s">
        <v>1842</v>
      </c>
      <c r="T3468" t="s">
        <v>1485</v>
      </c>
      <c r="U3468">
        <v>225700</v>
      </c>
      <c r="V3468" t="s">
        <v>10264</v>
      </c>
      <c r="W3468" t="s">
        <v>1652</v>
      </c>
      <c r="X3468" t="s">
        <v>13281</v>
      </c>
      <c r="Y3468" t="s">
        <v>4741</v>
      </c>
      <c r="Z3468" t="s">
        <v>2395</v>
      </c>
      <c r="AA3468" t="s">
        <v>4742</v>
      </c>
      <c r="AE3468">
        <v>-39.935327469999997</v>
      </c>
      <c r="AF3468">
        <v>175.04357411000001</v>
      </c>
      <c r="AG3468">
        <v>30</v>
      </c>
      <c r="AH3468">
        <v>0</v>
      </c>
      <c r="AI3468">
        <v>0</v>
      </c>
      <c r="AJ3468">
        <v>0</v>
      </c>
      <c r="AK3468">
        <v>8</v>
      </c>
      <c r="AL3468">
        <v>9</v>
      </c>
      <c r="AM3468">
        <v>5</v>
      </c>
      <c r="AN3468">
        <v>1</v>
      </c>
      <c r="AO3468">
        <v>23</v>
      </c>
      <c r="AP3468">
        <v>15</v>
      </c>
      <c r="AQ3468">
        <v>5</v>
      </c>
      <c r="AR3468">
        <v>0</v>
      </c>
      <c r="AS3468">
        <v>7</v>
      </c>
      <c r="AT3468">
        <v>0</v>
      </c>
    </row>
    <row r="3469" spans="1:46">
      <c r="A3469">
        <v>50113</v>
      </c>
      <c r="B3469" t="s">
        <v>19149</v>
      </c>
      <c r="C3469" t="s">
        <v>12978</v>
      </c>
      <c r="D3469" t="s">
        <v>12975</v>
      </c>
      <c r="E3469" t="s">
        <v>19150</v>
      </c>
      <c r="F3469" t="s">
        <v>2059</v>
      </c>
      <c r="G3469" t="s">
        <v>1974</v>
      </c>
      <c r="H3469" t="s">
        <v>3942</v>
      </c>
      <c r="J3469" t="s">
        <v>3962</v>
      </c>
      <c r="K3469" t="s">
        <v>519</v>
      </c>
      <c r="M3469" t="s">
        <v>1297</v>
      </c>
      <c r="N3469" t="s">
        <v>539</v>
      </c>
      <c r="O3469" t="s">
        <v>1956</v>
      </c>
      <c r="P3469" t="s">
        <v>584</v>
      </c>
      <c r="Q3469" t="s">
        <v>1636</v>
      </c>
      <c r="R3469" t="s">
        <v>1760</v>
      </c>
      <c r="S3469" t="s">
        <v>1974</v>
      </c>
      <c r="T3469" t="s">
        <v>1485</v>
      </c>
      <c r="U3469">
        <v>230700</v>
      </c>
      <c r="V3469" t="s">
        <v>2060</v>
      </c>
      <c r="W3469" t="s">
        <v>1957</v>
      </c>
      <c r="X3469" t="s">
        <v>12977</v>
      </c>
      <c r="Y3469" t="s">
        <v>19150</v>
      </c>
      <c r="Z3469" t="s">
        <v>2059</v>
      </c>
      <c r="AA3469" t="s">
        <v>19151</v>
      </c>
      <c r="AB3469" t="s">
        <v>12978</v>
      </c>
      <c r="AC3469">
        <v>99165</v>
      </c>
      <c r="AD3469" t="s">
        <v>1976</v>
      </c>
      <c r="AE3469">
        <v>-40.371122739999997</v>
      </c>
      <c r="AF3469">
        <v>175.59419159999999</v>
      </c>
      <c r="AG3469">
        <v>30</v>
      </c>
      <c r="AH3469">
        <v>12</v>
      </c>
      <c r="AI3469">
        <v>0</v>
      </c>
      <c r="AJ3469">
        <v>6</v>
      </c>
      <c r="AK3469">
        <v>7</v>
      </c>
      <c r="AL3469">
        <v>4</v>
      </c>
      <c r="AM3469">
        <v>6</v>
      </c>
      <c r="AN3469">
        <v>1</v>
      </c>
      <c r="AO3469">
        <v>24</v>
      </c>
      <c r="AP3469">
        <v>9</v>
      </c>
      <c r="AQ3469">
        <v>16</v>
      </c>
      <c r="AR3469">
        <v>3</v>
      </c>
      <c r="AS3469">
        <v>4</v>
      </c>
      <c r="AT3469">
        <v>0</v>
      </c>
    </row>
    <row r="3470" spans="1:46">
      <c r="A3470">
        <v>50114</v>
      </c>
      <c r="B3470" t="s">
        <v>19152</v>
      </c>
      <c r="C3470" t="s">
        <v>13906</v>
      </c>
      <c r="D3470" t="s">
        <v>13907</v>
      </c>
      <c r="E3470" t="s">
        <v>13910</v>
      </c>
      <c r="F3470" t="s">
        <v>17154</v>
      </c>
      <c r="G3470" t="s">
        <v>1757</v>
      </c>
      <c r="H3470" t="s">
        <v>3942</v>
      </c>
      <c r="J3470" t="s">
        <v>3962</v>
      </c>
      <c r="K3470" t="s">
        <v>519</v>
      </c>
      <c r="M3470" t="s">
        <v>1297</v>
      </c>
      <c r="N3470" t="s">
        <v>571</v>
      </c>
      <c r="O3470" t="s">
        <v>1758</v>
      </c>
      <c r="P3470" t="s">
        <v>584</v>
      </c>
      <c r="Q3470" t="s">
        <v>1759</v>
      </c>
      <c r="R3470" t="s">
        <v>1760</v>
      </c>
      <c r="S3470" t="s">
        <v>1757</v>
      </c>
      <c r="T3470" t="s">
        <v>1485</v>
      </c>
      <c r="U3470">
        <v>216300</v>
      </c>
      <c r="V3470" t="s">
        <v>1819</v>
      </c>
      <c r="W3470" t="s">
        <v>1762</v>
      </c>
      <c r="X3470" t="s">
        <v>13909</v>
      </c>
      <c r="Y3470" t="s">
        <v>13910</v>
      </c>
      <c r="AA3470" t="s">
        <v>12572</v>
      </c>
      <c r="AB3470" t="s">
        <v>13911</v>
      </c>
      <c r="AE3470">
        <v>-39.078112599999997</v>
      </c>
      <c r="AF3470">
        <v>174.03426045</v>
      </c>
      <c r="AG3470">
        <v>50</v>
      </c>
      <c r="AH3470">
        <v>0</v>
      </c>
      <c r="AI3470">
        <v>0</v>
      </c>
      <c r="AJ3470">
        <v>0</v>
      </c>
      <c r="AK3470">
        <v>10</v>
      </c>
      <c r="AL3470">
        <v>16</v>
      </c>
      <c r="AM3470">
        <v>19</v>
      </c>
      <c r="AN3470">
        <v>1</v>
      </c>
      <c r="AO3470">
        <v>46</v>
      </c>
      <c r="AP3470">
        <v>35</v>
      </c>
      <c r="AQ3470">
        <v>12</v>
      </c>
      <c r="AR3470">
        <v>1</v>
      </c>
      <c r="AS3470">
        <v>6</v>
      </c>
      <c r="AT3470">
        <v>2</v>
      </c>
    </row>
    <row r="3471" spans="1:46">
      <c r="A3471">
        <v>50116</v>
      </c>
      <c r="B3471" t="s">
        <v>19153</v>
      </c>
      <c r="C3471" t="s">
        <v>19154</v>
      </c>
      <c r="E3471" t="s">
        <v>19155</v>
      </c>
      <c r="F3471" t="s">
        <v>1804</v>
      </c>
      <c r="G3471" t="s">
        <v>1757</v>
      </c>
      <c r="H3471" t="s">
        <v>3942</v>
      </c>
      <c r="J3471" t="s">
        <v>3962</v>
      </c>
      <c r="K3471" t="s">
        <v>519</v>
      </c>
      <c r="M3471" t="s">
        <v>1297</v>
      </c>
      <c r="N3471" t="s">
        <v>571</v>
      </c>
      <c r="O3471" t="s">
        <v>1758</v>
      </c>
      <c r="P3471" t="s">
        <v>584</v>
      </c>
      <c r="Q3471" t="s">
        <v>1759</v>
      </c>
      <c r="R3471" t="s">
        <v>1760</v>
      </c>
      <c r="S3471" t="s">
        <v>1757</v>
      </c>
      <c r="T3471" t="s">
        <v>1485</v>
      </c>
      <c r="U3471">
        <v>218100</v>
      </c>
      <c r="V3471" t="s">
        <v>1804</v>
      </c>
      <c r="W3471" t="s">
        <v>1762</v>
      </c>
      <c r="X3471" t="s">
        <v>19156</v>
      </c>
      <c r="Y3471" t="s">
        <v>19157</v>
      </c>
      <c r="Z3471" t="s">
        <v>1067</v>
      </c>
      <c r="AA3471" t="s">
        <v>19158</v>
      </c>
      <c r="AB3471" t="s">
        <v>19154</v>
      </c>
      <c r="AE3471">
        <v>-39.062878509999997</v>
      </c>
      <c r="AF3471">
        <v>174.10152488</v>
      </c>
      <c r="AG3471">
        <v>44</v>
      </c>
      <c r="AH3471">
        <v>14</v>
      </c>
      <c r="AI3471">
        <v>2</v>
      </c>
      <c r="AJ3471">
        <v>15</v>
      </c>
      <c r="AK3471">
        <v>10</v>
      </c>
      <c r="AL3471">
        <v>10</v>
      </c>
      <c r="AM3471">
        <v>8</v>
      </c>
      <c r="AN3471">
        <v>0</v>
      </c>
      <c r="AO3471">
        <v>45</v>
      </c>
      <c r="AP3471">
        <v>37</v>
      </c>
      <c r="AQ3471">
        <v>13</v>
      </c>
      <c r="AR3471">
        <v>0</v>
      </c>
      <c r="AS3471">
        <v>3</v>
      </c>
      <c r="AT3471">
        <v>4</v>
      </c>
    </row>
    <row r="3472" spans="1:46">
      <c r="A3472">
        <v>50119</v>
      </c>
      <c r="B3472" t="s">
        <v>19159</v>
      </c>
      <c r="C3472" t="s">
        <v>19160</v>
      </c>
      <c r="D3472" t="s">
        <v>19161</v>
      </c>
      <c r="E3472" t="s">
        <v>19162</v>
      </c>
      <c r="G3472" t="s">
        <v>1842</v>
      </c>
      <c r="H3472" t="s">
        <v>343</v>
      </c>
      <c r="J3472" t="s">
        <v>518</v>
      </c>
      <c r="K3472" t="s">
        <v>519</v>
      </c>
      <c r="L3472" t="s">
        <v>4205</v>
      </c>
      <c r="M3472" t="s">
        <v>1297</v>
      </c>
      <c r="N3472" t="s">
        <v>521</v>
      </c>
      <c r="O3472" t="s">
        <v>1887</v>
      </c>
      <c r="P3472" t="s">
        <v>584</v>
      </c>
      <c r="Q3472" t="s">
        <v>1636</v>
      </c>
      <c r="R3472" t="s">
        <v>1760</v>
      </c>
      <c r="S3472" t="s">
        <v>1842</v>
      </c>
      <c r="T3472" t="s">
        <v>1485</v>
      </c>
      <c r="U3472">
        <v>225400</v>
      </c>
      <c r="V3472" t="s">
        <v>16069</v>
      </c>
      <c r="W3472" t="s">
        <v>1652</v>
      </c>
      <c r="X3472" t="s">
        <v>9070</v>
      </c>
      <c r="Y3472" t="s">
        <v>4208</v>
      </c>
      <c r="Z3472" t="s">
        <v>4209</v>
      </c>
      <c r="AA3472" t="s">
        <v>4210</v>
      </c>
      <c r="AB3472" t="s">
        <v>9071</v>
      </c>
      <c r="AE3472">
        <v>-39.928789219999999</v>
      </c>
      <c r="AF3472">
        <v>175.05288714</v>
      </c>
      <c r="AG3472">
        <v>33</v>
      </c>
      <c r="AH3472">
        <v>33</v>
      </c>
      <c r="AI3472">
        <v>6</v>
      </c>
      <c r="AJ3472">
        <v>15</v>
      </c>
      <c r="AK3472">
        <v>14</v>
      </c>
      <c r="AL3472">
        <v>0</v>
      </c>
      <c r="AM3472">
        <v>0</v>
      </c>
      <c r="AN3472">
        <v>0</v>
      </c>
      <c r="AO3472">
        <v>35</v>
      </c>
      <c r="AP3472">
        <v>0</v>
      </c>
      <c r="AQ3472">
        <v>31</v>
      </c>
      <c r="AR3472">
        <v>1</v>
      </c>
      <c r="AS3472">
        <v>0</v>
      </c>
      <c r="AT3472">
        <v>3</v>
      </c>
    </row>
    <row r="3473" spans="1:46">
      <c r="A3473">
        <v>50120</v>
      </c>
      <c r="B3473" t="s">
        <v>19163</v>
      </c>
      <c r="C3473" t="s">
        <v>19164</v>
      </c>
      <c r="E3473" t="s">
        <v>19165</v>
      </c>
      <c r="G3473" t="s">
        <v>1792</v>
      </c>
      <c r="H3473" t="s">
        <v>3942</v>
      </c>
      <c r="J3473" t="s">
        <v>518</v>
      </c>
      <c r="K3473" t="s">
        <v>519</v>
      </c>
      <c r="M3473" t="s">
        <v>1297</v>
      </c>
      <c r="N3473" t="s">
        <v>571</v>
      </c>
      <c r="O3473" t="s">
        <v>1758</v>
      </c>
      <c r="P3473" t="s">
        <v>523</v>
      </c>
      <c r="Q3473" t="s">
        <v>1759</v>
      </c>
      <c r="R3473" t="s">
        <v>1760</v>
      </c>
      <c r="S3473" t="s">
        <v>1417</v>
      </c>
      <c r="T3473" t="s">
        <v>1485</v>
      </c>
      <c r="U3473">
        <v>219601</v>
      </c>
      <c r="V3473" t="s">
        <v>1792</v>
      </c>
      <c r="W3473" t="s">
        <v>1793</v>
      </c>
      <c r="X3473" t="s">
        <v>10362</v>
      </c>
      <c r="Y3473" t="s">
        <v>3944</v>
      </c>
      <c r="Z3473" t="s">
        <v>3945</v>
      </c>
      <c r="AA3473" t="s">
        <v>3946</v>
      </c>
      <c r="AC3473">
        <v>99059</v>
      </c>
      <c r="AD3473" t="s">
        <v>1794</v>
      </c>
      <c r="AE3473">
        <v>-39.157393820000003</v>
      </c>
      <c r="AF3473">
        <v>174.20569380000001</v>
      </c>
      <c r="AG3473">
        <v>59</v>
      </c>
      <c r="AH3473">
        <v>15</v>
      </c>
      <c r="AI3473">
        <v>5</v>
      </c>
      <c r="AJ3473">
        <v>5</v>
      </c>
      <c r="AK3473">
        <v>26</v>
      </c>
      <c r="AL3473">
        <v>17</v>
      </c>
      <c r="AM3473">
        <v>21</v>
      </c>
      <c r="AN3473">
        <v>0</v>
      </c>
      <c r="AO3473">
        <v>74</v>
      </c>
      <c r="AP3473">
        <v>65</v>
      </c>
      <c r="AQ3473">
        <v>24</v>
      </c>
      <c r="AR3473">
        <v>3</v>
      </c>
      <c r="AS3473">
        <v>4</v>
      </c>
      <c r="AT3473">
        <v>4</v>
      </c>
    </row>
    <row r="3474" spans="1:46">
      <c r="A3474">
        <v>50121</v>
      </c>
      <c r="B3474" t="s">
        <v>19166</v>
      </c>
      <c r="C3474" t="s">
        <v>19167</v>
      </c>
      <c r="D3474" t="s">
        <v>19168</v>
      </c>
      <c r="E3474" t="s">
        <v>19169</v>
      </c>
      <c r="F3474" t="s">
        <v>17254</v>
      </c>
      <c r="G3474" t="s">
        <v>1974</v>
      </c>
      <c r="H3474" t="s">
        <v>3942</v>
      </c>
      <c r="J3474" t="s">
        <v>3962</v>
      </c>
      <c r="K3474" t="s">
        <v>519</v>
      </c>
      <c r="M3474" t="s">
        <v>1297</v>
      </c>
      <c r="N3474" t="s">
        <v>571</v>
      </c>
      <c r="O3474" t="s">
        <v>1956</v>
      </c>
      <c r="P3474" t="s">
        <v>584</v>
      </c>
      <c r="Q3474" t="s">
        <v>1636</v>
      </c>
      <c r="R3474" t="s">
        <v>1760</v>
      </c>
      <c r="S3474" t="s">
        <v>1637</v>
      </c>
      <c r="T3474" t="s">
        <v>1485</v>
      </c>
      <c r="U3474">
        <v>232701</v>
      </c>
      <c r="V3474" t="s">
        <v>17255</v>
      </c>
      <c r="W3474" t="s">
        <v>1957</v>
      </c>
      <c r="X3474" t="s">
        <v>19170</v>
      </c>
      <c r="Y3474" t="s">
        <v>4658</v>
      </c>
      <c r="Z3474" t="s">
        <v>958</v>
      </c>
      <c r="AA3474" t="s">
        <v>4659</v>
      </c>
      <c r="AB3474" t="s">
        <v>19167</v>
      </c>
      <c r="AE3474">
        <v>-40.386711030000001</v>
      </c>
      <c r="AF3474">
        <v>175.6396072</v>
      </c>
      <c r="AG3474">
        <v>50</v>
      </c>
      <c r="AH3474">
        <v>25</v>
      </c>
      <c r="AI3474">
        <v>0</v>
      </c>
      <c r="AJ3474">
        <v>8</v>
      </c>
      <c r="AK3474">
        <v>13</v>
      </c>
      <c r="AL3474">
        <v>16</v>
      </c>
      <c r="AM3474">
        <v>9</v>
      </c>
      <c r="AN3474">
        <v>0</v>
      </c>
      <c r="AO3474">
        <v>46</v>
      </c>
      <c r="AP3474">
        <v>33</v>
      </c>
      <c r="AQ3474">
        <v>23</v>
      </c>
      <c r="AR3474">
        <v>4</v>
      </c>
      <c r="AS3474">
        <v>8</v>
      </c>
      <c r="AT3474">
        <v>0</v>
      </c>
    </row>
    <row r="3475" spans="1:46">
      <c r="A3475">
        <v>50123</v>
      </c>
      <c r="B3475" t="s">
        <v>19171</v>
      </c>
      <c r="C3475" t="s">
        <v>19172</v>
      </c>
      <c r="E3475" t="s">
        <v>19173</v>
      </c>
      <c r="G3475" t="s">
        <v>1974</v>
      </c>
      <c r="H3475" t="s">
        <v>3942</v>
      </c>
      <c r="J3475" t="s">
        <v>3962</v>
      </c>
      <c r="K3475" t="s">
        <v>519</v>
      </c>
      <c r="M3475" t="s">
        <v>1297</v>
      </c>
      <c r="N3475" t="s">
        <v>571</v>
      </c>
      <c r="O3475" t="s">
        <v>1956</v>
      </c>
      <c r="P3475" t="s">
        <v>584</v>
      </c>
      <c r="Q3475" t="s">
        <v>1636</v>
      </c>
      <c r="R3475" t="s">
        <v>1760</v>
      </c>
      <c r="S3475" t="s">
        <v>1974</v>
      </c>
      <c r="T3475" t="s">
        <v>1485</v>
      </c>
      <c r="U3475">
        <v>230600</v>
      </c>
      <c r="V3475" t="s">
        <v>1975</v>
      </c>
      <c r="W3475" t="s">
        <v>1957</v>
      </c>
      <c r="X3475" t="s">
        <v>19174</v>
      </c>
      <c r="Y3475" t="s">
        <v>19173</v>
      </c>
      <c r="AA3475" t="s">
        <v>1960</v>
      </c>
      <c r="AB3475" t="s">
        <v>19175</v>
      </c>
      <c r="AE3475">
        <v>-40.350472850000003</v>
      </c>
      <c r="AF3475">
        <v>175.6101601</v>
      </c>
      <c r="AG3475">
        <v>65</v>
      </c>
      <c r="AH3475">
        <v>15</v>
      </c>
      <c r="AI3475">
        <v>1</v>
      </c>
      <c r="AJ3475">
        <v>14</v>
      </c>
      <c r="AK3475">
        <v>11</v>
      </c>
      <c r="AL3475">
        <v>21</v>
      </c>
      <c r="AM3475">
        <v>15</v>
      </c>
      <c r="AN3475">
        <v>2</v>
      </c>
      <c r="AO3475">
        <v>64</v>
      </c>
      <c r="AP3475">
        <v>36</v>
      </c>
      <c r="AQ3475">
        <v>39</v>
      </c>
      <c r="AR3475">
        <v>7</v>
      </c>
      <c r="AS3475">
        <v>2</v>
      </c>
      <c r="AT3475">
        <v>3</v>
      </c>
    </row>
    <row r="3476" spans="1:46">
      <c r="A3476">
        <v>50124</v>
      </c>
      <c r="B3476" t="s">
        <v>19176</v>
      </c>
      <c r="C3476" t="s">
        <v>19177</v>
      </c>
      <c r="D3476" t="s">
        <v>19178</v>
      </c>
      <c r="E3476" t="s">
        <v>19179</v>
      </c>
      <c r="G3476" t="s">
        <v>2725</v>
      </c>
      <c r="H3476" t="s">
        <v>3942</v>
      </c>
      <c r="J3476" t="s">
        <v>3962</v>
      </c>
      <c r="K3476" t="s">
        <v>519</v>
      </c>
      <c r="M3476" t="s">
        <v>2287</v>
      </c>
      <c r="N3476" t="s">
        <v>557</v>
      </c>
      <c r="O3476" t="s">
        <v>2066</v>
      </c>
      <c r="P3476" t="s">
        <v>1262</v>
      </c>
      <c r="Q3476" t="s">
        <v>1636</v>
      </c>
      <c r="R3476" t="s">
        <v>2289</v>
      </c>
      <c r="S3476" t="s">
        <v>2067</v>
      </c>
      <c r="T3476" t="s">
        <v>1485</v>
      </c>
      <c r="U3476">
        <v>235000</v>
      </c>
      <c r="V3476" t="s">
        <v>19180</v>
      </c>
      <c r="W3476" t="s">
        <v>2727</v>
      </c>
      <c r="X3476" t="s">
        <v>19181</v>
      </c>
      <c r="Y3476" t="s">
        <v>19182</v>
      </c>
      <c r="AA3476" t="s">
        <v>19183</v>
      </c>
      <c r="AB3476" t="s">
        <v>19184</v>
      </c>
      <c r="AE3476">
        <v>-40.619245990000003</v>
      </c>
      <c r="AF3476">
        <v>175.27692751000001</v>
      </c>
      <c r="AG3476">
        <v>73</v>
      </c>
      <c r="AH3476">
        <v>23</v>
      </c>
      <c r="AI3476">
        <v>3</v>
      </c>
      <c r="AJ3476">
        <v>10</v>
      </c>
      <c r="AK3476">
        <v>10</v>
      </c>
      <c r="AL3476">
        <v>29</v>
      </c>
      <c r="AM3476">
        <v>20</v>
      </c>
      <c r="AN3476">
        <v>0</v>
      </c>
      <c r="AO3476">
        <v>72</v>
      </c>
      <c r="AP3476">
        <v>49</v>
      </c>
      <c r="AQ3476">
        <v>22</v>
      </c>
      <c r="AR3476">
        <v>7</v>
      </c>
      <c r="AS3476">
        <v>18</v>
      </c>
      <c r="AT3476">
        <v>3</v>
      </c>
    </row>
    <row r="3477" spans="1:46">
      <c r="A3477">
        <v>50129</v>
      </c>
      <c r="B3477" t="s">
        <v>19185</v>
      </c>
      <c r="C3477" t="s">
        <v>19186</v>
      </c>
      <c r="D3477" t="s">
        <v>13907</v>
      </c>
      <c r="E3477" t="s">
        <v>19187</v>
      </c>
      <c r="F3477" t="s">
        <v>11307</v>
      </c>
      <c r="G3477" t="s">
        <v>1757</v>
      </c>
      <c r="H3477" t="s">
        <v>3942</v>
      </c>
      <c r="J3477" t="s">
        <v>3962</v>
      </c>
      <c r="K3477" t="s">
        <v>519</v>
      </c>
      <c r="M3477" t="s">
        <v>1297</v>
      </c>
      <c r="N3477" t="s">
        <v>571</v>
      </c>
      <c r="O3477" t="s">
        <v>1758</v>
      </c>
      <c r="P3477" t="s">
        <v>584</v>
      </c>
      <c r="Q3477" t="s">
        <v>1759</v>
      </c>
      <c r="R3477" t="s">
        <v>1760</v>
      </c>
      <c r="S3477" t="s">
        <v>1757</v>
      </c>
      <c r="T3477" t="s">
        <v>1485</v>
      </c>
      <c r="U3477">
        <v>217300</v>
      </c>
      <c r="V3477" t="s">
        <v>11307</v>
      </c>
      <c r="W3477" t="s">
        <v>1762</v>
      </c>
      <c r="X3477" t="s">
        <v>13909</v>
      </c>
      <c r="Y3477" t="s">
        <v>13910</v>
      </c>
      <c r="AA3477" t="s">
        <v>12572</v>
      </c>
      <c r="AB3477" t="s">
        <v>13911</v>
      </c>
      <c r="AE3477">
        <v>-39.053716309999999</v>
      </c>
      <c r="AF3477">
        <v>174.10511167999999</v>
      </c>
      <c r="AG3477">
        <v>65</v>
      </c>
      <c r="AH3477">
        <v>15</v>
      </c>
      <c r="AI3477">
        <v>1</v>
      </c>
      <c r="AJ3477">
        <v>15</v>
      </c>
      <c r="AK3477">
        <v>32</v>
      </c>
      <c r="AL3477">
        <v>21</v>
      </c>
      <c r="AM3477">
        <v>0</v>
      </c>
      <c r="AN3477">
        <v>0</v>
      </c>
      <c r="AO3477">
        <v>69</v>
      </c>
      <c r="AP3477">
        <v>61</v>
      </c>
      <c r="AQ3477">
        <v>10</v>
      </c>
      <c r="AR3477">
        <v>1</v>
      </c>
      <c r="AS3477">
        <v>4</v>
      </c>
      <c r="AT3477">
        <v>1</v>
      </c>
    </row>
    <row r="3478" spans="1:46">
      <c r="A3478">
        <v>50130</v>
      </c>
      <c r="B3478" t="s">
        <v>19188</v>
      </c>
      <c r="C3478" t="s">
        <v>19189</v>
      </c>
      <c r="D3478" t="s">
        <v>19190</v>
      </c>
      <c r="E3478" t="s">
        <v>19191</v>
      </c>
      <c r="F3478" t="s">
        <v>10377</v>
      </c>
      <c r="G3478" t="s">
        <v>1974</v>
      </c>
      <c r="H3478" t="s">
        <v>3942</v>
      </c>
      <c r="J3478" t="s">
        <v>3962</v>
      </c>
      <c r="K3478" t="s">
        <v>519</v>
      </c>
      <c r="M3478" t="s">
        <v>1297</v>
      </c>
      <c r="N3478" t="s">
        <v>571</v>
      </c>
      <c r="O3478" t="s">
        <v>1956</v>
      </c>
      <c r="P3478" t="s">
        <v>584</v>
      </c>
      <c r="Q3478" t="s">
        <v>1636</v>
      </c>
      <c r="R3478" t="s">
        <v>1760</v>
      </c>
      <c r="S3478" t="s">
        <v>1974</v>
      </c>
      <c r="T3478" t="s">
        <v>1485</v>
      </c>
      <c r="U3478">
        <v>230400</v>
      </c>
      <c r="V3478" t="s">
        <v>19192</v>
      </c>
      <c r="W3478" t="s">
        <v>1957</v>
      </c>
      <c r="X3478" t="s">
        <v>19193</v>
      </c>
      <c r="Y3478" t="s">
        <v>19194</v>
      </c>
      <c r="AA3478" t="s">
        <v>19195</v>
      </c>
      <c r="AB3478" t="s">
        <v>8696</v>
      </c>
      <c r="AE3478">
        <v>-40.324295470000003</v>
      </c>
      <c r="AF3478">
        <v>175.65922459999999</v>
      </c>
      <c r="AG3478">
        <v>40</v>
      </c>
      <c r="AH3478">
        <v>13</v>
      </c>
      <c r="AI3478">
        <v>3</v>
      </c>
      <c r="AJ3478">
        <v>6</v>
      </c>
      <c r="AK3478">
        <v>12</v>
      </c>
      <c r="AL3478">
        <v>15</v>
      </c>
      <c r="AM3478">
        <v>15</v>
      </c>
      <c r="AN3478">
        <v>0</v>
      </c>
      <c r="AO3478">
        <v>51</v>
      </c>
      <c r="AP3478">
        <v>39</v>
      </c>
      <c r="AQ3478">
        <v>10</v>
      </c>
      <c r="AR3478">
        <v>5</v>
      </c>
      <c r="AS3478">
        <v>11</v>
      </c>
      <c r="AT3478">
        <v>0</v>
      </c>
    </row>
    <row r="3479" spans="1:46">
      <c r="A3479">
        <v>50131</v>
      </c>
      <c r="B3479" t="s">
        <v>19196</v>
      </c>
      <c r="C3479" t="s">
        <v>19197</v>
      </c>
      <c r="E3479" t="s">
        <v>19198</v>
      </c>
      <c r="G3479" t="s">
        <v>1987</v>
      </c>
      <c r="H3479" t="s">
        <v>3942</v>
      </c>
      <c r="J3479" t="s">
        <v>3962</v>
      </c>
      <c r="K3479" t="s">
        <v>519</v>
      </c>
      <c r="M3479" t="s">
        <v>1297</v>
      </c>
      <c r="N3479" t="s">
        <v>571</v>
      </c>
      <c r="O3479" t="s">
        <v>1988</v>
      </c>
      <c r="P3479" t="s">
        <v>1262</v>
      </c>
      <c r="Q3479" t="s">
        <v>1636</v>
      </c>
      <c r="R3479" t="s">
        <v>1760</v>
      </c>
      <c r="S3479" t="s">
        <v>1637</v>
      </c>
      <c r="T3479" t="s">
        <v>1485</v>
      </c>
      <c r="U3479">
        <v>228200</v>
      </c>
      <c r="V3479" t="s">
        <v>2027</v>
      </c>
      <c r="W3479" t="s">
        <v>1990</v>
      </c>
      <c r="X3479" t="s">
        <v>19199</v>
      </c>
      <c r="Y3479" t="s">
        <v>4107</v>
      </c>
      <c r="AA3479" t="s">
        <v>3982</v>
      </c>
      <c r="AB3479" t="s">
        <v>19200</v>
      </c>
      <c r="AC3479">
        <v>99134</v>
      </c>
      <c r="AD3479" t="s">
        <v>1991</v>
      </c>
      <c r="AE3479">
        <v>-40.222358960000001</v>
      </c>
      <c r="AF3479">
        <v>175.56114579999999</v>
      </c>
      <c r="AG3479">
        <v>78</v>
      </c>
      <c r="AH3479">
        <v>28</v>
      </c>
      <c r="AI3479">
        <v>5</v>
      </c>
      <c r="AJ3479">
        <v>15</v>
      </c>
      <c r="AK3479">
        <v>28</v>
      </c>
      <c r="AL3479">
        <v>25</v>
      </c>
      <c r="AM3479">
        <v>15</v>
      </c>
      <c r="AN3479">
        <v>0</v>
      </c>
      <c r="AO3479">
        <v>88</v>
      </c>
      <c r="AP3479">
        <v>78</v>
      </c>
      <c r="AQ3479">
        <v>16</v>
      </c>
      <c r="AR3479">
        <v>11</v>
      </c>
      <c r="AS3479">
        <v>5</v>
      </c>
      <c r="AT3479">
        <v>0</v>
      </c>
    </row>
    <row r="3480" spans="1:46">
      <c r="A3480">
        <v>50500</v>
      </c>
      <c r="B3480" t="s">
        <v>19201</v>
      </c>
      <c r="C3480" t="s">
        <v>19202</v>
      </c>
      <c r="D3480" t="s">
        <v>19203</v>
      </c>
      <c r="E3480" t="s">
        <v>19204</v>
      </c>
      <c r="G3480" t="s">
        <v>1840</v>
      </c>
      <c r="H3480" t="s">
        <v>3942</v>
      </c>
      <c r="J3480" t="s">
        <v>518</v>
      </c>
      <c r="K3480" t="s">
        <v>519</v>
      </c>
      <c r="M3480" t="s">
        <v>1297</v>
      </c>
      <c r="N3480" t="s">
        <v>571</v>
      </c>
      <c r="O3480" t="s">
        <v>1841</v>
      </c>
      <c r="P3480" t="s">
        <v>523</v>
      </c>
      <c r="Q3480" t="s">
        <v>1759</v>
      </c>
      <c r="R3480" t="s">
        <v>1760</v>
      </c>
      <c r="S3480" t="s">
        <v>1842</v>
      </c>
      <c r="T3480" t="s">
        <v>1485</v>
      </c>
      <c r="U3480">
        <v>220301</v>
      </c>
      <c r="V3480" t="s">
        <v>1877</v>
      </c>
      <c r="W3480" t="s">
        <v>1844</v>
      </c>
      <c r="X3480" t="s">
        <v>19205</v>
      </c>
      <c r="Y3480" t="s">
        <v>19204</v>
      </c>
      <c r="AA3480" t="s">
        <v>17170</v>
      </c>
      <c r="AB3480" t="s">
        <v>19206</v>
      </c>
      <c r="AC3480">
        <v>99108</v>
      </c>
      <c r="AD3480" t="s">
        <v>1845</v>
      </c>
      <c r="AE3480">
        <v>-39.336781639999998</v>
      </c>
      <c r="AF3480">
        <v>174.28681030000001</v>
      </c>
      <c r="AG3480">
        <v>48</v>
      </c>
      <c r="AH3480">
        <v>12</v>
      </c>
      <c r="AI3480">
        <v>0</v>
      </c>
      <c r="AJ3480">
        <v>11</v>
      </c>
      <c r="AK3480">
        <v>11</v>
      </c>
      <c r="AL3480">
        <v>13</v>
      </c>
      <c r="AM3480">
        <v>8</v>
      </c>
      <c r="AN3480">
        <v>1</v>
      </c>
      <c r="AO3480">
        <v>44</v>
      </c>
      <c r="AP3480">
        <v>31</v>
      </c>
      <c r="AQ3480">
        <v>12</v>
      </c>
      <c r="AR3480">
        <v>1</v>
      </c>
      <c r="AS3480">
        <v>8</v>
      </c>
      <c r="AT3480">
        <v>9</v>
      </c>
    </row>
    <row r="3481" spans="1:46">
      <c r="A3481">
        <v>50501</v>
      </c>
      <c r="B3481" t="s">
        <v>19207</v>
      </c>
      <c r="C3481" t="s">
        <v>19208</v>
      </c>
      <c r="D3481" t="s">
        <v>19209</v>
      </c>
      <c r="E3481" t="s">
        <v>19210</v>
      </c>
      <c r="F3481" t="s">
        <v>1756</v>
      </c>
      <c r="G3481" t="s">
        <v>1757</v>
      </c>
      <c r="H3481" t="s">
        <v>3942</v>
      </c>
      <c r="J3481" t="s">
        <v>518</v>
      </c>
      <c r="K3481" t="s">
        <v>519</v>
      </c>
      <c r="M3481" t="s">
        <v>1297</v>
      </c>
      <c r="N3481" t="s">
        <v>571</v>
      </c>
      <c r="O3481" t="s">
        <v>1758</v>
      </c>
      <c r="P3481" t="s">
        <v>584</v>
      </c>
      <c r="Q3481" t="s">
        <v>1759</v>
      </c>
      <c r="R3481" t="s">
        <v>1760</v>
      </c>
      <c r="S3481" t="s">
        <v>1757</v>
      </c>
      <c r="T3481" t="s">
        <v>1485</v>
      </c>
      <c r="U3481">
        <v>217501</v>
      </c>
      <c r="V3481" t="s">
        <v>1761</v>
      </c>
      <c r="W3481" t="s">
        <v>1762</v>
      </c>
      <c r="X3481" t="s">
        <v>19211</v>
      </c>
      <c r="Y3481" t="s">
        <v>19210</v>
      </c>
      <c r="Z3481" t="s">
        <v>1756</v>
      </c>
      <c r="AA3481" t="s">
        <v>13789</v>
      </c>
      <c r="AB3481" t="s">
        <v>19208</v>
      </c>
      <c r="AE3481">
        <v>-39.032797729999999</v>
      </c>
      <c r="AF3481">
        <v>174.14276581999999</v>
      </c>
      <c r="AG3481">
        <v>35</v>
      </c>
      <c r="AH3481">
        <v>8</v>
      </c>
      <c r="AI3481">
        <v>2</v>
      </c>
      <c r="AJ3481">
        <v>7</v>
      </c>
      <c r="AK3481">
        <v>13</v>
      </c>
      <c r="AL3481">
        <v>15</v>
      </c>
      <c r="AM3481">
        <v>8</v>
      </c>
      <c r="AN3481">
        <v>0</v>
      </c>
      <c r="AO3481">
        <v>45</v>
      </c>
      <c r="AP3481">
        <v>32</v>
      </c>
      <c r="AQ3481">
        <v>9</v>
      </c>
      <c r="AR3481">
        <v>2</v>
      </c>
      <c r="AS3481">
        <v>12</v>
      </c>
      <c r="AT3481">
        <v>1</v>
      </c>
    </row>
    <row r="3482" spans="1:46">
      <c r="A3482">
        <v>50506</v>
      </c>
      <c r="B3482" t="s">
        <v>19212</v>
      </c>
      <c r="C3482" t="s">
        <v>19213</v>
      </c>
      <c r="D3482" t="s">
        <v>19214</v>
      </c>
      <c r="E3482" t="s">
        <v>19215</v>
      </c>
      <c r="F3482" t="s">
        <v>1776</v>
      </c>
      <c r="G3482" t="s">
        <v>1757</v>
      </c>
      <c r="H3482" t="s">
        <v>3942</v>
      </c>
      <c r="J3482" t="s">
        <v>3962</v>
      </c>
      <c r="K3482" t="s">
        <v>519</v>
      </c>
      <c r="M3482" t="s">
        <v>1297</v>
      </c>
      <c r="N3482" t="s">
        <v>571</v>
      </c>
      <c r="O3482" t="s">
        <v>1758</v>
      </c>
      <c r="P3482" t="s">
        <v>584</v>
      </c>
      <c r="Q3482" t="s">
        <v>1759</v>
      </c>
      <c r="R3482" t="s">
        <v>1760</v>
      </c>
      <c r="S3482" t="s">
        <v>1757</v>
      </c>
      <c r="T3482" t="s">
        <v>1485</v>
      </c>
      <c r="U3482">
        <v>216600</v>
      </c>
      <c r="V3482" t="s">
        <v>1776</v>
      </c>
      <c r="W3482" t="s">
        <v>1762</v>
      </c>
      <c r="X3482" t="s">
        <v>19216</v>
      </c>
      <c r="Y3482" t="s">
        <v>19215</v>
      </c>
      <c r="Z3482" t="s">
        <v>1776</v>
      </c>
      <c r="AA3482" t="s">
        <v>12572</v>
      </c>
      <c r="AB3482" t="s">
        <v>19213</v>
      </c>
      <c r="AE3482">
        <v>-39.062300010000001</v>
      </c>
      <c r="AF3482">
        <v>174.04808193</v>
      </c>
      <c r="AG3482">
        <v>80</v>
      </c>
      <c r="AH3482">
        <v>25</v>
      </c>
      <c r="AI3482">
        <v>5</v>
      </c>
      <c r="AJ3482">
        <v>23</v>
      </c>
      <c r="AK3482">
        <v>26</v>
      </c>
      <c r="AL3482">
        <v>27</v>
      </c>
      <c r="AM3482">
        <v>23</v>
      </c>
      <c r="AN3482">
        <v>1</v>
      </c>
      <c r="AO3482">
        <v>105</v>
      </c>
      <c r="AP3482">
        <v>97</v>
      </c>
      <c r="AQ3482">
        <v>24</v>
      </c>
      <c r="AR3482">
        <v>2</v>
      </c>
      <c r="AS3482">
        <v>9</v>
      </c>
      <c r="AT3482">
        <v>5</v>
      </c>
    </row>
    <row r="3483" spans="1:46">
      <c r="A3483">
        <v>50508</v>
      </c>
      <c r="B3483" t="s">
        <v>19217</v>
      </c>
      <c r="C3483" t="s">
        <v>19218</v>
      </c>
      <c r="D3483" t="s">
        <v>19219</v>
      </c>
      <c r="E3483" t="s">
        <v>19220</v>
      </c>
      <c r="F3483" t="s">
        <v>11307</v>
      </c>
      <c r="G3483" t="s">
        <v>1757</v>
      </c>
      <c r="H3483" t="s">
        <v>3942</v>
      </c>
      <c r="J3483" t="s">
        <v>518</v>
      </c>
      <c r="K3483" t="s">
        <v>519</v>
      </c>
      <c r="M3483" t="s">
        <v>1297</v>
      </c>
      <c r="N3483" t="s">
        <v>571</v>
      </c>
      <c r="O3483" t="s">
        <v>1758</v>
      </c>
      <c r="P3483" t="s">
        <v>584</v>
      </c>
      <c r="Q3483" t="s">
        <v>1759</v>
      </c>
      <c r="R3483" t="s">
        <v>1760</v>
      </c>
      <c r="S3483" t="s">
        <v>1757</v>
      </c>
      <c r="T3483" t="s">
        <v>1485</v>
      </c>
      <c r="U3483">
        <v>217300</v>
      </c>
      <c r="V3483" t="s">
        <v>11307</v>
      </c>
      <c r="W3483" t="s">
        <v>1762</v>
      </c>
      <c r="X3483" t="s">
        <v>10362</v>
      </c>
      <c r="Y3483" t="s">
        <v>3944</v>
      </c>
      <c r="Z3483" t="s">
        <v>3945</v>
      </c>
      <c r="AA3483" t="s">
        <v>3946</v>
      </c>
      <c r="AE3483">
        <v>-39.056251619999998</v>
      </c>
      <c r="AF3483">
        <v>174.08965194999999</v>
      </c>
      <c r="AG3483">
        <v>70</v>
      </c>
      <c r="AH3483">
        <v>25</v>
      </c>
      <c r="AI3483">
        <v>2</v>
      </c>
      <c r="AJ3483">
        <v>14</v>
      </c>
      <c r="AK3483">
        <v>13</v>
      </c>
      <c r="AL3483">
        <v>24</v>
      </c>
      <c r="AM3483">
        <v>9</v>
      </c>
      <c r="AN3483">
        <v>1</v>
      </c>
      <c r="AO3483">
        <v>63</v>
      </c>
      <c r="AP3483">
        <v>44</v>
      </c>
      <c r="AQ3483">
        <v>25</v>
      </c>
      <c r="AR3483">
        <v>6</v>
      </c>
      <c r="AS3483">
        <v>11</v>
      </c>
      <c r="AT3483">
        <v>5</v>
      </c>
    </row>
    <row r="3484" spans="1:46">
      <c r="A3484">
        <v>50509</v>
      </c>
      <c r="B3484" t="s">
        <v>19221</v>
      </c>
      <c r="C3484" t="s">
        <v>19222</v>
      </c>
      <c r="E3484" t="s">
        <v>19223</v>
      </c>
      <c r="G3484" t="s">
        <v>1757</v>
      </c>
      <c r="H3484" t="s">
        <v>3942</v>
      </c>
      <c r="J3484" t="s">
        <v>3962</v>
      </c>
      <c r="K3484" t="s">
        <v>519</v>
      </c>
      <c r="M3484" t="s">
        <v>1297</v>
      </c>
      <c r="N3484" t="s">
        <v>539</v>
      </c>
      <c r="O3484" t="s">
        <v>1758</v>
      </c>
      <c r="P3484" t="s">
        <v>584</v>
      </c>
      <c r="Q3484" t="s">
        <v>1759</v>
      </c>
      <c r="R3484" t="s">
        <v>1760</v>
      </c>
      <c r="S3484" t="s">
        <v>1757</v>
      </c>
      <c r="T3484" t="s">
        <v>1485</v>
      </c>
      <c r="U3484">
        <v>218301</v>
      </c>
      <c r="V3484" t="s">
        <v>1809</v>
      </c>
      <c r="W3484" t="s">
        <v>1762</v>
      </c>
      <c r="X3484" t="s">
        <v>19224</v>
      </c>
      <c r="Y3484" t="s">
        <v>19223</v>
      </c>
      <c r="AA3484" t="s">
        <v>13789</v>
      </c>
      <c r="AE3484">
        <v>-39.063472140000002</v>
      </c>
      <c r="AF3484">
        <v>174.08766399000001</v>
      </c>
      <c r="AG3484">
        <v>32</v>
      </c>
      <c r="AH3484">
        <v>0</v>
      </c>
      <c r="AI3484">
        <v>0</v>
      </c>
      <c r="AJ3484">
        <v>0</v>
      </c>
      <c r="AK3484">
        <v>14</v>
      </c>
      <c r="AL3484">
        <v>9</v>
      </c>
      <c r="AM3484">
        <v>14</v>
      </c>
      <c r="AN3484">
        <v>0</v>
      </c>
      <c r="AO3484">
        <v>37</v>
      </c>
      <c r="AP3484">
        <v>35</v>
      </c>
      <c r="AQ3484">
        <v>8</v>
      </c>
      <c r="AR3484">
        <v>4</v>
      </c>
      <c r="AS3484">
        <v>1</v>
      </c>
      <c r="AT3484">
        <v>3</v>
      </c>
    </row>
    <row r="3485" spans="1:46">
      <c r="A3485">
        <v>50510</v>
      </c>
      <c r="B3485" t="s">
        <v>19225</v>
      </c>
      <c r="C3485" t="s">
        <v>19226</v>
      </c>
      <c r="D3485" t="s">
        <v>19227</v>
      </c>
      <c r="E3485" t="s">
        <v>19228</v>
      </c>
      <c r="G3485" t="s">
        <v>1792</v>
      </c>
      <c r="H3485" t="s">
        <v>3942</v>
      </c>
      <c r="J3485" t="s">
        <v>518</v>
      </c>
      <c r="K3485" t="s">
        <v>519</v>
      </c>
      <c r="M3485" t="s">
        <v>1297</v>
      </c>
      <c r="N3485" t="s">
        <v>571</v>
      </c>
      <c r="O3485" t="s">
        <v>1758</v>
      </c>
      <c r="P3485" t="s">
        <v>523</v>
      </c>
      <c r="Q3485" t="s">
        <v>1759</v>
      </c>
      <c r="R3485" t="s">
        <v>1760</v>
      </c>
      <c r="S3485" t="s">
        <v>1417</v>
      </c>
      <c r="T3485" t="s">
        <v>1485</v>
      </c>
      <c r="U3485">
        <v>219601</v>
      </c>
      <c r="V3485" t="s">
        <v>1792</v>
      </c>
      <c r="W3485" t="s">
        <v>1793</v>
      </c>
      <c r="X3485" t="s">
        <v>19229</v>
      </c>
      <c r="Y3485" t="s">
        <v>19228</v>
      </c>
      <c r="AA3485" t="s">
        <v>19230</v>
      </c>
      <c r="AB3485" t="s">
        <v>19226</v>
      </c>
      <c r="AC3485">
        <v>99059</v>
      </c>
      <c r="AD3485" t="s">
        <v>1794</v>
      </c>
      <c r="AE3485">
        <v>-39.157106300000002</v>
      </c>
      <c r="AF3485">
        <v>174.21311965000001</v>
      </c>
      <c r="AG3485">
        <v>67</v>
      </c>
      <c r="AH3485">
        <v>15</v>
      </c>
      <c r="AI3485">
        <v>3</v>
      </c>
      <c r="AJ3485">
        <v>15</v>
      </c>
      <c r="AK3485">
        <v>21</v>
      </c>
      <c r="AL3485">
        <v>22</v>
      </c>
      <c r="AM3485">
        <v>23</v>
      </c>
      <c r="AN3485">
        <v>2</v>
      </c>
      <c r="AO3485">
        <v>86</v>
      </c>
      <c r="AP3485">
        <v>86</v>
      </c>
      <c r="AQ3485">
        <v>7</v>
      </c>
      <c r="AR3485">
        <v>1</v>
      </c>
      <c r="AS3485">
        <v>1</v>
      </c>
      <c r="AT3485">
        <v>1</v>
      </c>
    </row>
    <row r="3486" spans="1:46">
      <c r="A3486">
        <v>50511</v>
      </c>
      <c r="B3486" t="s">
        <v>19231</v>
      </c>
      <c r="C3486" t="s">
        <v>19232</v>
      </c>
      <c r="D3486" t="s">
        <v>19233</v>
      </c>
      <c r="E3486" t="s">
        <v>19234</v>
      </c>
      <c r="G3486" t="s">
        <v>1757</v>
      </c>
      <c r="H3486" t="s">
        <v>3942</v>
      </c>
      <c r="J3486" t="s">
        <v>518</v>
      </c>
      <c r="K3486" t="s">
        <v>519</v>
      </c>
      <c r="M3486" t="s">
        <v>1297</v>
      </c>
      <c r="N3486" t="s">
        <v>571</v>
      </c>
      <c r="O3486" t="s">
        <v>1758</v>
      </c>
      <c r="P3486" t="s">
        <v>584</v>
      </c>
      <c r="Q3486" t="s">
        <v>1759</v>
      </c>
      <c r="R3486" t="s">
        <v>1760</v>
      </c>
      <c r="S3486" t="s">
        <v>1757</v>
      </c>
      <c r="T3486" t="s">
        <v>1485</v>
      </c>
      <c r="U3486">
        <v>216800</v>
      </c>
      <c r="V3486" t="s">
        <v>19235</v>
      </c>
      <c r="W3486" t="s">
        <v>1762</v>
      </c>
      <c r="X3486" t="s">
        <v>19236</v>
      </c>
      <c r="Y3486" t="s">
        <v>19237</v>
      </c>
      <c r="AA3486" t="s">
        <v>1765</v>
      </c>
      <c r="AB3486" t="s">
        <v>19232</v>
      </c>
      <c r="AE3486">
        <v>-39.06565183</v>
      </c>
      <c r="AF3486">
        <v>174.05671867999999</v>
      </c>
      <c r="AG3486">
        <v>108</v>
      </c>
      <c r="AH3486">
        <v>0</v>
      </c>
      <c r="AI3486">
        <v>0</v>
      </c>
      <c r="AJ3486">
        <v>0</v>
      </c>
      <c r="AK3486">
        <v>6</v>
      </c>
      <c r="AL3486">
        <v>36</v>
      </c>
      <c r="AM3486">
        <v>29</v>
      </c>
      <c r="AN3486">
        <v>19</v>
      </c>
      <c r="AO3486">
        <v>90</v>
      </c>
      <c r="AP3486">
        <v>60</v>
      </c>
      <c r="AQ3486">
        <v>7</v>
      </c>
      <c r="AR3486">
        <v>1</v>
      </c>
      <c r="AS3486">
        <v>29</v>
      </c>
      <c r="AT3486">
        <v>3</v>
      </c>
    </row>
    <row r="3487" spans="1:46">
      <c r="A3487">
        <v>50516</v>
      </c>
      <c r="B3487" t="s">
        <v>19238</v>
      </c>
      <c r="C3487" t="s">
        <v>19239</v>
      </c>
      <c r="D3487" t="s">
        <v>19240</v>
      </c>
      <c r="E3487" t="s">
        <v>19241</v>
      </c>
      <c r="G3487" t="s">
        <v>1824</v>
      </c>
      <c r="H3487" t="s">
        <v>3942</v>
      </c>
      <c r="J3487" t="s">
        <v>518</v>
      </c>
      <c r="K3487" t="s">
        <v>519</v>
      </c>
      <c r="M3487" t="s">
        <v>1297</v>
      </c>
      <c r="N3487" t="s">
        <v>539</v>
      </c>
      <c r="O3487" t="s">
        <v>1758</v>
      </c>
      <c r="P3487" t="s">
        <v>523</v>
      </c>
      <c r="Q3487" t="s">
        <v>1759</v>
      </c>
      <c r="R3487" t="s">
        <v>1760</v>
      </c>
      <c r="S3487" t="s">
        <v>1757</v>
      </c>
      <c r="T3487" t="s">
        <v>1485</v>
      </c>
      <c r="U3487">
        <v>218901</v>
      </c>
      <c r="V3487" t="s">
        <v>18967</v>
      </c>
      <c r="W3487" t="s">
        <v>1826</v>
      </c>
      <c r="X3487" t="s">
        <v>19242</v>
      </c>
      <c r="Y3487" t="s">
        <v>19243</v>
      </c>
      <c r="Z3487" t="s">
        <v>1824</v>
      </c>
      <c r="AA3487" t="s">
        <v>19244</v>
      </c>
      <c r="AB3487" t="s">
        <v>19239</v>
      </c>
      <c r="AE3487">
        <v>-38.993937959999997</v>
      </c>
      <c r="AF3487">
        <v>174.24161583</v>
      </c>
      <c r="AG3487">
        <v>40</v>
      </c>
      <c r="AH3487">
        <v>10</v>
      </c>
      <c r="AI3487">
        <v>0</v>
      </c>
      <c r="AJ3487">
        <v>3</v>
      </c>
      <c r="AK3487">
        <v>13</v>
      </c>
      <c r="AL3487">
        <v>12</v>
      </c>
      <c r="AM3487">
        <v>12</v>
      </c>
      <c r="AN3487">
        <v>0</v>
      </c>
      <c r="AO3487">
        <v>40</v>
      </c>
      <c r="AP3487">
        <v>32</v>
      </c>
      <c r="AQ3487">
        <v>19</v>
      </c>
      <c r="AR3487">
        <v>1</v>
      </c>
      <c r="AS3487">
        <v>0</v>
      </c>
      <c r="AT3487">
        <v>2</v>
      </c>
    </row>
    <row r="3488" spans="1:46">
      <c r="A3488">
        <v>50521</v>
      </c>
      <c r="B3488" t="s">
        <v>19245</v>
      </c>
      <c r="C3488" t="s">
        <v>19246</v>
      </c>
      <c r="D3488" t="s">
        <v>19247</v>
      </c>
      <c r="E3488" t="s">
        <v>19248</v>
      </c>
      <c r="G3488" t="s">
        <v>1757</v>
      </c>
      <c r="H3488" t="s">
        <v>3942</v>
      </c>
      <c r="J3488" t="s">
        <v>518</v>
      </c>
      <c r="K3488" t="s">
        <v>519</v>
      </c>
      <c r="M3488" t="s">
        <v>1297</v>
      </c>
      <c r="N3488" t="s">
        <v>571</v>
      </c>
      <c r="O3488" t="s">
        <v>1758</v>
      </c>
      <c r="P3488" t="s">
        <v>584</v>
      </c>
      <c r="Q3488" t="s">
        <v>1759</v>
      </c>
      <c r="R3488" t="s">
        <v>1760</v>
      </c>
      <c r="S3488" t="s">
        <v>1757</v>
      </c>
      <c r="T3488" t="s">
        <v>1485</v>
      </c>
      <c r="U3488">
        <v>217000</v>
      </c>
      <c r="V3488" t="s">
        <v>13632</v>
      </c>
      <c r="W3488" t="s">
        <v>1762</v>
      </c>
      <c r="X3488" t="s">
        <v>19249</v>
      </c>
      <c r="Y3488" t="s">
        <v>19250</v>
      </c>
      <c r="AA3488" t="s">
        <v>1765</v>
      </c>
      <c r="AB3488" t="s">
        <v>19246</v>
      </c>
      <c r="AE3488">
        <v>-39.059199880000001</v>
      </c>
      <c r="AF3488">
        <v>174.07727600999999</v>
      </c>
      <c r="AG3488">
        <v>49</v>
      </c>
      <c r="AH3488">
        <v>19</v>
      </c>
      <c r="AI3488">
        <v>4</v>
      </c>
      <c r="AJ3488">
        <v>7</v>
      </c>
      <c r="AK3488">
        <v>13</v>
      </c>
      <c r="AL3488">
        <v>17</v>
      </c>
      <c r="AM3488">
        <v>8</v>
      </c>
      <c r="AN3488">
        <v>1</v>
      </c>
      <c r="AO3488">
        <v>50</v>
      </c>
      <c r="AP3488">
        <v>35</v>
      </c>
      <c r="AQ3488">
        <v>23</v>
      </c>
      <c r="AR3488">
        <v>4</v>
      </c>
      <c r="AS3488">
        <v>7</v>
      </c>
      <c r="AT3488">
        <v>0</v>
      </c>
    </row>
    <row r="3489" spans="1:46">
      <c r="A3489">
        <v>50526</v>
      </c>
      <c r="B3489" t="s">
        <v>19251</v>
      </c>
      <c r="C3489" t="s">
        <v>19252</v>
      </c>
      <c r="D3489" t="s">
        <v>19253</v>
      </c>
      <c r="E3489" t="s">
        <v>19254</v>
      </c>
      <c r="F3489" t="s">
        <v>19255</v>
      </c>
      <c r="G3489" t="s">
        <v>1757</v>
      </c>
      <c r="H3489" t="s">
        <v>3942</v>
      </c>
      <c r="J3489" t="s">
        <v>3962</v>
      </c>
      <c r="K3489" t="s">
        <v>519</v>
      </c>
      <c r="M3489" t="s">
        <v>1297</v>
      </c>
      <c r="N3489" t="s">
        <v>571</v>
      </c>
      <c r="O3489" t="s">
        <v>1758</v>
      </c>
      <c r="P3489" t="s">
        <v>584</v>
      </c>
      <c r="Q3489" t="s">
        <v>1759</v>
      </c>
      <c r="R3489" t="s">
        <v>1760</v>
      </c>
      <c r="S3489" t="s">
        <v>1757</v>
      </c>
      <c r="T3489" t="s">
        <v>1485</v>
      </c>
      <c r="U3489">
        <v>218600</v>
      </c>
      <c r="V3489" t="s">
        <v>1771</v>
      </c>
      <c r="W3489" t="s">
        <v>1762</v>
      </c>
      <c r="X3489" t="s">
        <v>19256</v>
      </c>
      <c r="Y3489" t="s">
        <v>19257</v>
      </c>
      <c r="Z3489" t="s">
        <v>19255</v>
      </c>
      <c r="AA3489" t="s">
        <v>12572</v>
      </c>
      <c r="AB3489" t="s">
        <v>19252</v>
      </c>
      <c r="AE3489">
        <v>-39.085544400000003</v>
      </c>
      <c r="AF3489">
        <v>174.08229789999999</v>
      </c>
      <c r="AG3489">
        <v>20</v>
      </c>
      <c r="AH3489">
        <v>0</v>
      </c>
      <c r="AI3489">
        <v>0</v>
      </c>
      <c r="AJ3489">
        <v>0</v>
      </c>
      <c r="AK3489">
        <v>1</v>
      </c>
      <c r="AL3489">
        <v>15</v>
      </c>
      <c r="AM3489">
        <v>19</v>
      </c>
      <c r="AN3489">
        <v>0</v>
      </c>
      <c r="AO3489">
        <v>35</v>
      </c>
      <c r="AP3489">
        <v>31</v>
      </c>
      <c r="AQ3489">
        <v>7</v>
      </c>
      <c r="AR3489">
        <v>0</v>
      </c>
      <c r="AS3489">
        <v>1</v>
      </c>
      <c r="AT3489">
        <v>3</v>
      </c>
    </row>
    <row r="3490" spans="1:46">
      <c r="A3490">
        <v>50527</v>
      </c>
      <c r="B3490" t="s">
        <v>19258</v>
      </c>
      <c r="C3490" t="s">
        <v>19259</v>
      </c>
      <c r="D3490" t="s">
        <v>19260</v>
      </c>
      <c r="E3490" t="s">
        <v>19261</v>
      </c>
      <c r="G3490" t="s">
        <v>1840</v>
      </c>
      <c r="H3490" t="s">
        <v>3942</v>
      </c>
      <c r="J3490" t="s">
        <v>3962</v>
      </c>
      <c r="K3490" t="s">
        <v>519</v>
      </c>
      <c r="M3490" t="s">
        <v>1297</v>
      </c>
      <c r="N3490" t="s">
        <v>571</v>
      </c>
      <c r="O3490" t="s">
        <v>1841</v>
      </c>
      <c r="P3490" t="s">
        <v>523</v>
      </c>
      <c r="Q3490" t="s">
        <v>1759</v>
      </c>
      <c r="R3490" t="s">
        <v>1760</v>
      </c>
      <c r="S3490" t="s">
        <v>1842</v>
      </c>
      <c r="T3490" t="s">
        <v>1485</v>
      </c>
      <c r="U3490">
        <v>220301</v>
      </c>
      <c r="V3490" t="s">
        <v>1877</v>
      </c>
      <c r="W3490" t="s">
        <v>1844</v>
      </c>
      <c r="X3490" t="s">
        <v>19262</v>
      </c>
      <c r="Y3490" t="s">
        <v>4741</v>
      </c>
      <c r="Z3490" t="s">
        <v>2395</v>
      </c>
      <c r="AA3490" t="s">
        <v>4742</v>
      </c>
      <c r="AB3490" t="s">
        <v>19263</v>
      </c>
      <c r="AC3490">
        <v>99108</v>
      </c>
      <c r="AD3490" t="s">
        <v>1845</v>
      </c>
      <c r="AE3490">
        <v>-39.335209200000001</v>
      </c>
      <c r="AF3490">
        <v>174.28124962999999</v>
      </c>
      <c r="AG3490">
        <v>35</v>
      </c>
      <c r="AH3490">
        <v>10</v>
      </c>
      <c r="AI3490">
        <v>1</v>
      </c>
      <c r="AJ3490">
        <v>3</v>
      </c>
      <c r="AK3490">
        <v>4</v>
      </c>
      <c r="AL3490">
        <v>5</v>
      </c>
      <c r="AM3490">
        <v>5</v>
      </c>
      <c r="AN3490">
        <v>2</v>
      </c>
      <c r="AO3490">
        <v>20</v>
      </c>
      <c r="AP3490">
        <v>16</v>
      </c>
      <c r="AQ3490">
        <v>7</v>
      </c>
      <c r="AR3490">
        <v>4</v>
      </c>
      <c r="AS3490">
        <v>1</v>
      </c>
      <c r="AT3490">
        <v>0</v>
      </c>
    </row>
    <row r="3491" spans="1:46">
      <c r="A3491">
        <v>50529</v>
      </c>
      <c r="B3491" t="s">
        <v>19264</v>
      </c>
      <c r="C3491" t="s">
        <v>19265</v>
      </c>
      <c r="D3491" t="s">
        <v>19266</v>
      </c>
      <c r="E3491" t="s">
        <v>19267</v>
      </c>
      <c r="G3491" t="s">
        <v>2031</v>
      </c>
      <c r="H3491" t="s">
        <v>3942</v>
      </c>
      <c r="J3491" t="s">
        <v>518</v>
      </c>
      <c r="K3491" t="s">
        <v>519</v>
      </c>
      <c r="M3491" t="s">
        <v>1297</v>
      </c>
      <c r="N3491" t="s">
        <v>521</v>
      </c>
      <c r="O3491" t="s">
        <v>1967</v>
      </c>
      <c r="P3491" t="s">
        <v>523</v>
      </c>
      <c r="Q3491" t="s">
        <v>1636</v>
      </c>
      <c r="R3491" t="s">
        <v>1760</v>
      </c>
      <c r="S3491" t="s">
        <v>1637</v>
      </c>
      <c r="T3491" t="s">
        <v>1485</v>
      </c>
      <c r="U3491">
        <v>226900</v>
      </c>
      <c r="V3491" t="s">
        <v>2032</v>
      </c>
      <c r="W3491" t="s">
        <v>2033</v>
      </c>
      <c r="X3491" t="s">
        <v>19268</v>
      </c>
      <c r="Y3491" t="s">
        <v>19269</v>
      </c>
      <c r="Z3491" t="s">
        <v>2031</v>
      </c>
      <c r="AA3491" t="s">
        <v>19270</v>
      </c>
      <c r="AB3491" t="s">
        <v>19271</v>
      </c>
      <c r="AC3491">
        <v>99078</v>
      </c>
      <c r="AD3491" t="s">
        <v>1969</v>
      </c>
      <c r="AE3491">
        <v>-40.08783176</v>
      </c>
      <c r="AF3491">
        <v>175.38806149999999</v>
      </c>
      <c r="AG3491">
        <v>20</v>
      </c>
      <c r="AH3491">
        <v>0</v>
      </c>
      <c r="AI3491">
        <v>0</v>
      </c>
      <c r="AJ3491">
        <v>0</v>
      </c>
      <c r="AK3491">
        <v>1</v>
      </c>
      <c r="AL3491">
        <v>10</v>
      </c>
      <c r="AM3491">
        <v>6</v>
      </c>
      <c r="AN3491">
        <v>0</v>
      </c>
      <c r="AO3491">
        <v>17</v>
      </c>
      <c r="AP3491">
        <v>14</v>
      </c>
      <c r="AQ3491">
        <v>8</v>
      </c>
      <c r="AR3491">
        <v>2</v>
      </c>
      <c r="AS3491">
        <v>0</v>
      </c>
      <c r="AT3491">
        <v>0</v>
      </c>
    </row>
    <row r="3492" spans="1:46">
      <c r="A3492">
        <v>50531</v>
      </c>
      <c r="B3492" t="s">
        <v>19272</v>
      </c>
      <c r="C3492" t="s">
        <v>19273</v>
      </c>
      <c r="D3492" t="s">
        <v>19274</v>
      </c>
      <c r="E3492" t="s">
        <v>19275</v>
      </c>
      <c r="G3492" t="s">
        <v>19276</v>
      </c>
      <c r="H3492" t="s">
        <v>3942</v>
      </c>
      <c r="J3492" t="s">
        <v>518</v>
      </c>
      <c r="K3492" t="s">
        <v>519</v>
      </c>
      <c r="M3492" t="s">
        <v>1297</v>
      </c>
      <c r="N3492" t="s">
        <v>571</v>
      </c>
      <c r="O3492" t="s">
        <v>1851</v>
      </c>
      <c r="P3492" t="s">
        <v>572</v>
      </c>
      <c r="Q3492" t="s">
        <v>1759</v>
      </c>
      <c r="R3492" t="s">
        <v>1760</v>
      </c>
      <c r="S3492" t="s">
        <v>1842</v>
      </c>
      <c r="T3492" t="s">
        <v>1485</v>
      </c>
      <c r="U3492">
        <v>220800</v>
      </c>
      <c r="V3492" t="s">
        <v>18893</v>
      </c>
      <c r="W3492" t="s">
        <v>1852</v>
      </c>
      <c r="X3492" t="s">
        <v>19277</v>
      </c>
      <c r="Y3492" t="s">
        <v>19278</v>
      </c>
      <c r="AA3492" t="s">
        <v>19279</v>
      </c>
      <c r="AB3492" t="s">
        <v>19273</v>
      </c>
      <c r="AE3492">
        <v>-39.478777209999997</v>
      </c>
      <c r="AF3492">
        <v>174.22632589</v>
      </c>
      <c r="AG3492">
        <v>30</v>
      </c>
      <c r="AH3492">
        <v>0</v>
      </c>
      <c r="AI3492">
        <v>0</v>
      </c>
      <c r="AJ3492">
        <v>0</v>
      </c>
      <c r="AK3492">
        <v>0</v>
      </c>
      <c r="AL3492">
        <v>15</v>
      </c>
      <c r="AM3492">
        <v>21</v>
      </c>
      <c r="AN3492">
        <v>1</v>
      </c>
      <c r="AO3492">
        <v>37</v>
      </c>
      <c r="AP3492">
        <v>35</v>
      </c>
      <c r="AQ3492">
        <v>5</v>
      </c>
      <c r="AR3492">
        <v>0</v>
      </c>
      <c r="AS3492">
        <v>3</v>
      </c>
      <c r="AT3492">
        <v>3</v>
      </c>
    </row>
    <row r="3493" spans="1:46">
      <c r="A3493">
        <v>50533</v>
      </c>
      <c r="B3493" t="s">
        <v>19280</v>
      </c>
      <c r="C3493" t="s">
        <v>19281</v>
      </c>
      <c r="E3493" t="s">
        <v>19282</v>
      </c>
      <c r="F3493" t="s">
        <v>19283</v>
      </c>
      <c r="G3493" t="s">
        <v>1757</v>
      </c>
      <c r="H3493" t="s">
        <v>3942</v>
      </c>
      <c r="J3493" t="s">
        <v>3962</v>
      </c>
      <c r="K3493" t="s">
        <v>519</v>
      </c>
      <c r="M3493" t="s">
        <v>1297</v>
      </c>
      <c r="N3493" t="s">
        <v>571</v>
      </c>
      <c r="O3493" t="s">
        <v>1758</v>
      </c>
      <c r="P3493" t="s">
        <v>584</v>
      </c>
      <c r="Q3493" t="s">
        <v>1759</v>
      </c>
      <c r="R3493" t="s">
        <v>1760</v>
      </c>
      <c r="S3493" t="s">
        <v>1757</v>
      </c>
      <c r="T3493" t="s">
        <v>1485</v>
      </c>
      <c r="U3493">
        <v>216800</v>
      </c>
      <c r="V3493" t="s">
        <v>19235</v>
      </c>
      <c r="W3493" t="s">
        <v>1762</v>
      </c>
      <c r="X3493" t="s">
        <v>19284</v>
      </c>
      <c r="Y3493" t="s">
        <v>4658</v>
      </c>
      <c r="Z3493" t="s">
        <v>958</v>
      </c>
      <c r="AA3493" t="s">
        <v>4659</v>
      </c>
      <c r="AB3493" t="s">
        <v>19281</v>
      </c>
      <c r="AE3493">
        <v>-39.069371670000002</v>
      </c>
      <c r="AF3493">
        <v>174.05461066000001</v>
      </c>
      <c r="AG3493">
        <v>70</v>
      </c>
      <c r="AH3493">
        <v>20</v>
      </c>
      <c r="AI3493">
        <v>1</v>
      </c>
      <c r="AJ3493">
        <v>9</v>
      </c>
      <c r="AK3493">
        <v>16</v>
      </c>
      <c r="AL3493">
        <v>17</v>
      </c>
      <c r="AM3493">
        <v>18</v>
      </c>
      <c r="AN3493">
        <v>0</v>
      </c>
      <c r="AO3493">
        <v>61</v>
      </c>
      <c r="AP3493">
        <v>40</v>
      </c>
      <c r="AQ3493">
        <v>20</v>
      </c>
      <c r="AR3493">
        <v>3</v>
      </c>
      <c r="AS3493">
        <v>13</v>
      </c>
      <c r="AT3493">
        <v>1</v>
      </c>
    </row>
    <row r="3494" spans="1:46">
      <c r="A3494">
        <v>50535</v>
      </c>
      <c r="B3494" t="s">
        <v>19285</v>
      </c>
      <c r="C3494" t="s">
        <v>19286</v>
      </c>
      <c r="D3494" t="s">
        <v>19287</v>
      </c>
      <c r="E3494" t="s">
        <v>19288</v>
      </c>
      <c r="G3494" t="s">
        <v>18871</v>
      </c>
      <c r="H3494" t="s">
        <v>3942</v>
      </c>
      <c r="J3494" t="s">
        <v>518</v>
      </c>
      <c r="K3494" t="s">
        <v>519</v>
      </c>
      <c r="M3494" t="s">
        <v>1297</v>
      </c>
      <c r="N3494" t="s">
        <v>571</v>
      </c>
      <c r="O3494" t="s">
        <v>1851</v>
      </c>
      <c r="P3494" t="s">
        <v>523</v>
      </c>
      <c r="Q3494" t="s">
        <v>1759</v>
      </c>
      <c r="R3494" t="s">
        <v>1760</v>
      </c>
      <c r="S3494" t="s">
        <v>1757</v>
      </c>
      <c r="T3494" t="s">
        <v>1485</v>
      </c>
      <c r="U3494">
        <v>220700</v>
      </c>
      <c r="V3494" t="s">
        <v>18872</v>
      </c>
      <c r="W3494" t="s">
        <v>10368</v>
      </c>
      <c r="X3494" t="s">
        <v>19289</v>
      </c>
      <c r="Y3494" t="s">
        <v>6682</v>
      </c>
      <c r="Z3494" t="s">
        <v>18871</v>
      </c>
      <c r="AA3494" t="s">
        <v>19290</v>
      </c>
      <c r="AB3494" t="s">
        <v>19291</v>
      </c>
      <c r="AE3494">
        <v>-39.450174199999999</v>
      </c>
      <c r="AF3494">
        <v>173.85542602999999</v>
      </c>
      <c r="AG3494">
        <v>65</v>
      </c>
      <c r="AH3494">
        <v>15</v>
      </c>
      <c r="AI3494">
        <v>1</v>
      </c>
      <c r="AJ3494">
        <v>4</v>
      </c>
      <c r="AK3494">
        <v>18</v>
      </c>
      <c r="AL3494">
        <v>26</v>
      </c>
      <c r="AM3494">
        <v>27</v>
      </c>
      <c r="AN3494">
        <v>2</v>
      </c>
      <c r="AO3494">
        <v>78</v>
      </c>
      <c r="AP3494">
        <v>67</v>
      </c>
      <c r="AQ3494">
        <v>37</v>
      </c>
      <c r="AR3494">
        <v>1</v>
      </c>
      <c r="AS3494">
        <v>2</v>
      </c>
      <c r="AT3494">
        <v>1</v>
      </c>
    </row>
    <row r="3495" spans="1:46">
      <c r="A3495">
        <v>51001</v>
      </c>
      <c r="B3495" t="s">
        <v>19292</v>
      </c>
      <c r="C3495" t="s">
        <v>19293</v>
      </c>
      <c r="E3495" t="s">
        <v>19294</v>
      </c>
      <c r="G3495" t="s">
        <v>19295</v>
      </c>
      <c r="H3495" t="s">
        <v>298</v>
      </c>
      <c r="J3495" t="s">
        <v>518</v>
      </c>
      <c r="K3495" t="s">
        <v>519</v>
      </c>
      <c r="M3495" t="s">
        <v>1297</v>
      </c>
      <c r="N3495" t="s">
        <v>571</v>
      </c>
      <c r="O3495" t="s">
        <v>1851</v>
      </c>
      <c r="P3495" t="s">
        <v>540</v>
      </c>
      <c r="Q3495" t="s">
        <v>1759</v>
      </c>
      <c r="R3495" t="s">
        <v>1760</v>
      </c>
      <c r="S3495" t="s">
        <v>1842</v>
      </c>
      <c r="T3495" t="s">
        <v>1485</v>
      </c>
      <c r="U3495">
        <v>222101</v>
      </c>
      <c r="V3495" t="s">
        <v>19296</v>
      </c>
      <c r="W3495" t="s">
        <v>1872</v>
      </c>
      <c r="X3495" t="s">
        <v>10355</v>
      </c>
      <c r="Y3495" t="s">
        <v>5187</v>
      </c>
      <c r="AA3495" t="s">
        <v>5188</v>
      </c>
      <c r="AB3495" t="s">
        <v>10356</v>
      </c>
      <c r="AE3495">
        <v>-39.760551329999998</v>
      </c>
      <c r="AF3495">
        <v>174.63022946999999</v>
      </c>
      <c r="AG3495">
        <v>30</v>
      </c>
      <c r="AH3495">
        <v>15</v>
      </c>
      <c r="AI3495">
        <v>1</v>
      </c>
      <c r="AJ3495">
        <v>3</v>
      </c>
      <c r="AK3495">
        <v>1</v>
      </c>
      <c r="AL3495">
        <v>2</v>
      </c>
      <c r="AM3495">
        <v>1</v>
      </c>
      <c r="AN3495">
        <v>0</v>
      </c>
      <c r="AO3495">
        <v>8</v>
      </c>
      <c r="AP3495">
        <v>7</v>
      </c>
      <c r="AQ3495">
        <v>2</v>
      </c>
      <c r="AR3495">
        <v>0</v>
      </c>
      <c r="AS3495">
        <v>0</v>
      </c>
      <c r="AT3495">
        <v>0</v>
      </c>
    </row>
    <row r="3496" spans="1:46">
      <c r="A3496">
        <v>51002</v>
      </c>
      <c r="B3496" t="s">
        <v>19297</v>
      </c>
      <c r="C3496" t="s">
        <v>19298</v>
      </c>
      <c r="D3496" t="s">
        <v>19299</v>
      </c>
      <c r="E3496" t="s">
        <v>19300</v>
      </c>
      <c r="F3496" t="s">
        <v>1886</v>
      </c>
      <c r="G3496" t="s">
        <v>1842</v>
      </c>
      <c r="H3496" t="s">
        <v>298</v>
      </c>
      <c r="J3496" t="s">
        <v>518</v>
      </c>
      <c r="K3496" t="s">
        <v>519</v>
      </c>
      <c r="M3496" t="s">
        <v>1297</v>
      </c>
      <c r="N3496" t="s">
        <v>557</v>
      </c>
      <c r="O3496" t="s">
        <v>1887</v>
      </c>
      <c r="P3496" t="s">
        <v>584</v>
      </c>
      <c r="Q3496" t="s">
        <v>1636</v>
      </c>
      <c r="R3496" t="s">
        <v>1760</v>
      </c>
      <c r="S3496" t="s">
        <v>1842</v>
      </c>
      <c r="T3496" t="s">
        <v>1485</v>
      </c>
      <c r="U3496">
        <v>224600</v>
      </c>
      <c r="V3496" t="s">
        <v>19301</v>
      </c>
      <c r="W3496" t="s">
        <v>1652</v>
      </c>
      <c r="X3496" t="s">
        <v>10355</v>
      </c>
      <c r="Y3496" t="s">
        <v>5187</v>
      </c>
      <c r="AA3496" t="s">
        <v>5188</v>
      </c>
      <c r="AB3496" t="s">
        <v>10356</v>
      </c>
      <c r="AE3496">
        <v>-39.891864040000002</v>
      </c>
      <c r="AF3496">
        <v>175.08442692</v>
      </c>
      <c r="AG3496">
        <v>27</v>
      </c>
      <c r="AH3496">
        <v>12</v>
      </c>
      <c r="AI3496">
        <v>2</v>
      </c>
      <c r="AJ3496">
        <v>2</v>
      </c>
      <c r="AK3496">
        <v>3</v>
      </c>
      <c r="AL3496">
        <v>1</v>
      </c>
      <c r="AM3496">
        <v>0</v>
      </c>
      <c r="AN3496">
        <v>0</v>
      </c>
      <c r="AO3496">
        <v>8</v>
      </c>
      <c r="AP3496">
        <v>8</v>
      </c>
      <c r="AQ3496">
        <v>1</v>
      </c>
      <c r="AR3496">
        <v>0</v>
      </c>
      <c r="AS3496">
        <v>0</v>
      </c>
      <c r="AT3496">
        <v>0</v>
      </c>
    </row>
    <row r="3497" spans="1:46">
      <c r="A3497">
        <v>51004</v>
      </c>
      <c r="B3497" t="s">
        <v>19302</v>
      </c>
      <c r="C3497" t="s">
        <v>19303</v>
      </c>
      <c r="D3497" t="s">
        <v>19304</v>
      </c>
      <c r="E3497" t="s">
        <v>19305</v>
      </c>
      <c r="F3497" t="s">
        <v>11234</v>
      </c>
      <c r="G3497" t="s">
        <v>1842</v>
      </c>
      <c r="H3497" t="s">
        <v>298</v>
      </c>
      <c r="J3497" t="s">
        <v>518</v>
      </c>
      <c r="K3497" t="s">
        <v>519</v>
      </c>
      <c r="M3497" t="s">
        <v>1297</v>
      </c>
      <c r="N3497" t="s">
        <v>571</v>
      </c>
      <c r="O3497" t="s">
        <v>1887</v>
      </c>
      <c r="P3497" t="s">
        <v>584</v>
      </c>
      <c r="Q3497" t="s">
        <v>1636</v>
      </c>
      <c r="R3497" t="s">
        <v>1760</v>
      </c>
      <c r="S3497" t="s">
        <v>1842</v>
      </c>
      <c r="T3497" t="s">
        <v>1485</v>
      </c>
      <c r="U3497">
        <v>224401</v>
      </c>
      <c r="V3497" t="s">
        <v>19306</v>
      </c>
      <c r="W3497" t="s">
        <v>1652</v>
      </c>
      <c r="X3497" t="s">
        <v>10355</v>
      </c>
      <c r="Y3497" t="s">
        <v>5187</v>
      </c>
      <c r="AA3497" t="s">
        <v>5188</v>
      </c>
      <c r="AB3497" t="s">
        <v>10356</v>
      </c>
      <c r="AE3497">
        <v>-39.929097040000002</v>
      </c>
      <c r="AF3497">
        <v>175.01655993</v>
      </c>
      <c r="AG3497">
        <v>25</v>
      </c>
      <c r="AH3497">
        <v>20</v>
      </c>
      <c r="AI3497">
        <v>27</v>
      </c>
      <c r="AJ3497">
        <v>6</v>
      </c>
      <c r="AK3497">
        <v>13</v>
      </c>
      <c r="AL3497">
        <v>0</v>
      </c>
      <c r="AM3497">
        <v>2</v>
      </c>
      <c r="AN3497">
        <v>0</v>
      </c>
      <c r="AO3497">
        <v>48</v>
      </c>
      <c r="AP3497">
        <v>45</v>
      </c>
      <c r="AQ3497">
        <v>6</v>
      </c>
      <c r="AR3497">
        <v>4</v>
      </c>
      <c r="AS3497">
        <v>2</v>
      </c>
      <c r="AT3497">
        <v>1</v>
      </c>
    </row>
    <row r="3498" spans="1:46">
      <c r="A3498">
        <v>51005</v>
      </c>
      <c r="B3498" t="s">
        <v>19307</v>
      </c>
      <c r="C3498" t="s">
        <v>19308</v>
      </c>
      <c r="E3498" t="s">
        <v>19309</v>
      </c>
      <c r="G3498" t="s">
        <v>2074</v>
      </c>
      <c r="H3498" t="s">
        <v>298</v>
      </c>
      <c r="J3498" t="s">
        <v>518</v>
      </c>
      <c r="K3498" t="s">
        <v>519</v>
      </c>
      <c r="M3498" t="s">
        <v>1297</v>
      </c>
      <c r="N3498" t="s">
        <v>571</v>
      </c>
      <c r="O3498" t="s">
        <v>1967</v>
      </c>
      <c r="P3498" t="s">
        <v>523</v>
      </c>
      <c r="Q3498" t="s">
        <v>1636</v>
      </c>
      <c r="R3498" t="s">
        <v>1760</v>
      </c>
      <c r="S3498" t="s">
        <v>1637</v>
      </c>
      <c r="T3498" t="s">
        <v>1485</v>
      </c>
      <c r="U3498">
        <v>226500</v>
      </c>
      <c r="V3498" t="s">
        <v>2074</v>
      </c>
      <c r="W3498" t="s">
        <v>2075</v>
      </c>
      <c r="X3498" t="s">
        <v>10355</v>
      </c>
      <c r="Y3498" t="s">
        <v>5187</v>
      </c>
      <c r="AA3498" t="s">
        <v>5188</v>
      </c>
      <c r="AB3498" t="s">
        <v>10356</v>
      </c>
      <c r="AE3498">
        <v>-39.677372460000001</v>
      </c>
      <c r="AF3498">
        <v>175.80122175</v>
      </c>
      <c r="AG3498">
        <v>25</v>
      </c>
      <c r="AH3498">
        <v>15</v>
      </c>
      <c r="AI3498">
        <v>1</v>
      </c>
      <c r="AJ3498">
        <v>3</v>
      </c>
      <c r="AK3498">
        <v>3</v>
      </c>
      <c r="AL3498">
        <v>0</v>
      </c>
      <c r="AM3498">
        <v>1</v>
      </c>
      <c r="AN3498">
        <v>1</v>
      </c>
      <c r="AO3498">
        <v>9</v>
      </c>
      <c r="AP3498">
        <v>9</v>
      </c>
      <c r="AQ3498">
        <v>3</v>
      </c>
      <c r="AR3498">
        <v>0</v>
      </c>
      <c r="AS3498">
        <v>0</v>
      </c>
      <c r="AT3498">
        <v>0</v>
      </c>
    </row>
    <row r="3499" spans="1:46">
      <c r="A3499">
        <v>51008</v>
      </c>
      <c r="B3499" t="s">
        <v>19310</v>
      </c>
      <c r="E3499" t="s">
        <v>19311</v>
      </c>
      <c r="G3499" t="s">
        <v>19312</v>
      </c>
      <c r="H3499" t="s">
        <v>298</v>
      </c>
      <c r="J3499" t="s">
        <v>518</v>
      </c>
      <c r="K3499" t="s">
        <v>519</v>
      </c>
      <c r="M3499" t="s">
        <v>1297</v>
      </c>
      <c r="N3499" t="s">
        <v>571</v>
      </c>
      <c r="O3499" t="s">
        <v>1967</v>
      </c>
      <c r="P3499" t="s">
        <v>540</v>
      </c>
      <c r="Q3499" t="s">
        <v>1636</v>
      </c>
      <c r="R3499" t="s">
        <v>1760</v>
      </c>
      <c r="S3499" t="s">
        <v>1637</v>
      </c>
      <c r="T3499" t="s">
        <v>1485</v>
      </c>
      <c r="U3499">
        <v>226100</v>
      </c>
      <c r="V3499" t="s">
        <v>19313</v>
      </c>
      <c r="W3499" t="s">
        <v>2075</v>
      </c>
      <c r="X3499" t="s">
        <v>10355</v>
      </c>
      <c r="Y3499" t="s">
        <v>5187</v>
      </c>
      <c r="AA3499" t="s">
        <v>5188</v>
      </c>
      <c r="AB3499" t="s">
        <v>10356</v>
      </c>
      <c r="AE3499">
        <v>-39.809355660000001</v>
      </c>
      <c r="AF3499">
        <v>175.78792901</v>
      </c>
      <c r="AG3499">
        <v>30</v>
      </c>
      <c r="AH3499">
        <v>15</v>
      </c>
      <c r="AI3499">
        <v>1</v>
      </c>
      <c r="AJ3499">
        <v>4</v>
      </c>
      <c r="AK3499">
        <v>4</v>
      </c>
      <c r="AL3499">
        <v>4</v>
      </c>
      <c r="AM3499">
        <v>1</v>
      </c>
      <c r="AN3499">
        <v>1</v>
      </c>
      <c r="AO3499">
        <v>15</v>
      </c>
      <c r="AP3499">
        <v>11</v>
      </c>
      <c r="AQ3499">
        <v>9</v>
      </c>
      <c r="AR3499">
        <v>0</v>
      </c>
      <c r="AS3499">
        <v>1</v>
      </c>
      <c r="AT3499">
        <v>0</v>
      </c>
    </row>
    <row r="3500" spans="1:46">
      <c r="A3500">
        <v>51009</v>
      </c>
      <c r="B3500" t="s">
        <v>19314</v>
      </c>
      <c r="C3500" t="s">
        <v>19315</v>
      </c>
      <c r="D3500" t="s">
        <v>19316</v>
      </c>
      <c r="E3500" t="s">
        <v>19317</v>
      </c>
      <c r="G3500" t="s">
        <v>19318</v>
      </c>
      <c r="H3500" t="s">
        <v>298</v>
      </c>
      <c r="J3500" t="s">
        <v>518</v>
      </c>
      <c r="K3500" t="s">
        <v>519</v>
      </c>
      <c r="M3500" t="s">
        <v>1297</v>
      </c>
      <c r="N3500" t="s">
        <v>571</v>
      </c>
      <c r="O3500" t="s">
        <v>1967</v>
      </c>
      <c r="P3500" t="s">
        <v>540</v>
      </c>
      <c r="Q3500" t="s">
        <v>1636</v>
      </c>
      <c r="R3500" t="s">
        <v>1760</v>
      </c>
      <c r="S3500" t="s">
        <v>1637</v>
      </c>
      <c r="T3500" t="s">
        <v>1485</v>
      </c>
      <c r="U3500">
        <v>226400</v>
      </c>
      <c r="V3500" t="s">
        <v>19319</v>
      </c>
      <c r="W3500" t="s">
        <v>2033</v>
      </c>
      <c r="X3500" t="s">
        <v>10355</v>
      </c>
      <c r="Y3500" t="s">
        <v>5187</v>
      </c>
      <c r="AA3500" t="s">
        <v>5188</v>
      </c>
      <c r="AB3500" t="s">
        <v>10356</v>
      </c>
      <c r="AE3500">
        <v>-39.936142519999997</v>
      </c>
      <c r="AF3500">
        <v>175.56746749999999</v>
      </c>
      <c r="AG3500">
        <v>30</v>
      </c>
      <c r="AH3500">
        <v>15</v>
      </c>
      <c r="AI3500">
        <v>3</v>
      </c>
      <c r="AJ3500">
        <v>3</v>
      </c>
      <c r="AK3500">
        <v>5</v>
      </c>
      <c r="AL3500">
        <v>4</v>
      </c>
      <c r="AM3500">
        <v>7</v>
      </c>
      <c r="AN3500">
        <v>0</v>
      </c>
      <c r="AO3500">
        <v>22</v>
      </c>
      <c r="AP3500">
        <v>17</v>
      </c>
      <c r="AQ3500">
        <v>9</v>
      </c>
      <c r="AR3500">
        <v>3</v>
      </c>
      <c r="AS3500">
        <v>0</v>
      </c>
      <c r="AT3500">
        <v>3</v>
      </c>
    </row>
    <row r="3501" spans="1:46">
      <c r="A3501">
        <v>51012</v>
      </c>
      <c r="B3501" t="s">
        <v>19320</v>
      </c>
      <c r="C3501" t="s">
        <v>19321</v>
      </c>
      <c r="D3501" t="s">
        <v>19322</v>
      </c>
      <c r="E3501" t="s">
        <v>19323</v>
      </c>
      <c r="G3501" t="s">
        <v>1842</v>
      </c>
      <c r="H3501" t="s">
        <v>298</v>
      </c>
      <c r="J3501" t="s">
        <v>518</v>
      </c>
      <c r="K3501" t="s">
        <v>519</v>
      </c>
      <c r="M3501" t="s">
        <v>1297</v>
      </c>
      <c r="N3501" t="s">
        <v>571</v>
      </c>
      <c r="O3501" t="s">
        <v>1887</v>
      </c>
      <c r="P3501" t="s">
        <v>572</v>
      </c>
      <c r="Q3501" t="s">
        <v>1636</v>
      </c>
      <c r="R3501" t="s">
        <v>1760</v>
      </c>
      <c r="S3501" t="s">
        <v>1842</v>
      </c>
      <c r="T3501" t="s">
        <v>1485</v>
      </c>
      <c r="U3501">
        <v>223400</v>
      </c>
      <c r="V3501" t="s">
        <v>18941</v>
      </c>
      <c r="W3501" t="s">
        <v>1652</v>
      </c>
      <c r="X3501" t="s">
        <v>10355</v>
      </c>
      <c r="Y3501" t="s">
        <v>5187</v>
      </c>
      <c r="AA3501" t="s">
        <v>5188</v>
      </c>
      <c r="AB3501" t="s">
        <v>10356</v>
      </c>
      <c r="AE3501">
        <v>-39.88544667</v>
      </c>
      <c r="AF3501">
        <v>174.91996814000001</v>
      </c>
      <c r="AG3501">
        <v>30</v>
      </c>
      <c r="AH3501">
        <v>15</v>
      </c>
      <c r="AI3501">
        <v>0</v>
      </c>
      <c r="AJ3501">
        <v>5</v>
      </c>
      <c r="AK3501">
        <v>0</v>
      </c>
      <c r="AL3501">
        <v>4</v>
      </c>
      <c r="AM3501">
        <v>0</v>
      </c>
      <c r="AN3501">
        <v>1</v>
      </c>
      <c r="AO3501">
        <v>10</v>
      </c>
      <c r="AP3501">
        <v>10</v>
      </c>
      <c r="AQ3501">
        <v>1</v>
      </c>
      <c r="AR3501">
        <v>2</v>
      </c>
      <c r="AS3501">
        <v>0</v>
      </c>
      <c r="AT3501">
        <v>0</v>
      </c>
    </row>
    <row r="3502" spans="1:46">
      <c r="A3502">
        <v>51501</v>
      </c>
      <c r="B3502" t="s">
        <v>19324</v>
      </c>
      <c r="C3502" t="s">
        <v>19129</v>
      </c>
      <c r="D3502" t="s">
        <v>19325</v>
      </c>
      <c r="E3502" t="s">
        <v>19133</v>
      </c>
      <c r="G3502" t="s">
        <v>1842</v>
      </c>
      <c r="H3502" t="s">
        <v>3942</v>
      </c>
      <c r="I3502" t="s">
        <v>5772</v>
      </c>
      <c r="J3502" t="s">
        <v>518</v>
      </c>
      <c r="K3502" t="s">
        <v>519</v>
      </c>
      <c r="M3502" t="s">
        <v>1297</v>
      </c>
      <c r="N3502" t="s">
        <v>557</v>
      </c>
      <c r="O3502" t="s">
        <v>1887</v>
      </c>
      <c r="P3502" t="s">
        <v>584</v>
      </c>
      <c r="Q3502" t="s">
        <v>1636</v>
      </c>
      <c r="R3502" t="s">
        <v>1760</v>
      </c>
      <c r="S3502" t="s">
        <v>1842</v>
      </c>
      <c r="T3502" t="s">
        <v>1485</v>
      </c>
      <c r="U3502">
        <v>225700</v>
      </c>
      <c r="V3502" t="s">
        <v>10264</v>
      </c>
      <c r="W3502" t="s">
        <v>1652</v>
      </c>
      <c r="X3502" t="s">
        <v>19132</v>
      </c>
      <c r="Y3502" t="s">
        <v>19133</v>
      </c>
      <c r="AA3502" t="s">
        <v>14509</v>
      </c>
      <c r="AB3502" t="s">
        <v>19134</v>
      </c>
      <c r="AC3502">
        <v>99220</v>
      </c>
      <c r="AD3502" t="s">
        <v>1906</v>
      </c>
      <c r="AE3502">
        <v>-39.926893900000003</v>
      </c>
      <c r="AF3502">
        <v>175.04390591000001</v>
      </c>
      <c r="AG3502">
        <v>84</v>
      </c>
      <c r="AH3502">
        <v>4</v>
      </c>
      <c r="AI3502">
        <v>0</v>
      </c>
      <c r="AJ3502">
        <v>1</v>
      </c>
      <c r="AK3502">
        <v>33</v>
      </c>
      <c r="AL3502">
        <v>41</v>
      </c>
      <c r="AM3502">
        <v>35</v>
      </c>
      <c r="AN3502">
        <v>2</v>
      </c>
      <c r="AO3502">
        <v>112</v>
      </c>
      <c r="AP3502">
        <v>108</v>
      </c>
      <c r="AQ3502">
        <v>29</v>
      </c>
      <c r="AR3502">
        <v>4</v>
      </c>
      <c r="AS3502">
        <v>6</v>
      </c>
      <c r="AT3502">
        <v>2</v>
      </c>
    </row>
    <row r="3503" spans="1:46">
      <c r="A3503">
        <v>51506</v>
      </c>
      <c r="B3503" t="s">
        <v>19326</v>
      </c>
      <c r="C3503" t="s">
        <v>19327</v>
      </c>
      <c r="E3503" t="s">
        <v>19328</v>
      </c>
      <c r="G3503" t="s">
        <v>2031</v>
      </c>
      <c r="H3503" t="s">
        <v>3942</v>
      </c>
      <c r="J3503" t="s">
        <v>3962</v>
      </c>
      <c r="K3503" t="s">
        <v>519</v>
      </c>
      <c r="M3503" t="s">
        <v>1297</v>
      </c>
      <c r="N3503" t="s">
        <v>557</v>
      </c>
      <c r="O3503" t="s">
        <v>1967</v>
      </c>
      <c r="P3503" t="s">
        <v>523</v>
      </c>
      <c r="Q3503" t="s">
        <v>1636</v>
      </c>
      <c r="R3503" t="s">
        <v>1760</v>
      </c>
      <c r="S3503" t="s">
        <v>1637</v>
      </c>
      <c r="T3503" t="s">
        <v>1485</v>
      </c>
      <c r="U3503">
        <v>226701</v>
      </c>
      <c r="V3503" t="s">
        <v>3599</v>
      </c>
      <c r="W3503" t="s">
        <v>2033</v>
      </c>
      <c r="X3503" t="s">
        <v>19329</v>
      </c>
      <c r="Y3503" t="s">
        <v>19330</v>
      </c>
      <c r="AA3503" t="s">
        <v>19331</v>
      </c>
      <c r="AB3503" t="s">
        <v>19332</v>
      </c>
      <c r="AC3503">
        <v>99078</v>
      </c>
      <c r="AD3503" t="s">
        <v>1969</v>
      </c>
      <c r="AE3503">
        <v>-40.076426310000002</v>
      </c>
      <c r="AF3503">
        <v>175.37899164000001</v>
      </c>
      <c r="AG3503">
        <v>25</v>
      </c>
      <c r="AH3503">
        <v>8</v>
      </c>
      <c r="AI3503">
        <v>2</v>
      </c>
      <c r="AJ3503">
        <v>4</v>
      </c>
      <c r="AK3503">
        <v>6</v>
      </c>
      <c r="AL3503">
        <v>5</v>
      </c>
      <c r="AM3503">
        <v>8</v>
      </c>
      <c r="AN3503">
        <v>0</v>
      </c>
      <c r="AO3503">
        <v>25</v>
      </c>
      <c r="AP3503">
        <v>22</v>
      </c>
      <c r="AQ3503">
        <v>6</v>
      </c>
      <c r="AR3503">
        <v>0</v>
      </c>
      <c r="AS3503">
        <v>1</v>
      </c>
      <c r="AT3503">
        <v>1</v>
      </c>
    </row>
    <row r="3504" spans="1:46">
      <c r="A3504">
        <v>51511</v>
      </c>
      <c r="B3504" t="s">
        <v>19333</v>
      </c>
      <c r="C3504" t="s">
        <v>19334</v>
      </c>
      <c r="E3504" t="s">
        <v>19335</v>
      </c>
      <c r="G3504" t="s">
        <v>1966</v>
      </c>
      <c r="H3504" t="s">
        <v>3942</v>
      </c>
      <c r="J3504" t="s">
        <v>3962</v>
      </c>
      <c r="K3504" t="s">
        <v>519</v>
      </c>
      <c r="M3504" t="s">
        <v>1297</v>
      </c>
      <c r="N3504" t="s">
        <v>571</v>
      </c>
      <c r="O3504" t="s">
        <v>1967</v>
      </c>
      <c r="P3504" t="s">
        <v>523</v>
      </c>
      <c r="Q3504" t="s">
        <v>1636</v>
      </c>
      <c r="R3504" t="s">
        <v>1760</v>
      </c>
      <c r="S3504" t="s">
        <v>1637</v>
      </c>
      <c r="T3504" t="s">
        <v>1485</v>
      </c>
      <c r="U3504">
        <v>227000</v>
      </c>
      <c r="V3504" t="s">
        <v>1966</v>
      </c>
      <c r="W3504" t="s">
        <v>1968</v>
      </c>
      <c r="X3504" t="s">
        <v>19329</v>
      </c>
      <c r="Y3504" t="s">
        <v>19330</v>
      </c>
      <c r="AA3504" t="s">
        <v>19331</v>
      </c>
      <c r="AB3504" t="s">
        <v>19332</v>
      </c>
      <c r="AC3504">
        <v>99078</v>
      </c>
      <c r="AD3504" t="s">
        <v>1969</v>
      </c>
      <c r="AE3504">
        <v>-40.177462820000002</v>
      </c>
      <c r="AF3504">
        <v>175.38412528000001</v>
      </c>
      <c r="AG3504">
        <v>23</v>
      </c>
      <c r="AH3504">
        <v>13</v>
      </c>
      <c r="AI3504">
        <v>1</v>
      </c>
      <c r="AJ3504">
        <v>3</v>
      </c>
      <c r="AK3504">
        <v>11</v>
      </c>
      <c r="AL3504">
        <v>4</v>
      </c>
      <c r="AM3504">
        <v>8</v>
      </c>
      <c r="AN3504">
        <v>0</v>
      </c>
      <c r="AO3504">
        <v>27</v>
      </c>
      <c r="AP3504">
        <v>27</v>
      </c>
      <c r="AQ3504">
        <v>2</v>
      </c>
      <c r="AR3504">
        <v>0</v>
      </c>
      <c r="AS3504">
        <v>0</v>
      </c>
      <c r="AT3504">
        <v>0</v>
      </c>
    </row>
    <row r="3505" spans="1:46">
      <c r="A3505">
        <v>51527</v>
      </c>
      <c r="B3505" t="s">
        <v>19336</v>
      </c>
      <c r="C3505" t="s">
        <v>19337</v>
      </c>
      <c r="D3505" t="s">
        <v>19338</v>
      </c>
      <c r="E3505" t="s">
        <v>19339</v>
      </c>
      <c r="G3505" t="s">
        <v>1842</v>
      </c>
      <c r="H3505" t="s">
        <v>3942</v>
      </c>
      <c r="J3505" t="s">
        <v>518</v>
      </c>
      <c r="K3505" t="s">
        <v>519</v>
      </c>
      <c r="M3505" t="s">
        <v>1297</v>
      </c>
      <c r="N3505" t="s">
        <v>571</v>
      </c>
      <c r="O3505" t="s">
        <v>1887</v>
      </c>
      <c r="P3505" t="s">
        <v>572</v>
      </c>
      <c r="Q3505" t="s">
        <v>1636</v>
      </c>
      <c r="R3505" t="s">
        <v>1760</v>
      </c>
      <c r="S3505" t="s">
        <v>1842</v>
      </c>
      <c r="T3505" t="s">
        <v>1485</v>
      </c>
      <c r="U3505">
        <v>225600</v>
      </c>
      <c r="V3505" t="s">
        <v>19340</v>
      </c>
      <c r="W3505" t="s">
        <v>1652</v>
      </c>
      <c r="X3505" t="s">
        <v>19341</v>
      </c>
      <c r="Y3505" t="s">
        <v>19342</v>
      </c>
      <c r="Z3505" t="s">
        <v>19343</v>
      </c>
      <c r="AA3505" t="s">
        <v>13232</v>
      </c>
      <c r="AB3505" t="s">
        <v>19344</v>
      </c>
      <c r="AE3505">
        <v>-39.959455679999998</v>
      </c>
      <c r="AF3505">
        <v>175.19925602999999</v>
      </c>
      <c r="AG3505">
        <v>23</v>
      </c>
      <c r="AH3505">
        <v>0</v>
      </c>
      <c r="AI3505">
        <v>0</v>
      </c>
      <c r="AJ3505">
        <v>0</v>
      </c>
      <c r="AK3505">
        <v>3</v>
      </c>
      <c r="AL3505">
        <v>10</v>
      </c>
      <c r="AM3505">
        <v>9</v>
      </c>
      <c r="AN3505">
        <v>0</v>
      </c>
      <c r="AO3505">
        <v>22</v>
      </c>
      <c r="AP3505">
        <v>19</v>
      </c>
      <c r="AQ3505">
        <v>5</v>
      </c>
      <c r="AR3505">
        <v>1</v>
      </c>
      <c r="AS3505">
        <v>2</v>
      </c>
      <c r="AT3505">
        <v>1</v>
      </c>
    </row>
    <row r="3506" spans="1:46">
      <c r="A3506">
        <v>51528</v>
      </c>
      <c r="B3506" t="s">
        <v>18813</v>
      </c>
      <c r="C3506" t="s">
        <v>18814</v>
      </c>
      <c r="D3506" t="s">
        <v>18815</v>
      </c>
      <c r="E3506" t="s">
        <v>19345</v>
      </c>
      <c r="F3506" t="s">
        <v>1943</v>
      </c>
      <c r="G3506" t="s">
        <v>1842</v>
      </c>
      <c r="H3506" t="s">
        <v>3942</v>
      </c>
      <c r="I3506" t="s">
        <v>4065</v>
      </c>
      <c r="J3506" t="s">
        <v>518</v>
      </c>
      <c r="K3506" t="s">
        <v>519</v>
      </c>
      <c r="M3506" t="s">
        <v>1297</v>
      </c>
      <c r="N3506" t="s">
        <v>3144</v>
      </c>
      <c r="O3506" t="s">
        <v>1887</v>
      </c>
      <c r="P3506" t="s">
        <v>584</v>
      </c>
      <c r="Q3506" t="s">
        <v>1636</v>
      </c>
      <c r="R3506" t="s">
        <v>1760</v>
      </c>
      <c r="S3506" t="s">
        <v>1842</v>
      </c>
      <c r="T3506" t="s">
        <v>1485</v>
      </c>
      <c r="U3506">
        <v>223701</v>
      </c>
      <c r="V3506" t="s">
        <v>19346</v>
      </c>
      <c r="W3506" t="s">
        <v>1652</v>
      </c>
      <c r="Y3506" t="s">
        <v>18816</v>
      </c>
      <c r="Z3506" t="s">
        <v>1949</v>
      </c>
      <c r="AA3506" t="s">
        <v>14509</v>
      </c>
      <c r="AC3506">
        <v>99218</v>
      </c>
      <c r="AD3506" t="s">
        <v>1893</v>
      </c>
      <c r="AE3506">
        <v>-39.908260499999997</v>
      </c>
      <c r="AF3506">
        <v>175.02490890000001</v>
      </c>
      <c r="AG3506">
        <v>0</v>
      </c>
      <c r="AH3506">
        <v>0</v>
      </c>
      <c r="AI3506">
        <v>0</v>
      </c>
      <c r="AJ3506">
        <v>0</v>
      </c>
      <c r="AK3506">
        <v>7</v>
      </c>
      <c r="AL3506">
        <v>15</v>
      </c>
      <c r="AM3506">
        <v>23</v>
      </c>
      <c r="AN3506">
        <v>2</v>
      </c>
      <c r="AO3506">
        <v>47</v>
      </c>
      <c r="AP3506">
        <v>41</v>
      </c>
      <c r="AQ3506">
        <v>7</v>
      </c>
      <c r="AR3506">
        <v>0</v>
      </c>
      <c r="AS3506">
        <v>5</v>
      </c>
      <c r="AT3506">
        <v>5</v>
      </c>
    </row>
    <row r="3507" spans="1:46">
      <c r="A3507">
        <v>51529</v>
      </c>
      <c r="B3507" t="s">
        <v>19347</v>
      </c>
      <c r="C3507" t="s">
        <v>19348</v>
      </c>
      <c r="D3507" t="s">
        <v>19349</v>
      </c>
      <c r="E3507" t="s">
        <v>19350</v>
      </c>
      <c r="G3507" t="s">
        <v>1842</v>
      </c>
      <c r="H3507" t="s">
        <v>3942</v>
      </c>
      <c r="J3507" t="s">
        <v>518</v>
      </c>
      <c r="K3507" t="s">
        <v>519</v>
      </c>
      <c r="M3507" t="s">
        <v>1297</v>
      </c>
      <c r="N3507" t="s">
        <v>557</v>
      </c>
      <c r="O3507" t="s">
        <v>1887</v>
      </c>
      <c r="P3507" t="s">
        <v>584</v>
      </c>
      <c r="Q3507" t="s">
        <v>1636</v>
      </c>
      <c r="R3507" t="s">
        <v>1760</v>
      </c>
      <c r="S3507" t="s">
        <v>1842</v>
      </c>
      <c r="T3507" t="s">
        <v>1485</v>
      </c>
      <c r="U3507">
        <v>225400</v>
      </c>
      <c r="V3507" t="s">
        <v>16069</v>
      </c>
      <c r="W3507" t="s">
        <v>1652</v>
      </c>
      <c r="X3507" t="s">
        <v>10400</v>
      </c>
      <c r="Y3507" t="s">
        <v>3944</v>
      </c>
      <c r="Z3507" t="s">
        <v>3945</v>
      </c>
      <c r="AA3507" t="s">
        <v>3946</v>
      </c>
      <c r="AB3507" t="s">
        <v>10401</v>
      </c>
      <c r="AC3507">
        <v>99220</v>
      </c>
      <c r="AD3507" t="s">
        <v>1906</v>
      </c>
      <c r="AE3507">
        <v>-39.9264601</v>
      </c>
      <c r="AF3507">
        <v>175.05002676999999</v>
      </c>
      <c r="AG3507">
        <v>90</v>
      </c>
      <c r="AH3507">
        <v>25</v>
      </c>
      <c r="AI3507">
        <v>3</v>
      </c>
      <c r="AJ3507">
        <v>19</v>
      </c>
      <c r="AK3507">
        <v>25</v>
      </c>
      <c r="AL3507">
        <v>19</v>
      </c>
      <c r="AM3507">
        <v>23</v>
      </c>
      <c r="AN3507">
        <v>0</v>
      </c>
      <c r="AO3507">
        <v>89</v>
      </c>
      <c r="AP3507">
        <v>67</v>
      </c>
      <c r="AQ3507">
        <v>36</v>
      </c>
      <c r="AR3507">
        <v>4</v>
      </c>
      <c r="AS3507">
        <v>6</v>
      </c>
      <c r="AT3507">
        <v>10</v>
      </c>
    </row>
    <row r="3508" spans="1:46">
      <c r="A3508">
        <v>51901</v>
      </c>
      <c r="B3508" t="s">
        <v>19351</v>
      </c>
      <c r="C3508" t="s">
        <v>19352</v>
      </c>
      <c r="D3508" t="s">
        <v>19353</v>
      </c>
      <c r="E3508" t="s">
        <v>19354</v>
      </c>
      <c r="G3508" t="s">
        <v>1842</v>
      </c>
      <c r="H3508" t="s">
        <v>3942</v>
      </c>
      <c r="J3508" t="s">
        <v>518</v>
      </c>
      <c r="K3508" t="s">
        <v>519</v>
      </c>
      <c r="M3508" t="s">
        <v>1297</v>
      </c>
      <c r="N3508" t="s">
        <v>557</v>
      </c>
      <c r="O3508" t="s">
        <v>1887</v>
      </c>
      <c r="P3508" t="s">
        <v>584</v>
      </c>
      <c r="Q3508" t="s">
        <v>1636</v>
      </c>
      <c r="R3508" t="s">
        <v>1760</v>
      </c>
      <c r="S3508" t="s">
        <v>1842</v>
      </c>
      <c r="T3508" t="s">
        <v>1485</v>
      </c>
      <c r="U3508">
        <v>225800</v>
      </c>
      <c r="V3508" t="s">
        <v>13229</v>
      </c>
      <c r="W3508" t="s">
        <v>1652</v>
      </c>
      <c r="X3508" t="s">
        <v>19355</v>
      </c>
      <c r="Y3508" t="s">
        <v>19354</v>
      </c>
      <c r="AA3508" t="s">
        <v>13842</v>
      </c>
      <c r="AB3508" t="s">
        <v>19352</v>
      </c>
      <c r="AE3508">
        <v>-39.945125879999999</v>
      </c>
      <c r="AF3508">
        <v>175.03830088000001</v>
      </c>
      <c r="AG3508">
        <v>38</v>
      </c>
      <c r="AH3508">
        <v>12</v>
      </c>
      <c r="AI3508">
        <v>2</v>
      </c>
      <c r="AJ3508">
        <v>11</v>
      </c>
      <c r="AK3508">
        <v>8</v>
      </c>
      <c r="AL3508">
        <v>12</v>
      </c>
      <c r="AM3508">
        <v>5</v>
      </c>
      <c r="AN3508">
        <v>0</v>
      </c>
      <c r="AO3508">
        <v>38</v>
      </c>
      <c r="AP3508">
        <v>32</v>
      </c>
      <c r="AQ3508">
        <v>8</v>
      </c>
      <c r="AR3508">
        <v>0</v>
      </c>
      <c r="AS3508">
        <v>4</v>
      </c>
      <c r="AT3508">
        <v>0</v>
      </c>
    </row>
    <row r="3509" spans="1:46">
      <c r="A3509">
        <v>52003</v>
      </c>
      <c r="B3509" t="s">
        <v>19356</v>
      </c>
      <c r="C3509" t="s">
        <v>19357</v>
      </c>
      <c r="E3509" t="s">
        <v>19358</v>
      </c>
      <c r="F3509" t="s">
        <v>2021</v>
      </c>
      <c r="G3509" t="s">
        <v>1974</v>
      </c>
      <c r="H3509" t="s">
        <v>298</v>
      </c>
      <c r="J3509" t="s">
        <v>518</v>
      </c>
      <c r="K3509" t="s">
        <v>519</v>
      </c>
      <c r="M3509" t="s">
        <v>1297</v>
      </c>
      <c r="N3509" t="s">
        <v>571</v>
      </c>
      <c r="O3509" t="s">
        <v>1956</v>
      </c>
      <c r="P3509" t="s">
        <v>584</v>
      </c>
      <c r="Q3509" t="s">
        <v>1636</v>
      </c>
      <c r="R3509" t="s">
        <v>1760</v>
      </c>
      <c r="S3509" t="s">
        <v>1974</v>
      </c>
      <c r="T3509" t="s">
        <v>1485</v>
      </c>
      <c r="U3509">
        <v>229300</v>
      </c>
      <c r="V3509" t="s">
        <v>18351</v>
      </c>
      <c r="W3509" t="s">
        <v>1957</v>
      </c>
      <c r="X3509" t="s">
        <v>10355</v>
      </c>
      <c r="Y3509" t="s">
        <v>5187</v>
      </c>
      <c r="AA3509" t="s">
        <v>5188</v>
      </c>
      <c r="AB3509" t="s">
        <v>10356</v>
      </c>
      <c r="AE3509">
        <v>-40.332132399999999</v>
      </c>
      <c r="AF3509">
        <v>175.61642692999999</v>
      </c>
      <c r="AG3509">
        <v>21</v>
      </c>
      <c r="AH3509">
        <v>15</v>
      </c>
      <c r="AI3509">
        <v>2</v>
      </c>
      <c r="AJ3509">
        <v>5</v>
      </c>
      <c r="AK3509">
        <v>7</v>
      </c>
      <c r="AL3509">
        <v>6</v>
      </c>
      <c r="AM3509">
        <v>1</v>
      </c>
      <c r="AN3509">
        <v>1</v>
      </c>
      <c r="AO3509">
        <v>22</v>
      </c>
      <c r="AP3509">
        <v>19</v>
      </c>
      <c r="AQ3509">
        <v>7</v>
      </c>
      <c r="AR3509">
        <v>2</v>
      </c>
      <c r="AS3509">
        <v>3</v>
      </c>
      <c r="AT3509">
        <v>0</v>
      </c>
    </row>
    <row r="3510" spans="1:46">
      <c r="A3510">
        <v>52007</v>
      </c>
      <c r="B3510" t="s">
        <v>19359</v>
      </c>
      <c r="C3510" t="s">
        <v>19360</v>
      </c>
      <c r="E3510" t="s">
        <v>19361</v>
      </c>
      <c r="G3510" t="s">
        <v>2725</v>
      </c>
      <c r="H3510" t="s">
        <v>298</v>
      </c>
      <c r="J3510" t="s">
        <v>518</v>
      </c>
      <c r="K3510" t="s">
        <v>519</v>
      </c>
      <c r="M3510" t="s">
        <v>1297</v>
      </c>
      <c r="N3510" t="s">
        <v>557</v>
      </c>
      <c r="O3510" t="s">
        <v>2066</v>
      </c>
      <c r="P3510" t="s">
        <v>1262</v>
      </c>
      <c r="Q3510" t="s">
        <v>1636</v>
      </c>
      <c r="R3510" t="s">
        <v>1760</v>
      </c>
      <c r="S3510" t="s">
        <v>2067</v>
      </c>
      <c r="T3510" t="s">
        <v>1485</v>
      </c>
      <c r="U3510">
        <v>234900</v>
      </c>
      <c r="V3510" t="s">
        <v>3691</v>
      </c>
      <c r="W3510" t="s">
        <v>2727</v>
      </c>
      <c r="X3510" t="s">
        <v>10355</v>
      </c>
      <c r="Y3510" t="s">
        <v>5187</v>
      </c>
      <c r="AA3510" t="s">
        <v>5188</v>
      </c>
      <c r="AB3510" t="s">
        <v>10356</v>
      </c>
      <c r="AE3510">
        <v>-40.615927640000002</v>
      </c>
      <c r="AF3510">
        <v>175.29051810000001</v>
      </c>
      <c r="AG3510">
        <v>30</v>
      </c>
      <c r="AH3510">
        <v>15</v>
      </c>
      <c r="AI3510">
        <v>20</v>
      </c>
      <c r="AJ3510">
        <v>14</v>
      </c>
      <c r="AK3510">
        <v>12</v>
      </c>
      <c r="AL3510">
        <v>4</v>
      </c>
      <c r="AM3510">
        <v>5</v>
      </c>
      <c r="AN3510">
        <v>1</v>
      </c>
      <c r="AO3510">
        <v>56</v>
      </c>
      <c r="AP3510">
        <v>51</v>
      </c>
      <c r="AQ3510">
        <v>15</v>
      </c>
      <c r="AR3510">
        <v>5</v>
      </c>
      <c r="AS3510">
        <v>7</v>
      </c>
      <c r="AT3510">
        <v>1</v>
      </c>
    </row>
    <row r="3511" spans="1:46">
      <c r="A3511">
        <v>52008</v>
      </c>
      <c r="B3511" t="s">
        <v>19362</v>
      </c>
      <c r="C3511" t="s">
        <v>19363</v>
      </c>
      <c r="E3511" t="s">
        <v>19364</v>
      </c>
      <c r="G3511" t="s">
        <v>1955</v>
      </c>
      <c r="H3511" t="s">
        <v>298</v>
      </c>
      <c r="J3511" t="s">
        <v>518</v>
      </c>
      <c r="K3511" t="s">
        <v>519</v>
      </c>
      <c r="M3511" t="s">
        <v>1297</v>
      </c>
      <c r="N3511" t="s">
        <v>571</v>
      </c>
      <c r="O3511" t="s">
        <v>1956</v>
      </c>
      <c r="P3511" t="s">
        <v>523</v>
      </c>
      <c r="Q3511" t="s">
        <v>1636</v>
      </c>
      <c r="R3511" t="s">
        <v>1760</v>
      </c>
      <c r="S3511" t="s">
        <v>1637</v>
      </c>
      <c r="T3511" t="s">
        <v>1485</v>
      </c>
      <c r="U3511">
        <v>232200</v>
      </c>
      <c r="V3511" t="s">
        <v>1955</v>
      </c>
      <c r="W3511" t="s">
        <v>1957</v>
      </c>
      <c r="X3511" t="s">
        <v>10355</v>
      </c>
      <c r="Y3511" t="s">
        <v>5187</v>
      </c>
      <c r="AA3511" t="s">
        <v>5188</v>
      </c>
      <c r="AB3511" t="s">
        <v>10356</v>
      </c>
      <c r="AE3511">
        <v>-40.288078349999999</v>
      </c>
      <c r="AF3511">
        <v>175.75731865</v>
      </c>
      <c r="AG3511">
        <v>30</v>
      </c>
      <c r="AH3511">
        <v>15</v>
      </c>
      <c r="AI3511">
        <v>1</v>
      </c>
      <c r="AJ3511">
        <v>4</v>
      </c>
      <c r="AK3511">
        <v>3</v>
      </c>
      <c r="AL3511">
        <v>4</v>
      </c>
      <c r="AM3511">
        <v>1</v>
      </c>
      <c r="AN3511">
        <v>1</v>
      </c>
      <c r="AO3511">
        <v>14</v>
      </c>
      <c r="AP3511">
        <v>14</v>
      </c>
      <c r="AQ3511">
        <v>3</v>
      </c>
      <c r="AR3511">
        <v>0</v>
      </c>
      <c r="AS3511">
        <v>0</v>
      </c>
      <c r="AT3511">
        <v>0</v>
      </c>
    </row>
    <row r="3512" spans="1:46">
      <c r="A3512">
        <v>52009</v>
      </c>
      <c r="B3512" t="s">
        <v>19365</v>
      </c>
      <c r="C3512" t="s">
        <v>19366</v>
      </c>
      <c r="E3512" t="s">
        <v>19367</v>
      </c>
      <c r="G3512" t="s">
        <v>1987</v>
      </c>
      <c r="H3512" t="s">
        <v>298</v>
      </c>
      <c r="J3512" t="s">
        <v>518</v>
      </c>
      <c r="K3512" t="s">
        <v>519</v>
      </c>
      <c r="M3512" t="s">
        <v>1297</v>
      </c>
      <c r="N3512" t="s">
        <v>557</v>
      </c>
      <c r="O3512" t="s">
        <v>1988</v>
      </c>
      <c r="P3512" t="s">
        <v>1262</v>
      </c>
      <c r="Q3512" t="s">
        <v>1636</v>
      </c>
      <c r="R3512" t="s">
        <v>1760</v>
      </c>
      <c r="S3512" t="s">
        <v>1637</v>
      </c>
      <c r="T3512" t="s">
        <v>1485</v>
      </c>
      <c r="U3512">
        <v>228300</v>
      </c>
      <c r="V3512" t="s">
        <v>16840</v>
      </c>
      <c r="W3512" t="s">
        <v>1990</v>
      </c>
      <c r="X3512" t="s">
        <v>10355</v>
      </c>
      <c r="Y3512" t="s">
        <v>5187</v>
      </c>
      <c r="AA3512" t="s">
        <v>5188</v>
      </c>
      <c r="AB3512" t="s">
        <v>10356</v>
      </c>
      <c r="AC3512">
        <v>99134</v>
      </c>
      <c r="AD3512" t="s">
        <v>1991</v>
      </c>
      <c r="AE3512">
        <v>-40.218672660000003</v>
      </c>
      <c r="AF3512">
        <v>175.579151</v>
      </c>
      <c r="AG3512">
        <v>30</v>
      </c>
      <c r="AH3512">
        <v>20</v>
      </c>
      <c r="AI3512">
        <v>6</v>
      </c>
      <c r="AJ3512">
        <v>11</v>
      </c>
      <c r="AK3512">
        <v>22</v>
      </c>
      <c r="AL3512">
        <v>11</v>
      </c>
      <c r="AM3512">
        <v>11</v>
      </c>
      <c r="AN3512">
        <v>2</v>
      </c>
      <c r="AO3512">
        <v>63</v>
      </c>
      <c r="AP3512">
        <v>61</v>
      </c>
      <c r="AQ3512">
        <v>17</v>
      </c>
      <c r="AR3512">
        <v>0</v>
      </c>
      <c r="AS3512">
        <v>4</v>
      </c>
      <c r="AT3512">
        <v>1</v>
      </c>
    </row>
    <row r="3513" spans="1:46">
      <c r="A3513">
        <v>52010</v>
      </c>
      <c r="B3513" t="s">
        <v>19368</v>
      </c>
      <c r="C3513" t="s">
        <v>19369</v>
      </c>
      <c r="E3513" t="s">
        <v>19370</v>
      </c>
      <c r="G3513" t="s">
        <v>19371</v>
      </c>
      <c r="H3513" t="s">
        <v>298</v>
      </c>
      <c r="J3513" t="s">
        <v>518</v>
      </c>
      <c r="K3513" t="s">
        <v>519</v>
      </c>
      <c r="M3513" t="s">
        <v>1297</v>
      </c>
      <c r="N3513" t="s">
        <v>571</v>
      </c>
      <c r="O3513" t="s">
        <v>1988</v>
      </c>
      <c r="P3513" t="s">
        <v>540</v>
      </c>
      <c r="Q3513" t="s">
        <v>1636</v>
      </c>
      <c r="R3513" t="s">
        <v>1760</v>
      </c>
      <c r="S3513" t="s">
        <v>1637</v>
      </c>
      <c r="T3513" t="s">
        <v>1485</v>
      </c>
      <c r="U3513">
        <v>227200</v>
      </c>
      <c r="V3513" t="s">
        <v>19372</v>
      </c>
      <c r="W3513" t="s">
        <v>12225</v>
      </c>
      <c r="X3513" t="s">
        <v>10355</v>
      </c>
      <c r="Y3513" t="s">
        <v>5187</v>
      </c>
      <c r="AA3513" t="s">
        <v>5188</v>
      </c>
      <c r="AB3513" t="s">
        <v>10356</v>
      </c>
      <c r="AE3513">
        <v>-40.142728730000002</v>
      </c>
      <c r="AF3513">
        <v>175.49385957000001</v>
      </c>
      <c r="AG3513">
        <v>25</v>
      </c>
      <c r="AH3513">
        <v>10</v>
      </c>
      <c r="AI3513">
        <v>3</v>
      </c>
      <c r="AJ3513">
        <v>8</v>
      </c>
      <c r="AK3513">
        <v>4</v>
      </c>
      <c r="AL3513">
        <v>6</v>
      </c>
      <c r="AM3513">
        <v>0</v>
      </c>
      <c r="AN3513">
        <v>0</v>
      </c>
      <c r="AO3513">
        <v>21</v>
      </c>
      <c r="AP3513">
        <v>19</v>
      </c>
      <c r="AQ3513">
        <v>3</v>
      </c>
      <c r="AR3513">
        <v>0</v>
      </c>
      <c r="AS3513">
        <v>0</v>
      </c>
      <c r="AT3513">
        <v>0</v>
      </c>
    </row>
    <row r="3514" spans="1:46">
      <c r="A3514">
        <v>52016</v>
      </c>
      <c r="B3514" t="s">
        <v>19373</v>
      </c>
      <c r="C3514" t="s">
        <v>19374</v>
      </c>
      <c r="E3514" t="s">
        <v>19375</v>
      </c>
      <c r="G3514" t="s">
        <v>1987</v>
      </c>
      <c r="H3514" t="s">
        <v>298</v>
      </c>
      <c r="J3514" t="s">
        <v>518</v>
      </c>
      <c r="K3514" t="s">
        <v>519</v>
      </c>
      <c r="M3514" t="s">
        <v>1297</v>
      </c>
      <c r="N3514" t="s">
        <v>571</v>
      </c>
      <c r="O3514" t="s">
        <v>1988</v>
      </c>
      <c r="P3514" t="s">
        <v>572</v>
      </c>
      <c r="Q3514" t="s">
        <v>1636</v>
      </c>
      <c r="R3514" t="s">
        <v>1760</v>
      </c>
      <c r="S3514" t="s">
        <v>1637</v>
      </c>
      <c r="T3514" t="s">
        <v>1485</v>
      </c>
      <c r="U3514">
        <v>227100</v>
      </c>
      <c r="V3514" t="s">
        <v>15969</v>
      </c>
      <c r="W3514" t="s">
        <v>12225</v>
      </c>
      <c r="X3514" t="s">
        <v>10355</v>
      </c>
      <c r="Y3514" t="s">
        <v>5187</v>
      </c>
      <c r="AA3514" t="s">
        <v>5188</v>
      </c>
      <c r="AB3514" t="s">
        <v>10356</v>
      </c>
      <c r="AE3514">
        <v>-40.042194680000001</v>
      </c>
      <c r="AF3514">
        <v>175.64139337</v>
      </c>
      <c r="AG3514">
        <v>30</v>
      </c>
      <c r="AH3514">
        <v>15</v>
      </c>
      <c r="AI3514">
        <v>2</v>
      </c>
      <c r="AJ3514">
        <v>3</v>
      </c>
      <c r="AK3514">
        <v>3</v>
      </c>
      <c r="AL3514">
        <v>3</v>
      </c>
      <c r="AM3514">
        <v>5</v>
      </c>
      <c r="AN3514">
        <v>0</v>
      </c>
      <c r="AO3514">
        <v>16</v>
      </c>
      <c r="AP3514">
        <v>16</v>
      </c>
      <c r="AQ3514">
        <v>2</v>
      </c>
      <c r="AR3514">
        <v>0</v>
      </c>
      <c r="AS3514">
        <v>0</v>
      </c>
      <c r="AT3514">
        <v>0</v>
      </c>
    </row>
    <row r="3515" spans="1:46">
      <c r="A3515">
        <v>52018</v>
      </c>
      <c r="B3515" t="s">
        <v>19376</v>
      </c>
      <c r="C3515" t="s">
        <v>19377</v>
      </c>
      <c r="E3515" t="s">
        <v>19378</v>
      </c>
      <c r="F3515" t="s">
        <v>2038</v>
      </c>
      <c r="G3515" t="s">
        <v>1974</v>
      </c>
      <c r="H3515" t="s">
        <v>298</v>
      </c>
      <c r="J3515" t="s">
        <v>518</v>
      </c>
      <c r="K3515" t="s">
        <v>519</v>
      </c>
      <c r="M3515" t="s">
        <v>1297</v>
      </c>
      <c r="N3515" t="s">
        <v>571</v>
      </c>
      <c r="O3515" t="s">
        <v>1956</v>
      </c>
      <c r="P3515" t="s">
        <v>584</v>
      </c>
      <c r="Q3515" t="s">
        <v>1636</v>
      </c>
      <c r="R3515" t="s">
        <v>1760</v>
      </c>
      <c r="S3515" t="s">
        <v>1974</v>
      </c>
      <c r="T3515" t="s">
        <v>1485</v>
      </c>
      <c r="U3515">
        <v>231500</v>
      </c>
      <c r="V3515" t="s">
        <v>2039</v>
      </c>
      <c r="W3515" t="s">
        <v>1957</v>
      </c>
      <c r="X3515" t="s">
        <v>10355</v>
      </c>
      <c r="Y3515" t="s">
        <v>5187</v>
      </c>
      <c r="AA3515" t="s">
        <v>5188</v>
      </c>
      <c r="AB3515" t="s">
        <v>10356</v>
      </c>
      <c r="AE3515">
        <v>-40.347918249999999</v>
      </c>
      <c r="AF3515">
        <v>175.6485217</v>
      </c>
      <c r="AG3515">
        <v>30</v>
      </c>
      <c r="AH3515">
        <v>15</v>
      </c>
      <c r="AI3515">
        <v>5</v>
      </c>
      <c r="AJ3515">
        <v>6</v>
      </c>
      <c r="AK3515">
        <v>7</v>
      </c>
      <c r="AL3515">
        <v>7</v>
      </c>
      <c r="AM3515">
        <v>3</v>
      </c>
      <c r="AN3515">
        <v>1</v>
      </c>
      <c r="AO3515">
        <v>29</v>
      </c>
      <c r="AP3515">
        <v>25</v>
      </c>
      <c r="AQ3515">
        <v>7</v>
      </c>
      <c r="AR3515">
        <v>0</v>
      </c>
      <c r="AS3515">
        <v>3</v>
      </c>
      <c r="AT3515">
        <v>1</v>
      </c>
    </row>
    <row r="3516" spans="1:46">
      <c r="A3516">
        <v>52019</v>
      </c>
      <c r="B3516" t="s">
        <v>19379</v>
      </c>
      <c r="C3516" t="s">
        <v>19380</v>
      </c>
      <c r="E3516" t="s">
        <v>19381</v>
      </c>
      <c r="G3516" t="s">
        <v>19382</v>
      </c>
      <c r="H3516" t="s">
        <v>298</v>
      </c>
      <c r="J3516" t="s">
        <v>518</v>
      </c>
      <c r="K3516" t="s">
        <v>519</v>
      </c>
      <c r="M3516" t="s">
        <v>1297</v>
      </c>
      <c r="N3516" t="s">
        <v>571</v>
      </c>
      <c r="O3516" t="s">
        <v>1988</v>
      </c>
      <c r="P3516" t="s">
        <v>540</v>
      </c>
      <c r="Q3516" t="s">
        <v>1636</v>
      </c>
      <c r="R3516" t="s">
        <v>1760</v>
      </c>
      <c r="S3516" t="s">
        <v>1637</v>
      </c>
      <c r="T3516" t="s">
        <v>1485</v>
      </c>
      <c r="U3516">
        <v>227500</v>
      </c>
      <c r="V3516" t="s">
        <v>19383</v>
      </c>
      <c r="W3516" t="s">
        <v>12225</v>
      </c>
      <c r="X3516" t="s">
        <v>10355</v>
      </c>
      <c r="Y3516" t="s">
        <v>5187</v>
      </c>
      <c r="AA3516" t="s">
        <v>5188</v>
      </c>
      <c r="AB3516" t="s">
        <v>10356</v>
      </c>
      <c r="AE3516">
        <v>-40.291535609999997</v>
      </c>
      <c r="AF3516">
        <v>175.42465289</v>
      </c>
      <c r="AG3516">
        <v>30</v>
      </c>
      <c r="AH3516">
        <v>15</v>
      </c>
      <c r="AI3516">
        <v>2</v>
      </c>
      <c r="AJ3516">
        <v>2</v>
      </c>
      <c r="AK3516">
        <v>6</v>
      </c>
      <c r="AL3516">
        <v>5</v>
      </c>
      <c r="AM3516">
        <v>9</v>
      </c>
      <c r="AN3516">
        <v>1</v>
      </c>
      <c r="AO3516">
        <v>25</v>
      </c>
      <c r="AP3516">
        <v>25</v>
      </c>
      <c r="AQ3516">
        <v>6</v>
      </c>
      <c r="AR3516">
        <v>0</v>
      </c>
      <c r="AS3516">
        <v>0</v>
      </c>
      <c r="AT3516">
        <v>0</v>
      </c>
    </row>
    <row r="3517" spans="1:46">
      <c r="A3517">
        <v>52020</v>
      </c>
      <c r="B3517" t="s">
        <v>19384</v>
      </c>
      <c r="C3517" t="s">
        <v>19385</v>
      </c>
      <c r="E3517" t="s">
        <v>19386</v>
      </c>
      <c r="G3517" t="s">
        <v>19024</v>
      </c>
      <c r="H3517" t="s">
        <v>298</v>
      </c>
      <c r="J3517" t="s">
        <v>518</v>
      </c>
      <c r="K3517" t="s">
        <v>519</v>
      </c>
      <c r="M3517" t="s">
        <v>1297</v>
      </c>
      <c r="N3517" t="s">
        <v>727</v>
      </c>
      <c r="O3517" t="s">
        <v>2066</v>
      </c>
      <c r="P3517" t="s">
        <v>523</v>
      </c>
      <c r="Q3517" t="s">
        <v>1636</v>
      </c>
      <c r="R3517" t="s">
        <v>1760</v>
      </c>
      <c r="S3517" t="s">
        <v>1637</v>
      </c>
      <c r="T3517" t="s">
        <v>1485</v>
      </c>
      <c r="U3517">
        <v>235400</v>
      </c>
      <c r="V3517" t="s">
        <v>19024</v>
      </c>
      <c r="W3517" t="s">
        <v>19025</v>
      </c>
      <c r="X3517" t="s">
        <v>10355</v>
      </c>
      <c r="Y3517" t="s">
        <v>5187</v>
      </c>
      <c r="AA3517" t="s">
        <v>5188</v>
      </c>
      <c r="AB3517" t="s">
        <v>10356</v>
      </c>
      <c r="AE3517">
        <v>-40.549049830000001</v>
      </c>
      <c r="AF3517">
        <v>175.41897981</v>
      </c>
      <c r="AG3517">
        <v>25</v>
      </c>
      <c r="AH3517">
        <v>15</v>
      </c>
      <c r="AI3517">
        <v>1</v>
      </c>
      <c r="AJ3517">
        <v>0</v>
      </c>
      <c r="AK3517">
        <v>3</v>
      </c>
      <c r="AL3517">
        <v>1</v>
      </c>
      <c r="AM3517">
        <v>0</v>
      </c>
      <c r="AN3517">
        <v>0</v>
      </c>
      <c r="AO3517">
        <v>5</v>
      </c>
      <c r="AP3517">
        <v>3</v>
      </c>
      <c r="AQ3517">
        <v>2</v>
      </c>
      <c r="AR3517">
        <v>2</v>
      </c>
      <c r="AS3517">
        <v>0</v>
      </c>
      <c r="AT3517">
        <v>1</v>
      </c>
    </row>
    <row r="3518" spans="1:46">
      <c r="A3518">
        <v>52023</v>
      </c>
      <c r="B3518" t="s">
        <v>19387</v>
      </c>
      <c r="C3518" t="s">
        <v>19388</v>
      </c>
      <c r="D3518" t="s">
        <v>19389</v>
      </c>
      <c r="E3518" t="s">
        <v>19390</v>
      </c>
      <c r="G3518" t="s">
        <v>1974</v>
      </c>
      <c r="H3518" t="s">
        <v>298</v>
      </c>
      <c r="J3518" t="s">
        <v>518</v>
      </c>
      <c r="K3518" t="s">
        <v>519</v>
      </c>
      <c r="M3518" t="s">
        <v>1297</v>
      </c>
      <c r="N3518" t="s">
        <v>4519</v>
      </c>
      <c r="O3518" t="s">
        <v>1956</v>
      </c>
      <c r="P3518" t="s">
        <v>584</v>
      </c>
      <c r="Q3518" t="s">
        <v>1636</v>
      </c>
      <c r="R3518" t="s">
        <v>1760</v>
      </c>
      <c r="S3518" t="s">
        <v>1974</v>
      </c>
      <c r="T3518" t="s">
        <v>1485</v>
      </c>
      <c r="U3518">
        <v>231600</v>
      </c>
      <c r="V3518" t="s">
        <v>19391</v>
      </c>
      <c r="W3518" t="s">
        <v>1957</v>
      </c>
      <c r="X3518" t="s">
        <v>10355</v>
      </c>
      <c r="Y3518" t="s">
        <v>5187</v>
      </c>
      <c r="AA3518" t="s">
        <v>5188</v>
      </c>
      <c r="AB3518" t="s">
        <v>10356</v>
      </c>
      <c r="AC3518">
        <v>99165</v>
      </c>
      <c r="AD3518" t="s">
        <v>1976</v>
      </c>
      <c r="AE3518">
        <v>-40.367322770000001</v>
      </c>
      <c r="AF3518">
        <v>175.61749526</v>
      </c>
      <c r="AG3518">
        <v>30</v>
      </c>
      <c r="AH3518">
        <v>15</v>
      </c>
      <c r="AI3518">
        <v>6</v>
      </c>
      <c r="AJ3518">
        <v>10</v>
      </c>
      <c r="AK3518">
        <v>15</v>
      </c>
      <c r="AL3518">
        <v>10</v>
      </c>
      <c r="AM3518">
        <v>8</v>
      </c>
      <c r="AN3518">
        <v>2</v>
      </c>
      <c r="AO3518">
        <v>51</v>
      </c>
      <c r="AP3518">
        <v>49</v>
      </c>
      <c r="AQ3518">
        <v>6</v>
      </c>
      <c r="AR3518">
        <v>0</v>
      </c>
      <c r="AS3518">
        <v>0</v>
      </c>
      <c r="AT3518">
        <v>2</v>
      </c>
    </row>
    <row r="3519" spans="1:46">
      <c r="A3519">
        <v>52024</v>
      </c>
      <c r="B3519" t="s">
        <v>19392</v>
      </c>
      <c r="C3519" t="s">
        <v>19393</v>
      </c>
      <c r="D3519" t="s">
        <v>19394</v>
      </c>
      <c r="E3519" t="s">
        <v>19395</v>
      </c>
      <c r="G3519" t="s">
        <v>19396</v>
      </c>
      <c r="H3519" t="s">
        <v>298</v>
      </c>
      <c r="J3519" t="s">
        <v>518</v>
      </c>
      <c r="K3519" t="s">
        <v>519</v>
      </c>
      <c r="M3519" t="s">
        <v>1297</v>
      </c>
      <c r="N3519" t="s">
        <v>571</v>
      </c>
      <c r="O3519" t="s">
        <v>2066</v>
      </c>
      <c r="P3519" t="s">
        <v>540</v>
      </c>
      <c r="Q3519" t="s">
        <v>1636</v>
      </c>
      <c r="R3519" t="s">
        <v>1760</v>
      </c>
      <c r="S3519" t="s">
        <v>2067</v>
      </c>
      <c r="T3519" t="s">
        <v>1485</v>
      </c>
      <c r="U3519">
        <v>234801</v>
      </c>
      <c r="V3519" t="s">
        <v>10411</v>
      </c>
      <c r="W3519" t="s">
        <v>10412</v>
      </c>
      <c r="X3519" t="s">
        <v>10355</v>
      </c>
      <c r="Y3519" t="s">
        <v>5187</v>
      </c>
      <c r="AA3519" t="s">
        <v>5188</v>
      </c>
      <c r="AB3519" t="s">
        <v>10356</v>
      </c>
      <c r="AE3519">
        <v>-40.662624030000003</v>
      </c>
      <c r="AF3519">
        <v>175.25130419999999</v>
      </c>
      <c r="AG3519">
        <v>30</v>
      </c>
      <c r="AH3519">
        <v>20</v>
      </c>
      <c r="AI3519">
        <v>2</v>
      </c>
      <c r="AJ3519">
        <v>1</v>
      </c>
      <c r="AK3519">
        <v>5</v>
      </c>
      <c r="AL3519">
        <v>1</v>
      </c>
      <c r="AM3519">
        <v>1</v>
      </c>
      <c r="AN3519">
        <v>0</v>
      </c>
      <c r="AO3519">
        <v>10</v>
      </c>
      <c r="AP3519">
        <v>10</v>
      </c>
      <c r="AQ3519">
        <v>1</v>
      </c>
      <c r="AR3519">
        <v>2</v>
      </c>
      <c r="AS3519">
        <v>0</v>
      </c>
      <c r="AT3519">
        <v>0</v>
      </c>
    </row>
    <row r="3520" spans="1:46">
      <c r="A3520">
        <v>52500</v>
      </c>
      <c r="B3520" t="s">
        <v>19397</v>
      </c>
      <c r="C3520" t="s">
        <v>19398</v>
      </c>
      <c r="E3520" t="s">
        <v>19399</v>
      </c>
      <c r="G3520" t="s">
        <v>1987</v>
      </c>
      <c r="H3520" t="s">
        <v>3942</v>
      </c>
      <c r="J3520" t="s">
        <v>3962</v>
      </c>
      <c r="K3520" t="s">
        <v>519</v>
      </c>
      <c r="M3520" t="s">
        <v>1297</v>
      </c>
      <c r="N3520" t="s">
        <v>557</v>
      </c>
      <c r="O3520" t="s">
        <v>1988</v>
      </c>
      <c r="P3520" t="s">
        <v>1262</v>
      </c>
      <c r="Q3520" t="s">
        <v>1636</v>
      </c>
      <c r="R3520" t="s">
        <v>1760</v>
      </c>
      <c r="S3520" t="s">
        <v>1637</v>
      </c>
      <c r="T3520" t="s">
        <v>1485</v>
      </c>
      <c r="U3520">
        <v>228100</v>
      </c>
      <c r="V3520" t="s">
        <v>19400</v>
      </c>
      <c r="W3520" t="s">
        <v>1990</v>
      </c>
      <c r="X3520" t="s">
        <v>10349</v>
      </c>
      <c r="Y3520" t="s">
        <v>19401</v>
      </c>
      <c r="AA3520" t="s">
        <v>15176</v>
      </c>
      <c r="AB3520" t="s">
        <v>10345</v>
      </c>
      <c r="AC3520">
        <v>99134</v>
      </c>
      <c r="AD3520" t="s">
        <v>1991</v>
      </c>
      <c r="AE3520">
        <v>-40.215616699999998</v>
      </c>
      <c r="AF3520">
        <v>175.5759821</v>
      </c>
      <c r="AG3520">
        <v>82</v>
      </c>
      <c r="AH3520">
        <v>25</v>
      </c>
      <c r="AI3520">
        <v>3</v>
      </c>
      <c r="AJ3520">
        <v>14</v>
      </c>
      <c r="AK3520">
        <v>22</v>
      </c>
      <c r="AL3520">
        <v>21</v>
      </c>
      <c r="AM3520">
        <v>20</v>
      </c>
      <c r="AN3520">
        <v>0</v>
      </c>
      <c r="AO3520">
        <v>80</v>
      </c>
      <c r="AP3520">
        <v>51</v>
      </c>
      <c r="AQ3520">
        <v>38</v>
      </c>
      <c r="AR3520">
        <v>8</v>
      </c>
      <c r="AS3520">
        <v>6</v>
      </c>
      <c r="AT3520">
        <v>2</v>
      </c>
    </row>
    <row r="3521" spans="1:46">
      <c r="A3521">
        <v>52502</v>
      </c>
      <c r="B3521" t="s">
        <v>19402</v>
      </c>
      <c r="C3521" t="s">
        <v>19403</v>
      </c>
      <c r="D3521" t="s">
        <v>19404</v>
      </c>
      <c r="E3521" t="s">
        <v>19405</v>
      </c>
      <c r="G3521" t="s">
        <v>2725</v>
      </c>
      <c r="H3521" t="s">
        <v>517</v>
      </c>
      <c r="J3521" t="s">
        <v>518</v>
      </c>
      <c r="K3521" t="s">
        <v>519</v>
      </c>
      <c r="M3521" t="s">
        <v>2287</v>
      </c>
      <c r="N3521" t="s">
        <v>539</v>
      </c>
      <c r="O3521" t="s">
        <v>2066</v>
      </c>
      <c r="P3521" t="s">
        <v>1262</v>
      </c>
      <c r="Q3521" t="s">
        <v>1636</v>
      </c>
      <c r="R3521" t="s">
        <v>2289</v>
      </c>
      <c r="S3521" t="s">
        <v>2067</v>
      </c>
      <c r="T3521" t="s">
        <v>1485</v>
      </c>
      <c r="U3521">
        <v>235200</v>
      </c>
      <c r="V3521" t="s">
        <v>3645</v>
      </c>
      <c r="W3521" t="s">
        <v>2727</v>
      </c>
      <c r="X3521" t="s">
        <v>1889</v>
      </c>
      <c r="Y3521" t="s">
        <v>1890</v>
      </c>
      <c r="AA3521" t="s">
        <v>1891</v>
      </c>
      <c r="AB3521" t="s">
        <v>1892</v>
      </c>
      <c r="AC3521">
        <v>99058</v>
      </c>
      <c r="AD3521" t="s">
        <v>2728</v>
      </c>
      <c r="AE3521">
        <v>-40.627471980000003</v>
      </c>
      <c r="AF3521">
        <v>175.28412969999999</v>
      </c>
      <c r="AG3521">
        <v>46</v>
      </c>
      <c r="AH3521">
        <v>12</v>
      </c>
      <c r="AI3521">
        <v>1</v>
      </c>
      <c r="AJ3521">
        <v>6</v>
      </c>
      <c r="AK3521">
        <v>9</v>
      </c>
      <c r="AL3521">
        <v>17</v>
      </c>
      <c r="AM3521">
        <v>14</v>
      </c>
      <c r="AN3521">
        <v>0</v>
      </c>
      <c r="AO3521">
        <v>47</v>
      </c>
      <c r="AP3521">
        <v>17</v>
      </c>
      <c r="AQ3521">
        <v>25</v>
      </c>
      <c r="AR3521">
        <v>12</v>
      </c>
      <c r="AS3521">
        <v>5</v>
      </c>
      <c r="AT3521">
        <v>6</v>
      </c>
    </row>
    <row r="3522" spans="1:46">
      <c r="A3522">
        <v>52503</v>
      </c>
      <c r="B3522" t="s">
        <v>19406</v>
      </c>
      <c r="C3522" t="s">
        <v>19407</v>
      </c>
      <c r="E3522" t="s">
        <v>19408</v>
      </c>
      <c r="F3522" t="s">
        <v>19409</v>
      </c>
      <c r="G3522" t="s">
        <v>1974</v>
      </c>
      <c r="H3522" t="s">
        <v>4716</v>
      </c>
      <c r="J3522" t="s">
        <v>518</v>
      </c>
      <c r="K3522" t="s">
        <v>519</v>
      </c>
      <c r="M3522" t="s">
        <v>1297</v>
      </c>
      <c r="N3522" t="s">
        <v>557</v>
      </c>
      <c r="O3522" t="s">
        <v>1956</v>
      </c>
      <c r="P3522" t="s">
        <v>584</v>
      </c>
      <c r="Q3522" t="s">
        <v>1636</v>
      </c>
      <c r="R3522" t="s">
        <v>1760</v>
      </c>
      <c r="S3522" t="s">
        <v>1974</v>
      </c>
      <c r="T3522" t="s">
        <v>1485</v>
      </c>
      <c r="U3522">
        <v>230600</v>
      </c>
      <c r="V3522" t="s">
        <v>1975</v>
      </c>
      <c r="W3522" t="s">
        <v>1957</v>
      </c>
      <c r="X3522" t="s">
        <v>19410</v>
      </c>
      <c r="Y3522" t="s">
        <v>6369</v>
      </c>
      <c r="Z3522" t="s">
        <v>4555</v>
      </c>
      <c r="AA3522" t="s">
        <v>4556</v>
      </c>
      <c r="AE3522">
        <v>-40.350026870000001</v>
      </c>
      <c r="AF3522">
        <v>175.61633069000001</v>
      </c>
      <c r="AG3522">
        <v>80</v>
      </c>
      <c r="AH3522">
        <v>80</v>
      </c>
      <c r="AI3522">
        <v>2</v>
      </c>
      <c r="AJ3522">
        <v>12</v>
      </c>
      <c r="AK3522">
        <v>9</v>
      </c>
      <c r="AL3522">
        <v>6</v>
      </c>
      <c r="AM3522">
        <v>3</v>
      </c>
      <c r="AN3522">
        <v>1</v>
      </c>
      <c r="AO3522">
        <v>33</v>
      </c>
      <c r="AP3522">
        <v>27</v>
      </c>
      <c r="AQ3522">
        <v>9</v>
      </c>
      <c r="AR3522">
        <v>0</v>
      </c>
      <c r="AS3522">
        <v>2</v>
      </c>
      <c r="AT3522">
        <v>0</v>
      </c>
    </row>
    <row r="3523" spans="1:46">
      <c r="A3523">
        <v>52506</v>
      </c>
      <c r="B3523" t="s">
        <v>19411</v>
      </c>
      <c r="C3523" t="s">
        <v>19412</v>
      </c>
      <c r="D3523" t="s">
        <v>19413</v>
      </c>
      <c r="E3523" t="s">
        <v>19414</v>
      </c>
      <c r="G3523" t="s">
        <v>2725</v>
      </c>
      <c r="H3523" t="s">
        <v>3942</v>
      </c>
      <c r="I3523" t="s">
        <v>5772</v>
      </c>
      <c r="J3523" t="s">
        <v>518</v>
      </c>
      <c r="K3523" t="s">
        <v>519</v>
      </c>
      <c r="M3523" t="s">
        <v>2287</v>
      </c>
      <c r="N3523" t="s">
        <v>557</v>
      </c>
      <c r="O3523" t="s">
        <v>2066</v>
      </c>
      <c r="P3523" t="s">
        <v>1262</v>
      </c>
      <c r="Q3523" t="s">
        <v>1636</v>
      </c>
      <c r="R3523" t="s">
        <v>2289</v>
      </c>
      <c r="S3523" t="s">
        <v>2067</v>
      </c>
      <c r="T3523" t="s">
        <v>1485</v>
      </c>
      <c r="U3523">
        <v>235500</v>
      </c>
      <c r="V3523" t="s">
        <v>10396</v>
      </c>
      <c r="W3523" t="s">
        <v>2727</v>
      </c>
      <c r="X3523" t="s">
        <v>19415</v>
      </c>
      <c r="Y3523" t="s">
        <v>19416</v>
      </c>
      <c r="Z3523" t="s">
        <v>2725</v>
      </c>
      <c r="AA3523" t="s">
        <v>19417</v>
      </c>
      <c r="AB3523" t="s">
        <v>19418</v>
      </c>
      <c r="AC3523">
        <v>99058</v>
      </c>
      <c r="AD3523" t="s">
        <v>2728</v>
      </c>
      <c r="AE3523">
        <v>-40.622718829999997</v>
      </c>
      <c r="AF3523">
        <v>175.2929662</v>
      </c>
      <c r="AG3523">
        <v>40</v>
      </c>
      <c r="AH3523">
        <v>0</v>
      </c>
      <c r="AI3523">
        <v>0</v>
      </c>
      <c r="AJ3523">
        <v>0</v>
      </c>
      <c r="AK3523">
        <v>2</v>
      </c>
      <c r="AL3523">
        <v>18</v>
      </c>
      <c r="AM3523">
        <v>27</v>
      </c>
      <c r="AN3523">
        <v>2</v>
      </c>
      <c r="AO3523">
        <v>49</v>
      </c>
      <c r="AP3523">
        <v>29</v>
      </c>
      <c r="AQ3523">
        <v>11</v>
      </c>
      <c r="AR3523">
        <v>10</v>
      </c>
      <c r="AS3523">
        <v>11</v>
      </c>
      <c r="AT3523">
        <v>2</v>
      </c>
    </row>
    <row r="3524" spans="1:46">
      <c r="A3524">
        <v>52512</v>
      </c>
      <c r="B3524" t="s">
        <v>19419</v>
      </c>
      <c r="C3524" t="s">
        <v>19420</v>
      </c>
      <c r="D3524" t="s">
        <v>19421</v>
      </c>
      <c r="E3524" t="s">
        <v>19422</v>
      </c>
      <c r="G3524" t="s">
        <v>1987</v>
      </c>
      <c r="H3524" t="s">
        <v>3942</v>
      </c>
      <c r="I3524" t="s">
        <v>19423</v>
      </c>
      <c r="J3524" t="s">
        <v>518</v>
      </c>
      <c r="K3524" t="s">
        <v>519</v>
      </c>
      <c r="M3524" t="s">
        <v>1297</v>
      </c>
      <c r="N3524" t="s">
        <v>557</v>
      </c>
      <c r="O3524" t="s">
        <v>1988</v>
      </c>
      <c r="P3524" t="s">
        <v>1262</v>
      </c>
      <c r="Q3524" t="s">
        <v>1636</v>
      </c>
      <c r="R3524" t="s">
        <v>1760</v>
      </c>
      <c r="S3524" t="s">
        <v>1637</v>
      </c>
      <c r="T3524" t="s">
        <v>1485</v>
      </c>
      <c r="U3524">
        <v>228300</v>
      </c>
      <c r="V3524" t="s">
        <v>16840</v>
      </c>
      <c r="W3524" t="s">
        <v>1990</v>
      </c>
      <c r="X3524" t="s">
        <v>19424</v>
      </c>
      <c r="Y3524" t="s">
        <v>19422</v>
      </c>
      <c r="Z3524" t="s">
        <v>1987</v>
      </c>
      <c r="AA3524" t="s">
        <v>19425</v>
      </c>
      <c r="AB3524" t="s">
        <v>19420</v>
      </c>
      <c r="AE3524">
        <v>-40.214827589999999</v>
      </c>
      <c r="AF3524">
        <v>175.56629462999999</v>
      </c>
      <c r="AG3524">
        <v>50</v>
      </c>
      <c r="AH3524">
        <v>0</v>
      </c>
      <c r="AI3524">
        <v>0</v>
      </c>
      <c r="AJ3524">
        <v>0</v>
      </c>
      <c r="AK3524">
        <v>4</v>
      </c>
      <c r="AL3524">
        <v>24</v>
      </c>
      <c r="AM3524">
        <v>26</v>
      </c>
      <c r="AN3524">
        <v>2</v>
      </c>
      <c r="AO3524">
        <v>56</v>
      </c>
      <c r="AP3524">
        <v>45</v>
      </c>
      <c r="AQ3524">
        <v>6</v>
      </c>
      <c r="AR3524">
        <v>6</v>
      </c>
      <c r="AS3524">
        <v>2</v>
      </c>
      <c r="AT3524">
        <v>3</v>
      </c>
    </row>
    <row r="3525" spans="1:46">
      <c r="A3525">
        <v>52516</v>
      </c>
      <c r="B3525" t="s">
        <v>19426</v>
      </c>
      <c r="C3525" t="s">
        <v>19427</v>
      </c>
      <c r="E3525" t="s">
        <v>19428</v>
      </c>
      <c r="F3525" t="s">
        <v>12742</v>
      </c>
      <c r="G3525" t="s">
        <v>1974</v>
      </c>
      <c r="H3525" t="s">
        <v>3942</v>
      </c>
      <c r="J3525" t="s">
        <v>518</v>
      </c>
      <c r="K3525" t="s">
        <v>519</v>
      </c>
      <c r="M3525" t="s">
        <v>1297</v>
      </c>
      <c r="N3525" t="s">
        <v>571</v>
      </c>
      <c r="O3525" t="s">
        <v>1956</v>
      </c>
      <c r="P3525" t="s">
        <v>584</v>
      </c>
      <c r="Q3525" t="s">
        <v>1636</v>
      </c>
      <c r="R3525" t="s">
        <v>1760</v>
      </c>
      <c r="S3525" t="s">
        <v>1637</v>
      </c>
      <c r="T3525" t="s">
        <v>1485</v>
      </c>
      <c r="U3525">
        <v>231900</v>
      </c>
      <c r="V3525" t="s">
        <v>10328</v>
      </c>
      <c r="W3525" t="s">
        <v>1957</v>
      </c>
      <c r="X3525" t="s">
        <v>19429</v>
      </c>
      <c r="Y3525" t="s">
        <v>19430</v>
      </c>
      <c r="Z3525" t="s">
        <v>2038</v>
      </c>
      <c r="AA3525" t="s">
        <v>19431</v>
      </c>
      <c r="AB3525" t="s">
        <v>19427</v>
      </c>
      <c r="AE3525">
        <v>-40.377468409999999</v>
      </c>
      <c r="AF3525">
        <v>175.61863632999999</v>
      </c>
      <c r="AG3525">
        <v>105</v>
      </c>
      <c r="AH3525">
        <v>35</v>
      </c>
      <c r="AI3525">
        <v>5</v>
      </c>
      <c r="AJ3525">
        <v>15</v>
      </c>
      <c r="AK3525">
        <v>23</v>
      </c>
      <c r="AL3525">
        <v>20</v>
      </c>
      <c r="AM3525">
        <v>10</v>
      </c>
      <c r="AN3525">
        <v>0</v>
      </c>
      <c r="AO3525">
        <v>73</v>
      </c>
      <c r="AP3525">
        <v>58</v>
      </c>
      <c r="AQ3525">
        <v>15</v>
      </c>
      <c r="AR3525">
        <v>2</v>
      </c>
      <c r="AS3525">
        <v>15</v>
      </c>
      <c r="AT3525">
        <v>8</v>
      </c>
    </row>
    <row r="3526" spans="1:46">
      <c r="A3526">
        <v>52518</v>
      </c>
      <c r="B3526" t="s">
        <v>19432</v>
      </c>
      <c r="C3526" t="s">
        <v>19433</v>
      </c>
      <c r="D3526" t="s">
        <v>19434</v>
      </c>
      <c r="E3526" t="s">
        <v>19435</v>
      </c>
      <c r="F3526" t="s">
        <v>2059</v>
      </c>
      <c r="G3526" t="s">
        <v>1974</v>
      </c>
      <c r="H3526" t="s">
        <v>3942</v>
      </c>
      <c r="J3526" t="s">
        <v>3962</v>
      </c>
      <c r="K3526" t="s">
        <v>519</v>
      </c>
      <c r="M3526" t="s">
        <v>1297</v>
      </c>
      <c r="N3526" t="s">
        <v>571</v>
      </c>
      <c r="O3526" t="s">
        <v>1956</v>
      </c>
      <c r="P3526" t="s">
        <v>584</v>
      </c>
      <c r="Q3526" t="s">
        <v>1636</v>
      </c>
      <c r="R3526" t="s">
        <v>1760</v>
      </c>
      <c r="S3526" t="s">
        <v>1974</v>
      </c>
      <c r="T3526" t="s">
        <v>1485</v>
      </c>
      <c r="U3526">
        <v>230700</v>
      </c>
      <c r="V3526" t="s">
        <v>2060</v>
      </c>
      <c r="W3526" t="s">
        <v>1957</v>
      </c>
      <c r="X3526" t="s">
        <v>19436</v>
      </c>
      <c r="Y3526" t="s">
        <v>19437</v>
      </c>
      <c r="AA3526" t="s">
        <v>19438</v>
      </c>
      <c r="AE3526">
        <v>-40.37543934</v>
      </c>
      <c r="AF3526">
        <v>175.58187394999999</v>
      </c>
      <c r="AG3526">
        <v>50</v>
      </c>
      <c r="AH3526">
        <v>0</v>
      </c>
      <c r="AI3526">
        <v>0</v>
      </c>
      <c r="AJ3526">
        <v>0</v>
      </c>
      <c r="AK3526">
        <v>7</v>
      </c>
      <c r="AL3526">
        <v>21</v>
      </c>
      <c r="AM3526">
        <v>17</v>
      </c>
      <c r="AN3526">
        <v>2</v>
      </c>
      <c r="AO3526">
        <v>47</v>
      </c>
      <c r="AP3526">
        <v>39</v>
      </c>
      <c r="AQ3526">
        <v>6</v>
      </c>
      <c r="AR3526">
        <v>0</v>
      </c>
      <c r="AS3526">
        <v>6</v>
      </c>
      <c r="AT3526">
        <v>6</v>
      </c>
    </row>
    <row r="3527" spans="1:46">
      <c r="A3527">
        <v>52525</v>
      </c>
      <c r="B3527" t="s">
        <v>19439</v>
      </c>
      <c r="C3527" t="s">
        <v>19440</v>
      </c>
      <c r="D3527" t="s">
        <v>19441</v>
      </c>
      <c r="E3527" t="s">
        <v>19442</v>
      </c>
      <c r="F3527" t="s">
        <v>10327</v>
      </c>
      <c r="G3527" t="s">
        <v>1974</v>
      </c>
      <c r="H3527" t="s">
        <v>3942</v>
      </c>
      <c r="J3527" t="s">
        <v>518</v>
      </c>
      <c r="K3527" t="s">
        <v>519</v>
      </c>
      <c r="M3527" t="s">
        <v>1297</v>
      </c>
      <c r="N3527" t="s">
        <v>571</v>
      </c>
      <c r="O3527" t="s">
        <v>1956</v>
      </c>
      <c r="P3527" t="s">
        <v>584</v>
      </c>
      <c r="Q3527" t="s">
        <v>1636</v>
      </c>
      <c r="R3527" t="s">
        <v>1760</v>
      </c>
      <c r="S3527" t="s">
        <v>1637</v>
      </c>
      <c r="T3527" t="s">
        <v>1485</v>
      </c>
      <c r="U3527">
        <v>231900</v>
      </c>
      <c r="V3527" t="s">
        <v>10328</v>
      </c>
      <c r="W3527" t="s">
        <v>1957</v>
      </c>
      <c r="X3527" t="s">
        <v>19443</v>
      </c>
      <c r="Y3527" t="s">
        <v>17585</v>
      </c>
      <c r="AA3527" t="s">
        <v>17586</v>
      </c>
      <c r="AB3527" t="s">
        <v>19444</v>
      </c>
      <c r="AE3527">
        <v>-40.389768670000002</v>
      </c>
      <c r="AF3527">
        <v>175.61572984</v>
      </c>
      <c r="AG3527">
        <v>130</v>
      </c>
      <c r="AH3527">
        <v>40</v>
      </c>
      <c r="AI3527">
        <v>3</v>
      </c>
      <c r="AJ3527">
        <v>18</v>
      </c>
      <c r="AK3527">
        <v>19</v>
      </c>
      <c r="AL3527">
        <v>30</v>
      </c>
      <c r="AM3527">
        <v>19</v>
      </c>
      <c r="AN3527">
        <v>0</v>
      </c>
      <c r="AO3527">
        <v>89</v>
      </c>
      <c r="AP3527">
        <v>73</v>
      </c>
      <c r="AQ3527">
        <v>11</v>
      </c>
      <c r="AR3527">
        <v>3</v>
      </c>
      <c r="AS3527">
        <v>12</v>
      </c>
      <c r="AT3527">
        <v>7</v>
      </c>
    </row>
    <row r="3528" spans="1:46">
      <c r="A3528">
        <v>52526</v>
      </c>
      <c r="B3528" t="s">
        <v>19445</v>
      </c>
      <c r="C3528" t="s">
        <v>19446</v>
      </c>
      <c r="D3528" t="s">
        <v>19447</v>
      </c>
      <c r="E3528" t="s">
        <v>19448</v>
      </c>
      <c r="G3528" t="s">
        <v>1974</v>
      </c>
      <c r="H3528" t="s">
        <v>3942</v>
      </c>
      <c r="J3528" t="s">
        <v>518</v>
      </c>
      <c r="K3528" t="s">
        <v>519</v>
      </c>
      <c r="M3528" t="s">
        <v>1297</v>
      </c>
      <c r="N3528" t="s">
        <v>557</v>
      </c>
      <c r="O3528" t="s">
        <v>1956</v>
      </c>
      <c r="P3528" t="s">
        <v>584</v>
      </c>
      <c r="Q3528" t="s">
        <v>1636</v>
      </c>
      <c r="R3528" t="s">
        <v>1760</v>
      </c>
      <c r="S3528" t="s">
        <v>1974</v>
      </c>
      <c r="T3528" t="s">
        <v>1485</v>
      </c>
      <c r="U3528">
        <v>231200</v>
      </c>
      <c r="V3528" t="s">
        <v>12051</v>
      </c>
      <c r="W3528" t="s">
        <v>1957</v>
      </c>
      <c r="X3528" t="s">
        <v>19449</v>
      </c>
      <c r="Y3528" t="s">
        <v>19450</v>
      </c>
      <c r="Z3528" t="s">
        <v>19054</v>
      </c>
      <c r="AA3528" t="s">
        <v>19451</v>
      </c>
      <c r="AB3528" t="s">
        <v>19452</v>
      </c>
      <c r="AE3528">
        <v>-40.363616790000002</v>
      </c>
      <c r="AF3528">
        <v>175.59725444</v>
      </c>
      <c r="AG3528">
        <v>39</v>
      </c>
      <c r="AH3528">
        <v>10</v>
      </c>
      <c r="AI3528">
        <v>0</v>
      </c>
      <c r="AJ3528">
        <v>10</v>
      </c>
      <c r="AK3528">
        <v>9</v>
      </c>
      <c r="AL3528">
        <v>12</v>
      </c>
      <c r="AM3528">
        <v>12</v>
      </c>
      <c r="AN3528">
        <v>0</v>
      </c>
      <c r="AO3528">
        <v>43</v>
      </c>
      <c r="AP3528">
        <v>32</v>
      </c>
      <c r="AQ3528">
        <v>20</v>
      </c>
      <c r="AR3528">
        <v>5</v>
      </c>
      <c r="AS3528">
        <v>3</v>
      </c>
      <c r="AT3528">
        <v>3</v>
      </c>
    </row>
    <row r="3529" spans="1:46">
      <c r="A3529">
        <v>52533</v>
      </c>
      <c r="B3529" t="s">
        <v>19453</v>
      </c>
      <c r="C3529" t="s">
        <v>19454</v>
      </c>
      <c r="D3529" t="s">
        <v>19455</v>
      </c>
      <c r="E3529" t="s">
        <v>2015</v>
      </c>
      <c r="G3529" t="s">
        <v>2016</v>
      </c>
      <c r="H3529" t="s">
        <v>517</v>
      </c>
      <c r="J3529" t="s">
        <v>518</v>
      </c>
      <c r="K3529" t="s">
        <v>519</v>
      </c>
      <c r="M3529" t="s">
        <v>1297</v>
      </c>
      <c r="N3529" t="s">
        <v>571</v>
      </c>
      <c r="O3529" t="s">
        <v>1956</v>
      </c>
      <c r="P3529" t="s">
        <v>584</v>
      </c>
      <c r="Q3529" t="s">
        <v>1636</v>
      </c>
      <c r="R3529" t="s">
        <v>1760</v>
      </c>
      <c r="S3529" t="s">
        <v>1637</v>
      </c>
      <c r="T3529" t="s">
        <v>1485</v>
      </c>
      <c r="U3529">
        <v>232101</v>
      </c>
      <c r="V3529" t="s">
        <v>2016</v>
      </c>
      <c r="W3529" t="s">
        <v>1957</v>
      </c>
      <c r="X3529" t="s">
        <v>1958</v>
      </c>
      <c r="Y3529" t="s">
        <v>1959</v>
      </c>
      <c r="AA3529" t="s">
        <v>1960</v>
      </c>
      <c r="AB3529" t="s">
        <v>1961</v>
      </c>
      <c r="AE3529">
        <v>-40.404665729999998</v>
      </c>
      <c r="AF3529">
        <v>175.5854156</v>
      </c>
      <c r="AG3529">
        <v>58</v>
      </c>
      <c r="AH3529">
        <v>25</v>
      </c>
      <c r="AI3529">
        <v>4</v>
      </c>
      <c r="AJ3529">
        <v>8</v>
      </c>
      <c r="AK3529">
        <v>7</v>
      </c>
      <c r="AL3529">
        <v>3</v>
      </c>
      <c r="AM3529">
        <v>2</v>
      </c>
      <c r="AN3529">
        <v>0</v>
      </c>
      <c r="AO3529">
        <v>24</v>
      </c>
      <c r="AP3529">
        <v>16</v>
      </c>
      <c r="AQ3529">
        <v>13</v>
      </c>
      <c r="AR3529">
        <v>3</v>
      </c>
      <c r="AS3529">
        <v>0</v>
      </c>
      <c r="AT3529">
        <v>0</v>
      </c>
    </row>
    <row r="3530" spans="1:46">
      <c r="A3530">
        <v>52535</v>
      </c>
      <c r="B3530" t="s">
        <v>19456</v>
      </c>
      <c r="C3530" t="s">
        <v>19457</v>
      </c>
      <c r="D3530" t="s">
        <v>19458</v>
      </c>
      <c r="E3530" t="s">
        <v>19459</v>
      </c>
      <c r="G3530" t="s">
        <v>1966</v>
      </c>
      <c r="H3530" t="s">
        <v>3942</v>
      </c>
      <c r="J3530" t="s">
        <v>3962</v>
      </c>
      <c r="K3530" t="s">
        <v>519</v>
      </c>
      <c r="M3530" t="s">
        <v>1297</v>
      </c>
      <c r="N3530" t="s">
        <v>571</v>
      </c>
      <c r="O3530" t="s">
        <v>1967</v>
      </c>
      <c r="P3530" t="s">
        <v>523</v>
      </c>
      <c r="Q3530" t="s">
        <v>1636</v>
      </c>
      <c r="R3530" t="s">
        <v>1760</v>
      </c>
      <c r="S3530" t="s">
        <v>1637</v>
      </c>
      <c r="T3530" t="s">
        <v>1485</v>
      </c>
      <c r="U3530">
        <v>227000</v>
      </c>
      <c r="V3530" t="s">
        <v>1966</v>
      </c>
      <c r="W3530" t="s">
        <v>1968</v>
      </c>
      <c r="X3530" t="s">
        <v>12816</v>
      </c>
      <c r="Y3530" t="s">
        <v>4634</v>
      </c>
      <c r="AA3530" t="s">
        <v>4635</v>
      </c>
      <c r="AB3530" t="s">
        <v>12817</v>
      </c>
      <c r="AC3530">
        <v>99078</v>
      </c>
      <c r="AD3530" t="s">
        <v>1969</v>
      </c>
      <c r="AE3530">
        <v>-40.17456241</v>
      </c>
      <c r="AF3530">
        <v>175.38443545999999</v>
      </c>
      <c r="AG3530">
        <v>57</v>
      </c>
      <c r="AH3530">
        <v>17</v>
      </c>
      <c r="AI3530">
        <v>2</v>
      </c>
      <c r="AJ3530">
        <v>6</v>
      </c>
      <c r="AK3530">
        <v>11</v>
      </c>
      <c r="AL3530">
        <v>22</v>
      </c>
      <c r="AM3530">
        <v>10</v>
      </c>
      <c r="AN3530">
        <v>1</v>
      </c>
      <c r="AO3530">
        <v>52</v>
      </c>
      <c r="AP3530">
        <v>37</v>
      </c>
      <c r="AQ3530">
        <v>18</v>
      </c>
      <c r="AR3530">
        <v>3</v>
      </c>
      <c r="AS3530">
        <v>4</v>
      </c>
      <c r="AT3530">
        <v>5</v>
      </c>
    </row>
    <row r="3531" spans="1:46">
      <c r="A3531">
        <v>52537</v>
      </c>
      <c r="B3531" t="s">
        <v>19460</v>
      </c>
      <c r="C3531" t="s">
        <v>19461</v>
      </c>
      <c r="D3531" t="s">
        <v>10404</v>
      </c>
      <c r="E3531" t="s">
        <v>19462</v>
      </c>
      <c r="G3531" t="s">
        <v>1974</v>
      </c>
      <c r="H3531" t="s">
        <v>3942</v>
      </c>
      <c r="J3531" t="s">
        <v>518</v>
      </c>
      <c r="K3531" t="s">
        <v>519</v>
      </c>
      <c r="M3531" t="s">
        <v>1297</v>
      </c>
      <c r="N3531" t="s">
        <v>571</v>
      </c>
      <c r="O3531" t="s">
        <v>1956</v>
      </c>
      <c r="P3531" t="s">
        <v>584</v>
      </c>
      <c r="Q3531" t="s">
        <v>1636</v>
      </c>
      <c r="R3531" t="s">
        <v>1760</v>
      </c>
      <c r="S3531" t="s">
        <v>1974</v>
      </c>
      <c r="T3531" t="s">
        <v>1485</v>
      </c>
      <c r="U3531">
        <v>230500</v>
      </c>
      <c r="V3531" t="s">
        <v>10406</v>
      </c>
      <c r="W3531" t="s">
        <v>1957</v>
      </c>
      <c r="X3531" t="s">
        <v>10400</v>
      </c>
      <c r="Y3531" t="s">
        <v>3944</v>
      </c>
      <c r="Z3531" t="s">
        <v>3945</v>
      </c>
      <c r="AA3531" t="s">
        <v>3946</v>
      </c>
      <c r="AB3531" t="s">
        <v>10401</v>
      </c>
      <c r="AE3531">
        <v>-40.35022644</v>
      </c>
      <c r="AF3531">
        <v>175.61073859999999</v>
      </c>
      <c r="AG3531">
        <v>79</v>
      </c>
      <c r="AH3531">
        <v>10</v>
      </c>
      <c r="AI3531">
        <v>0</v>
      </c>
      <c r="AJ3531">
        <v>2</v>
      </c>
      <c r="AK3531">
        <v>35</v>
      </c>
      <c r="AL3531">
        <v>33</v>
      </c>
      <c r="AM3531">
        <v>0</v>
      </c>
      <c r="AN3531">
        <v>0</v>
      </c>
      <c r="AO3531">
        <v>70</v>
      </c>
      <c r="AP3531">
        <v>48</v>
      </c>
      <c r="AQ3531">
        <v>18</v>
      </c>
      <c r="AR3531">
        <v>7</v>
      </c>
      <c r="AS3531">
        <v>14</v>
      </c>
      <c r="AT3531">
        <v>5</v>
      </c>
    </row>
    <row r="3532" spans="1:46">
      <c r="A3532">
        <v>52539</v>
      </c>
      <c r="B3532" t="s">
        <v>19463</v>
      </c>
      <c r="C3532" t="s">
        <v>19464</v>
      </c>
      <c r="D3532" t="s">
        <v>19465</v>
      </c>
      <c r="E3532" t="s">
        <v>19466</v>
      </c>
      <c r="G3532" t="s">
        <v>2725</v>
      </c>
      <c r="H3532" t="s">
        <v>3942</v>
      </c>
      <c r="J3532" t="s">
        <v>3962</v>
      </c>
      <c r="K3532" t="s">
        <v>519</v>
      </c>
      <c r="M3532" t="s">
        <v>2287</v>
      </c>
      <c r="N3532" t="s">
        <v>539</v>
      </c>
      <c r="O3532" t="s">
        <v>2066</v>
      </c>
      <c r="P3532" t="s">
        <v>1262</v>
      </c>
      <c r="Q3532" t="s">
        <v>1636</v>
      </c>
      <c r="R3532" t="s">
        <v>2289</v>
      </c>
      <c r="S3532" t="s">
        <v>2067</v>
      </c>
      <c r="T3532" t="s">
        <v>1485</v>
      </c>
      <c r="U3532">
        <v>235301</v>
      </c>
      <c r="V3532" t="s">
        <v>19467</v>
      </c>
      <c r="W3532" t="s">
        <v>2727</v>
      </c>
      <c r="X3532" t="s">
        <v>10413</v>
      </c>
      <c r="Y3532" t="s">
        <v>10414</v>
      </c>
      <c r="AA3532" t="s">
        <v>10415</v>
      </c>
      <c r="AB3532" t="s">
        <v>10416</v>
      </c>
      <c r="AE3532">
        <v>-40.628760120000003</v>
      </c>
      <c r="AF3532">
        <v>175.2766795</v>
      </c>
      <c r="AG3532">
        <v>30</v>
      </c>
      <c r="AH3532">
        <v>15</v>
      </c>
      <c r="AI3532">
        <v>0</v>
      </c>
      <c r="AJ3532">
        <v>0</v>
      </c>
      <c r="AK3532">
        <v>4</v>
      </c>
      <c r="AL3532">
        <v>14</v>
      </c>
      <c r="AM3532">
        <v>13</v>
      </c>
      <c r="AN3532">
        <v>0</v>
      </c>
      <c r="AO3532">
        <v>31</v>
      </c>
      <c r="AP3532">
        <v>24</v>
      </c>
      <c r="AQ3532">
        <v>11</v>
      </c>
      <c r="AR3532">
        <v>2</v>
      </c>
      <c r="AS3532">
        <v>4</v>
      </c>
      <c r="AT3532">
        <v>0</v>
      </c>
    </row>
    <row r="3533" spans="1:46">
      <c r="A3533">
        <v>52541</v>
      </c>
      <c r="B3533" t="s">
        <v>19468</v>
      </c>
      <c r="C3533" t="s">
        <v>19469</v>
      </c>
      <c r="D3533" t="s">
        <v>19470</v>
      </c>
      <c r="E3533" t="s">
        <v>19471</v>
      </c>
      <c r="G3533" t="s">
        <v>1974</v>
      </c>
      <c r="H3533" t="s">
        <v>3942</v>
      </c>
      <c r="I3533" t="s">
        <v>4165</v>
      </c>
      <c r="J3533" t="s">
        <v>518</v>
      </c>
      <c r="K3533" t="s">
        <v>519</v>
      </c>
      <c r="M3533" t="s">
        <v>1297</v>
      </c>
      <c r="N3533" t="s">
        <v>557</v>
      </c>
      <c r="O3533" t="s">
        <v>1956</v>
      </c>
      <c r="P3533" t="s">
        <v>584</v>
      </c>
      <c r="Q3533" t="s">
        <v>1636</v>
      </c>
      <c r="R3533" t="s">
        <v>1760</v>
      </c>
      <c r="S3533" t="s">
        <v>1974</v>
      </c>
      <c r="T3533" t="s">
        <v>1485</v>
      </c>
      <c r="U3533">
        <v>229500</v>
      </c>
      <c r="V3533" t="s">
        <v>1997</v>
      </c>
      <c r="W3533" t="s">
        <v>1957</v>
      </c>
      <c r="X3533" t="s">
        <v>19472</v>
      </c>
      <c r="Y3533" t="s">
        <v>19473</v>
      </c>
      <c r="Z3533" t="s">
        <v>12507</v>
      </c>
      <c r="AA3533" t="s">
        <v>17586</v>
      </c>
      <c r="AB3533" t="s">
        <v>19474</v>
      </c>
      <c r="AE3533">
        <v>-40.357228820000003</v>
      </c>
      <c r="AF3533">
        <v>175.57831274</v>
      </c>
      <c r="AG3533">
        <v>40</v>
      </c>
      <c r="AH3533">
        <v>15</v>
      </c>
      <c r="AI3533">
        <v>2</v>
      </c>
      <c r="AJ3533">
        <v>8</v>
      </c>
      <c r="AK3533">
        <v>8</v>
      </c>
      <c r="AL3533">
        <v>8</v>
      </c>
      <c r="AM3533">
        <v>3</v>
      </c>
      <c r="AN3533">
        <v>0</v>
      </c>
      <c r="AO3533">
        <v>29</v>
      </c>
      <c r="AP3533">
        <v>4</v>
      </c>
      <c r="AQ3533">
        <v>13</v>
      </c>
      <c r="AR3533">
        <v>24</v>
      </c>
      <c r="AS3533">
        <v>2</v>
      </c>
      <c r="AT3533">
        <v>3</v>
      </c>
    </row>
    <row r="3534" spans="1:46">
      <c r="A3534">
        <v>52543</v>
      </c>
      <c r="B3534" t="s">
        <v>19475</v>
      </c>
      <c r="C3534" t="s">
        <v>19476</v>
      </c>
      <c r="D3534" t="s">
        <v>19477</v>
      </c>
      <c r="E3534" t="s">
        <v>19478</v>
      </c>
      <c r="F3534" t="s">
        <v>10377</v>
      </c>
      <c r="G3534" t="s">
        <v>1974</v>
      </c>
      <c r="H3534" t="s">
        <v>3942</v>
      </c>
      <c r="I3534" t="s">
        <v>3953</v>
      </c>
      <c r="J3534" t="s">
        <v>518</v>
      </c>
      <c r="K3534" t="s">
        <v>519</v>
      </c>
      <c r="M3534" t="s">
        <v>1297</v>
      </c>
      <c r="N3534" t="s">
        <v>571</v>
      </c>
      <c r="O3534" t="s">
        <v>1956</v>
      </c>
      <c r="P3534" t="s">
        <v>584</v>
      </c>
      <c r="Q3534" t="s">
        <v>1636</v>
      </c>
      <c r="R3534" t="s">
        <v>1760</v>
      </c>
      <c r="S3534" t="s">
        <v>1974</v>
      </c>
      <c r="T3534" t="s">
        <v>1485</v>
      </c>
      <c r="U3534">
        <v>229201</v>
      </c>
      <c r="V3534" t="s">
        <v>12504</v>
      </c>
      <c r="W3534" t="s">
        <v>1957</v>
      </c>
      <c r="X3534" t="s">
        <v>19479</v>
      </c>
      <c r="Y3534" t="s">
        <v>19478</v>
      </c>
      <c r="Z3534" t="s">
        <v>10377</v>
      </c>
      <c r="AA3534" t="s">
        <v>15867</v>
      </c>
      <c r="AB3534" t="s">
        <v>19476</v>
      </c>
      <c r="AC3534">
        <v>99164</v>
      </c>
      <c r="AD3534" t="s">
        <v>17952</v>
      </c>
      <c r="AE3534">
        <v>-40.330158400000002</v>
      </c>
      <c r="AF3534">
        <v>175.65140360000001</v>
      </c>
      <c r="AG3534">
        <v>40</v>
      </c>
      <c r="AH3534">
        <v>0</v>
      </c>
      <c r="AI3534">
        <v>0</v>
      </c>
      <c r="AJ3534">
        <v>0</v>
      </c>
      <c r="AK3534">
        <v>0</v>
      </c>
      <c r="AL3534">
        <v>16</v>
      </c>
      <c r="AM3534">
        <v>25</v>
      </c>
      <c r="AN3534">
        <v>2</v>
      </c>
      <c r="AO3534">
        <v>43</v>
      </c>
      <c r="AP3534">
        <v>33</v>
      </c>
      <c r="AQ3534">
        <v>5</v>
      </c>
      <c r="AR3534">
        <v>3</v>
      </c>
      <c r="AS3534">
        <v>9</v>
      </c>
      <c r="AT3534">
        <v>0</v>
      </c>
    </row>
    <row r="3535" spans="1:46">
      <c r="A3535">
        <v>52545</v>
      </c>
      <c r="B3535" t="s">
        <v>19480</v>
      </c>
      <c r="C3535" t="s">
        <v>19481</v>
      </c>
      <c r="E3535" t="s">
        <v>19482</v>
      </c>
      <c r="G3535" t="s">
        <v>1987</v>
      </c>
      <c r="H3535" t="s">
        <v>3942</v>
      </c>
      <c r="J3535" t="s">
        <v>3962</v>
      </c>
      <c r="K3535" t="s">
        <v>519</v>
      </c>
      <c r="M3535" t="s">
        <v>1297</v>
      </c>
      <c r="N3535" t="s">
        <v>571</v>
      </c>
      <c r="O3535" t="s">
        <v>1988</v>
      </c>
      <c r="P3535" t="s">
        <v>1262</v>
      </c>
      <c r="Q3535" t="s">
        <v>1636</v>
      </c>
      <c r="R3535" t="s">
        <v>1760</v>
      </c>
      <c r="S3535" t="s">
        <v>1637</v>
      </c>
      <c r="T3535" t="s">
        <v>1485</v>
      </c>
      <c r="U3535">
        <v>228000</v>
      </c>
      <c r="V3535" t="s">
        <v>19483</v>
      </c>
      <c r="W3535" t="s">
        <v>1990</v>
      </c>
      <c r="X3535" t="s">
        <v>19484</v>
      </c>
      <c r="Y3535" t="s">
        <v>19485</v>
      </c>
      <c r="AA3535" t="s">
        <v>15176</v>
      </c>
      <c r="AB3535" t="s">
        <v>19481</v>
      </c>
      <c r="AC3535">
        <v>99134</v>
      </c>
      <c r="AD3535" t="s">
        <v>1991</v>
      </c>
      <c r="AE3535">
        <v>-40.231610189999998</v>
      </c>
      <c r="AF3535">
        <v>175.55314637999999</v>
      </c>
      <c r="AG3535">
        <v>27</v>
      </c>
      <c r="AH3535">
        <v>8</v>
      </c>
      <c r="AI3535">
        <v>2</v>
      </c>
      <c r="AJ3535">
        <v>10</v>
      </c>
      <c r="AK3535">
        <v>11</v>
      </c>
      <c r="AL3535">
        <v>6</v>
      </c>
      <c r="AM3535">
        <v>9</v>
      </c>
      <c r="AN3535">
        <v>1</v>
      </c>
      <c r="AO3535">
        <v>39</v>
      </c>
      <c r="AP3535">
        <v>35</v>
      </c>
      <c r="AQ3535">
        <v>9</v>
      </c>
      <c r="AR3535">
        <v>3</v>
      </c>
      <c r="AS3535">
        <v>0</v>
      </c>
      <c r="AT3535">
        <v>5</v>
      </c>
    </row>
    <row r="3536" spans="1:46">
      <c r="A3536">
        <v>52546</v>
      </c>
      <c r="B3536" t="s">
        <v>19486</v>
      </c>
      <c r="C3536" t="s">
        <v>19487</v>
      </c>
      <c r="D3536" t="s">
        <v>19488</v>
      </c>
      <c r="E3536" t="s">
        <v>19489</v>
      </c>
      <c r="F3536" t="s">
        <v>2049</v>
      </c>
      <c r="G3536" t="s">
        <v>1974</v>
      </c>
      <c r="H3536" t="s">
        <v>3942</v>
      </c>
      <c r="J3536" t="s">
        <v>518</v>
      </c>
      <c r="K3536" t="s">
        <v>519</v>
      </c>
      <c r="M3536" t="s">
        <v>1297</v>
      </c>
      <c r="N3536" t="s">
        <v>571</v>
      </c>
      <c r="O3536" t="s">
        <v>1956</v>
      </c>
      <c r="P3536" t="s">
        <v>584</v>
      </c>
      <c r="Q3536" t="s">
        <v>1636</v>
      </c>
      <c r="R3536" t="s">
        <v>1760</v>
      </c>
      <c r="S3536" t="s">
        <v>1974</v>
      </c>
      <c r="T3536" t="s">
        <v>1485</v>
      </c>
      <c r="U3536">
        <v>230200</v>
      </c>
      <c r="V3536" t="s">
        <v>10390</v>
      </c>
      <c r="W3536" t="s">
        <v>1957</v>
      </c>
      <c r="X3536" t="s">
        <v>12505</v>
      </c>
      <c r="Y3536" t="s">
        <v>12506</v>
      </c>
      <c r="Z3536" t="s">
        <v>12507</v>
      </c>
      <c r="AA3536" t="s">
        <v>1960</v>
      </c>
      <c r="AB3536" t="s">
        <v>12508</v>
      </c>
      <c r="AE3536">
        <v>-40.340844250000004</v>
      </c>
      <c r="AF3536">
        <v>175.62620491000001</v>
      </c>
      <c r="AG3536">
        <v>45</v>
      </c>
      <c r="AH3536">
        <v>15</v>
      </c>
      <c r="AI3536">
        <v>2</v>
      </c>
      <c r="AJ3536">
        <v>4</v>
      </c>
      <c r="AK3536">
        <v>11</v>
      </c>
      <c r="AL3536">
        <v>9</v>
      </c>
      <c r="AM3536">
        <v>15</v>
      </c>
      <c r="AN3536">
        <v>1</v>
      </c>
      <c r="AO3536">
        <v>42</v>
      </c>
      <c r="AP3536">
        <v>14</v>
      </c>
      <c r="AQ3536">
        <v>4</v>
      </c>
      <c r="AR3536">
        <v>2</v>
      </c>
      <c r="AS3536">
        <v>33</v>
      </c>
      <c r="AT3536">
        <v>0</v>
      </c>
    </row>
    <row r="3537" spans="1:46">
      <c r="A3537">
        <v>52548</v>
      </c>
      <c r="B3537" t="s">
        <v>19490</v>
      </c>
      <c r="C3537" t="s">
        <v>19491</v>
      </c>
      <c r="D3537" t="s">
        <v>19492</v>
      </c>
      <c r="E3537" t="s">
        <v>19493</v>
      </c>
      <c r="G3537" t="s">
        <v>19494</v>
      </c>
      <c r="H3537" t="s">
        <v>3942</v>
      </c>
      <c r="J3537" t="s">
        <v>518</v>
      </c>
      <c r="K3537" t="s">
        <v>519</v>
      </c>
      <c r="M3537" t="s">
        <v>1297</v>
      </c>
      <c r="N3537" t="s">
        <v>571</v>
      </c>
      <c r="O3537" t="s">
        <v>2066</v>
      </c>
      <c r="P3537" t="s">
        <v>540</v>
      </c>
      <c r="Q3537" t="s">
        <v>1636</v>
      </c>
      <c r="R3537" t="s">
        <v>1760</v>
      </c>
      <c r="S3537" t="s">
        <v>1637</v>
      </c>
      <c r="T3537" t="s">
        <v>1485</v>
      </c>
      <c r="U3537">
        <v>234600</v>
      </c>
      <c r="V3537" t="s">
        <v>19495</v>
      </c>
      <c r="W3537" t="s">
        <v>19025</v>
      </c>
      <c r="X3537" t="s">
        <v>19496</v>
      </c>
      <c r="Y3537" t="s">
        <v>19497</v>
      </c>
      <c r="Z3537" t="s">
        <v>19494</v>
      </c>
      <c r="AA3537" t="s">
        <v>19498</v>
      </c>
      <c r="AB3537" t="s">
        <v>19499</v>
      </c>
      <c r="AE3537">
        <v>-40.475049159999998</v>
      </c>
      <c r="AF3537">
        <v>175.51082829999999</v>
      </c>
      <c r="AG3537">
        <v>28</v>
      </c>
      <c r="AH3537">
        <v>0</v>
      </c>
      <c r="AI3537">
        <v>0</v>
      </c>
      <c r="AJ3537">
        <v>0</v>
      </c>
      <c r="AK3537">
        <v>4</v>
      </c>
      <c r="AL3537">
        <v>8</v>
      </c>
      <c r="AM3537">
        <v>12</v>
      </c>
      <c r="AN3537">
        <v>0</v>
      </c>
      <c r="AO3537">
        <v>24</v>
      </c>
      <c r="AP3537">
        <v>21</v>
      </c>
      <c r="AQ3537">
        <v>12</v>
      </c>
      <c r="AR3537">
        <v>1</v>
      </c>
      <c r="AS3537">
        <v>0</v>
      </c>
      <c r="AT3537">
        <v>1</v>
      </c>
    </row>
    <row r="3538" spans="1:46">
      <c r="A3538">
        <v>52703</v>
      </c>
      <c r="B3538" t="s">
        <v>19500</v>
      </c>
      <c r="C3538" t="s">
        <v>19501</v>
      </c>
      <c r="E3538" t="s">
        <v>19502</v>
      </c>
      <c r="G3538" t="s">
        <v>1824</v>
      </c>
      <c r="H3538" t="s">
        <v>343</v>
      </c>
      <c r="J3538" t="s">
        <v>518</v>
      </c>
      <c r="K3538" t="s">
        <v>519</v>
      </c>
      <c r="L3538" t="s">
        <v>4205</v>
      </c>
      <c r="M3538" t="s">
        <v>1297</v>
      </c>
      <c r="N3538" t="s">
        <v>521</v>
      </c>
      <c r="O3538" t="s">
        <v>1758</v>
      </c>
      <c r="P3538" t="s">
        <v>523</v>
      </c>
      <c r="Q3538" t="s">
        <v>1759</v>
      </c>
      <c r="R3538" t="s">
        <v>1760</v>
      </c>
      <c r="S3538" t="s">
        <v>1757</v>
      </c>
      <c r="T3538" t="s">
        <v>1485</v>
      </c>
      <c r="U3538">
        <v>218901</v>
      </c>
      <c r="V3538" t="s">
        <v>18967</v>
      </c>
      <c r="W3538" t="s">
        <v>1826</v>
      </c>
      <c r="X3538" t="s">
        <v>9070</v>
      </c>
      <c r="Y3538" t="s">
        <v>4208</v>
      </c>
      <c r="Z3538" t="s">
        <v>4209</v>
      </c>
      <c r="AA3538" t="s">
        <v>4210</v>
      </c>
      <c r="AB3538" t="s">
        <v>9071</v>
      </c>
      <c r="AE3538">
        <v>-38.99822898</v>
      </c>
      <c r="AF3538">
        <v>174.24846590999999</v>
      </c>
      <c r="AG3538">
        <v>50</v>
      </c>
      <c r="AH3538">
        <v>16</v>
      </c>
      <c r="AI3538">
        <v>1</v>
      </c>
      <c r="AJ3538">
        <v>4</v>
      </c>
      <c r="AK3538">
        <v>8</v>
      </c>
      <c r="AL3538">
        <v>4</v>
      </c>
      <c r="AM3538">
        <v>8</v>
      </c>
      <c r="AN3538">
        <v>0</v>
      </c>
      <c r="AO3538">
        <v>25</v>
      </c>
      <c r="AP3538">
        <v>0</v>
      </c>
      <c r="AQ3538">
        <v>25</v>
      </c>
      <c r="AR3538">
        <v>0</v>
      </c>
      <c r="AS3538">
        <v>0</v>
      </c>
      <c r="AT3538">
        <v>0</v>
      </c>
    </row>
    <row r="3539" spans="1:46">
      <c r="A3539">
        <v>52705</v>
      </c>
      <c r="B3539" t="s">
        <v>19503</v>
      </c>
      <c r="C3539" t="s">
        <v>19504</v>
      </c>
      <c r="D3539" t="s">
        <v>19505</v>
      </c>
      <c r="E3539" t="s">
        <v>19506</v>
      </c>
      <c r="G3539" t="s">
        <v>1824</v>
      </c>
      <c r="H3539" t="s">
        <v>343</v>
      </c>
      <c r="J3539" t="s">
        <v>518</v>
      </c>
      <c r="K3539" t="s">
        <v>519</v>
      </c>
      <c r="L3539" t="s">
        <v>4205</v>
      </c>
      <c r="M3539" t="s">
        <v>1297</v>
      </c>
      <c r="N3539" t="s">
        <v>727</v>
      </c>
      <c r="O3539" t="s">
        <v>1758</v>
      </c>
      <c r="P3539" t="s">
        <v>523</v>
      </c>
      <c r="Q3539" t="s">
        <v>1759</v>
      </c>
      <c r="R3539" t="s">
        <v>1760</v>
      </c>
      <c r="S3539" t="s">
        <v>1757</v>
      </c>
      <c r="T3539" t="s">
        <v>1485</v>
      </c>
      <c r="U3539">
        <v>218901</v>
      </c>
      <c r="V3539" t="s">
        <v>18967</v>
      </c>
      <c r="W3539" t="s">
        <v>1826</v>
      </c>
      <c r="X3539" t="s">
        <v>9070</v>
      </c>
      <c r="Y3539" t="s">
        <v>4208</v>
      </c>
      <c r="Z3539" t="s">
        <v>4209</v>
      </c>
      <c r="AA3539" t="s">
        <v>4210</v>
      </c>
      <c r="AB3539" t="s">
        <v>9071</v>
      </c>
      <c r="AE3539">
        <v>-38.997828079999998</v>
      </c>
      <c r="AF3539">
        <v>174.2411108</v>
      </c>
      <c r="AG3539">
        <v>50</v>
      </c>
      <c r="AH3539">
        <v>16</v>
      </c>
      <c r="AI3539">
        <v>0</v>
      </c>
      <c r="AJ3539">
        <v>6</v>
      </c>
      <c r="AK3539">
        <v>8</v>
      </c>
      <c r="AL3539">
        <v>7</v>
      </c>
      <c r="AM3539">
        <v>8</v>
      </c>
      <c r="AN3539">
        <v>0</v>
      </c>
      <c r="AO3539">
        <v>29</v>
      </c>
      <c r="AP3539">
        <v>0</v>
      </c>
      <c r="AQ3539">
        <v>28</v>
      </c>
      <c r="AR3539">
        <v>0</v>
      </c>
      <c r="AS3539">
        <v>0</v>
      </c>
      <c r="AT3539">
        <v>1</v>
      </c>
    </row>
    <row r="3540" spans="1:46">
      <c r="A3540">
        <v>52706</v>
      </c>
      <c r="B3540" t="s">
        <v>19507</v>
      </c>
      <c r="C3540" t="s">
        <v>19508</v>
      </c>
      <c r="D3540" t="s">
        <v>19509</v>
      </c>
      <c r="E3540" t="s">
        <v>19510</v>
      </c>
      <c r="F3540" t="s">
        <v>1819</v>
      </c>
      <c r="G3540" t="s">
        <v>1757</v>
      </c>
      <c r="H3540" t="s">
        <v>343</v>
      </c>
      <c r="J3540" t="s">
        <v>518</v>
      </c>
      <c r="K3540" t="s">
        <v>519</v>
      </c>
      <c r="L3540" t="s">
        <v>4205</v>
      </c>
      <c r="M3540" t="s">
        <v>1297</v>
      </c>
      <c r="N3540" t="s">
        <v>557</v>
      </c>
      <c r="O3540" t="s">
        <v>1758</v>
      </c>
      <c r="P3540" t="s">
        <v>584</v>
      </c>
      <c r="Q3540" t="s">
        <v>1759</v>
      </c>
      <c r="R3540" t="s">
        <v>1760</v>
      </c>
      <c r="S3540" t="s">
        <v>1757</v>
      </c>
      <c r="T3540" t="s">
        <v>1485</v>
      </c>
      <c r="U3540">
        <v>216300</v>
      </c>
      <c r="V3540" t="s">
        <v>1819</v>
      </c>
      <c r="W3540" t="s">
        <v>1762</v>
      </c>
      <c r="X3540" t="s">
        <v>19511</v>
      </c>
      <c r="Y3540" t="s">
        <v>4208</v>
      </c>
      <c r="Z3540" t="s">
        <v>4209</v>
      </c>
      <c r="AA3540" t="s">
        <v>4210</v>
      </c>
      <c r="AB3540" t="s">
        <v>7631</v>
      </c>
      <c r="AE3540">
        <v>-39.072792679999999</v>
      </c>
      <c r="AF3540">
        <v>174.03526067999999</v>
      </c>
      <c r="AG3540">
        <v>30</v>
      </c>
      <c r="AH3540">
        <v>10</v>
      </c>
      <c r="AI3540">
        <v>0</v>
      </c>
      <c r="AJ3540">
        <v>2</v>
      </c>
      <c r="AK3540">
        <v>9</v>
      </c>
      <c r="AL3540">
        <v>7</v>
      </c>
      <c r="AM3540">
        <v>7</v>
      </c>
      <c r="AN3540">
        <v>0</v>
      </c>
      <c r="AO3540">
        <v>25</v>
      </c>
      <c r="AP3540">
        <v>0</v>
      </c>
      <c r="AQ3540">
        <v>25</v>
      </c>
      <c r="AR3540">
        <v>0</v>
      </c>
      <c r="AS3540">
        <v>0</v>
      </c>
      <c r="AT3540">
        <v>0</v>
      </c>
    </row>
    <row r="3541" spans="1:46">
      <c r="A3541">
        <v>52708</v>
      </c>
      <c r="B3541" t="s">
        <v>19512</v>
      </c>
      <c r="C3541" t="s">
        <v>19513</v>
      </c>
      <c r="E3541" t="s">
        <v>19514</v>
      </c>
      <c r="G3541" t="s">
        <v>1792</v>
      </c>
      <c r="H3541" t="s">
        <v>343</v>
      </c>
      <c r="J3541" t="s">
        <v>518</v>
      </c>
      <c r="K3541" t="s">
        <v>519</v>
      </c>
      <c r="L3541" t="s">
        <v>4205</v>
      </c>
      <c r="M3541" t="s">
        <v>1297</v>
      </c>
      <c r="N3541" t="s">
        <v>571</v>
      </c>
      <c r="O3541" t="s">
        <v>1758</v>
      </c>
      <c r="P3541" t="s">
        <v>523</v>
      </c>
      <c r="Q3541" t="s">
        <v>1759</v>
      </c>
      <c r="R3541" t="s">
        <v>1760</v>
      </c>
      <c r="S3541" t="s">
        <v>1417</v>
      </c>
      <c r="T3541" t="s">
        <v>1485</v>
      </c>
      <c r="U3541">
        <v>219601</v>
      </c>
      <c r="V3541" t="s">
        <v>1792</v>
      </c>
      <c r="W3541" t="s">
        <v>1793</v>
      </c>
      <c r="X3541" t="s">
        <v>9070</v>
      </c>
      <c r="Y3541" t="s">
        <v>4208</v>
      </c>
      <c r="Z3541" t="s">
        <v>4209</v>
      </c>
      <c r="AA3541" t="s">
        <v>4210</v>
      </c>
      <c r="AB3541" t="s">
        <v>9071</v>
      </c>
      <c r="AC3541">
        <v>99059</v>
      </c>
      <c r="AD3541" t="s">
        <v>1794</v>
      </c>
      <c r="AE3541">
        <v>-39.158409820000003</v>
      </c>
      <c r="AF3541">
        <v>174.21096915999999</v>
      </c>
      <c r="AG3541">
        <v>16</v>
      </c>
      <c r="AH3541">
        <v>4</v>
      </c>
      <c r="AI3541">
        <v>1</v>
      </c>
      <c r="AJ3541">
        <v>1</v>
      </c>
      <c r="AK3541">
        <v>5</v>
      </c>
      <c r="AL3541">
        <v>5</v>
      </c>
      <c r="AM3541">
        <v>1</v>
      </c>
      <c r="AN3541">
        <v>0</v>
      </c>
      <c r="AO3541">
        <v>13</v>
      </c>
      <c r="AP3541">
        <v>0</v>
      </c>
      <c r="AQ3541">
        <v>11</v>
      </c>
      <c r="AR3541">
        <v>0</v>
      </c>
      <c r="AS3541">
        <v>0</v>
      </c>
      <c r="AT3541">
        <v>2</v>
      </c>
    </row>
    <row r="3542" spans="1:46">
      <c r="A3542">
        <v>52709</v>
      </c>
      <c r="B3542" t="s">
        <v>19515</v>
      </c>
      <c r="C3542" t="s">
        <v>19516</v>
      </c>
      <c r="E3542" t="s">
        <v>19517</v>
      </c>
      <c r="F3542" t="s">
        <v>1781</v>
      </c>
      <c r="G3542" t="s">
        <v>1757</v>
      </c>
      <c r="H3542" t="s">
        <v>343</v>
      </c>
      <c r="J3542" t="s">
        <v>518</v>
      </c>
      <c r="K3542" t="s">
        <v>519</v>
      </c>
      <c r="L3542" t="s">
        <v>4205</v>
      </c>
      <c r="M3542" t="s">
        <v>1297</v>
      </c>
      <c r="N3542" t="s">
        <v>571</v>
      </c>
      <c r="O3542" t="s">
        <v>1758</v>
      </c>
      <c r="P3542" t="s">
        <v>584</v>
      </c>
      <c r="Q3542" t="s">
        <v>1759</v>
      </c>
      <c r="R3542" t="s">
        <v>1760</v>
      </c>
      <c r="S3542" t="s">
        <v>1757</v>
      </c>
      <c r="T3542" t="s">
        <v>1485</v>
      </c>
      <c r="U3542">
        <v>218401</v>
      </c>
      <c r="V3542" t="s">
        <v>1782</v>
      </c>
      <c r="W3542" t="s">
        <v>1762</v>
      </c>
      <c r="X3542" t="s">
        <v>9070</v>
      </c>
      <c r="Y3542" t="s">
        <v>4208</v>
      </c>
      <c r="Z3542" t="s">
        <v>4209</v>
      </c>
      <c r="AA3542" t="s">
        <v>4210</v>
      </c>
      <c r="AB3542" t="s">
        <v>9071</v>
      </c>
      <c r="AE3542">
        <v>-39.046774929999998</v>
      </c>
      <c r="AF3542">
        <v>174.10530603999999</v>
      </c>
      <c r="AG3542">
        <v>30</v>
      </c>
      <c r="AH3542">
        <v>6</v>
      </c>
      <c r="AI3542">
        <v>0</v>
      </c>
      <c r="AJ3542">
        <v>5</v>
      </c>
      <c r="AK3542">
        <v>8</v>
      </c>
      <c r="AL3542">
        <v>6</v>
      </c>
      <c r="AM3542">
        <v>4</v>
      </c>
      <c r="AN3542">
        <v>0</v>
      </c>
      <c r="AO3542">
        <v>23</v>
      </c>
      <c r="AP3542">
        <v>0</v>
      </c>
      <c r="AQ3542">
        <v>22</v>
      </c>
      <c r="AR3542">
        <v>0</v>
      </c>
      <c r="AS3542">
        <v>0</v>
      </c>
      <c r="AT3542">
        <v>1</v>
      </c>
    </row>
    <row r="3543" spans="1:46">
      <c r="A3543">
        <v>52711</v>
      </c>
      <c r="B3543" t="s">
        <v>19518</v>
      </c>
      <c r="C3543" t="s">
        <v>19519</v>
      </c>
      <c r="E3543" t="s">
        <v>19520</v>
      </c>
      <c r="G3543" t="s">
        <v>10367</v>
      </c>
      <c r="H3543" t="s">
        <v>343</v>
      </c>
      <c r="J3543" t="s">
        <v>518</v>
      </c>
      <c r="K3543" t="s">
        <v>519</v>
      </c>
      <c r="L3543" t="s">
        <v>4205</v>
      </c>
      <c r="M3543" t="s">
        <v>1297</v>
      </c>
      <c r="N3543" t="s">
        <v>539</v>
      </c>
      <c r="O3543" t="s">
        <v>1851</v>
      </c>
      <c r="P3543" t="s">
        <v>540</v>
      </c>
      <c r="Q3543" t="s">
        <v>1759</v>
      </c>
      <c r="R3543" t="s">
        <v>1760</v>
      </c>
      <c r="S3543" t="s">
        <v>1842</v>
      </c>
      <c r="T3543" t="s">
        <v>1485</v>
      </c>
      <c r="U3543">
        <v>220901</v>
      </c>
      <c r="V3543" t="s">
        <v>10367</v>
      </c>
      <c r="W3543" t="s">
        <v>10368</v>
      </c>
      <c r="X3543" t="s">
        <v>9070</v>
      </c>
      <c r="Y3543" t="s">
        <v>4208</v>
      </c>
      <c r="Z3543" t="s">
        <v>4209</v>
      </c>
      <c r="AA3543" t="s">
        <v>4210</v>
      </c>
      <c r="AB3543" t="s">
        <v>9071</v>
      </c>
      <c r="AE3543">
        <v>-39.544950550000003</v>
      </c>
      <c r="AF3543">
        <v>174.14097849999999</v>
      </c>
      <c r="AG3543">
        <v>30</v>
      </c>
      <c r="AH3543">
        <v>10</v>
      </c>
      <c r="AI3543">
        <v>2</v>
      </c>
      <c r="AJ3543">
        <v>2</v>
      </c>
      <c r="AK3543">
        <v>7</v>
      </c>
      <c r="AL3543">
        <v>8</v>
      </c>
      <c r="AM3543">
        <v>7</v>
      </c>
      <c r="AN3543">
        <v>0</v>
      </c>
      <c r="AO3543">
        <v>26</v>
      </c>
      <c r="AP3543">
        <v>0</v>
      </c>
      <c r="AQ3543">
        <v>23</v>
      </c>
      <c r="AR3543">
        <v>0</v>
      </c>
      <c r="AS3543">
        <v>0</v>
      </c>
      <c r="AT3543">
        <v>3</v>
      </c>
    </row>
    <row r="3544" spans="1:46">
      <c r="A3544">
        <v>52713</v>
      </c>
      <c r="B3544" t="s">
        <v>19521</v>
      </c>
      <c r="C3544" t="s">
        <v>19522</v>
      </c>
      <c r="E3544" t="s">
        <v>19523</v>
      </c>
      <c r="G3544" t="s">
        <v>1857</v>
      </c>
      <c r="H3544" t="s">
        <v>343</v>
      </c>
      <c r="J3544" t="s">
        <v>518</v>
      </c>
      <c r="K3544" t="s">
        <v>519</v>
      </c>
      <c r="L3544" t="s">
        <v>4205</v>
      </c>
      <c r="M3544" t="s">
        <v>1297</v>
      </c>
      <c r="N3544" t="s">
        <v>571</v>
      </c>
      <c r="O3544" t="s">
        <v>1851</v>
      </c>
      <c r="P3544" t="s">
        <v>572</v>
      </c>
      <c r="Q3544" t="s">
        <v>1759</v>
      </c>
      <c r="R3544" t="s">
        <v>1760</v>
      </c>
      <c r="S3544" t="s">
        <v>1842</v>
      </c>
      <c r="T3544" t="s">
        <v>1485</v>
      </c>
      <c r="U3544">
        <v>221500</v>
      </c>
      <c r="V3544" t="s">
        <v>19524</v>
      </c>
      <c r="W3544" t="s">
        <v>1859</v>
      </c>
      <c r="X3544" t="s">
        <v>9070</v>
      </c>
      <c r="Y3544" t="s">
        <v>4208</v>
      </c>
      <c r="Z3544" t="s">
        <v>4209</v>
      </c>
      <c r="AA3544" t="s">
        <v>4210</v>
      </c>
      <c r="AB3544" t="s">
        <v>9071</v>
      </c>
      <c r="AE3544">
        <v>-39.56435896</v>
      </c>
      <c r="AF3544">
        <v>174.31410356999999</v>
      </c>
      <c r="AG3544">
        <v>30</v>
      </c>
      <c r="AH3544">
        <v>10</v>
      </c>
      <c r="AI3544">
        <v>0</v>
      </c>
      <c r="AJ3544">
        <v>3</v>
      </c>
      <c r="AK3544">
        <v>2</v>
      </c>
      <c r="AL3544">
        <v>2</v>
      </c>
      <c r="AM3544">
        <v>4</v>
      </c>
      <c r="AN3544">
        <v>0</v>
      </c>
      <c r="AO3544">
        <v>11</v>
      </c>
      <c r="AP3544">
        <v>0</v>
      </c>
      <c r="AQ3544">
        <v>11</v>
      </c>
      <c r="AR3544">
        <v>0</v>
      </c>
      <c r="AS3544">
        <v>0</v>
      </c>
      <c r="AT3544">
        <v>0</v>
      </c>
    </row>
    <row r="3545" spans="1:46">
      <c r="A3545">
        <v>52717</v>
      </c>
      <c r="B3545" t="s">
        <v>19525</v>
      </c>
      <c r="C3545" t="s">
        <v>19526</v>
      </c>
      <c r="E3545" t="s">
        <v>19527</v>
      </c>
      <c r="G3545" t="s">
        <v>1840</v>
      </c>
      <c r="H3545" t="s">
        <v>343</v>
      </c>
      <c r="J3545" t="s">
        <v>518</v>
      </c>
      <c r="K3545" t="s">
        <v>519</v>
      </c>
      <c r="L3545" t="s">
        <v>4205</v>
      </c>
      <c r="M3545" t="s">
        <v>1297</v>
      </c>
      <c r="N3545" t="s">
        <v>557</v>
      </c>
      <c r="O3545" t="s">
        <v>1841</v>
      </c>
      <c r="P3545" t="s">
        <v>523</v>
      </c>
      <c r="Q3545" t="s">
        <v>1759</v>
      </c>
      <c r="R3545" t="s">
        <v>1760</v>
      </c>
      <c r="S3545" t="s">
        <v>1842</v>
      </c>
      <c r="T3545" t="s">
        <v>1485</v>
      </c>
      <c r="U3545">
        <v>220301</v>
      </c>
      <c r="V3545" t="s">
        <v>1877</v>
      </c>
      <c r="W3545" t="s">
        <v>1844</v>
      </c>
      <c r="X3545" t="s">
        <v>9070</v>
      </c>
      <c r="Y3545" t="s">
        <v>4208</v>
      </c>
      <c r="Z3545" t="s">
        <v>4209</v>
      </c>
      <c r="AA3545" t="s">
        <v>4210</v>
      </c>
      <c r="AB3545" t="s">
        <v>9071</v>
      </c>
      <c r="AE3545">
        <v>-39.34268316</v>
      </c>
      <c r="AF3545">
        <v>174.29523710000001</v>
      </c>
      <c r="AG3545">
        <v>40</v>
      </c>
      <c r="AH3545">
        <v>10</v>
      </c>
      <c r="AI3545">
        <v>1</v>
      </c>
      <c r="AJ3545">
        <v>4</v>
      </c>
      <c r="AK3545">
        <v>3</v>
      </c>
      <c r="AL3545">
        <v>7</v>
      </c>
      <c r="AM3545">
        <v>3</v>
      </c>
      <c r="AN3545">
        <v>0</v>
      </c>
      <c r="AO3545">
        <v>18</v>
      </c>
      <c r="AP3545">
        <v>0</v>
      </c>
      <c r="AQ3545">
        <v>16</v>
      </c>
      <c r="AR3545">
        <v>0</v>
      </c>
      <c r="AS3545">
        <v>0</v>
      </c>
      <c r="AT3545">
        <v>2</v>
      </c>
    </row>
    <row r="3546" spans="1:46">
      <c r="A3546">
        <v>52720</v>
      </c>
      <c r="B3546" t="s">
        <v>19528</v>
      </c>
      <c r="C3546" t="s">
        <v>19529</v>
      </c>
      <c r="E3546" t="s">
        <v>19530</v>
      </c>
      <c r="G3546" t="s">
        <v>1870</v>
      </c>
      <c r="H3546" t="s">
        <v>343</v>
      </c>
      <c r="J3546" t="s">
        <v>518</v>
      </c>
      <c r="K3546" t="s">
        <v>519</v>
      </c>
      <c r="L3546" t="s">
        <v>4205</v>
      </c>
      <c r="M3546" t="s">
        <v>1297</v>
      </c>
      <c r="N3546" t="s">
        <v>521</v>
      </c>
      <c r="O3546" t="s">
        <v>1851</v>
      </c>
      <c r="P3546" t="s">
        <v>523</v>
      </c>
      <c r="Q3546" t="s">
        <v>1759</v>
      </c>
      <c r="R3546" t="s">
        <v>1760</v>
      </c>
      <c r="S3546" t="s">
        <v>1842</v>
      </c>
      <c r="T3546" t="s">
        <v>1485</v>
      </c>
      <c r="U3546">
        <v>222201</v>
      </c>
      <c r="V3546" t="s">
        <v>1871</v>
      </c>
      <c r="W3546" t="s">
        <v>1872</v>
      </c>
      <c r="X3546" t="s">
        <v>9070</v>
      </c>
      <c r="Y3546" t="s">
        <v>4208</v>
      </c>
      <c r="Z3546" t="s">
        <v>4209</v>
      </c>
      <c r="AA3546" t="s">
        <v>4210</v>
      </c>
      <c r="AB3546" t="s">
        <v>9071</v>
      </c>
      <c r="AE3546">
        <v>-39.755711949999998</v>
      </c>
      <c r="AF3546">
        <v>174.4749162</v>
      </c>
      <c r="AG3546">
        <v>15</v>
      </c>
      <c r="AH3546">
        <v>2</v>
      </c>
      <c r="AI3546">
        <v>0</v>
      </c>
      <c r="AJ3546">
        <v>2</v>
      </c>
      <c r="AK3546">
        <v>1</v>
      </c>
      <c r="AL3546">
        <v>5</v>
      </c>
      <c r="AM3546">
        <v>7</v>
      </c>
      <c r="AN3546">
        <v>0</v>
      </c>
      <c r="AO3546">
        <v>15</v>
      </c>
      <c r="AP3546">
        <v>0</v>
      </c>
      <c r="AQ3546">
        <v>15</v>
      </c>
      <c r="AR3546">
        <v>0</v>
      </c>
      <c r="AS3546">
        <v>0</v>
      </c>
      <c r="AT3546">
        <v>0</v>
      </c>
    </row>
    <row r="3547" spans="1:46">
      <c r="A3547">
        <v>52722</v>
      </c>
      <c r="B3547" t="s">
        <v>19531</v>
      </c>
      <c r="C3547" t="s">
        <v>19532</v>
      </c>
      <c r="D3547" t="s">
        <v>19533</v>
      </c>
      <c r="E3547" t="s">
        <v>19534</v>
      </c>
      <c r="G3547" t="s">
        <v>1870</v>
      </c>
      <c r="H3547" t="s">
        <v>343</v>
      </c>
      <c r="J3547" t="s">
        <v>518</v>
      </c>
      <c r="K3547" t="s">
        <v>519</v>
      </c>
      <c r="L3547" t="s">
        <v>4205</v>
      </c>
      <c r="M3547" t="s">
        <v>1297</v>
      </c>
      <c r="N3547" t="s">
        <v>727</v>
      </c>
      <c r="O3547" t="s">
        <v>1851</v>
      </c>
      <c r="P3547" t="s">
        <v>572</v>
      </c>
      <c r="Q3547" t="s">
        <v>1759</v>
      </c>
      <c r="R3547" t="s">
        <v>1760</v>
      </c>
      <c r="S3547" t="s">
        <v>1842</v>
      </c>
      <c r="T3547" t="s">
        <v>1485</v>
      </c>
      <c r="U3547">
        <v>222101</v>
      </c>
      <c r="V3547" t="s">
        <v>19296</v>
      </c>
      <c r="W3547" t="s">
        <v>1872</v>
      </c>
      <c r="X3547" t="s">
        <v>9070</v>
      </c>
      <c r="Y3547" t="s">
        <v>4208</v>
      </c>
      <c r="Z3547" t="s">
        <v>4209</v>
      </c>
      <c r="AA3547" t="s">
        <v>4210</v>
      </c>
      <c r="AB3547" t="s">
        <v>9071</v>
      </c>
      <c r="AE3547">
        <v>-39.753692919999999</v>
      </c>
      <c r="AF3547">
        <v>174.50307100000001</v>
      </c>
      <c r="AG3547">
        <v>30</v>
      </c>
      <c r="AH3547">
        <v>10</v>
      </c>
      <c r="AI3547">
        <v>3</v>
      </c>
      <c r="AJ3547">
        <v>6</v>
      </c>
      <c r="AK3547">
        <v>5</v>
      </c>
      <c r="AL3547">
        <v>4</v>
      </c>
      <c r="AM3547">
        <v>2</v>
      </c>
      <c r="AN3547">
        <v>0</v>
      </c>
      <c r="AO3547">
        <v>20</v>
      </c>
      <c r="AP3547">
        <v>0</v>
      </c>
      <c r="AQ3547">
        <v>19</v>
      </c>
      <c r="AR3547">
        <v>0</v>
      </c>
      <c r="AS3547">
        <v>0</v>
      </c>
      <c r="AT3547">
        <v>1</v>
      </c>
    </row>
    <row r="3548" spans="1:46">
      <c r="A3548">
        <v>52723</v>
      </c>
      <c r="B3548" t="s">
        <v>19535</v>
      </c>
      <c r="C3548" t="s">
        <v>19536</v>
      </c>
      <c r="E3548" t="s">
        <v>19537</v>
      </c>
      <c r="G3548" t="s">
        <v>19295</v>
      </c>
      <c r="H3548" t="s">
        <v>343</v>
      </c>
      <c r="J3548" t="s">
        <v>518</v>
      </c>
      <c r="K3548" t="s">
        <v>519</v>
      </c>
      <c r="L3548" t="s">
        <v>4205</v>
      </c>
      <c r="M3548" t="s">
        <v>1297</v>
      </c>
      <c r="N3548" t="s">
        <v>521</v>
      </c>
      <c r="O3548" t="s">
        <v>1851</v>
      </c>
      <c r="P3548" t="s">
        <v>540</v>
      </c>
      <c r="Q3548" t="s">
        <v>1759</v>
      </c>
      <c r="R3548" t="s">
        <v>1760</v>
      </c>
      <c r="S3548" t="s">
        <v>1842</v>
      </c>
      <c r="T3548" t="s">
        <v>1485</v>
      </c>
      <c r="U3548">
        <v>222101</v>
      </c>
      <c r="V3548" t="s">
        <v>19296</v>
      </c>
      <c r="W3548" t="s">
        <v>1872</v>
      </c>
      <c r="X3548" t="s">
        <v>9070</v>
      </c>
      <c r="Y3548" t="s">
        <v>4208</v>
      </c>
      <c r="Z3548" t="s">
        <v>4209</v>
      </c>
      <c r="AA3548" t="s">
        <v>4210</v>
      </c>
      <c r="AB3548" t="s">
        <v>9071</v>
      </c>
      <c r="AE3548">
        <v>-39.762581900000001</v>
      </c>
      <c r="AF3548">
        <v>174.62913521999999</v>
      </c>
      <c r="AG3548">
        <v>20</v>
      </c>
      <c r="AH3548">
        <v>4</v>
      </c>
      <c r="AI3548">
        <v>1</v>
      </c>
      <c r="AJ3548">
        <v>0</v>
      </c>
      <c r="AK3548">
        <v>6</v>
      </c>
      <c r="AL3548">
        <v>6</v>
      </c>
      <c r="AM3548">
        <v>1</v>
      </c>
      <c r="AN3548">
        <v>0</v>
      </c>
      <c r="AO3548">
        <v>14</v>
      </c>
      <c r="AP3548">
        <v>0</v>
      </c>
      <c r="AQ3548">
        <v>9</v>
      </c>
      <c r="AR3548">
        <v>0</v>
      </c>
      <c r="AS3548">
        <v>0</v>
      </c>
      <c r="AT3548">
        <v>5</v>
      </c>
    </row>
    <row r="3549" spans="1:46">
      <c r="A3549">
        <v>52724</v>
      </c>
      <c r="B3549" t="s">
        <v>19538</v>
      </c>
      <c r="C3549" t="s">
        <v>19539</v>
      </c>
      <c r="E3549" t="s">
        <v>19540</v>
      </c>
      <c r="G3549" t="s">
        <v>1842</v>
      </c>
      <c r="H3549" t="s">
        <v>343</v>
      </c>
      <c r="J3549" t="s">
        <v>518</v>
      </c>
      <c r="K3549" t="s">
        <v>519</v>
      </c>
      <c r="L3549" t="s">
        <v>4205</v>
      </c>
      <c r="M3549" t="s">
        <v>1297</v>
      </c>
      <c r="N3549" t="s">
        <v>727</v>
      </c>
      <c r="O3549" t="s">
        <v>1887</v>
      </c>
      <c r="P3549" t="s">
        <v>584</v>
      </c>
      <c r="Q3549" t="s">
        <v>1636</v>
      </c>
      <c r="R3549" t="s">
        <v>1760</v>
      </c>
      <c r="S3549" t="s">
        <v>1842</v>
      </c>
      <c r="T3549" t="s">
        <v>1485</v>
      </c>
      <c r="U3549">
        <v>223600</v>
      </c>
      <c r="V3549" t="s">
        <v>19541</v>
      </c>
      <c r="W3549" t="s">
        <v>1652</v>
      </c>
      <c r="X3549" t="s">
        <v>9070</v>
      </c>
      <c r="Y3549" t="s">
        <v>4208</v>
      </c>
      <c r="Z3549" t="s">
        <v>4209</v>
      </c>
      <c r="AA3549" t="s">
        <v>4210</v>
      </c>
      <c r="AB3549" t="s">
        <v>9071</v>
      </c>
      <c r="AE3549">
        <v>-39.930428050000003</v>
      </c>
      <c r="AF3549">
        <v>174.97538506999999</v>
      </c>
      <c r="AG3549">
        <v>27</v>
      </c>
      <c r="AH3549">
        <v>12</v>
      </c>
      <c r="AI3549">
        <v>0</v>
      </c>
      <c r="AJ3549">
        <v>3</v>
      </c>
      <c r="AK3549">
        <v>8</v>
      </c>
      <c r="AL3549">
        <v>4</v>
      </c>
      <c r="AM3549">
        <v>5</v>
      </c>
      <c r="AN3549">
        <v>0</v>
      </c>
      <c r="AO3549">
        <v>20</v>
      </c>
      <c r="AP3549">
        <v>0</v>
      </c>
      <c r="AQ3549">
        <v>20</v>
      </c>
      <c r="AR3549">
        <v>0</v>
      </c>
      <c r="AS3549">
        <v>0</v>
      </c>
      <c r="AT3549">
        <v>0</v>
      </c>
    </row>
    <row r="3550" spans="1:46">
      <c r="A3550">
        <v>52725</v>
      </c>
      <c r="B3550" t="s">
        <v>19542</v>
      </c>
      <c r="C3550" t="s">
        <v>19543</v>
      </c>
      <c r="E3550" t="s">
        <v>19544</v>
      </c>
      <c r="F3550" t="s">
        <v>1898</v>
      </c>
      <c r="G3550" t="s">
        <v>1842</v>
      </c>
      <c r="H3550" t="s">
        <v>343</v>
      </c>
      <c r="J3550" t="s">
        <v>518</v>
      </c>
      <c r="K3550" t="s">
        <v>519</v>
      </c>
      <c r="L3550" t="s">
        <v>4205</v>
      </c>
      <c r="M3550" t="s">
        <v>1297</v>
      </c>
      <c r="N3550" t="s">
        <v>727</v>
      </c>
      <c r="O3550" t="s">
        <v>1887</v>
      </c>
      <c r="P3550" t="s">
        <v>584</v>
      </c>
      <c r="Q3550" t="s">
        <v>1636</v>
      </c>
      <c r="R3550" t="s">
        <v>1760</v>
      </c>
      <c r="S3550" t="s">
        <v>1842</v>
      </c>
      <c r="T3550" t="s">
        <v>1485</v>
      </c>
      <c r="U3550">
        <v>224700</v>
      </c>
      <c r="V3550" t="s">
        <v>19545</v>
      </c>
      <c r="W3550" t="s">
        <v>1652</v>
      </c>
      <c r="X3550" t="s">
        <v>19546</v>
      </c>
      <c r="Y3550" t="s">
        <v>4208</v>
      </c>
      <c r="Z3550" t="s">
        <v>4209</v>
      </c>
      <c r="AA3550" t="s">
        <v>4210</v>
      </c>
      <c r="AB3550" t="s">
        <v>19547</v>
      </c>
      <c r="AE3550">
        <v>-39.94455421</v>
      </c>
      <c r="AF3550">
        <v>175.00341879000001</v>
      </c>
      <c r="AG3550">
        <v>100</v>
      </c>
      <c r="AH3550">
        <v>25</v>
      </c>
      <c r="AI3550">
        <v>4</v>
      </c>
      <c r="AJ3550">
        <v>17</v>
      </c>
      <c r="AK3550">
        <v>19</v>
      </c>
      <c r="AL3550">
        <v>14</v>
      </c>
      <c r="AM3550">
        <v>13</v>
      </c>
      <c r="AN3550">
        <v>0</v>
      </c>
      <c r="AO3550">
        <v>67</v>
      </c>
      <c r="AP3550">
        <v>0</v>
      </c>
      <c r="AQ3550">
        <v>61</v>
      </c>
      <c r="AR3550">
        <v>3</v>
      </c>
      <c r="AS3550">
        <v>0</v>
      </c>
      <c r="AT3550">
        <v>3</v>
      </c>
    </row>
    <row r="3551" spans="1:46">
      <c r="A3551">
        <v>52727</v>
      </c>
      <c r="B3551" t="s">
        <v>19548</v>
      </c>
      <c r="C3551" t="s">
        <v>19549</v>
      </c>
      <c r="E3551" t="s">
        <v>19550</v>
      </c>
      <c r="G3551" t="s">
        <v>1842</v>
      </c>
      <c r="H3551" t="s">
        <v>343</v>
      </c>
      <c r="J3551" t="s">
        <v>518</v>
      </c>
      <c r="K3551" t="s">
        <v>519</v>
      </c>
      <c r="L3551" t="s">
        <v>4205</v>
      </c>
      <c r="M3551" t="s">
        <v>1297</v>
      </c>
      <c r="N3551" t="s">
        <v>521</v>
      </c>
      <c r="O3551" t="s">
        <v>1887</v>
      </c>
      <c r="P3551" t="s">
        <v>584</v>
      </c>
      <c r="Q3551" t="s">
        <v>1636</v>
      </c>
      <c r="R3551" t="s">
        <v>1760</v>
      </c>
      <c r="S3551" t="s">
        <v>1842</v>
      </c>
      <c r="T3551" t="s">
        <v>1485</v>
      </c>
      <c r="U3551">
        <v>225100</v>
      </c>
      <c r="V3551" t="s">
        <v>14523</v>
      </c>
      <c r="W3551" t="s">
        <v>1652</v>
      </c>
      <c r="X3551" t="s">
        <v>9070</v>
      </c>
      <c r="Y3551" t="s">
        <v>4208</v>
      </c>
      <c r="Z3551" t="s">
        <v>4209</v>
      </c>
      <c r="AA3551" t="s">
        <v>4210</v>
      </c>
      <c r="AB3551" t="s">
        <v>9071</v>
      </c>
      <c r="AE3551">
        <v>-39.91055626</v>
      </c>
      <c r="AF3551">
        <v>175.06014003000001</v>
      </c>
      <c r="AG3551">
        <v>32</v>
      </c>
      <c r="AH3551">
        <v>8</v>
      </c>
      <c r="AI3551">
        <v>1</v>
      </c>
      <c r="AJ3551">
        <v>6</v>
      </c>
      <c r="AK3551">
        <v>5</v>
      </c>
      <c r="AL3551">
        <v>8</v>
      </c>
      <c r="AM3551">
        <v>7</v>
      </c>
      <c r="AN3551">
        <v>0</v>
      </c>
      <c r="AO3551">
        <v>27</v>
      </c>
      <c r="AP3551">
        <v>0</v>
      </c>
      <c r="AQ3551">
        <v>27</v>
      </c>
      <c r="AR3551">
        <v>0</v>
      </c>
      <c r="AS3551">
        <v>0</v>
      </c>
      <c r="AT3551">
        <v>0</v>
      </c>
    </row>
    <row r="3552" spans="1:46">
      <c r="A3552">
        <v>52728</v>
      </c>
      <c r="B3552" t="s">
        <v>19551</v>
      </c>
      <c r="C3552" t="s">
        <v>19552</v>
      </c>
      <c r="E3552" t="s">
        <v>19553</v>
      </c>
      <c r="G3552" t="s">
        <v>1842</v>
      </c>
      <c r="H3552" t="s">
        <v>343</v>
      </c>
      <c r="J3552" t="s">
        <v>518</v>
      </c>
      <c r="K3552" t="s">
        <v>519</v>
      </c>
      <c r="L3552" t="s">
        <v>4205</v>
      </c>
      <c r="M3552" t="s">
        <v>1297</v>
      </c>
      <c r="N3552" t="s">
        <v>521</v>
      </c>
      <c r="O3552" t="s">
        <v>1887</v>
      </c>
      <c r="P3552" t="s">
        <v>572</v>
      </c>
      <c r="Q3552" t="s">
        <v>1636</v>
      </c>
      <c r="R3552" t="s">
        <v>1760</v>
      </c>
      <c r="S3552" t="s">
        <v>1842</v>
      </c>
      <c r="T3552" t="s">
        <v>1485</v>
      </c>
      <c r="U3552">
        <v>223300</v>
      </c>
      <c r="V3552" t="s">
        <v>19554</v>
      </c>
      <c r="W3552" t="s">
        <v>1652</v>
      </c>
      <c r="X3552" t="s">
        <v>9070</v>
      </c>
      <c r="Y3552" t="s">
        <v>4208</v>
      </c>
      <c r="Z3552" t="s">
        <v>4209</v>
      </c>
      <c r="AA3552" t="s">
        <v>4210</v>
      </c>
      <c r="AB3552" t="s">
        <v>9071</v>
      </c>
      <c r="AE3552">
        <v>-39.832561099999999</v>
      </c>
      <c r="AF3552">
        <v>175.07779418000001</v>
      </c>
      <c r="AG3552">
        <v>25</v>
      </c>
      <c r="AH3552">
        <v>6</v>
      </c>
      <c r="AI3552">
        <v>3</v>
      </c>
      <c r="AJ3552">
        <v>3</v>
      </c>
      <c r="AK3552">
        <v>5</v>
      </c>
      <c r="AL3552">
        <v>7</v>
      </c>
      <c r="AM3552">
        <v>5</v>
      </c>
      <c r="AN3552">
        <v>0</v>
      </c>
      <c r="AO3552">
        <v>23</v>
      </c>
      <c r="AP3552">
        <v>0</v>
      </c>
      <c r="AQ3552">
        <v>23</v>
      </c>
      <c r="AR3552">
        <v>0</v>
      </c>
      <c r="AS3552">
        <v>0</v>
      </c>
      <c r="AT3552">
        <v>0</v>
      </c>
    </row>
    <row r="3553" spans="1:46">
      <c r="A3553">
        <v>52729</v>
      </c>
      <c r="B3553" t="s">
        <v>19555</v>
      </c>
      <c r="C3553" t="s">
        <v>19160</v>
      </c>
      <c r="D3553" t="s">
        <v>19556</v>
      </c>
      <c r="E3553" t="s">
        <v>19162</v>
      </c>
      <c r="G3553" t="s">
        <v>1842</v>
      </c>
      <c r="H3553" t="s">
        <v>343</v>
      </c>
      <c r="J3553" t="s">
        <v>518</v>
      </c>
      <c r="K3553" t="s">
        <v>519</v>
      </c>
      <c r="L3553" t="s">
        <v>4205</v>
      </c>
      <c r="M3553" t="s">
        <v>1297</v>
      </c>
      <c r="N3553" t="s">
        <v>521</v>
      </c>
      <c r="O3553" t="s">
        <v>1887</v>
      </c>
      <c r="P3553" t="s">
        <v>584</v>
      </c>
      <c r="Q3553" t="s">
        <v>1636</v>
      </c>
      <c r="R3553" t="s">
        <v>1760</v>
      </c>
      <c r="S3553" t="s">
        <v>1842</v>
      </c>
      <c r="T3553" t="s">
        <v>1485</v>
      </c>
      <c r="U3553">
        <v>225400</v>
      </c>
      <c r="V3553" t="s">
        <v>16069</v>
      </c>
      <c r="W3553" t="s">
        <v>1652</v>
      </c>
      <c r="X3553" t="s">
        <v>9070</v>
      </c>
      <c r="Y3553" t="s">
        <v>4208</v>
      </c>
      <c r="Z3553" t="s">
        <v>4209</v>
      </c>
      <c r="AA3553" t="s">
        <v>4210</v>
      </c>
      <c r="AB3553" t="s">
        <v>9071</v>
      </c>
      <c r="AE3553">
        <v>-39.928743169999997</v>
      </c>
      <c r="AF3553">
        <v>175.05280259</v>
      </c>
      <c r="AG3553">
        <v>33</v>
      </c>
      <c r="AH3553">
        <v>0</v>
      </c>
      <c r="AI3553">
        <v>0</v>
      </c>
      <c r="AJ3553">
        <v>0</v>
      </c>
      <c r="AK3553">
        <v>5</v>
      </c>
      <c r="AL3553">
        <v>16</v>
      </c>
      <c r="AM3553">
        <v>10</v>
      </c>
      <c r="AN3553">
        <v>0</v>
      </c>
      <c r="AO3553">
        <v>31</v>
      </c>
      <c r="AP3553">
        <v>0</v>
      </c>
      <c r="AQ3553">
        <v>30</v>
      </c>
      <c r="AR3553">
        <v>0</v>
      </c>
      <c r="AS3553">
        <v>0</v>
      </c>
      <c r="AT3553">
        <v>1</v>
      </c>
    </row>
    <row r="3554" spans="1:46">
      <c r="A3554">
        <v>52730</v>
      </c>
      <c r="B3554" t="s">
        <v>19557</v>
      </c>
      <c r="C3554" t="s">
        <v>19558</v>
      </c>
      <c r="E3554" t="s">
        <v>19559</v>
      </c>
      <c r="G3554" t="s">
        <v>1842</v>
      </c>
      <c r="H3554" t="s">
        <v>343</v>
      </c>
      <c r="J3554" t="s">
        <v>518</v>
      </c>
      <c r="K3554" t="s">
        <v>519</v>
      </c>
      <c r="L3554" t="s">
        <v>4205</v>
      </c>
      <c r="M3554" t="s">
        <v>1297</v>
      </c>
      <c r="N3554" t="s">
        <v>521</v>
      </c>
      <c r="O3554" t="s">
        <v>1887</v>
      </c>
      <c r="P3554" t="s">
        <v>572</v>
      </c>
      <c r="Q3554" t="s">
        <v>1636</v>
      </c>
      <c r="R3554" t="s">
        <v>1760</v>
      </c>
      <c r="S3554" t="s">
        <v>1842</v>
      </c>
      <c r="T3554" t="s">
        <v>1485</v>
      </c>
      <c r="U3554">
        <v>223300</v>
      </c>
      <c r="V3554" t="s">
        <v>19554</v>
      </c>
      <c r="W3554" t="s">
        <v>1652</v>
      </c>
      <c r="X3554" t="s">
        <v>9070</v>
      </c>
      <c r="Y3554" t="s">
        <v>4208</v>
      </c>
      <c r="Z3554" t="s">
        <v>4209</v>
      </c>
      <c r="AA3554" t="s">
        <v>4210</v>
      </c>
      <c r="AB3554" t="s">
        <v>9071</v>
      </c>
      <c r="AE3554">
        <v>-39.830204270000003</v>
      </c>
      <c r="AF3554">
        <v>175.08084955000001</v>
      </c>
      <c r="AG3554">
        <v>24</v>
      </c>
      <c r="AH3554">
        <v>6</v>
      </c>
      <c r="AI3554">
        <v>0</v>
      </c>
      <c r="AJ3554">
        <v>4</v>
      </c>
      <c r="AK3554">
        <v>2</v>
      </c>
      <c r="AL3554">
        <v>4</v>
      </c>
      <c r="AM3554">
        <v>5</v>
      </c>
      <c r="AN3554">
        <v>0</v>
      </c>
      <c r="AO3554">
        <v>15</v>
      </c>
      <c r="AP3554">
        <v>0</v>
      </c>
      <c r="AQ3554">
        <v>15</v>
      </c>
      <c r="AR3554">
        <v>0</v>
      </c>
      <c r="AS3554">
        <v>0</v>
      </c>
      <c r="AT3554">
        <v>0</v>
      </c>
    </row>
    <row r="3555" spans="1:46">
      <c r="A3555">
        <v>52732</v>
      </c>
      <c r="B3555" t="s">
        <v>19560</v>
      </c>
      <c r="C3555" t="s">
        <v>19561</v>
      </c>
      <c r="E3555" t="s">
        <v>19562</v>
      </c>
      <c r="G3555" t="s">
        <v>1842</v>
      </c>
      <c r="H3555" t="s">
        <v>343</v>
      </c>
      <c r="J3555" t="s">
        <v>518</v>
      </c>
      <c r="K3555" t="s">
        <v>519</v>
      </c>
      <c r="L3555" t="s">
        <v>4205</v>
      </c>
      <c r="M3555" t="s">
        <v>1297</v>
      </c>
      <c r="N3555" t="s">
        <v>521</v>
      </c>
      <c r="O3555" t="s">
        <v>1887</v>
      </c>
      <c r="P3555" t="s">
        <v>572</v>
      </c>
      <c r="Q3555" t="s">
        <v>1636</v>
      </c>
      <c r="R3555" t="s">
        <v>1760</v>
      </c>
      <c r="S3555" t="s">
        <v>1842</v>
      </c>
      <c r="T3555" t="s">
        <v>1485</v>
      </c>
      <c r="U3555">
        <v>223300</v>
      </c>
      <c r="V3555" t="s">
        <v>19554</v>
      </c>
      <c r="W3555" t="s">
        <v>1652</v>
      </c>
      <c r="X3555" t="s">
        <v>9070</v>
      </c>
      <c r="Y3555" t="s">
        <v>4208</v>
      </c>
      <c r="Z3555" t="s">
        <v>4209</v>
      </c>
      <c r="AA3555" t="s">
        <v>4210</v>
      </c>
      <c r="AB3555" t="s">
        <v>9071</v>
      </c>
      <c r="AE3555">
        <v>-39.79426874</v>
      </c>
      <c r="AF3555">
        <v>175.14942264999999</v>
      </c>
      <c r="AG3555">
        <v>20</v>
      </c>
      <c r="AH3555">
        <v>8</v>
      </c>
      <c r="AI3555">
        <v>1</v>
      </c>
      <c r="AJ3555">
        <v>1</v>
      </c>
      <c r="AK3555">
        <v>4</v>
      </c>
      <c r="AL3555">
        <v>4</v>
      </c>
      <c r="AM3555">
        <v>3</v>
      </c>
      <c r="AN3555">
        <v>0</v>
      </c>
      <c r="AO3555">
        <v>13</v>
      </c>
      <c r="AP3555">
        <v>0</v>
      </c>
      <c r="AQ3555">
        <v>13</v>
      </c>
      <c r="AR3555">
        <v>0</v>
      </c>
      <c r="AS3555">
        <v>0</v>
      </c>
      <c r="AT3555">
        <v>0</v>
      </c>
    </row>
    <row r="3556" spans="1:46">
      <c r="A3556">
        <v>52734</v>
      </c>
      <c r="B3556" t="s">
        <v>19563</v>
      </c>
      <c r="C3556" t="s">
        <v>19564</v>
      </c>
      <c r="E3556" t="s">
        <v>19565</v>
      </c>
      <c r="G3556" t="s">
        <v>1842</v>
      </c>
      <c r="H3556" t="s">
        <v>343</v>
      </c>
      <c r="J3556" t="s">
        <v>518</v>
      </c>
      <c r="K3556" t="s">
        <v>519</v>
      </c>
      <c r="L3556" t="s">
        <v>4205</v>
      </c>
      <c r="M3556" t="s">
        <v>1297</v>
      </c>
      <c r="N3556" t="s">
        <v>539</v>
      </c>
      <c r="O3556" t="s">
        <v>1887</v>
      </c>
      <c r="P3556" t="s">
        <v>584</v>
      </c>
      <c r="Q3556" t="s">
        <v>1636</v>
      </c>
      <c r="R3556" t="s">
        <v>1760</v>
      </c>
      <c r="S3556" t="s">
        <v>1842</v>
      </c>
      <c r="T3556" t="s">
        <v>1485</v>
      </c>
      <c r="U3556">
        <v>226000</v>
      </c>
      <c r="V3556" t="s">
        <v>1938</v>
      </c>
      <c r="W3556" t="s">
        <v>1652</v>
      </c>
      <c r="X3556" t="s">
        <v>9070</v>
      </c>
      <c r="Y3556" t="s">
        <v>4208</v>
      </c>
      <c r="Z3556" t="s">
        <v>4209</v>
      </c>
      <c r="AA3556" t="s">
        <v>4210</v>
      </c>
      <c r="AB3556" t="s">
        <v>9071</v>
      </c>
      <c r="AE3556">
        <v>-39.945729640000003</v>
      </c>
      <c r="AF3556">
        <v>175.04899508</v>
      </c>
      <c r="AG3556">
        <v>35</v>
      </c>
      <c r="AH3556">
        <v>10</v>
      </c>
      <c r="AI3556">
        <v>0</v>
      </c>
      <c r="AJ3556">
        <v>3</v>
      </c>
      <c r="AK3556">
        <v>7</v>
      </c>
      <c r="AL3556">
        <v>7</v>
      </c>
      <c r="AM3556">
        <v>5</v>
      </c>
      <c r="AN3556">
        <v>0</v>
      </c>
      <c r="AO3556">
        <v>22</v>
      </c>
      <c r="AP3556">
        <v>0</v>
      </c>
      <c r="AQ3556">
        <v>21</v>
      </c>
      <c r="AR3556">
        <v>0</v>
      </c>
      <c r="AS3556">
        <v>0</v>
      </c>
      <c r="AT3556">
        <v>1</v>
      </c>
    </row>
    <row r="3557" spans="1:46">
      <c r="A3557">
        <v>52735</v>
      </c>
      <c r="B3557" t="s">
        <v>19566</v>
      </c>
      <c r="C3557" t="s">
        <v>19567</v>
      </c>
      <c r="E3557" t="s">
        <v>19568</v>
      </c>
      <c r="G3557" t="s">
        <v>1842</v>
      </c>
      <c r="H3557" t="s">
        <v>343</v>
      </c>
      <c r="J3557" t="s">
        <v>518</v>
      </c>
      <c r="K3557" t="s">
        <v>519</v>
      </c>
      <c r="L3557" t="s">
        <v>4205</v>
      </c>
      <c r="M3557" t="s">
        <v>1297</v>
      </c>
      <c r="N3557" t="s">
        <v>521</v>
      </c>
      <c r="O3557" t="s">
        <v>1887</v>
      </c>
      <c r="P3557" t="s">
        <v>584</v>
      </c>
      <c r="Q3557" t="s">
        <v>1636</v>
      </c>
      <c r="R3557" t="s">
        <v>1760</v>
      </c>
      <c r="S3557" t="s">
        <v>1842</v>
      </c>
      <c r="T3557" t="s">
        <v>1485</v>
      </c>
      <c r="U3557">
        <v>224600</v>
      </c>
      <c r="V3557" t="s">
        <v>19301</v>
      </c>
      <c r="W3557" t="s">
        <v>1652</v>
      </c>
      <c r="X3557" t="s">
        <v>9070</v>
      </c>
      <c r="Y3557" t="s">
        <v>4208</v>
      </c>
      <c r="Z3557" t="s">
        <v>4209</v>
      </c>
      <c r="AA3557" t="s">
        <v>4210</v>
      </c>
      <c r="AB3557" t="s">
        <v>9071</v>
      </c>
      <c r="AE3557">
        <v>-39.893831669999997</v>
      </c>
      <c r="AF3557">
        <v>175.08009716000001</v>
      </c>
      <c r="AG3557">
        <v>40</v>
      </c>
      <c r="AH3557">
        <v>10</v>
      </c>
      <c r="AI3557">
        <v>1</v>
      </c>
      <c r="AJ3557">
        <v>6</v>
      </c>
      <c r="AK3557">
        <v>5</v>
      </c>
      <c r="AL3557">
        <v>3</v>
      </c>
      <c r="AM3557">
        <v>6</v>
      </c>
      <c r="AN3557">
        <v>0</v>
      </c>
      <c r="AO3557">
        <v>21</v>
      </c>
      <c r="AP3557">
        <v>0</v>
      </c>
      <c r="AQ3557">
        <v>20</v>
      </c>
      <c r="AR3557">
        <v>0</v>
      </c>
      <c r="AS3557">
        <v>0</v>
      </c>
      <c r="AT3557">
        <v>1</v>
      </c>
    </row>
    <row r="3558" spans="1:46">
      <c r="A3558">
        <v>52737</v>
      </c>
      <c r="B3558" t="s">
        <v>19569</v>
      </c>
      <c r="C3558" t="s">
        <v>19570</v>
      </c>
      <c r="E3558" t="s">
        <v>19571</v>
      </c>
      <c r="G3558" t="s">
        <v>1842</v>
      </c>
      <c r="H3558" t="s">
        <v>343</v>
      </c>
      <c r="J3558" t="s">
        <v>518</v>
      </c>
      <c r="K3558" t="s">
        <v>519</v>
      </c>
      <c r="L3558" t="s">
        <v>4205</v>
      </c>
      <c r="M3558" t="s">
        <v>1297</v>
      </c>
      <c r="N3558" t="s">
        <v>727</v>
      </c>
      <c r="O3558" t="s">
        <v>1887</v>
      </c>
      <c r="P3558" t="s">
        <v>584</v>
      </c>
      <c r="Q3558" t="s">
        <v>1636</v>
      </c>
      <c r="R3558" t="s">
        <v>1760</v>
      </c>
      <c r="S3558" t="s">
        <v>1842</v>
      </c>
      <c r="T3558" t="s">
        <v>1485</v>
      </c>
      <c r="U3558">
        <v>223600</v>
      </c>
      <c r="V3558" t="s">
        <v>19541</v>
      </c>
      <c r="W3558" t="s">
        <v>1652</v>
      </c>
      <c r="X3558" t="s">
        <v>19572</v>
      </c>
      <c r="Y3558" t="s">
        <v>4208</v>
      </c>
      <c r="Z3558" t="s">
        <v>4209</v>
      </c>
      <c r="AA3558" t="s">
        <v>4210</v>
      </c>
      <c r="AB3558" t="s">
        <v>19573</v>
      </c>
      <c r="AE3558">
        <v>-39.937896600000002</v>
      </c>
      <c r="AF3558">
        <v>174.97917426999999</v>
      </c>
      <c r="AG3558">
        <v>42</v>
      </c>
      <c r="AH3558">
        <v>12</v>
      </c>
      <c r="AI3558">
        <v>3</v>
      </c>
      <c r="AJ3558">
        <v>7</v>
      </c>
      <c r="AK3558">
        <v>4</v>
      </c>
      <c r="AL3558">
        <v>4</v>
      </c>
      <c r="AM3558">
        <v>10</v>
      </c>
      <c r="AN3558">
        <v>0</v>
      </c>
      <c r="AO3558">
        <v>28</v>
      </c>
      <c r="AP3558">
        <v>0</v>
      </c>
      <c r="AQ3558">
        <v>25</v>
      </c>
      <c r="AR3558">
        <v>3</v>
      </c>
      <c r="AS3558">
        <v>0</v>
      </c>
      <c r="AT3558">
        <v>0</v>
      </c>
    </row>
    <row r="3559" spans="1:46">
      <c r="A3559">
        <v>52740</v>
      </c>
      <c r="B3559" t="s">
        <v>19574</v>
      </c>
      <c r="C3559" t="s">
        <v>19575</v>
      </c>
      <c r="E3559" t="s">
        <v>19576</v>
      </c>
      <c r="F3559" t="s">
        <v>1911</v>
      </c>
      <c r="G3559" t="s">
        <v>1842</v>
      </c>
      <c r="H3559" t="s">
        <v>343</v>
      </c>
      <c r="J3559" t="s">
        <v>518</v>
      </c>
      <c r="K3559" t="s">
        <v>519</v>
      </c>
      <c r="L3559" t="s">
        <v>4205</v>
      </c>
      <c r="M3559" t="s">
        <v>1297</v>
      </c>
      <c r="N3559" t="s">
        <v>521</v>
      </c>
      <c r="O3559" t="s">
        <v>1887</v>
      </c>
      <c r="P3559" t="s">
        <v>584</v>
      </c>
      <c r="Q3559" t="s">
        <v>1636</v>
      </c>
      <c r="R3559" t="s">
        <v>1760</v>
      </c>
      <c r="S3559" t="s">
        <v>1842</v>
      </c>
      <c r="T3559" t="s">
        <v>1485</v>
      </c>
      <c r="U3559">
        <v>225800</v>
      </c>
      <c r="V3559" t="s">
        <v>13229</v>
      </c>
      <c r="W3559" t="s">
        <v>1652</v>
      </c>
      <c r="X3559" t="s">
        <v>9070</v>
      </c>
      <c r="Y3559" t="s">
        <v>4208</v>
      </c>
      <c r="Z3559" t="s">
        <v>4209</v>
      </c>
      <c r="AA3559" t="s">
        <v>4210</v>
      </c>
      <c r="AB3559" t="s">
        <v>9071</v>
      </c>
      <c r="AE3559">
        <v>-39.944816369999998</v>
      </c>
      <c r="AF3559">
        <v>175.03107409</v>
      </c>
      <c r="AG3559">
        <v>35</v>
      </c>
      <c r="AH3559">
        <v>10</v>
      </c>
      <c r="AI3559">
        <v>1</v>
      </c>
      <c r="AJ3559">
        <v>3</v>
      </c>
      <c r="AK3559">
        <v>3</v>
      </c>
      <c r="AL3559">
        <v>3</v>
      </c>
      <c r="AM3559">
        <v>4</v>
      </c>
      <c r="AN3559">
        <v>0</v>
      </c>
      <c r="AO3559">
        <v>14</v>
      </c>
      <c r="AP3559">
        <v>0</v>
      </c>
      <c r="AQ3559">
        <v>14</v>
      </c>
      <c r="AR3559">
        <v>0</v>
      </c>
      <c r="AS3559">
        <v>0</v>
      </c>
      <c r="AT3559">
        <v>0</v>
      </c>
    </row>
    <row r="3560" spans="1:46">
      <c r="A3560">
        <v>52741</v>
      </c>
      <c r="B3560" t="s">
        <v>19577</v>
      </c>
      <c r="C3560" t="s">
        <v>19578</v>
      </c>
      <c r="E3560" t="s">
        <v>19579</v>
      </c>
      <c r="G3560" t="s">
        <v>2031</v>
      </c>
      <c r="H3560" t="s">
        <v>343</v>
      </c>
      <c r="J3560" t="s">
        <v>518</v>
      </c>
      <c r="K3560" t="s">
        <v>519</v>
      </c>
      <c r="L3560" t="s">
        <v>4205</v>
      </c>
      <c r="M3560" t="s">
        <v>1297</v>
      </c>
      <c r="N3560" t="s">
        <v>521</v>
      </c>
      <c r="O3560" t="s">
        <v>1967</v>
      </c>
      <c r="P3560" t="s">
        <v>523</v>
      </c>
      <c r="Q3560" t="s">
        <v>1636</v>
      </c>
      <c r="R3560" t="s">
        <v>1760</v>
      </c>
      <c r="S3560" t="s">
        <v>1637</v>
      </c>
      <c r="T3560" t="s">
        <v>1485</v>
      </c>
      <c r="U3560">
        <v>226701</v>
      </c>
      <c r="V3560" t="s">
        <v>3599</v>
      </c>
      <c r="W3560" t="s">
        <v>2033</v>
      </c>
      <c r="X3560" t="s">
        <v>9070</v>
      </c>
      <c r="Y3560" t="s">
        <v>4208</v>
      </c>
      <c r="Z3560" t="s">
        <v>4209</v>
      </c>
      <c r="AA3560" t="s">
        <v>4210</v>
      </c>
      <c r="AB3560" t="s">
        <v>9071</v>
      </c>
      <c r="AE3560">
        <v>-40.06985169</v>
      </c>
      <c r="AF3560">
        <v>175.37436928</v>
      </c>
      <c r="AG3560">
        <v>35</v>
      </c>
      <c r="AH3560">
        <v>10</v>
      </c>
      <c r="AI3560">
        <v>0</v>
      </c>
      <c r="AJ3560">
        <v>2</v>
      </c>
      <c r="AK3560">
        <v>4</v>
      </c>
      <c r="AL3560">
        <v>9</v>
      </c>
      <c r="AM3560">
        <v>4</v>
      </c>
      <c r="AN3560">
        <v>0</v>
      </c>
      <c r="AO3560">
        <v>19</v>
      </c>
      <c r="AP3560">
        <v>0</v>
      </c>
      <c r="AQ3560">
        <v>13</v>
      </c>
      <c r="AR3560">
        <v>6</v>
      </c>
      <c r="AS3560">
        <v>0</v>
      </c>
      <c r="AT3560">
        <v>0</v>
      </c>
    </row>
    <row r="3561" spans="1:46">
      <c r="A3561">
        <v>52745</v>
      </c>
      <c r="B3561" t="s">
        <v>19580</v>
      </c>
      <c r="C3561" t="s">
        <v>19581</v>
      </c>
      <c r="E3561" t="s">
        <v>19582</v>
      </c>
      <c r="G3561" t="s">
        <v>19583</v>
      </c>
      <c r="H3561" t="s">
        <v>343</v>
      </c>
      <c r="J3561" t="s">
        <v>518</v>
      </c>
      <c r="K3561" t="s">
        <v>519</v>
      </c>
      <c r="L3561" t="s">
        <v>4205</v>
      </c>
      <c r="M3561" t="s">
        <v>1297</v>
      </c>
      <c r="N3561" t="s">
        <v>727</v>
      </c>
      <c r="O3561" t="s">
        <v>1967</v>
      </c>
      <c r="P3561" t="s">
        <v>540</v>
      </c>
      <c r="Q3561" t="s">
        <v>1636</v>
      </c>
      <c r="R3561" t="s">
        <v>1760</v>
      </c>
      <c r="S3561" t="s">
        <v>1637</v>
      </c>
      <c r="T3561" t="s">
        <v>1485</v>
      </c>
      <c r="U3561">
        <v>226300</v>
      </c>
      <c r="V3561" t="s">
        <v>19584</v>
      </c>
      <c r="W3561" t="s">
        <v>1968</v>
      </c>
      <c r="X3561" t="s">
        <v>9070</v>
      </c>
      <c r="Y3561" t="s">
        <v>4208</v>
      </c>
      <c r="Z3561" t="s">
        <v>4209</v>
      </c>
      <c r="AA3561" t="s">
        <v>4210</v>
      </c>
      <c r="AB3561" t="s">
        <v>9071</v>
      </c>
      <c r="AE3561">
        <v>-40.037899850000002</v>
      </c>
      <c r="AF3561">
        <v>175.17839509999999</v>
      </c>
      <c r="AG3561">
        <v>26</v>
      </c>
      <c r="AH3561">
        <v>6</v>
      </c>
      <c r="AI3561">
        <v>1</v>
      </c>
      <c r="AJ3561">
        <v>1</v>
      </c>
      <c r="AK3561">
        <v>8</v>
      </c>
      <c r="AL3561">
        <v>5</v>
      </c>
      <c r="AM3561">
        <v>2</v>
      </c>
      <c r="AN3561">
        <v>0</v>
      </c>
      <c r="AO3561">
        <v>17</v>
      </c>
      <c r="AP3561">
        <v>0</v>
      </c>
      <c r="AQ3561">
        <v>17</v>
      </c>
      <c r="AR3561">
        <v>0</v>
      </c>
      <c r="AS3561">
        <v>0</v>
      </c>
      <c r="AT3561">
        <v>0</v>
      </c>
    </row>
    <row r="3562" spans="1:46">
      <c r="A3562">
        <v>52746</v>
      </c>
      <c r="B3562" t="s">
        <v>19585</v>
      </c>
      <c r="C3562" t="s">
        <v>19586</v>
      </c>
      <c r="E3562" t="s">
        <v>19587</v>
      </c>
      <c r="G3562" t="s">
        <v>2074</v>
      </c>
      <c r="H3562" t="s">
        <v>343</v>
      </c>
      <c r="J3562" t="s">
        <v>518</v>
      </c>
      <c r="K3562" t="s">
        <v>519</v>
      </c>
      <c r="L3562" t="s">
        <v>4205</v>
      </c>
      <c r="M3562" t="s">
        <v>1297</v>
      </c>
      <c r="N3562" t="s">
        <v>571</v>
      </c>
      <c r="O3562" t="s">
        <v>1967</v>
      </c>
      <c r="P3562" t="s">
        <v>523</v>
      </c>
      <c r="Q3562" t="s">
        <v>1636</v>
      </c>
      <c r="R3562" t="s">
        <v>1760</v>
      </c>
      <c r="S3562" t="s">
        <v>1637</v>
      </c>
      <c r="T3562" t="s">
        <v>1485</v>
      </c>
      <c r="U3562">
        <v>226500</v>
      </c>
      <c r="V3562" t="s">
        <v>2074</v>
      </c>
      <c r="W3562" t="s">
        <v>2075</v>
      </c>
      <c r="X3562" t="s">
        <v>9070</v>
      </c>
      <c r="Y3562" t="s">
        <v>4208</v>
      </c>
      <c r="Z3562" t="s">
        <v>4209</v>
      </c>
      <c r="AA3562" t="s">
        <v>4210</v>
      </c>
      <c r="AB3562" t="s">
        <v>9071</v>
      </c>
      <c r="AE3562">
        <v>-39.67484632</v>
      </c>
      <c r="AF3562">
        <v>175.80225515000001</v>
      </c>
      <c r="AG3562">
        <v>32</v>
      </c>
      <c r="AH3562">
        <v>12</v>
      </c>
      <c r="AI3562">
        <v>0</v>
      </c>
      <c r="AJ3562">
        <v>9</v>
      </c>
      <c r="AK3562">
        <v>5</v>
      </c>
      <c r="AL3562">
        <v>8</v>
      </c>
      <c r="AM3562">
        <v>9</v>
      </c>
      <c r="AN3562">
        <v>0</v>
      </c>
      <c r="AO3562">
        <v>31</v>
      </c>
      <c r="AP3562">
        <v>0</v>
      </c>
      <c r="AQ3562">
        <v>27</v>
      </c>
      <c r="AR3562">
        <v>1</v>
      </c>
      <c r="AS3562">
        <v>0</v>
      </c>
      <c r="AT3562">
        <v>3</v>
      </c>
    </row>
    <row r="3563" spans="1:46">
      <c r="A3563">
        <v>52747</v>
      </c>
      <c r="B3563" t="s">
        <v>19588</v>
      </c>
      <c r="C3563" t="s">
        <v>19589</v>
      </c>
      <c r="E3563" t="s">
        <v>19590</v>
      </c>
      <c r="G3563" t="s">
        <v>19139</v>
      </c>
      <c r="H3563" t="s">
        <v>343</v>
      </c>
      <c r="J3563" t="s">
        <v>518</v>
      </c>
      <c r="K3563" t="s">
        <v>519</v>
      </c>
      <c r="L3563" t="s">
        <v>4205</v>
      </c>
      <c r="M3563" t="s">
        <v>1297</v>
      </c>
      <c r="N3563" t="s">
        <v>521</v>
      </c>
      <c r="O3563" t="s">
        <v>1635</v>
      </c>
      <c r="P3563" t="s">
        <v>523</v>
      </c>
      <c r="Q3563" t="s">
        <v>1636</v>
      </c>
      <c r="R3563" t="s">
        <v>1760</v>
      </c>
      <c r="S3563" t="s">
        <v>1637</v>
      </c>
      <c r="T3563" t="s">
        <v>1485</v>
      </c>
      <c r="U3563">
        <v>223000</v>
      </c>
      <c r="V3563" t="s">
        <v>19139</v>
      </c>
      <c r="W3563" t="s">
        <v>1639</v>
      </c>
      <c r="X3563" t="s">
        <v>19591</v>
      </c>
      <c r="Y3563" t="s">
        <v>4208</v>
      </c>
      <c r="Z3563" t="s">
        <v>4209</v>
      </c>
      <c r="AA3563" t="s">
        <v>4210</v>
      </c>
      <c r="AE3563">
        <v>-39.428005560000003</v>
      </c>
      <c r="AF3563">
        <v>175.27790346</v>
      </c>
      <c r="AG3563">
        <v>25</v>
      </c>
      <c r="AH3563">
        <v>10</v>
      </c>
      <c r="AI3563">
        <v>0</v>
      </c>
      <c r="AJ3563">
        <v>4</v>
      </c>
      <c r="AK3563">
        <v>5</v>
      </c>
      <c r="AL3563">
        <v>2</v>
      </c>
      <c r="AM3563">
        <v>5</v>
      </c>
      <c r="AN3563">
        <v>0</v>
      </c>
      <c r="AO3563">
        <v>16</v>
      </c>
      <c r="AP3563">
        <v>0</v>
      </c>
      <c r="AQ3563">
        <v>12</v>
      </c>
      <c r="AR3563">
        <v>0</v>
      </c>
      <c r="AS3563">
        <v>0</v>
      </c>
      <c r="AT3563">
        <v>4</v>
      </c>
    </row>
    <row r="3564" spans="1:46">
      <c r="A3564">
        <v>52749</v>
      </c>
      <c r="B3564" t="s">
        <v>19592</v>
      </c>
      <c r="C3564" t="s">
        <v>19593</v>
      </c>
      <c r="E3564" t="s">
        <v>19594</v>
      </c>
      <c r="G3564" t="s">
        <v>19139</v>
      </c>
      <c r="H3564" t="s">
        <v>343</v>
      </c>
      <c r="J3564" t="s">
        <v>518</v>
      </c>
      <c r="K3564" t="s">
        <v>519</v>
      </c>
      <c r="L3564" t="s">
        <v>4205</v>
      </c>
      <c r="M3564" t="s">
        <v>1297</v>
      </c>
      <c r="N3564" t="s">
        <v>539</v>
      </c>
      <c r="O3564" t="s">
        <v>1635</v>
      </c>
      <c r="P3564" t="s">
        <v>523</v>
      </c>
      <c r="Q3564" t="s">
        <v>1636</v>
      </c>
      <c r="R3564" t="s">
        <v>1760</v>
      </c>
      <c r="S3564" t="s">
        <v>1637</v>
      </c>
      <c r="T3564" t="s">
        <v>1485</v>
      </c>
      <c r="U3564">
        <v>223000</v>
      </c>
      <c r="V3564" t="s">
        <v>19139</v>
      </c>
      <c r="W3564" t="s">
        <v>1639</v>
      </c>
      <c r="X3564" t="s">
        <v>9070</v>
      </c>
      <c r="Y3564" t="s">
        <v>4208</v>
      </c>
      <c r="Z3564" t="s">
        <v>4209</v>
      </c>
      <c r="AA3564" t="s">
        <v>4210</v>
      </c>
      <c r="AB3564" t="s">
        <v>9071</v>
      </c>
      <c r="AE3564">
        <v>-39.424864169999999</v>
      </c>
      <c r="AF3564">
        <v>175.26758348000001</v>
      </c>
      <c r="AG3564">
        <v>30</v>
      </c>
      <c r="AH3564">
        <v>10</v>
      </c>
      <c r="AI3564">
        <v>0</v>
      </c>
      <c r="AJ3564">
        <v>4</v>
      </c>
      <c r="AK3564">
        <v>7</v>
      </c>
      <c r="AL3564">
        <v>7</v>
      </c>
      <c r="AM3564">
        <v>1</v>
      </c>
      <c r="AN3564">
        <v>0</v>
      </c>
      <c r="AO3564">
        <v>19</v>
      </c>
      <c r="AP3564">
        <v>0</v>
      </c>
      <c r="AQ3564">
        <v>18</v>
      </c>
      <c r="AR3564">
        <v>1</v>
      </c>
      <c r="AS3564">
        <v>0</v>
      </c>
      <c r="AT3564">
        <v>0</v>
      </c>
    </row>
    <row r="3565" spans="1:46">
      <c r="A3565">
        <v>52750</v>
      </c>
      <c r="B3565" t="s">
        <v>19595</v>
      </c>
      <c r="C3565" t="s">
        <v>19596</v>
      </c>
      <c r="E3565" t="s">
        <v>19597</v>
      </c>
      <c r="G3565" t="s">
        <v>1926</v>
      </c>
      <c r="H3565" t="s">
        <v>343</v>
      </c>
      <c r="J3565" t="s">
        <v>518</v>
      </c>
      <c r="K3565" t="s">
        <v>519</v>
      </c>
      <c r="L3565" t="s">
        <v>4205</v>
      </c>
      <c r="M3565" t="s">
        <v>1297</v>
      </c>
      <c r="N3565" t="s">
        <v>727</v>
      </c>
      <c r="O3565" t="s">
        <v>1635</v>
      </c>
      <c r="P3565" t="s">
        <v>523</v>
      </c>
      <c r="Q3565" t="s">
        <v>1636</v>
      </c>
      <c r="R3565" t="s">
        <v>1760</v>
      </c>
      <c r="S3565" t="s">
        <v>1637</v>
      </c>
      <c r="T3565" t="s">
        <v>1485</v>
      </c>
      <c r="U3565">
        <v>223100</v>
      </c>
      <c r="V3565" t="s">
        <v>1927</v>
      </c>
      <c r="W3565" t="s">
        <v>1639</v>
      </c>
      <c r="X3565" t="s">
        <v>9070</v>
      </c>
      <c r="Y3565" t="s">
        <v>4208</v>
      </c>
      <c r="Z3565" t="s">
        <v>4209</v>
      </c>
      <c r="AA3565" t="s">
        <v>4210</v>
      </c>
      <c r="AB3565" t="s">
        <v>9071</v>
      </c>
      <c r="AE3565">
        <v>-39.41491465</v>
      </c>
      <c r="AF3565">
        <v>175.39125594000001</v>
      </c>
      <c r="AG3565">
        <v>40</v>
      </c>
      <c r="AH3565">
        <v>15</v>
      </c>
      <c r="AI3565">
        <v>0</v>
      </c>
      <c r="AJ3565">
        <v>8</v>
      </c>
      <c r="AK3565">
        <v>9</v>
      </c>
      <c r="AL3565">
        <v>7</v>
      </c>
      <c r="AM3565">
        <v>2</v>
      </c>
      <c r="AN3565">
        <v>0</v>
      </c>
      <c r="AO3565">
        <v>26</v>
      </c>
      <c r="AP3565">
        <v>0</v>
      </c>
      <c r="AQ3565">
        <v>23</v>
      </c>
      <c r="AR3565">
        <v>0</v>
      </c>
      <c r="AS3565">
        <v>0</v>
      </c>
      <c r="AT3565">
        <v>3</v>
      </c>
    </row>
    <row r="3566" spans="1:46">
      <c r="A3566">
        <v>52751</v>
      </c>
      <c r="B3566" t="s">
        <v>19598</v>
      </c>
      <c r="C3566" t="s">
        <v>19599</v>
      </c>
      <c r="E3566" t="s">
        <v>19600</v>
      </c>
      <c r="G3566" t="s">
        <v>2074</v>
      </c>
      <c r="H3566" t="s">
        <v>343</v>
      </c>
      <c r="J3566" t="s">
        <v>518</v>
      </c>
      <c r="K3566" t="s">
        <v>519</v>
      </c>
      <c r="L3566" t="s">
        <v>4205</v>
      </c>
      <c r="M3566" t="s">
        <v>1297</v>
      </c>
      <c r="N3566" t="s">
        <v>571</v>
      </c>
      <c r="O3566" t="s">
        <v>1967</v>
      </c>
      <c r="P3566" t="s">
        <v>523</v>
      </c>
      <c r="Q3566" t="s">
        <v>1636</v>
      </c>
      <c r="R3566" t="s">
        <v>1760</v>
      </c>
      <c r="S3566" t="s">
        <v>1637</v>
      </c>
      <c r="T3566" t="s">
        <v>1485</v>
      </c>
      <c r="U3566">
        <v>226500</v>
      </c>
      <c r="V3566" t="s">
        <v>2074</v>
      </c>
      <c r="W3566" t="s">
        <v>2075</v>
      </c>
      <c r="X3566" t="s">
        <v>19601</v>
      </c>
      <c r="Y3566" t="s">
        <v>4208</v>
      </c>
      <c r="Z3566" t="s">
        <v>4209</v>
      </c>
      <c r="AA3566" t="s">
        <v>4210</v>
      </c>
      <c r="AB3566" t="s">
        <v>19602</v>
      </c>
      <c r="AE3566">
        <v>-39.669230300000002</v>
      </c>
      <c r="AF3566">
        <v>175.796888</v>
      </c>
      <c r="AG3566">
        <v>30</v>
      </c>
      <c r="AH3566">
        <v>10</v>
      </c>
      <c r="AI3566">
        <v>1</v>
      </c>
      <c r="AJ3566">
        <v>3</v>
      </c>
      <c r="AK3566">
        <v>6</v>
      </c>
      <c r="AL3566">
        <v>4</v>
      </c>
      <c r="AM3566">
        <v>3</v>
      </c>
      <c r="AN3566">
        <v>0</v>
      </c>
      <c r="AO3566">
        <v>17</v>
      </c>
      <c r="AP3566">
        <v>0</v>
      </c>
      <c r="AQ3566">
        <v>13</v>
      </c>
      <c r="AR3566">
        <v>2</v>
      </c>
      <c r="AS3566">
        <v>0</v>
      </c>
      <c r="AT3566">
        <v>2</v>
      </c>
    </row>
    <row r="3567" spans="1:46">
      <c r="A3567">
        <v>52758</v>
      </c>
      <c r="B3567" t="s">
        <v>19603</v>
      </c>
      <c r="C3567" t="s">
        <v>19604</v>
      </c>
      <c r="D3567" t="s">
        <v>19605</v>
      </c>
      <c r="E3567" t="s">
        <v>19606</v>
      </c>
      <c r="F3567" t="s">
        <v>2049</v>
      </c>
      <c r="G3567" t="s">
        <v>1974</v>
      </c>
      <c r="H3567" t="s">
        <v>343</v>
      </c>
      <c r="J3567" t="s">
        <v>518</v>
      </c>
      <c r="K3567" t="s">
        <v>519</v>
      </c>
      <c r="L3567" t="s">
        <v>4205</v>
      </c>
      <c r="M3567" t="s">
        <v>2287</v>
      </c>
      <c r="N3567" t="s">
        <v>571</v>
      </c>
      <c r="O3567" t="s">
        <v>1956</v>
      </c>
      <c r="P3567" t="s">
        <v>584</v>
      </c>
      <c r="Q3567" t="s">
        <v>1636</v>
      </c>
      <c r="R3567" t="s">
        <v>2289</v>
      </c>
      <c r="S3567" t="s">
        <v>1974</v>
      </c>
      <c r="T3567" t="s">
        <v>1485</v>
      </c>
      <c r="U3567">
        <v>230800</v>
      </c>
      <c r="V3567" t="s">
        <v>2038</v>
      </c>
      <c r="W3567" t="s">
        <v>1957</v>
      </c>
      <c r="X3567" t="s">
        <v>10329</v>
      </c>
      <c r="Y3567" t="s">
        <v>4208</v>
      </c>
      <c r="Z3567" t="s">
        <v>4209</v>
      </c>
      <c r="AA3567" t="s">
        <v>4210</v>
      </c>
      <c r="AB3567" t="s">
        <v>10330</v>
      </c>
      <c r="AE3567">
        <v>-40.341179330000003</v>
      </c>
      <c r="AF3567">
        <v>175.63348151</v>
      </c>
      <c r="AG3567">
        <v>30</v>
      </c>
      <c r="AH3567">
        <v>10</v>
      </c>
      <c r="AI3567">
        <v>1</v>
      </c>
      <c r="AJ3567">
        <v>2</v>
      </c>
      <c r="AK3567">
        <v>5</v>
      </c>
      <c r="AL3567">
        <v>6</v>
      </c>
      <c r="AM3567">
        <v>3</v>
      </c>
      <c r="AN3567">
        <v>0</v>
      </c>
      <c r="AO3567">
        <v>17</v>
      </c>
      <c r="AP3567">
        <v>0</v>
      </c>
      <c r="AQ3567">
        <v>16</v>
      </c>
      <c r="AR3567">
        <v>1</v>
      </c>
      <c r="AS3567">
        <v>0</v>
      </c>
      <c r="AT3567">
        <v>0</v>
      </c>
    </row>
    <row r="3568" spans="1:46">
      <c r="A3568">
        <v>52759</v>
      </c>
      <c r="B3568" t="s">
        <v>19607</v>
      </c>
      <c r="C3568" t="s">
        <v>19608</v>
      </c>
      <c r="D3568" t="s">
        <v>19609</v>
      </c>
      <c r="E3568" t="s">
        <v>19610</v>
      </c>
      <c r="F3568" t="s">
        <v>2049</v>
      </c>
      <c r="G3568" t="s">
        <v>1974</v>
      </c>
      <c r="H3568" t="s">
        <v>343</v>
      </c>
      <c r="J3568" t="s">
        <v>518</v>
      </c>
      <c r="K3568" t="s">
        <v>519</v>
      </c>
      <c r="L3568" t="s">
        <v>4205</v>
      </c>
      <c r="M3568" t="s">
        <v>2287</v>
      </c>
      <c r="N3568" t="s">
        <v>571</v>
      </c>
      <c r="O3568" t="s">
        <v>1956</v>
      </c>
      <c r="P3568" t="s">
        <v>584</v>
      </c>
      <c r="Q3568" t="s">
        <v>1636</v>
      </c>
      <c r="R3568" t="s">
        <v>2289</v>
      </c>
      <c r="S3568" t="s">
        <v>1974</v>
      </c>
      <c r="T3568" t="s">
        <v>1485</v>
      </c>
      <c r="U3568">
        <v>230200</v>
      </c>
      <c r="V3568" t="s">
        <v>10390</v>
      </c>
      <c r="W3568" t="s">
        <v>1957</v>
      </c>
      <c r="X3568" t="s">
        <v>10329</v>
      </c>
      <c r="Y3568" t="s">
        <v>4208</v>
      </c>
      <c r="Z3568" t="s">
        <v>4209</v>
      </c>
      <c r="AA3568" t="s">
        <v>4210</v>
      </c>
      <c r="AB3568" t="s">
        <v>10330</v>
      </c>
      <c r="AE3568">
        <v>-40.335270379999997</v>
      </c>
      <c r="AF3568">
        <v>175.63396026000001</v>
      </c>
      <c r="AG3568">
        <v>38</v>
      </c>
      <c r="AH3568">
        <v>8</v>
      </c>
      <c r="AI3568">
        <v>0</v>
      </c>
      <c r="AJ3568">
        <v>4</v>
      </c>
      <c r="AK3568">
        <v>8</v>
      </c>
      <c r="AL3568">
        <v>6</v>
      </c>
      <c r="AM3568">
        <v>9</v>
      </c>
      <c r="AN3568">
        <v>0</v>
      </c>
      <c r="AO3568">
        <v>27</v>
      </c>
      <c r="AP3568">
        <v>0</v>
      </c>
      <c r="AQ3568">
        <v>26</v>
      </c>
      <c r="AR3568">
        <v>0</v>
      </c>
      <c r="AS3568">
        <v>0</v>
      </c>
      <c r="AT3568">
        <v>1</v>
      </c>
    </row>
    <row r="3569" spans="1:46">
      <c r="A3569">
        <v>52761</v>
      </c>
      <c r="B3569" t="s">
        <v>19611</v>
      </c>
      <c r="C3569" t="s">
        <v>19612</v>
      </c>
      <c r="D3569" t="s">
        <v>19613</v>
      </c>
      <c r="E3569" t="s">
        <v>19614</v>
      </c>
      <c r="G3569" t="s">
        <v>19024</v>
      </c>
      <c r="H3569" t="s">
        <v>343</v>
      </c>
      <c r="J3569" t="s">
        <v>518</v>
      </c>
      <c r="K3569" t="s">
        <v>519</v>
      </c>
      <c r="L3569" t="s">
        <v>4205</v>
      </c>
      <c r="M3569" t="s">
        <v>2287</v>
      </c>
      <c r="N3569" t="s">
        <v>521</v>
      </c>
      <c r="O3569" t="s">
        <v>2066</v>
      </c>
      <c r="P3569" t="s">
        <v>523</v>
      </c>
      <c r="Q3569" t="s">
        <v>1636</v>
      </c>
      <c r="R3569" t="s">
        <v>2289</v>
      </c>
      <c r="S3569" t="s">
        <v>1637</v>
      </c>
      <c r="T3569" t="s">
        <v>1485</v>
      </c>
      <c r="U3569">
        <v>235400</v>
      </c>
      <c r="V3569" t="s">
        <v>19024</v>
      </c>
      <c r="W3569" t="s">
        <v>19025</v>
      </c>
      <c r="X3569" t="s">
        <v>10329</v>
      </c>
      <c r="Y3569" t="s">
        <v>4208</v>
      </c>
      <c r="Z3569" t="s">
        <v>4209</v>
      </c>
      <c r="AA3569" t="s">
        <v>4210</v>
      </c>
      <c r="AB3569" t="s">
        <v>10330</v>
      </c>
      <c r="AE3569">
        <v>-40.553735779999997</v>
      </c>
      <c r="AF3569">
        <v>175.41893966000001</v>
      </c>
      <c r="AG3569">
        <v>26</v>
      </c>
      <c r="AH3569">
        <v>8</v>
      </c>
      <c r="AI3569">
        <v>1</v>
      </c>
      <c r="AJ3569">
        <v>2</v>
      </c>
      <c r="AK3569">
        <v>1</v>
      </c>
      <c r="AL3569">
        <v>4</v>
      </c>
      <c r="AM3569">
        <v>4</v>
      </c>
      <c r="AN3569">
        <v>0</v>
      </c>
      <c r="AO3569">
        <v>12</v>
      </c>
      <c r="AP3569">
        <v>0</v>
      </c>
      <c r="AQ3569">
        <v>10</v>
      </c>
      <c r="AR3569">
        <v>2</v>
      </c>
      <c r="AS3569">
        <v>0</v>
      </c>
      <c r="AT3569">
        <v>0</v>
      </c>
    </row>
    <row r="3570" spans="1:46">
      <c r="A3570">
        <v>52763</v>
      </c>
      <c r="B3570" t="s">
        <v>19615</v>
      </c>
      <c r="C3570" t="s">
        <v>19616</v>
      </c>
      <c r="D3570" t="s">
        <v>19617</v>
      </c>
      <c r="E3570" t="s">
        <v>19618</v>
      </c>
      <c r="G3570" t="s">
        <v>2725</v>
      </c>
      <c r="H3570" t="s">
        <v>343</v>
      </c>
      <c r="J3570" t="s">
        <v>518</v>
      </c>
      <c r="K3570" t="s">
        <v>519</v>
      </c>
      <c r="L3570" t="s">
        <v>4205</v>
      </c>
      <c r="M3570" t="s">
        <v>2287</v>
      </c>
      <c r="N3570" t="s">
        <v>4519</v>
      </c>
      <c r="O3570" t="s">
        <v>2066</v>
      </c>
      <c r="P3570" t="s">
        <v>572</v>
      </c>
      <c r="Q3570" t="s">
        <v>1636</v>
      </c>
      <c r="R3570" t="s">
        <v>2289</v>
      </c>
      <c r="S3570" t="s">
        <v>2067</v>
      </c>
      <c r="T3570" t="s">
        <v>1485</v>
      </c>
      <c r="U3570">
        <v>234001</v>
      </c>
      <c r="V3570" t="s">
        <v>19619</v>
      </c>
      <c r="W3570" t="s">
        <v>10412</v>
      </c>
      <c r="X3570" t="s">
        <v>10329</v>
      </c>
      <c r="Y3570" t="s">
        <v>4208</v>
      </c>
      <c r="Z3570" t="s">
        <v>4209</v>
      </c>
      <c r="AA3570" t="s">
        <v>4210</v>
      </c>
      <c r="AB3570" t="s">
        <v>10330</v>
      </c>
      <c r="AE3570">
        <v>-40.571484949999999</v>
      </c>
      <c r="AF3570">
        <v>175.33693769999999</v>
      </c>
      <c r="AG3570">
        <v>50</v>
      </c>
      <c r="AH3570">
        <v>10</v>
      </c>
      <c r="AI3570">
        <v>2</v>
      </c>
      <c r="AJ3570">
        <v>6</v>
      </c>
      <c r="AK3570">
        <v>8</v>
      </c>
      <c r="AL3570">
        <v>6</v>
      </c>
      <c r="AM3570">
        <v>5</v>
      </c>
      <c r="AN3570">
        <v>0</v>
      </c>
      <c r="AO3570">
        <v>27</v>
      </c>
      <c r="AP3570">
        <v>0</v>
      </c>
      <c r="AQ3570">
        <v>27</v>
      </c>
      <c r="AR3570">
        <v>0</v>
      </c>
      <c r="AS3570">
        <v>0</v>
      </c>
      <c r="AT3570">
        <v>0</v>
      </c>
    </row>
    <row r="3571" spans="1:46">
      <c r="A3571">
        <v>52771</v>
      </c>
      <c r="B3571" t="s">
        <v>19620</v>
      </c>
      <c r="C3571" t="s">
        <v>19621</v>
      </c>
      <c r="E3571" t="s">
        <v>19622</v>
      </c>
      <c r="G3571" t="s">
        <v>1857</v>
      </c>
      <c r="H3571" t="s">
        <v>343</v>
      </c>
      <c r="J3571" t="s">
        <v>518</v>
      </c>
      <c r="K3571" t="s">
        <v>519</v>
      </c>
      <c r="L3571" t="s">
        <v>4205</v>
      </c>
      <c r="M3571" t="s">
        <v>1297</v>
      </c>
      <c r="N3571" t="s">
        <v>539</v>
      </c>
      <c r="O3571" t="s">
        <v>1851</v>
      </c>
      <c r="P3571" t="s">
        <v>572</v>
      </c>
      <c r="Q3571" t="s">
        <v>1759</v>
      </c>
      <c r="R3571" t="s">
        <v>1760</v>
      </c>
      <c r="S3571" t="s">
        <v>1842</v>
      </c>
      <c r="T3571" t="s">
        <v>1485</v>
      </c>
      <c r="U3571">
        <v>221402</v>
      </c>
      <c r="V3571" t="s">
        <v>19623</v>
      </c>
      <c r="W3571" t="s">
        <v>1859</v>
      </c>
      <c r="X3571" t="s">
        <v>9070</v>
      </c>
      <c r="Y3571" t="s">
        <v>4208</v>
      </c>
      <c r="Z3571" t="s">
        <v>4209</v>
      </c>
      <c r="AA3571" t="s">
        <v>4210</v>
      </c>
      <c r="AB3571" t="s">
        <v>9071</v>
      </c>
      <c r="AE3571">
        <v>-39.576718730000003</v>
      </c>
      <c r="AF3571">
        <v>174.32182323000001</v>
      </c>
      <c r="AG3571">
        <v>41</v>
      </c>
      <c r="AH3571">
        <v>16</v>
      </c>
      <c r="AI3571">
        <v>1</v>
      </c>
      <c r="AJ3571">
        <v>4</v>
      </c>
      <c r="AK3571">
        <v>2</v>
      </c>
      <c r="AL3571">
        <v>4</v>
      </c>
      <c r="AM3571">
        <v>4</v>
      </c>
      <c r="AN3571">
        <v>0</v>
      </c>
      <c r="AO3571">
        <v>15</v>
      </c>
      <c r="AP3571">
        <v>0</v>
      </c>
      <c r="AQ3571">
        <v>14</v>
      </c>
      <c r="AR3571">
        <v>0</v>
      </c>
      <c r="AS3571">
        <v>0</v>
      </c>
      <c r="AT3571">
        <v>1</v>
      </c>
    </row>
    <row r="3572" spans="1:46">
      <c r="A3572">
        <v>52772</v>
      </c>
      <c r="B3572" t="s">
        <v>19624</v>
      </c>
      <c r="C3572" t="s">
        <v>19625</v>
      </c>
      <c r="E3572" t="s">
        <v>19626</v>
      </c>
      <c r="G3572" t="s">
        <v>19627</v>
      </c>
      <c r="H3572" t="s">
        <v>343</v>
      </c>
      <c r="J3572" t="s">
        <v>518</v>
      </c>
      <c r="K3572" t="s">
        <v>519</v>
      </c>
      <c r="L3572" t="s">
        <v>4205</v>
      </c>
      <c r="M3572" t="s">
        <v>1297</v>
      </c>
      <c r="N3572" t="s">
        <v>521</v>
      </c>
      <c r="O3572" t="s">
        <v>1851</v>
      </c>
      <c r="P3572" t="s">
        <v>572</v>
      </c>
      <c r="Q3572" t="s">
        <v>1759</v>
      </c>
      <c r="R3572" t="s">
        <v>1760</v>
      </c>
      <c r="S3572" t="s">
        <v>1842</v>
      </c>
      <c r="T3572" t="s">
        <v>1485</v>
      </c>
      <c r="U3572">
        <v>222101</v>
      </c>
      <c r="V3572" t="s">
        <v>19296</v>
      </c>
      <c r="W3572" t="s">
        <v>1872</v>
      </c>
      <c r="X3572" t="s">
        <v>19628</v>
      </c>
      <c r="Y3572" t="s">
        <v>4208</v>
      </c>
      <c r="Z3572" t="s">
        <v>4209</v>
      </c>
      <c r="AA3572" t="s">
        <v>4210</v>
      </c>
      <c r="AE3572">
        <v>-39.715865479999998</v>
      </c>
      <c r="AF3572">
        <v>174.4669317</v>
      </c>
      <c r="AG3572">
        <v>30</v>
      </c>
      <c r="AH3572">
        <v>15</v>
      </c>
      <c r="AI3572">
        <v>4</v>
      </c>
      <c r="AJ3572">
        <v>4</v>
      </c>
      <c r="AK3572">
        <v>11</v>
      </c>
      <c r="AL3572">
        <v>5</v>
      </c>
      <c r="AM3572">
        <v>6</v>
      </c>
      <c r="AN3572">
        <v>0</v>
      </c>
      <c r="AO3572">
        <v>30</v>
      </c>
      <c r="AP3572">
        <v>0</v>
      </c>
      <c r="AQ3572">
        <v>27</v>
      </c>
      <c r="AR3572">
        <v>2</v>
      </c>
      <c r="AS3572">
        <v>0</v>
      </c>
      <c r="AT3572">
        <v>1</v>
      </c>
    </row>
    <row r="3573" spans="1:46">
      <c r="A3573">
        <v>52781</v>
      </c>
      <c r="B3573" t="s">
        <v>19629</v>
      </c>
      <c r="C3573" t="s">
        <v>19630</v>
      </c>
      <c r="E3573" t="s">
        <v>19631</v>
      </c>
      <c r="G3573" t="s">
        <v>1842</v>
      </c>
      <c r="H3573" t="s">
        <v>343</v>
      </c>
      <c r="J3573" t="s">
        <v>518</v>
      </c>
      <c r="K3573" t="s">
        <v>519</v>
      </c>
      <c r="L3573" t="s">
        <v>4205</v>
      </c>
      <c r="M3573" t="s">
        <v>1297</v>
      </c>
      <c r="N3573" t="s">
        <v>727</v>
      </c>
      <c r="O3573" t="s">
        <v>1887</v>
      </c>
      <c r="P3573" t="s">
        <v>572</v>
      </c>
      <c r="Q3573" t="s">
        <v>1636</v>
      </c>
      <c r="R3573" t="s">
        <v>1760</v>
      </c>
      <c r="S3573" t="s">
        <v>1842</v>
      </c>
      <c r="T3573" t="s">
        <v>1485</v>
      </c>
      <c r="U3573">
        <v>223300</v>
      </c>
      <c r="V3573" t="s">
        <v>19554</v>
      </c>
      <c r="W3573" t="s">
        <v>1652</v>
      </c>
      <c r="X3573" t="s">
        <v>9070</v>
      </c>
      <c r="Y3573" t="s">
        <v>4208</v>
      </c>
      <c r="Z3573" t="s">
        <v>4209</v>
      </c>
      <c r="AA3573" t="s">
        <v>4210</v>
      </c>
      <c r="AB3573" t="s">
        <v>9071</v>
      </c>
      <c r="AE3573">
        <v>-39.656921140000001</v>
      </c>
      <c r="AF3573">
        <v>175.15711288</v>
      </c>
      <c r="AG3573">
        <v>40</v>
      </c>
      <c r="AH3573">
        <v>10</v>
      </c>
      <c r="AI3573">
        <v>2</v>
      </c>
      <c r="AJ3573">
        <v>2</v>
      </c>
      <c r="AK3573">
        <v>4</v>
      </c>
      <c r="AL3573">
        <v>0</v>
      </c>
      <c r="AM3573">
        <v>0</v>
      </c>
      <c r="AN3573">
        <v>0</v>
      </c>
      <c r="AO3573">
        <v>8</v>
      </c>
      <c r="AP3573">
        <v>0</v>
      </c>
      <c r="AQ3573">
        <v>6</v>
      </c>
      <c r="AR3573">
        <v>0</v>
      </c>
      <c r="AS3573">
        <v>0</v>
      </c>
      <c r="AT3573">
        <v>2</v>
      </c>
    </row>
    <row r="3574" spans="1:46">
      <c r="A3574">
        <v>52785</v>
      </c>
      <c r="B3574" t="s">
        <v>19632</v>
      </c>
      <c r="C3574" t="s">
        <v>19633</v>
      </c>
      <c r="E3574" t="s">
        <v>19634</v>
      </c>
      <c r="G3574" t="s">
        <v>18871</v>
      </c>
      <c r="H3574" t="s">
        <v>343</v>
      </c>
      <c r="J3574" t="s">
        <v>518</v>
      </c>
      <c r="K3574" t="s">
        <v>519</v>
      </c>
      <c r="L3574" t="s">
        <v>4205</v>
      </c>
      <c r="M3574" t="s">
        <v>1297</v>
      </c>
      <c r="N3574" t="s">
        <v>539</v>
      </c>
      <c r="O3574" t="s">
        <v>1851</v>
      </c>
      <c r="P3574" t="s">
        <v>523</v>
      </c>
      <c r="Q3574" t="s">
        <v>1759</v>
      </c>
      <c r="R3574" t="s">
        <v>1760</v>
      </c>
      <c r="S3574" t="s">
        <v>1757</v>
      </c>
      <c r="T3574" t="s">
        <v>1485</v>
      </c>
      <c r="U3574">
        <v>220700</v>
      </c>
      <c r="V3574" t="s">
        <v>18872</v>
      </c>
      <c r="W3574" t="s">
        <v>10368</v>
      </c>
      <c r="X3574" t="s">
        <v>9070</v>
      </c>
      <c r="Y3574" t="s">
        <v>4208</v>
      </c>
      <c r="Z3574" t="s">
        <v>4209</v>
      </c>
      <c r="AA3574" t="s">
        <v>4210</v>
      </c>
      <c r="AB3574" t="s">
        <v>9071</v>
      </c>
      <c r="AE3574">
        <v>-39.450039169999997</v>
      </c>
      <c r="AF3574">
        <v>173.84940126999999</v>
      </c>
      <c r="AG3574">
        <v>45</v>
      </c>
      <c r="AH3574">
        <v>12</v>
      </c>
      <c r="AI3574">
        <v>1</v>
      </c>
      <c r="AJ3574">
        <v>7</v>
      </c>
      <c r="AK3574">
        <v>9</v>
      </c>
      <c r="AL3574">
        <v>10</v>
      </c>
      <c r="AM3574">
        <v>6</v>
      </c>
      <c r="AN3574">
        <v>0</v>
      </c>
      <c r="AO3574">
        <v>33</v>
      </c>
      <c r="AP3574">
        <v>0</v>
      </c>
      <c r="AQ3574">
        <v>31</v>
      </c>
      <c r="AR3574">
        <v>0</v>
      </c>
      <c r="AS3574">
        <v>0</v>
      </c>
      <c r="AT3574">
        <v>2</v>
      </c>
    </row>
    <row r="3575" spans="1:46">
      <c r="A3575">
        <v>52786</v>
      </c>
      <c r="B3575" t="s">
        <v>19635</v>
      </c>
      <c r="C3575" t="s">
        <v>19636</v>
      </c>
      <c r="E3575" t="s">
        <v>19637</v>
      </c>
      <c r="G3575" t="s">
        <v>1842</v>
      </c>
      <c r="H3575" t="s">
        <v>343</v>
      </c>
      <c r="J3575" t="s">
        <v>518</v>
      </c>
      <c r="K3575" t="s">
        <v>519</v>
      </c>
      <c r="L3575" t="s">
        <v>4205</v>
      </c>
      <c r="M3575" t="s">
        <v>1297</v>
      </c>
      <c r="N3575" t="s">
        <v>521</v>
      </c>
      <c r="O3575" t="s">
        <v>1887</v>
      </c>
      <c r="P3575" t="s">
        <v>584</v>
      </c>
      <c r="Q3575" t="s">
        <v>1636</v>
      </c>
      <c r="R3575" t="s">
        <v>1760</v>
      </c>
      <c r="S3575" t="s">
        <v>1842</v>
      </c>
      <c r="T3575" t="s">
        <v>1485</v>
      </c>
      <c r="U3575">
        <v>224800</v>
      </c>
      <c r="V3575" t="s">
        <v>1905</v>
      </c>
      <c r="W3575" t="s">
        <v>1652</v>
      </c>
      <c r="X3575" t="s">
        <v>9070</v>
      </c>
      <c r="Y3575" t="s">
        <v>4208</v>
      </c>
      <c r="Z3575" t="s">
        <v>4209</v>
      </c>
      <c r="AA3575" t="s">
        <v>4210</v>
      </c>
      <c r="AB3575" t="s">
        <v>9071</v>
      </c>
      <c r="AE3575">
        <v>-39.924920100000001</v>
      </c>
      <c r="AF3575">
        <v>175.04521757000001</v>
      </c>
      <c r="AG3575">
        <v>43</v>
      </c>
      <c r="AH3575">
        <v>15</v>
      </c>
      <c r="AI3575">
        <v>0</v>
      </c>
      <c r="AJ3575">
        <v>5</v>
      </c>
      <c r="AK3575">
        <v>2</v>
      </c>
      <c r="AL3575">
        <v>6</v>
      </c>
      <c r="AM3575">
        <v>14</v>
      </c>
      <c r="AN3575">
        <v>0</v>
      </c>
      <c r="AO3575">
        <v>27</v>
      </c>
      <c r="AP3575">
        <v>0</v>
      </c>
      <c r="AQ3575">
        <v>27</v>
      </c>
      <c r="AR3575">
        <v>0</v>
      </c>
      <c r="AS3575">
        <v>0</v>
      </c>
      <c r="AT3575">
        <v>0</v>
      </c>
    </row>
    <row r="3576" spans="1:46">
      <c r="A3576">
        <v>52792</v>
      </c>
      <c r="B3576" t="s">
        <v>19638</v>
      </c>
      <c r="C3576" t="s">
        <v>19639</v>
      </c>
      <c r="D3576" t="s">
        <v>19640</v>
      </c>
      <c r="E3576" t="s">
        <v>19641</v>
      </c>
      <c r="G3576" t="s">
        <v>1987</v>
      </c>
      <c r="H3576" t="s">
        <v>343</v>
      </c>
      <c r="J3576" t="s">
        <v>518</v>
      </c>
      <c r="K3576" t="s">
        <v>519</v>
      </c>
      <c r="L3576" t="s">
        <v>4205</v>
      </c>
      <c r="M3576" t="s">
        <v>2287</v>
      </c>
      <c r="N3576" t="s">
        <v>539</v>
      </c>
      <c r="O3576" t="s">
        <v>1988</v>
      </c>
      <c r="P3576" t="s">
        <v>1262</v>
      </c>
      <c r="Q3576" t="s">
        <v>1636</v>
      </c>
      <c r="R3576" t="s">
        <v>2289</v>
      </c>
      <c r="S3576" t="s">
        <v>1637</v>
      </c>
      <c r="T3576" t="s">
        <v>1485</v>
      </c>
      <c r="U3576">
        <v>228400</v>
      </c>
      <c r="V3576" t="s">
        <v>12551</v>
      </c>
      <c r="W3576" t="s">
        <v>1990</v>
      </c>
      <c r="X3576" t="s">
        <v>10329</v>
      </c>
      <c r="Y3576" t="s">
        <v>4208</v>
      </c>
      <c r="Z3576" t="s">
        <v>4209</v>
      </c>
      <c r="AA3576" t="s">
        <v>4210</v>
      </c>
      <c r="AB3576" t="s">
        <v>10330</v>
      </c>
      <c r="AE3576">
        <v>-40.233771859999997</v>
      </c>
      <c r="AF3576">
        <v>175.57721806000001</v>
      </c>
      <c r="AG3576">
        <v>36</v>
      </c>
      <c r="AH3576">
        <v>7</v>
      </c>
      <c r="AI3576">
        <v>0</v>
      </c>
      <c r="AJ3576">
        <v>7</v>
      </c>
      <c r="AK3576">
        <v>8</v>
      </c>
      <c r="AL3576">
        <v>8</v>
      </c>
      <c r="AM3576">
        <v>8</v>
      </c>
      <c r="AN3576">
        <v>0</v>
      </c>
      <c r="AO3576">
        <v>31</v>
      </c>
      <c r="AP3576">
        <v>0</v>
      </c>
      <c r="AQ3576">
        <v>31</v>
      </c>
      <c r="AR3576">
        <v>0</v>
      </c>
      <c r="AS3576">
        <v>0</v>
      </c>
      <c r="AT3576">
        <v>0</v>
      </c>
    </row>
    <row r="3577" spans="1:46">
      <c r="A3577">
        <v>52794</v>
      </c>
      <c r="B3577" t="s">
        <v>19642</v>
      </c>
      <c r="C3577" t="s">
        <v>19643</v>
      </c>
      <c r="E3577" t="s">
        <v>19644</v>
      </c>
      <c r="G3577" t="s">
        <v>1842</v>
      </c>
      <c r="H3577" t="s">
        <v>343</v>
      </c>
      <c r="J3577" t="s">
        <v>518</v>
      </c>
      <c r="K3577" t="s">
        <v>519</v>
      </c>
      <c r="L3577" t="s">
        <v>4205</v>
      </c>
      <c r="M3577" t="s">
        <v>1297</v>
      </c>
      <c r="N3577" t="s">
        <v>727</v>
      </c>
      <c r="O3577" t="s">
        <v>1967</v>
      </c>
      <c r="P3577" t="s">
        <v>572</v>
      </c>
      <c r="Q3577" t="s">
        <v>1636</v>
      </c>
      <c r="R3577" t="s">
        <v>1760</v>
      </c>
      <c r="S3577" t="s">
        <v>1637</v>
      </c>
      <c r="T3577" t="s">
        <v>1485</v>
      </c>
      <c r="U3577">
        <v>226300</v>
      </c>
      <c r="V3577" t="s">
        <v>19584</v>
      </c>
      <c r="W3577" t="s">
        <v>1968</v>
      </c>
      <c r="X3577" t="s">
        <v>9070</v>
      </c>
      <c r="Y3577" t="s">
        <v>4208</v>
      </c>
      <c r="Z3577" t="s">
        <v>4209</v>
      </c>
      <c r="AA3577" t="s">
        <v>4210</v>
      </c>
      <c r="AB3577" t="s">
        <v>9071</v>
      </c>
      <c r="AE3577">
        <v>-40.012891920000001</v>
      </c>
      <c r="AF3577">
        <v>175.16357123</v>
      </c>
      <c r="AG3577">
        <v>37</v>
      </c>
      <c r="AH3577">
        <v>18</v>
      </c>
      <c r="AI3577">
        <v>3</v>
      </c>
      <c r="AJ3577">
        <v>6</v>
      </c>
      <c r="AK3577">
        <v>9</v>
      </c>
      <c r="AL3577">
        <v>10</v>
      </c>
      <c r="AM3577">
        <v>8</v>
      </c>
      <c r="AN3577">
        <v>0</v>
      </c>
      <c r="AO3577">
        <v>36</v>
      </c>
      <c r="AP3577">
        <v>0</v>
      </c>
      <c r="AQ3577">
        <v>36</v>
      </c>
      <c r="AR3577">
        <v>0</v>
      </c>
      <c r="AS3577">
        <v>0</v>
      </c>
      <c r="AT3577">
        <v>0</v>
      </c>
    </row>
    <row r="3578" spans="1:46">
      <c r="A3578">
        <v>52796</v>
      </c>
      <c r="B3578" t="s">
        <v>19645</v>
      </c>
      <c r="C3578" t="s">
        <v>19646</v>
      </c>
      <c r="D3578" t="s">
        <v>19647</v>
      </c>
      <c r="E3578" t="s">
        <v>19648</v>
      </c>
      <c r="F3578" t="s">
        <v>2049</v>
      </c>
      <c r="G3578" t="s">
        <v>1974</v>
      </c>
      <c r="H3578" t="s">
        <v>343</v>
      </c>
      <c r="J3578" t="s">
        <v>518</v>
      </c>
      <c r="K3578" t="s">
        <v>519</v>
      </c>
      <c r="L3578" t="s">
        <v>4205</v>
      </c>
      <c r="M3578" t="s">
        <v>2287</v>
      </c>
      <c r="N3578" t="s">
        <v>557</v>
      </c>
      <c r="O3578" t="s">
        <v>1956</v>
      </c>
      <c r="P3578" t="s">
        <v>584</v>
      </c>
      <c r="Q3578" t="s">
        <v>1636</v>
      </c>
      <c r="R3578" t="s">
        <v>2289</v>
      </c>
      <c r="S3578" t="s">
        <v>1974</v>
      </c>
      <c r="T3578" t="s">
        <v>1485</v>
      </c>
      <c r="U3578">
        <v>230800</v>
      </c>
      <c r="V3578" t="s">
        <v>2038</v>
      </c>
      <c r="W3578" t="s">
        <v>1957</v>
      </c>
      <c r="X3578" t="s">
        <v>10329</v>
      </c>
      <c r="Y3578" t="s">
        <v>4208</v>
      </c>
      <c r="Z3578" t="s">
        <v>4209</v>
      </c>
      <c r="AA3578" t="s">
        <v>4210</v>
      </c>
      <c r="AB3578" t="s">
        <v>10330</v>
      </c>
      <c r="AE3578">
        <v>-40.345693070000003</v>
      </c>
      <c r="AF3578">
        <v>175.62859961000001</v>
      </c>
      <c r="AG3578">
        <v>24</v>
      </c>
      <c r="AH3578">
        <v>6</v>
      </c>
      <c r="AI3578">
        <v>0</v>
      </c>
      <c r="AJ3578">
        <v>3</v>
      </c>
      <c r="AK3578">
        <v>5</v>
      </c>
      <c r="AL3578">
        <v>7</v>
      </c>
      <c r="AM3578">
        <v>2</v>
      </c>
      <c r="AN3578">
        <v>0</v>
      </c>
      <c r="AO3578">
        <v>17</v>
      </c>
      <c r="AP3578">
        <v>0</v>
      </c>
      <c r="AQ3578">
        <v>16</v>
      </c>
      <c r="AR3578">
        <v>1</v>
      </c>
      <c r="AS3578">
        <v>0</v>
      </c>
      <c r="AT3578">
        <v>0</v>
      </c>
    </row>
    <row r="3579" spans="1:46">
      <c r="A3579">
        <v>55001</v>
      </c>
      <c r="B3579" t="s">
        <v>19649</v>
      </c>
      <c r="C3579" t="s">
        <v>19650</v>
      </c>
      <c r="D3579" t="s">
        <v>19651</v>
      </c>
      <c r="E3579" t="s">
        <v>19652</v>
      </c>
      <c r="F3579" t="s">
        <v>2097</v>
      </c>
      <c r="G3579" t="s">
        <v>2081</v>
      </c>
      <c r="H3579" t="s">
        <v>3942</v>
      </c>
      <c r="J3579" t="s">
        <v>518</v>
      </c>
      <c r="K3579" t="s">
        <v>519</v>
      </c>
      <c r="M3579" t="s">
        <v>1297</v>
      </c>
      <c r="N3579" t="s">
        <v>571</v>
      </c>
      <c r="O3579" t="s">
        <v>2082</v>
      </c>
      <c r="P3579" t="s">
        <v>584</v>
      </c>
      <c r="Q3579" t="s">
        <v>2083</v>
      </c>
      <c r="R3579" t="s">
        <v>2084</v>
      </c>
      <c r="S3579" t="s">
        <v>1473</v>
      </c>
      <c r="T3579" t="s">
        <v>2085</v>
      </c>
      <c r="U3579">
        <v>206200</v>
      </c>
      <c r="V3579" t="s">
        <v>2098</v>
      </c>
      <c r="W3579" t="s">
        <v>2087</v>
      </c>
      <c r="X3579" t="s">
        <v>19653</v>
      </c>
      <c r="Y3579" t="s">
        <v>19652</v>
      </c>
      <c r="Z3579" t="s">
        <v>2097</v>
      </c>
      <c r="AA3579" t="s">
        <v>10864</v>
      </c>
      <c r="AB3579" t="s">
        <v>19650</v>
      </c>
      <c r="AC3579">
        <v>99082</v>
      </c>
      <c r="AD3579" t="s">
        <v>2092</v>
      </c>
      <c r="AE3579">
        <v>-38.651166250000003</v>
      </c>
      <c r="AF3579">
        <v>178.02166122</v>
      </c>
      <c r="AG3579">
        <v>54</v>
      </c>
      <c r="AH3579">
        <v>0</v>
      </c>
      <c r="AI3579">
        <v>0</v>
      </c>
      <c r="AJ3579">
        <v>0</v>
      </c>
      <c r="AK3579">
        <v>9</v>
      </c>
      <c r="AL3579">
        <v>22</v>
      </c>
      <c r="AM3579">
        <v>12</v>
      </c>
      <c r="AN3579">
        <v>1</v>
      </c>
      <c r="AO3579">
        <v>44</v>
      </c>
      <c r="AP3579">
        <v>34</v>
      </c>
      <c r="AQ3579">
        <v>16</v>
      </c>
      <c r="AR3579">
        <v>1</v>
      </c>
      <c r="AS3579">
        <v>6</v>
      </c>
      <c r="AT3579">
        <v>0</v>
      </c>
    </row>
    <row r="3580" spans="1:46">
      <c r="A3580">
        <v>55002</v>
      </c>
      <c r="B3580" t="s">
        <v>19654</v>
      </c>
      <c r="C3580" t="s">
        <v>19655</v>
      </c>
      <c r="D3580" t="s">
        <v>19656</v>
      </c>
      <c r="E3580" t="s">
        <v>19657</v>
      </c>
      <c r="G3580" t="s">
        <v>2116</v>
      </c>
      <c r="H3580" t="s">
        <v>3942</v>
      </c>
      <c r="J3580" t="s">
        <v>518</v>
      </c>
      <c r="K3580" t="s">
        <v>519</v>
      </c>
      <c r="M3580" t="s">
        <v>1297</v>
      </c>
      <c r="N3580" t="s">
        <v>557</v>
      </c>
      <c r="O3580" t="s">
        <v>2117</v>
      </c>
      <c r="P3580" t="s">
        <v>523</v>
      </c>
      <c r="Q3580" t="s">
        <v>2118</v>
      </c>
      <c r="R3580" t="s">
        <v>2084</v>
      </c>
      <c r="S3580" t="s">
        <v>2119</v>
      </c>
      <c r="T3580" t="s">
        <v>2085</v>
      </c>
      <c r="U3580">
        <v>207800</v>
      </c>
      <c r="V3580" t="s">
        <v>2116</v>
      </c>
      <c r="W3580" t="s">
        <v>565</v>
      </c>
      <c r="X3580" t="s">
        <v>19658</v>
      </c>
      <c r="Y3580" t="s">
        <v>19657</v>
      </c>
      <c r="Z3580" t="s">
        <v>2116</v>
      </c>
      <c r="AA3580" t="s">
        <v>19659</v>
      </c>
      <c r="AB3580" t="s">
        <v>19660</v>
      </c>
      <c r="AC3580">
        <v>99091</v>
      </c>
      <c r="AD3580" t="s">
        <v>2125</v>
      </c>
      <c r="AE3580">
        <v>-39.033925799999999</v>
      </c>
      <c r="AF3580">
        <v>177.42517988</v>
      </c>
      <c r="AG3580">
        <v>44</v>
      </c>
      <c r="AH3580">
        <v>10</v>
      </c>
      <c r="AI3580">
        <v>0</v>
      </c>
      <c r="AJ3580">
        <v>0</v>
      </c>
      <c r="AK3580">
        <v>2</v>
      </c>
      <c r="AL3580">
        <v>23</v>
      </c>
      <c r="AM3580">
        <v>11</v>
      </c>
      <c r="AN3580">
        <v>0</v>
      </c>
      <c r="AO3580">
        <v>36</v>
      </c>
      <c r="AP3580">
        <v>20</v>
      </c>
      <c r="AQ3580">
        <v>24</v>
      </c>
      <c r="AR3580">
        <v>2</v>
      </c>
      <c r="AS3580">
        <v>1</v>
      </c>
      <c r="AT3580">
        <v>1</v>
      </c>
    </row>
    <row r="3581" spans="1:46">
      <c r="A3581">
        <v>55003</v>
      </c>
      <c r="B3581" t="s">
        <v>19661</v>
      </c>
      <c r="C3581" t="s">
        <v>19662</v>
      </c>
      <c r="D3581" t="s">
        <v>19663</v>
      </c>
      <c r="E3581" t="s">
        <v>19664</v>
      </c>
      <c r="F3581" t="s">
        <v>16320</v>
      </c>
      <c r="G3581" t="s">
        <v>2081</v>
      </c>
      <c r="H3581" t="s">
        <v>3942</v>
      </c>
      <c r="I3581" t="s">
        <v>3953</v>
      </c>
      <c r="J3581" t="s">
        <v>518</v>
      </c>
      <c r="K3581" t="s">
        <v>519</v>
      </c>
      <c r="M3581" t="s">
        <v>1297</v>
      </c>
      <c r="N3581" t="s">
        <v>557</v>
      </c>
      <c r="O3581" t="s">
        <v>2082</v>
      </c>
      <c r="P3581" t="s">
        <v>584</v>
      </c>
      <c r="Q3581" t="s">
        <v>2083</v>
      </c>
      <c r="R3581" t="s">
        <v>2084</v>
      </c>
      <c r="S3581" t="s">
        <v>1473</v>
      </c>
      <c r="T3581" t="s">
        <v>2085</v>
      </c>
      <c r="U3581">
        <v>206801</v>
      </c>
      <c r="V3581" t="s">
        <v>16321</v>
      </c>
      <c r="W3581" t="s">
        <v>2087</v>
      </c>
      <c r="X3581" t="s">
        <v>19665</v>
      </c>
      <c r="Y3581" t="s">
        <v>19664</v>
      </c>
      <c r="Z3581" t="s">
        <v>2081</v>
      </c>
      <c r="AA3581" t="s">
        <v>10864</v>
      </c>
      <c r="AB3581" t="s">
        <v>19666</v>
      </c>
      <c r="AC3581">
        <v>99082</v>
      </c>
      <c r="AD3581" t="s">
        <v>2092</v>
      </c>
      <c r="AE3581">
        <v>-38.663390980000003</v>
      </c>
      <c r="AF3581">
        <v>178.02508463000001</v>
      </c>
      <c r="AG3581">
        <v>35</v>
      </c>
      <c r="AH3581">
        <v>10</v>
      </c>
      <c r="AI3581">
        <v>0</v>
      </c>
      <c r="AJ3581">
        <v>8</v>
      </c>
      <c r="AK3581">
        <v>8</v>
      </c>
      <c r="AL3581">
        <v>16</v>
      </c>
      <c r="AM3581">
        <v>7</v>
      </c>
      <c r="AN3581">
        <v>0</v>
      </c>
      <c r="AO3581">
        <v>39</v>
      </c>
      <c r="AP3581">
        <v>27</v>
      </c>
      <c r="AQ3581">
        <v>16</v>
      </c>
      <c r="AR3581">
        <v>3</v>
      </c>
      <c r="AS3581">
        <v>4</v>
      </c>
      <c r="AT3581">
        <v>1</v>
      </c>
    </row>
    <row r="3582" spans="1:46">
      <c r="A3582">
        <v>55004</v>
      </c>
      <c r="B3582" t="s">
        <v>19667</v>
      </c>
      <c r="C3582" t="s">
        <v>19668</v>
      </c>
      <c r="D3582" t="s">
        <v>19669</v>
      </c>
      <c r="E3582" t="s">
        <v>19670</v>
      </c>
      <c r="G3582" t="s">
        <v>2081</v>
      </c>
      <c r="H3582" t="s">
        <v>3942</v>
      </c>
      <c r="J3582" t="s">
        <v>518</v>
      </c>
      <c r="K3582" t="s">
        <v>519</v>
      </c>
      <c r="M3582" t="s">
        <v>1297</v>
      </c>
      <c r="N3582" t="s">
        <v>571</v>
      </c>
      <c r="O3582" t="s">
        <v>2082</v>
      </c>
      <c r="P3582" t="s">
        <v>584</v>
      </c>
      <c r="Q3582" t="s">
        <v>2083</v>
      </c>
      <c r="R3582" t="s">
        <v>2084</v>
      </c>
      <c r="S3582" t="s">
        <v>1473</v>
      </c>
      <c r="T3582" t="s">
        <v>2085</v>
      </c>
      <c r="U3582">
        <v>206801</v>
      </c>
      <c r="V3582" t="s">
        <v>16321</v>
      </c>
      <c r="W3582" t="s">
        <v>2087</v>
      </c>
      <c r="X3582" t="s">
        <v>19671</v>
      </c>
      <c r="Y3582" t="s">
        <v>19672</v>
      </c>
      <c r="Z3582" t="s">
        <v>2081</v>
      </c>
      <c r="AA3582" t="s">
        <v>2090</v>
      </c>
      <c r="AB3582" t="s">
        <v>19673</v>
      </c>
      <c r="AC3582">
        <v>99082</v>
      </c>
      <c r="AD3582" t="s">
        <v>2092</v>
      </c>
      <c r="AE3582">
        <v>-38.664794749999999</v>
      </c>
      <c r="AF3582">
        <v>178.02698770000001</v>
      </c>
      <c r="AG3582">
        <v>55</v>
      </c>
      <c r="AH3582">
        <v>25</v>
      </c>
      <c r="AI3582">
        <v>1</v>
      </c>
      <c r="AJ3582">
        <v>8</v>
      </c>
      <c r="AK3582">
        <v>19</v>
      </c>
      <c r="AL3582">
        <v>12</v>
      </c>
      <c r="AM3582">
        <v>12</v>
      </c>
      <c r="AN3582">
        <v>2</v>
      </c>
      <c r="AO3582">
        <v>54</v>
      </c>
      <c r="AP3582">
        <v>42</v>
      </c>
      <c r="AQ3582">
        <v>23</v>
      </c>
      <c r="AR3582">
        <v>1</v>
      </c>
      <c r="AS3582">
        <v>6</v>
      </c>
      <c r="AT3582">
        <v>3</v>
      </c>
    </row>
    <row r="3583" spans="1:46">
      <c r="A3583">
        <v>55005</v>
      </c>
      <c r="B3583" t="s">
        <v>19674</v>
      </c>
      <c r="C3583" t="s">
        <v>19675</v>
      </c>
      <c r="D3583" t="s">
        <v>19676</v>
      </c>
      <c r="E3583" t="s">
        <v>19677</v>
      </c>
      <c r="F3583" t="s">
        <v>2097</v>
      </c>
      <c r="G3583" t="s">
        <v>2081</v>
      </c>
      <c r="H3583" t="s">
        <v>3942</v>
      </c>
      <c r="J3583" t="s">
        <v>518</v>
      </c>
      <c r="K3583" t="s">
        <v>519</v>
      </c>
      <c r="M3583" t="s">
        <v>1297</v>
      </c>
      <c r="N3583" t="s">
        <v>571</v>
      </c>
      <c r="O3583" t="s">
        <v>2082</v>
      </c>
      <c r="P3583" t="s">
        <v>584</v>
      </c>
      <c r="Q3583" t="s">
        <v>2083</v>
      </c>
      <c r="R3583" t="s">
        <v>2084</v>
      </c>
      <c r="S3583" t="s">
        <v>1473</v>
      </c>
      <c r="T3583" t="s">
        <v>2085</v>
      </c>
      <c r="U3583">
        <v>205500</v>
      </c>
      <c r="V3583" t="s">
        <v>11676</v>
      </c>
      <c r="W3583" t="s">
        <v>2087</v>
      </c>
      <c r="X3583" t="s">
        <v>19678</v>
      </c>
      <c r="Y3583" t="s">
        <v>19677</v>
      </c>
      <c r="Z3583" t="s">
        <v>2081</v>
      </c>
      <c r="AA3583" t="s">
        <v>10864</v>
      </c>
      <c r="AB3583" t="s">
        <v>19679</v>
      </c>
      <c r="AC3583">
        <v>99082</v>
      </c>
      <c r="AD3583" t="s">
        <v>2092</v>
      </c>
      <c r="AE3583">
        <v>-38.638009500000003</v>
      </c>
      <c r="AF3583">
        <v>178.00210329999999</v>
      </c>
      <c r="AG3583">
        <v>40</v>
      </c>
      <c r="AH3583">
        <v>12</v>
      </c>
      <c r="AI3583">
        <v>2</v>
      </c>
      <c r="AJ3583">
        <v>12</v>
      </c>
      <c r="AK3583">
        <v>11</v>
      </c>
      <c r="AL3583">
        <v>18</v>
      </c>
      <c r="AM3583">
        <v>9</v>
      </c>
      <c r="AN3583">
        <v>0</v>
      </c>
      <c r="AO3583">
        <v>52</v>
      </c>
      <c r="AP3583">
        <v>26</v>
      </c>
      <c r="AQ3583">
        <v>15</v>
      </c>
      <c r="AR3583">
        <v>1</v>
      </c>
      <c r="AS3583">
        <v>15</v>
      </c>
      <c r="AT3583">
        <v>9</v>
      </c>
    </row>
    <row r="3584" spans="1:46">
      <c r="A3584">
        <v>55008</v>
      </c>
      <c r="B3584" t="s">
        <v>19680</v>
      </c>
      <c r="C3584" t="s">
        <v>19681</v>
      </c>
      <c r="D3584" t="s">
        <v>19682</v>
      </c>
      <c r="E3584" t="s">
        <v>19683</v>
      </c>
      <c r="F3584" t="s">
        <v>16321</v>
      </c>
      <c r="G3584" t="s">
        <v>2081</v>
      </c>
      <c r="H3584" t="s">
        <v>3942</v>
      </c>
      <c r="J3584" t="s">
        <v>518</v>
      </c>
      <c r="K3584" t="s">
        <v>519</v>
      </c>
      <c r="M3584" t="s">
        <v>1297</v>
      </c>
      <c r="N3584" t="s">
        <v>571</v>
      </c>
      <c r="O3584" t="s">
        <v>2082</v>
      </c>
      <c r="P3584" t="s">
        <v>584</v>
      </c>
      <c r="Q3584" t="s">
        <v>2083</v>
      </c>
      <c r="R3584" t="s">
        <v>2084</v>
      </c>
      <c r="S3584" t="s">
        <v>1473</v>
      </c>
      <c r="T3584" t="s">
        <v>2085</v>
      </c>
      <c r="U3584">
        <v>206500</v>
      </c>
      <c r="V3584" t="s">
        <v>19684</v>
      </c>
      <c r="W3584" t="s">
        <v>2087</v>
      </c>
      <c r="X3584" t="s">
        <v>19685</v>
      </c>
      <c r="Y3584" t="s">
        <v>19686</v>
      </c>
      <c r="Z3584" t="s">
        <v>2081</v>
      </c>
      <c r="AA3584" t="s">
        <v>2090</v>
      </c>
      <c r="AB3584" t="s">
        <v>19687</v>
      </c>
      <c r="AE3584">
        <v>-38.664011610000003</v>
      </c>
      <c r="AF3584">
        <v>178.00865002</v>
      </c>
      <c r="AG3584">
        <v>52</v>
      </c>
      <c r="AH3584">
        <v>12</v>
      </c>
      <c r="AI3584">
        <v>1</v>
      </c>
      <c r="AJ3584">
        <v>11</v>
      </c>
      <c r="AK3584">
        <v>12</v>
      </c>
      <c r="AL3584">
        <v>18</v>
      </c>
      <c r="AM3584">
        <v>9</v>
      </c>
      <c r="AN3584">
        <v>1</v>
      </c>
      <c r="AO3584">
        <v>52</v>
      </c>
      <c r="AP3584">
        <v>30</v>
      </c>
      <c r="AQ3584">
        <v>26</v>
      </c>
      <c r="AR3584">
        <v>9</v>
      </c>
      <c r="AS3584">
        <v>1</v>
      </c>
      <c r="AT3584">
        <v>3</v>
      </c>
    </row>
    <row r="3585" spans="1:46">
      <c r="A3585">
        <v>55011</v>
      </c>
      <c r="B3585" t="s">
        <v>19688</v>
      </c>
      <c r="C3585" t="s">
        <v>9008</v>
      </c>
      <c r="D3585" t="s">
        <v>19689</v>
      </c>
      <c r="E3585" t="s">
        <v>19690</v>
      </c>
      <c r="F3585" t="s">
        <v>9007</v>
      </c>
      <c r="G3585" t="s">
        <v>2081</v>
      </c>
      <c r="H3585" t="s">
        <v>3942</v>
      </c>
      <c r="J3585" t="s">
        <v>3962</v>
      </c>
      <c r="K3585" t="s">
        <v>519</v>
      </c>
      <c r="M3585" t="s">
        <v>1297</v>
      </c>
      <c r="N3585" t="s">
        <v>571</v>
      </c>
      <c r="O3585" t="s">
        <v>2082</v>
      </c>
      <c r="P3585" t="s">
        <v>584</v>
      </c>
      <c r="Q3585" t="s">
        <v>2083</v>
      </c>
      <c r="R3585" t="s">
        <v>2084</v>
      </c>
      <c r="S3585" t="s">
        <v>1473</v>
      </c>
      <c r="T3585" t="s">
        <v>2085</v>
      </c>
      <c r="U3585">
        <v>205800</v>
      </c>
      <c r="V3585" t="s">
        <v>11488</v>
      </c>
      <c r="W3585" t="s">
        <v>2087</v>
      </c>
      <c r="X3585" t="s">
        <v>19691</v>
      </c>
      <c r="Y3585" t="s">
        <v>4107</v>
      </c>
      <c r="AA3585" t="s">
        <v>3982</v>
      </c>
      <c r="AB3585" t="s">
        <v>9008</v>
      </c>
      <c r="AE3585">
        <v>-38.653282160000003</v>
      </c>
      <c r="AF3585">
        <v>178.00843068</v>
      </c>
      <c r="AG3585">
        <v>60</v>
      </c>
      <c r="AH3585">
        <v>25</v>
      </c>
      <c r="AI3585">
        <v>4</v>
      </c>
      <c r="AJ3585">
        <v>14</v>
      </c>
      <c r="AK3585">
        <v>16</v>
      </c>
      <c r="AL3585">
        <v>15</v>
      </c>
      <c r="AM3585">
        <v>19</v>
      </c>
      <c r="AN3585">
        <v>0</v>
      </c>
      <c r="AO3585">
        <v>68</v>
      </c>
      <c r="AP3585">
        <v>55</v>
      </c>
      <c r="AQ3585">
        <v>16</v>
      </c>
      <c r="AR3585">
        <v>1</v>
      </c>
      <c r="AS3585">
        <v>8</v>
      </c>
      <c r="AT3585">
        <v>4</v>
      </c>
    </row>
    <row r="3586" spans="1:46">
      <c r="A3586">
        <v>55012</v>
      </c>
      <c r="B3586" t="s">
        <v>19692</v>
      </c>
      <c r="C3586" t="s">
        <v>19693</v>
      </c>
      <c r="D3586" t="s">
        <v>19694</v>
      </c>
      <c r="E3586" t="s">
        <v>19695</v>
      </c>
      <c r="F3586" t="s">
        <v>2104</v>
      </c>
      <c r="G3586" t="s">
        <v>2081</v>
      </c>
      <c r="H3586" t="s">
        <v>3942</v>
      </c>
      <c r="I3586" t="s">
        <v>3953</v>
      </c>
      <c r="J3586" t="s">
        <v>518</v>
      </c>
      <c r="K3586" t="s">
        <v>519</v>
      </c>
      <c r="M3586" t="s">
        <v>1297</v>
      </c>
      <c r="N3586" t="s">
        <v>727</v>
      </c>
      <c r="O3586" t="s">
        <v>2082</v>
      </c>
      <c r="P3586" t="s">
        <v>584</v>
      </c>
      <c r="Q3586" t="s">
        <v>2083</v>
      </c>
      <c r="R3586" t="s">
        <v>2084</v>
      </c>
      <c r="S3586" t="s">
        <v>1473</v>
      </c>
      <c r="T3586" t="s">
        <v>2085</v>
      </c>
      <c r="U3586">
        <v>207200</v>
      </c>
      <c r="V3586" t="s">
        <v>17487</v>
      </c>
      <c r="W3586" t="s">
        <v>2087</v>
      </c>
      <c r="X3586" t="s">
        <v>19696</v>
      </c>
      <c r="Y3586" t="s">
        <v>19697</v>
      </c>
      <c r="Z3586" t="s">
        <v>2104</v>
      </c>
      <c r="AA3586" t="s">
        <v>19698</v>
      </c>
      <c r="AB3586" t="s">
        <v>19699</v>
      </c>
      <c r="AC3586">
        <v>99050</v>
      </c>
      <c r="AD3586" t="s">
        <v>2106</v>
      </c>
      <c r="AE3586">
        <v>-38.67606679</v>
      </c>
      <c r="AF3586">
        <v>178.04867711</v>
      </c>
      <c r="AG3586">
        <v>30</v>
      </c>
      <c r="AH3586">
        <v>0</v>
      </c>
      <c r="AI3586">
        <v>0</v>
      </c>
      <c r="AJ3586">
        <v>3</v>
      </c>
      <c r="AK3586">
        <v>3</v>
      </c>
      <c r="AL3586">
        <v>12</v>
      </c>
      <c r="AM3586">
        <v>11</v>
      </c>
      <c r="AN3586">
        <v>1</v>
      </c>
      <c r="AO3586">
        <v>30</v>
      </c>
      <c r="AP3586">
        <v>8</v>
      </c>
      <c r="AQ3586">
        <v>25</v>
      </c>
      <c r="AR3586">
        <v>2</v>
      </c>
      <c r="AS3586">
        <v>0</v>
      </c>
      <c r="AT3586">
        <v>3</v>
      </c>
    </row>
    <row r="3587" spans="1:46">
      <c r="A3587">
        <v>55014</v>
      </c>
      <c r="B3587" t="s">
        <v>19700</v>
      </c>
      <c r="C3587" t="s">
        <v>19701</v>
      </c>
      <c r="D3587" t="s">
        <v>19702</v>
      </c>
      <c r="E3587" t="s">
        <v>19703</v>
      </c>
      <c r="F3587" t="s">
        <v>2104</v>
      </c>
      <c r="G3587" t="s">
        <v>2081</v>
      </c>
      <c r="H3587" t="s">
        <v>298</v>
      </c>
      <c r="J3587" t="s">
        <v>518</v>
      </c>
      <c r="K3587" t="s">
        <v>519</v>
      </c>
      <c r="M3587" t="s">
        <v>1297</v>
      </c>
      <c r="N3587" t="s">
        <v>727</v>
      </c>
      <c r="O3587" t="s">
        <v>2082</v>
      </c>
      <c r="P3587" t="s">
        <v>584</v>
      </c>
      <c r="Q3587" t="s">
        <v>2083</v>
      </c>
      <c r="R3587" t="s">
        <v>2084</v>
      </c>
      <c r="S3587" t="s">
        <v>1473</v>
      </c>
      <c r="T3587" t="s">
        <v>2085</v>
      </c>
      <c r="U3587">
        <v>207200</v>
      </c>
      <c r="V3587" t="s">
        <v>17487</v>
      </c>
      <c r="W3587" t="s">
        <v>2087</v>
      </c>
      <c r="X3587" t="s">
        <v>19704</v>
      </c>
      <c r="Y3587" t="s">
        <v>5187</v>
      </c>
      <c r="AA3587" t="s">
        <v>5188</v>
      </c>
      <c r="AE3587">
        <v>-38.672223379999998</v>
      </c>
      <c r="AF3587">
        <v>178.04387893000001</v>
      </c>
      <c r="AG3587">
        <v>30</v>
      </c>
      <c r="AH3587">
        <v>15</v>
      </c>
      <c r="AI3587">
        <v>0</v>
      </c>
      <c r="AJ3587">
        <v>1</v>
      </c>
      <c r="AK3587">
        <v>2</v>
      </c>
      <c r="AL3587">
        <v>1</v>
      </c>
      <c r="AM3587">
        <v>1</v>
      </c>
      <c r="AN3587">
        <v>0</v>
      </c>
      <c r="AO3587">
        <v>5</v>
      </c>
      <c r="AP3587">
        <v>3</v>
      </c>
      <c r="AQ3587">
        <v>3</v>
      </c>
      <c r="AR3587">
        <v>0</v>
      </c>
      <c r="AS3587">
        <v>1</v>
      </c>
      <c r="AT3587">
        <v>0</v>
      </c>
    </row>
    <row r="3588" spans="1:46">
      <c r="A3588">
        <v>55015</v>
      </c>
      <c r="B3588" t="s">
        <v>19705</v>
      </c>
      <c r="C3588" t="s">
        <v>19701</v>
      </c>
      <c r="D3588" t="s">
        <v>19706</v>
      </c>
      <c r="E3588" t="s">
        <v>19707</v>
      </c>
      <c r="F3588" t="s">
        <v>2097</v>
      </c>
      <c r="G3588" t="s">
        <v>2081</v>
      </c>
      <c r="H3588" t="s">
        <v>298</v>
      </c>
      <c r="J3588" t="s">
        <v>518</v>
      </c>
      <c r="K3588" t="s">
        <v>519</v>
      </c>
      <c r="M3588" t="s">
        <v>1297</v>
      </c>
      <c r="N3588" t="s">
        <v>571</v>
      </c>
      <c r="O3588" t="s">
        <v>2082</v>
      </c>
      <c r="P3588" t="s">
        <v>584</v>
      </c>
      <c r="Q3588" t="s">
        <v>2083</v>
      </c>
      <c r="R3588" t="s">
        <v>2084</v>
      </c>
      <c r="S3588" t="s">
        <v>1473</v>
      </c>
      <c r="T3588" t="s">
        <v>2085</v>
      </c>
      <c r="U3588">
        <v>205900</v>
      </c>
      <c r="V3588" t="s">
        <v>18127</v>
      </c>
      <c r="W3588" t="s">
        <v>2087</v>
      </c>
      <c r="X3588" t="s">
        <v>19704</v>
      </c>
      <c r="Y3588" t="s">
        <v>5187</v>
      </c>
      <c r="AA3588" t="s">
        <v>5188</v>
      </c>
      <c r="AE3588">
        <v>-38.643216619999997</v>
      </c>
      <c r="AF3588">
        <v>178.01006576</v>
      </c>
      <c r="AG3588">
        <v>25</v>
      </c>
      <c r="AH3588">
        <v>15</v>
      </c>
      <c r="AI3588">
        <v>2</v>
      </c>
      <c r="AJ3588">
        <v>3</v>
      </c>
      <c r="AK3588">
        <v>7</v>
      </c>
      <c r="AL3588">
        <v>2</v>
      </c>
      <c r="AM3588">
        <v>0</v>
      </c>
      <c r="AN3588">
        <v>0</v>
      </c>
      <c r="AO3588">
        <v>14</v>
      </c>
      <c r="AP3588">
        <v>5</v>
      </c>
      <c r="AQ3588">
        <v>9</v>
      </c>
      <c r="AR3588">
        <v>1</v>
      </c>
      <c r="AS3588">
        <v>3</v>
      </c>
      <c r="AT3588">
        <v>0</v>
      </c>
    </row>
    <row r="3589" spans="1:46">
      <c r="A3589">
        <v>55017</v>
      </c>
      <c r="B3589" t="s">
        <v>19708</v>
      </c>
      <c r="C3589" t="s">
        <v>19701</v>
      </c>
      <c r="D3589" t="s">
        <v>19709</v>
      </c>
      <c r="E3589" t="s">
        <v>19710</v>
      </c>
      <c r="G3589" t="s">
        <v>19711</v>
      </c>
      <c r="H3589" t="s">
        <v>298</v>
      </c>
      <c r="J3589" t="s">
        <v>518</v>
      </c>
      <c r="K3589" t="s">
        <v>519</v>
      </c>
      <c r="M3589" t="s">
        <v>1297</v>
      </c>
      <c r="N3589" t="s">
        <v>571</v>
      </c>
      <c r="O3589" t="s">
        <v>2082</v>
      </c>
      <c r="P3589" t="s">
        <v>572</v>
      </c>
      <c r="Q3589" t="s">
        <v>2083</v>
      </c>
      <c r="R3589" t="s">
        <v>2084</v>
      </c>
      <c r="S3589" t="s">
        <v>2119</v>
      </c>
      <c r="T3589" t="s">
        <v>2085</v>
      </c>
      <c r="U3589">
        <v>204800</v>
      </c>
      <c r="V3589" t="s">
        <v>19712</v>
      </c>
      <c r="W3589" t="s">
        <v>2087</v>
      </c>
      <c r="X3589" t="s">
        <v>19704</v>
      </c>
      <c r="Y3589" t="s">
        <v>5187</v>
      </c>
      <c r="AA3589" t="s">
        <v>5188</v>
      </c>
      <c r="AE3589">
        <v>-38.359842319999998</v>
      </c>
      <c r="AF3589">
        <v>177.53401037</v>
      </c>
      <c r="AG3589">
        <v>0</v>
      </c>
      <c r="AH3589">
        <v>0</v>
      </c>
    </row>
    <row r="3590" spans="1:46">
      <c r="A3590">
        <v>55023</v>
      </c>
      <c r="B3590" t="s">
        <v>19713</v>
      </c>
      <c r="C3590" t="s">
        <v>19701</v>
      </c>
      <c r="D3590" t="s">
        <v>19714</v>
      </c>
      <c r="E3590" t="s">
        <v>19715</v>
      </c>
      <c r="G3590" t="s">
        <v>19716</v>
      </c>
      <c r="H3590" t="s">
        <v>298</v>
      </c>
      <c r="J3590" t="s">
        <v>518</v>
      </c>
      <c r="K3590" t="s">
        <v>519</v>
      </c>
      <c r="M3590" t="s">
        <v>1297</v>
      </c>
      <c r="N3590" t="s">
        <v>571</v>
      </c>
      <c r="O3590" t="s">
        <v>2082</v>
      </c>
      <c r="P3590" t="s">
        <v>584</v>
      </c>
      <c r="Q3590" t="s">
        <v>2083</v>
      </c>
      <c r="R3590" t="s">
        <v>2084</v>
      </c>
      <c r="S3590" t="s">
        <v>1473</v>
      </c>
      <c r="T3590" t="s">
        <v>2085</v>
      </c>
      <c r="U3590">
        <v>207301</v>
      </c>
      <c r="V3590" t="s">
        <v>19717</v>
      </c>
      <c r="W3590" t="s">
        <v>2087</v>
      </c>
      <c r="X3590" t="s">
        <v>19704</v>
      </c>
      <c r="Y3590" t="s">
        <v>5187</v>
      </c>
      <c r="AA3590" t="s">
        <v>5188</v>
      </c>
      <c r="AE3590">
        <v>-38.683150869999999</v>
      </c>
      <c r="AF3590">
        <v>178.07426505000001</v>
      </c>
      <c r="AG3590">
        <v>25</v>
      </c>
      <c r="AH3590">
        <v>15</v>
      </c>
      <c r="AI3590">
        <v>6</v>
      </c>
      <c r="AJ3590">
        <v>3</v>
      </c>
      <c r="AK3590">
        <v>5</v>
      </c>
      <c r="AL3590">
        <v>5</v>
      </c>
      <c r="AM3590">
        <v>3</v>
      </c>
      <c r="AN3590">
        <v>1</v>
      </c>
      <c r="AO3590">
        <v>23</v>
      </c>
      <c r="AP3590">
        <v>23</v>
      </c>
      <c r="AQ3590">
        <v>1</v>
      </c>
      <c r="AR3590">
        <v>2</v>
      </c>
      <c r="AS3590">
        <v>3</v>
      </c>
      <c r="AT3590">
        <v>0</v>
      </c>
    </row>
    <row r="3591" spans="1:46">
      <c r="A3591">
        <v>55024</v>
      </c>
      <c r="B3591" t="s">
        <v>19718</v>
      </c>
      <c r="C3591" t="s">
        <v>19701</v>
      </c>
      <c r="D3591" t="s">
        <v>19719</v>
      </c>
      <c r="E3591" t="s">
        <v>19720</v>
      </c>
      <c r="F3591" t="s">
        <v>9003</v>
      </c>
      <c r="G3591" t="s">
        <v>2081</v>
      </c>
      <c r="H3591" t="s">
        <v>298</v>
      </c>
      <c r="J3591" t="s">
        <v>518</v>
      </c>
      <c r="K3591" t="s">
        <v>519</v>
      </c>
      <c r="M3591" t="s">
        <v>1297</v>
      </c>
      <c r="N3591" t="s">
        <v>571</v>
      </c>
      <c r="O3591" t="s">
        <v>2082</v>
      </c>
      <c r="P3591" t="s">
        <v>584</v>
      </c>
      <c r="Q3591" t="s">
        <v>2083</v>
      </c>
      <c r="R3591" t="s">
        <v>2084</v>
      </c>
      <c r="S3591" t="s">
        <v>1473</v>
      </c>
      <c r="T3591" t="s">
        <v>2085</v>
      </c>
      <c r="U3591">
        <v>206700</v>
      </c>
      <c r="V3591" t="s">
        <v>9004</v>
      </c>
      <c r="W3591" t="s">
        <v>2087</v>
      </c>
      <c r="X3591" t="s">
        <v>19704</v>
      </c>
      <c r="Y3591" t="s">
        <v>5187</v>
      </c>
      <c r="AA3591" t="s">
        <v>5188</v>
      </c>
      <c r="AE3591">
        <v>-38.6551118</v>
      </c>
      <c r="AF3591">
        <v>178.0307262</v>
      </c>
      <c r="AG3591">
        <v>25</v>
      </c>
      <c r="AH3591">
        <v>15</v>
      </c>
      <c r="AI3591">
        <v>2</v>
      </c>
      <c r="AJ3591">
        <v>11</v>
      </c>
      <c r="AK3591">
        <v>5</v>
      </c>
      <c r="AL3591">
        <v>3</v>
      </c>
      <c r="AM3591">
        <v>5</v>
      </c>
      <c r="AN3591">
        <v>1</v>
      </c>
      <c r="AO3591">
        <v>27</v>
      </c>
      <c r="AP3591">
        <v>22</v>
      </c>
      <c r="AQ3591">
        <v>10</v>
      </c>
      <c r="AR3591">
        <v>3</v>
      </c>
      <c r="AS3591">
        <v>3</v>
      </c>
      <c r="AT3591">
        <v>2</v>
      </c>
    </row>
    <row r="3592" spans="1:46">
      <c r="A3592">
        <v>55028</v>
      </c>
      <c r="B3592" t="s">
        <v>19721</v>
      </c>
      <c r="C3592" t="s">
        <v>19701</v>
      </c>
      <c r="D3592" t="s">
        <v>19722</v>
      </c>
      <c r="E3592" t="s">
        <v>19723</v>
      </c>
      <c r="G3592" t="s">
        <v>2116</v>
      </c>
      <c r="H3592" t="s">
        <v>298</v>
      </c>
      <c r="J3592" t="s">
        <v>518</v>
      </c>
      <c r="K3592" t="s">
        <v>519</v>
      </c>
      <c r="M3592" t="s">
        <v>1297</v>
      </c>
      <c r="N3592" t="s">
        <v>521</v>
      </c>
      <c r="O3592" t="s">
        <v>2117</v>
      </c>
      <c r="P3592" t="s">
        <v>523</v>
      </c>
      <c r="Q3592" t="s">
        <v>2118</v>
      </c>
      <c r="R3592" t="s">
        <v>2084</v>
      </c>
      <c r="S3592" t="s">
        <v>2119</v>
      </c>
      <c r="T3592" t="s">
        <v>2085</v>
      </c>
      <c r="U3592">
        <v>207800</v>
      </c>
      <c r="V3592" t="s">
        <v>2116</v>
      </c>
      <c r="W3592" t="s">
        <v>565</v>
      </c>
      <c r="X3592" t="s">
        <v>19704</v>
      </c>
      <c r="Y3592" t="s">
        <v>5187</v>
      </c>
      <c r="AA3592" t="s">
        <v>5188</v>
      </c>
      <c r="AE3592">
        <v>-39.0370068</v>
      </c>
      <c r="AF3592">
        <v>177.41957558999999</v>
      </c>
      <c r="AG3592">
        <v>30</v>
      </c>
      <c r="AH3592">
        <v>13</v>
      </c>
      <c r="AI3592">
        <v>2</v>
      </c>
      <c r="AJ3592">
        <v>2</v>
      </c>
      <c r="AK3592">
        <v>3</v>
      </c>
      <c r="AL3592">
        <v>7</v>
      </c>
      <c r="AM3592">
        <v>2</v>
      </c>
      <c r="AN3592">
        <v>1</v>
      </c>
      <c r="AO3592">
        <v>17</v>
      </c>
      <c r="AP3592">
        <v>14</v>
      </c>
      <c r="AQ3592">
        <v>9</v>
      </c>
      <c r="AR3592">
        <v>0</v>
      </c>
      <c r="AS3592">
        <v>1</v>
      </c>
      <c r="AT3592">
        <v>1</v>
      </c>
    </row>
    <row r="3593" spans="1:46">
      <c r="A3593">
        <v>55032</v>
      </c>
      <c r="B3593" t="s">
        <v>19724</v>
      </c>
      <c r="C3593" t="s">
        <v>19725</v>
      </c>
      <c r="E3593" t="s">
        <v>19726</v>
      </c>
      <c r="G3593" t="s">
        <v>14075</v>
      </c>
      <c r="H3593" t="s">
        <v>298</v>
      </c>
      <c r="J3593" t="s">
        <v>518</v>
      </c>
      <c r="K3593" t="s">
        <v>519</v>
      </c>
      <c r="M3593" t="s">
        <v>1297</v>
      </c>
      <c r="N3593" t="s">
        <v>571</v>
      </c>
      <c r="O3593" t="s">
        <v>2288</v>
      </c>
      <c r="P3593" t="s">
        <v>523</v>
      </c>
      <c r="Q3593" t="s">
        <v>1636</v>
      </c>
      <c r="R3593" t="s">
        <v>1760</v>
      </c>
      <c r="S3593" t="s">
        <v>2269</v>
      </c>
      <c r="T3593" t="s">
        <v>2085</v>
      </c>
      <c r="U3593">
        <v>233100</v>
      </c>
      <c r="V3593" t="s">
        <v>14075</v>
      </c>
      <c r="W3593" t="s">
        <v>2307</v>
      </c>
      <c r="X3593" t="s">
        <v>10355</v>
      </c>
      <c r="Y3593" t="s">
        <v>5187</v>
      </c>
      <c r="AA3593" t="s">
        <v>5188</v>
      </c>
      <c r="AB3593" t="s">
        <v>10356</v>
      </c>
      <c r="AE3593">
        <v>-40.340342319999998</v>
      </c>
      <c r="AF3593">
        <v>175.86823150999999</v>
      </c>
      <c r="AG3593">
        <v>25</v>
      </c>
      <c r="AH3593">
        <v>10</v>
      </c>
      <c r="AI3593">
        <v>1</v>
      </c>
      <c r="AJ3593">
        <v>0</v>
      </c>
      <c r="AK3593">
        <v>3</v>
      </c>
      <c r="AL3593">
        <v>1</v>
      </c>
      <c r="AM3593">
        <v>2</v>
      </c>
      <c r="AN3593">
        <v>0</v>
      </c>
      <c r="AO3593">
        <v>7</v>
      </c>
      <c r="AP3593">
        <v>7</v>
      </c>
      <c r="AQ3593">
        <v>0</v>
      </c>
      <c r="AR3593">
        <v>0</v>
      </c>
      <c r="AS3593">
        <v>0</v>
      </c>
      <c r="AT3593">
        <v>0</v>
      </c>
    </row>
    <row r="3594" spans="1:46">
      <c r="A3594">
        <v>55035</v>
      </c>
      <c r="B3594" t="s">
        <v>19727</v>
      </c>
      <c r="C3594" t="s">
        <v>19728</v>
      </c>
      <c r="D3594" t="s">
        <v>19729</v>
      </c>
      <c r="E3594" t="s">
        <v>19730</v>
      </c>
      <c r="G3594" t="s">
        <v>2286</v>
      </c>
      <c r="H3594" t="s">
        <v>3942</v>
      </c>
      <c r="J3594" t="s">
        <v>518</v>
      </c>
      <c r="K3594" t="s">
        <v>519</v>
      </c>
      <c r="M3594" t="s">
        <v>2287</v>
      </c>
      <c r="N3594" t="s">
        <v>571</v>
      </c>
      <c r="O3594" t="s">
        <v>2288</v>
      </c>
      <c r="P3594" t="s">
        <v>523</v>
      </c>
      <c r="Q3594" t="s">
        <v>1636</v>
      </c>
      <c r="R3594" t="s">
        <v>2289</v>
      </c>
      <c r="S3594" t="s">
        <v>2269</v>
      </c>
      <c r="T3594" t="s">
        <v>2085</v>
      </c>
      <c r="U3594">
        <v>233300</v>
      </c>
      <c r="V3594" t="s">
        <v>2301</v>
      </c>
      <c r="W3594" t="s">
        <v>2291</v>
      </c>
      <c r="X3594" t="s">
        <v>19731</v>
      </c>
      <c r="Y3594" t="s">
        <v>19730</v>
      </c>
      <c r="Z3594" t="s">
        <v>2286</v>
      </c>
      <c r="AA3594" t="s">
        <v>19732</v>
      </c>
      <c r="AB3594" t="s">
        <v>19733</v>
      </c>
      <c r="AC3594">
        <v>99047</v>
      </c>
      <c r="AD3594" t="s">
        <v>2296</v>
      </c>
      <c r="AE3594">
        <v>-40.206931640000001</v>
      </c>
      <c r="AF3594">
        <v>176.10001371999999</v>
      </c>
      <c r="AG3594">
        <v>56</v>
      </c>
      <c r="AH3594">
        <v>18</v>
      </c>
      <c r="AI3594">
        <v>5</v>
      </c>
      <c r="AJ3594">
        <v>12</v>
      </c>
      <c r="AK3594">
        <v>22</v>
      </c>
      <c r="AL3594">
        <v>15</v>
      </c>
      <c r="AM3594">
        <v>15</v>
      </c>
      <c r="AN3594">
        <v>0</v>
      </c>
      <c r="AO3594">
        <v>69</v>
      </c>
      <c r="AP3594">
        <v>67</v>
      </c>
      <c r="AQ3594">
        <v>29</v>
      </c>
      <c r="AR3594">
        <v>3</v>
      </c>
      <c r="AS3594">
        <v>2</v>
      </c>
      <c r="AT3594">
        <v>3</v>
      </c>
    </row>
    <row r="3595" spans="1:46">
      <c r="A3595">
        <v>55036</v>
      </c>
      <c r="B3595" t="s">
        <v>19734</v>
      </c>
      <c r="C3595" t="s">
        <v>19735</v>
      </c>
      <c r="D3595" t="s">
        <v>19736</v>
      </c>
      <c r="E3595" t="s">
        <v>19737</v>
      </c>
      <c r="F3595" t="s">
        <v>2223</v>
      </c>
      <c r="G3595" t="s">
        <v>2197</v>
      </c>
      <c r="H3595" t="s">
        <v>3942</v>
      </c>
      <c r="J3595" t="s">
        <v>518</v>
      </c>
      <c r="K3595" t="s">
        <v>519</v>
      </c>
      <c r="M3595" t="s">
        <v>1297</v>
      </c>
      <c r="N3595" t="s">
        <v>727</v>
      </c>
      <c r="O3595" t="s">
        <v>2198</v>
      </c>
      <c r="P3595" t="s">
        <v>584</v>
      </c>
      <c r="Q3595" t="s">
        <v>2118</v>
      </c>
      <c r="R3595" t="s">
        <v>2084</v>
      </c>
      <c r="S3595" t="s">
        <v>2199</v>
      </c>
      <c r="T3595" t="s">
        <v>2085</v>
      </c>
      <c r="U3595">
        <v>208800</v>
      </c>
      <c r="V3595" t="s">
        <v>12922</v>
      </c>
      <c r="W3595" t="s">
        <v>2225</v>
      </c>
      <c r="X3595" t="s">
        <v>19738</v>
      </c>
      <c r="Y3595" t="s">
        <v>19739</v>
      </c>
      <c r="Z3595" t="s">
        <v>2223</v>
      </c>
      <c r="AA3595" t="s">
        <v>8624</v>
      </c>
      <c r="AB3595" t="s">
        <v>19740</v>
      </c>
      <c r="AC3595">
        <v>99135</v>
      </c>
      <c r="AD3595" t="s">
        <v>2226</v>
      </c>
      <c r="AE3595">
        <v>-39.614398999999999</v>
      </c>
      <c r="AF3595">
        <v>176.7739703</v>
      </c>
      <c r="AG3595">
        <v>70</v>
      </c>
      <c r="AH3595">
        <v>12</v>
      </c>
      <c r="AI3595">
        <v>3</v>
      </c>
      <c r="AJ3595">
        <v>6</v>
      </c>
      <c r="AK3595">
        <v>15</v>
      </c>
      <c r="AL3595">
        <v>19</v>
      </c>
      <c r="AM3595">
        <v>13</v>
      </c>
      <c r="AN3595">
        <v>0</v>
      </c>
      <c r="AO3595">
        <v>56</v>
      </c>
      <c r="AP3595">
        <v>7</v>
      </c>
      <c r="AQ3595">
        <v>34</v>
      </c>
      <c r="AR3595">
        <v>32</v>
      </c>
      <c r="AS3595">
        <v>2</v>
      </c>
      <c r="AT3595">
        <v>2</v>
      </c>
    </row>
    <row r="3596" spans="1:46">
      <c r="A3596">
        <v>55037</v>
      </c>
      <c r="B3596" t="s">
        <v>19741</v>
      </c>
      <c r="C3596" t="s">
        <v>19742</v>
      </c>
      <c r="D3596" t="s">
        <v>19743</v>
      </c>
      <c r="E3596" t="s">
        <v>19744</v>
      </c>
      <c r="F3596" t="s">
        <v>8698</v>
      </c>
      <c r="G3596" t="s">
        <v>2197</v>
      </c>
      <c r="H3596" t="s">
        <v>517</v>
      </c>
      <c r="J3596" t="s">
        <v>518</v>
      </c>
      <c r="K3596" t="s">
        <v>519</v>
      </c>
      <c r="M3596" t="s">
        <v>1297</v>
      </c>
      <c r="N3596" t="s">
        <v>571</v>
      </c>
      <c r="O3596" t="s">
        <v>2198</v>
      </c>
      <c r="P3596" t="s">
        <v>584</v>
      </c>
      <c r="Q3596" t="s">
        <v>2118</v>
      </c>
      <c r="R3596" t="s">
        <v>2084</v>
      </c>
      <c r="S3596" t="s">
        <v>2199</v>
      </c>
      <c r="T3596" t="s">
        <v>2085</v>
      </c>
      <c r="U3596">
        <v>209401</v>
      </c>
      <c r="V3596" t="s">
        <v>8698</v>
      </c>
      <c r="W3596" t="s">
        <v>2200</v>
      </c>
      <c r="X3596" t="s">
        <v>2201</v>
      </c>
      <c r="Y3596" t="s">
        <v>2202</v>
      </c>
      <c r="Z3596" t="s">
        <v>2203</v>
      </c>
      <c r="AA3596" t="s">
        <v>2204</v>
      </c>
      <c r="AB3596" t="s">
        <v>2205</v>
      </c>
      <c r="AC3596">
        <v>99159</v>
      </c>
      <c r="AD3596" t="s">
        <v>2206</v>
      </c>
      <c r="AE3596">
        <v>-39.625910840000003</v>
      </c>
      <c r="AF3596">
        <v>176.83087191999999</v>
      </c>
      <c r="AG3596">
        <v>30</v>
      </c>
      <c r="AH3596">
        <v>0</v>
      </c>
      <c r="AI3596">
        <v>0</v>
      </c>
      <c r="AJ3596">
        <v>0</v>
      </c>
      <c r="AK3596">
        <v>0</v>
      </c>
      <c r="AL3596">
        <v>13</v>
      </c>
      <c r="AM3596">
        <v>18</v>
      </c>
      <c r="AN3596">
        <v>1</v>
      </c>
      <c r="AO3596">
        <v>32</v>
      </c>
      <c r="AP3596">
        <v>11</v>
      </c>
      <c r="AQ3596">
        <v>15</v>
      </c>
      <c r="AR3596">
        <v>4</v>
      </c>
      <c r="AS3596">
        <v>12</v>
      </c>
      <c r="AT3596">
        <v>1</v>
      </c>
    </row>
    <row r="3597" spans="1:46">
      <c r="A3597">
        <v>55043</v>
      </c>
      <c r="B3597" t="s">
        <v>19745</v>
      </c>
      <c r="C3597" t="s">
        <v>13451</v>
      </c>
      <c r="E3597" t="s">
        <v>19746</v>
      </c>
      <c r="F3597" t="s">
        <v>11648</v>
      </c>
      <c r="G3597" t="s">
        <v>2197</v>
      </c>
      <c r="H3597" t="s">
        <v>3942</v>
      </c>
      <c r="I3597" t="s">
        <v>4231</v>
      </c>
      <c r="J3597" t="s">
        <v>518</v>
      </c>
      <c r="K3597" t="s">
        <v>519</v>
      </c>
      <c r="M3597" t="s">
        <v>1297</v>
      </c>
      <c r="N3597" t="s">
        <v>557</v>
      </c>
      <c r="O3597" t="s">
        <v>2198</v>
      </c>
      <c r="P3597" t="s">
        <v>584</v>
      </c>
      <c r="Q3597" t="s">
        <v>2118</v>
      </c>
      <c r="R3597" t="s">
        <v>2084</v>
      </c>
      <c r="S3597" t="s">
        <v>2199</v>
      </c>
      <c r="T3597" t="s">
        <v>2085</v>
      </c>
      <c r="U3597">
        <v>210000</v>
      </c>
      <c r="V3597" t="s">
        <v>19747</v>
      </c>
      <c r="W3597" t="s">
        <v>2200</v>
      </c>
      <c r="X3597" t="s">
        <v>19748</v>
      </c>
      <c r="Y3597" t="s">
        <v>13455</v>
      </c>
      <c r="AA3597" t="s">
        <v>13456</v>
      </c>
      <c r="AB3597" t="s">
        <v>19749</v>
      </c>
      <c r="AC3597">
        <v>99110</v>
      </c>
      <c r="AD3597" t="s">
        <v>4237</v>
      </c>
      <c r="AE3597">
        <v>-39.635970729999997</v>
      </c>
      <c r="AF3597">
        <v>176.84441919</v>
      </c>
      <c r="AG3597">
        <v>40</v>
      </c>
      <c r="AH3597">
        <v>0</v>
      </c>
      <c r="AI3597">
        <v>0</v>
      </c>
      <c r="AJ3597">
        <v>0</v>
      </c>
      <c r="AK3597">
        <v>0</v>
      </c>
      <c r="AL3597">
        <v>1</v>
      </c>
      <c r="AM3597">
        <v>10</v>
      </c>
      <c r="AN3597">
        <v>14</v>
      </c>
      <c r="AO3597">
        <v>25</v>
      </c>
      <c r="AP3597">
        <v>22</v>
      </c>
      <c r="AQ3597">
        <v>5</v>
      </c>
      <c r="AR3597">
        <v>2</v>
      </c>
      <c r="AS3597">
        <v>3</v>
      </c>
      <c r="AT3597">
        <v>3</v>
      </c>
    </row>
    <row r="3598" spans="1:46">
      <c r="A3598">
        <v>55044</v>
      </c>
      <c r="B3598" t="s">
        <v>19750</v>
      </c>
      <c r="C3598" t="s">
        <v>19751</v>
      </c>
      <c r="D3598" t="s">
        <v>19752</v>
      </c>
      <c r="E3598" t="s">
        <v>19753</v>
      </c>
      <c r="F3598" t="s">
        <v>19754</v>
      </c>
      <c r="G3598" t="s">
        <v>2197</v>
      </c>
      <c r="H3598" t="s">
        <v>3942</v>
      </c>
      <c r="I3598" t="s">
        <v>3953</v>
      </c>
      <c r="J3598" t="s">
        <v>518</v>
      </c>
      <c r="K3598" t="s">
        <v>519</v>
      </c>
      <c r="M3598" t="s">
        <v>1297</v>
      </c>
      <c r="N3598" t="s">
        <v>571</v>
      </c>
      <c r="O3598" t="s">
        <v>2198</v>
      </c>
      <c r="P3598" t="s">
        <v>584</v>
      </c>
      <c r="Q3598" t="s">
        <v>2118</v>
      </c>
      <c r="R3598" t="s">
        <v>2084</v>
      </c>
      <c r="S3598" t="s">
        <v>2199</v>
      </c>
      <c r="T3598" t="s">
        <v>2085</v>
      </c>
      <c r="U3598">
        <v>208901</v>
      </c>
      <c r="V3598" t="s">
        <v>19755</v>
      </c>
      <c r="W3598" t="s">
        <v>11860</v>
      </c>
      <c r="X3598" t="s">
        <v>19756</v>
      </c>
      <c r="Y3598" t="s">
        <v>19757</v>
      </c>
      <c r="Z3598" t="s">
        <v>2197</v>
      </c>
      <c r="AA3598" t="s">
        <v>8798</v>
      </c>
      <c r="AB3598" t="s">
        <v>19751</v>
      </c>
      <c r="AE3598">
        <v>-39.616341540000001</v>
      </c>
      <c r="AF3598">
        <v>176.80761837</v>
      </c>
      <c r="AG3598">
        <v>39</v>
      </c>
      <c r="AH3598">
        <v>1</v>
      </c>
      <c r="AI3598">
        <v>0</v>
      </c>
      <c r="AJ3598">
        <v>0</v>
      </c>
      <c r="AK3598">
        <v>9</v>
      </c>
      <c r="AL3598">
        <v>11</v>
      </c>
      <c r="AM3598">
        <v>12</v>
      </c>
      <c r="AN3598">
        <v>1</v>
      </c>
      <c r="AO3598">
        <v>33</v>
      </c>
      <c r="AP3598">
        <v>16</v>
      </c>
      <c r="AQ3598">
        <v>9</v>
      </c>
      <c r="AR3598">
        <v>13</v>
      </c>
      <c r="AS3598">
        <v>6</v>
      </c>
      <c r="AT3598">
        <v>3</v>
      </c>
    </row>
    <row r="3599" spans="1:46">
      <c r="A3599">
        <v>55045</v>
      </c>
      <c r="B3599" t="s">
        <v>19758</v>
      </c>
      <c r="C3599" t="s">
        <v>19759</v>
      </c>
      <c r="D3599" t="s">
        <v>19760</v>
      </c>
      <c r="E3599" t="s">
        <v>19761</v>
      </c>
      <c r="G3599" t="s">
        <v>2197</v>
      </c>
      <c r="H3599" t="s">
        <v>3942</v>
      </c>
      <c r="I3599" t="s">
        <v>6806</v>
      </c>
      <c r="J3599" t="s">
        <v>518</v>
      </c>
      <c r="K3599" t="s">
        <v>519</v>
      </c>
      <c r="M3599" t="s">
        <v>1297</v>
      </c>
      <c r="N3599" t="s">
        <v>557</v>
      </c>
      <c r="O3599" t="s">
        <v>2198</v>
      </c>
      <c r="P3599" t="s">
        <v>584</v>
      </c>
      <c r="Q3599" t="s">
        <v>2118</v>
      </c>
      <c r="R3599" t="s">
        <v>2084</v>
      </c>
      <c r="S3599" t="s">
        <v>2199</v>
      </c>
      <c r="T3599" t="s">
        <v>2085</v>
      </c>
      <c r="U3599">
        <v>210500</v>
      </c>
      <c r="V3599" t="s">
        <v>11648</v>
      </c>
      <c r="W3599" t="s">
        <v>2200</v>
      </c>
      <c r="X3599" t="s">
        <v>19762</v>
      </c>
      <c r="Y3599" t="s">
        <v>8367</v>
      </c>
      <c r="AA3599" t="s">
        <v>8368</v>
      </c>
      <c r="AE3599">
        <v>-39.641170109999997</v>
      </c>
      <c r="AF3599">
        <v>176.84102580000001</v>
      </c>
      <c r="AG3599">
        <v>35</v>
      </c>
      <c r="AH3599">
        <v>5</v>
      </c>
      <c r="AI3599">
        <v>1</v>
      </c>
      <c r="AJ3599">
        <v>4</v>
      </c>
      <c r="AK3599">
        <v>8</v>
      </c>
      <c r="AL3599">
        <v>7</v>
      </c>
      <c r="AM3599">
        <v>7</v>
      </c>
      <c r="AN3599">
        <v>1</v>
      </c>
      <c r="AO3599">
        <v>28</v>
      </c>
      <c r="AP3599">
        <v>3</v>
      </c>
      <c r="AQ3599">
        <v>4</v>
      </c>
      <c r="AR3599">
        <v>6</v>
      </c>
      <c r="AS3599">
        <v>18</v>
      </c>
      <c r="AT3599">
        <v>0</v>
      </c>
    </row>
    <row r="3600" spans="1:46">
      <c r="A3600">
        <v>55047</v>
      </c>
      <c r="B3600" t="s">
        <v>19763</v>
      </c>
      <c r="C3600" t="s">
        <v>11499</v>
      </c>
      <c r="D3600" t="s">
        <v>8932</v>
      </c>
      <c r="E3600" t="s">
        <v>19764</v>
      </c>
      <c r="G3600" t="s">
        <v>2267</v>
      </c>
      <c r="H3600" t="s">
        <v>3942</v>
      </c>
      <c r="J3600" t="s">
        <v>3962</v>
      </c>
      <c r="K3600" t="s">
        <v>519</v>
      </c>
      <c r="M3600" t="s">
        <v>1297</v>
      </c>
      <c r="N3600" t="s">
        <v>571</v>
      </c>
      <c r="O3600" t="s">
        <v>2268</v>
      </c>
      <c r="P3600" t="s">
        <v>523</v>
      </c>
      <c r="Q3600" t="s">
        <v>2118</v>
      </c>
      <c r="R3600" t="s">
        <v>2084</v>
      </c>
      <c r="S3600" t="s">
        <v>2269</v>
      </c>
      <c r="T3600" t="s">
        <v>2085</v>
      </c>
      <c r="U3600">
        <v>215801</v>
      </c>
      <c r="V3600" t="s">
        <v>2270</v>
      </c>
      <c r="W3600" t="s">
        <v>2271</v>
      </c>
      <c r="X3600" t="s">
        <v>8934</v>
      </c>
      <c r="Y3600" t="s">
        <v>8935</v>
      </c>
      <c r="Z3600" t="s">
        <v>2267</v>
      </c>
      <c r="AA3600" t="s">
        <v>8936</v>
      </c>
      <c r="AB3600" t="s">
        <v>8937</v>
      </c>
      <c r="AC3600">
        <v>99160</v>
      </c>
      <c r="AD3600" t="s">
        <v>2272</v>
      </c>
      <c r="AE3600">
        <v>-39.994992009999997</v>
      </c>
      <c r="AF3600">
        <v>176.55861562999999</v>
      </c>
      <c r="AG3600">
        <v>60</v>
      </c>
      <c r="AH3600">
        <v>5</v>
      </c>
      <c r="AI3600">
        <v>0</v>
      </c>
      <c r="AJ3600">
        <v>0</v>
      </c>
      <c r="AK3600">
        <v>18</v>
      </c>
      <c r="AL3600">
        <v>23</v>
      </c>
      <c r="AM3600">
        <v>21</v>
      </c>
      <c r="AN3600">
        <v>4</v>
      </c>
      <c r="AO3600">
        <v>66</v>
      </c>
      <c r="AP3600">
        <v>42</v>
      </c>
      <c r="AQ3600">
        <v>28</v>
      </c>
      <c r="AR3600">
        <v>1</v>
      </c>
      <c r="AS3600">
        <v>3</v>
      </c>
      <c r="AT3600">
        <v>5</v>
      </c>
    </row>
    <row r="3601" spans="1:46">
      <c r="A3601">
        <v>55048</v>
      </c>
      <c r="B3601" t="s">
        <v>19765</v>
      </c>
      <c r="C3601" t="s">
        <v>19766</v>
      </c>
      <c r="D3601" t="s">
        <v>19767</v>
      </c>
      <c r="E3601" t="s">
        <v>19768</v>
      </c>
      <c r="F3601" t="s">
        <v>2122</v>
      </c>
      <c r="G3601" t="s">
        <v>2119</v>
      </c>
      <c r="H3601" t="s">
        <v>3942</v>
      </c>
      <c r="J3601" t="s">
        <v>518</v>
      </c>
      <c r="K3601" t="s">
        <v>519</v>
      </c>
      <c r="M3601" t="s">
        <v>1297</v>
      </c>
      <c r="N3601" t="s">
        <v>521</v>
      </c>
      <c r="O3601" t="s">
        <v>2131</v>
      </c>
      <c r="P3601" t="s">
        <v>584</v>
      </c>
      <c r="Q3601" t="s">
        <v>2118</v>
      </c>
      <c r="R3601" t="s">
        <v>2084</v>
      </c>
      <c r="S3601" t="s">
        <v>2119</v>
      </c>
      <c r="T3601" t="s">
        <v>2085</v>
      </c>
      <c r="U3601">
        <v>215000</v>
      </c>
      <c r="V3601" t="s">
        <v>2146</v>
      </c>
      <c r="W3601" t="s">
        <v>2132</v>
      </c>
      <c r="X3601" t="s">
        <v>19769</v>
      </c>
      <c r="Y3601" t="s">
        <v>13597</v>
      </c>
      <c r="Z3601" t="s">
        <v>2156</v>
      </c>
      <c r="AA3601" t="s">
        <v>13598</v>
      </c>
      <c r="AB3601" t="s">
        <v>19770</v>
      </c>
      <c r="AC3601">
        <v>99002</v>
      </c>
      <c r="AD3601" t="s">
        <v>2133</v>
      </c>
      <c r="AE3601">
        <v>-39.505515770000002</v>
      </c>
      <c r="AF3601">
        <v>176.90700526000001</v>
      </c>
      <c r="AG3601">
        <v>62</v>
      </c>
      <c r="AH3601">
        <v>14</v>
      </c>
      <c r="AI3601">
        <v>3</v>
      </c>
      <c r="AJ3601">
        <v>8</v>
      </c>
      <c r="AK3601">
        <v>16</v>
      </c>
      <c r="AL3601">
        <v>7</v>
      </c>
      <c r="AM3601">
        <v>20</v>
      </c>
      <c r="AN3601">
        <v>0</v>
      </c>
      <c r="AO3601">
        <v>54</v>
      </c>
      <c r="AP3601">
        <v>28</v>
      </c>
      <c r="AQ3601">
        <v>37</v>
      </c>
      <c r="AR3601">
        <v>9</v>
      </c>
      <c r="AS3601">
        <v>2</v>
      </c>
      <c r="AT3601">
        <v>0</v>
      </c>
    </row>
    <row r="3602" spans="1:46">
      <c r="A3602">
        <v>55049</v>
      </c>
      <c r="B3602" t="s">
        <v>19771</v>
      </c>
      <c r="C3602" t="s">
        <v>19772</v>
      </c>
      <c r="D3602" t="s">
        <v>19773</v>
      </c>
      <c r="E3602" t="s">
        <v>19774</v>
      </c>
      <c r="F3602" t="s">
        <v>19775</v>
      </c>
      <c r="G3602" t="s">
        <v>2197</v>
      </c>
      <c r="H3602" t="s">
        <v>3942</v>
      </c>
      <c r="J3602" t="s">
        <v>3962</v>
      </c>
      <c r="K3602" t="s">
        <v>519</v>
      </c>
      <c r="M3602" t="s">
        <v>1297</v>
      </c>
      <c r="N3602" t="s">
        <v>571</v>
      </c>
      <c r="O3602" t="s">
        <v>2198</v>
      </c>
      <c r="P3602" t="s">
        <v>584</v>
      </c>
      <c r="Q3602" t="s">
        <v>2118</v>
      </c>
      <c r="R3602" t="s">
        <v>2084</v>
      </c>
      <c r="S3602" t="s">
        <v>2199</v>
      </c>
      <c r="T3602" t="s">
        <v>2085</v>
      </c>
      <c r="U3602">
        <v>211000</v>
      </c>
      <c r="V3602" t="s">
        <v>2253</v>
      </c>
      <c r="W3602" t="s">
        <v>2200</v>
      </c>
      <c r="X3602" t="s">
        <v>19776</v>
      </c>
      <c r="Y3602" t="s">
        <v>19777</v>
      </c>
      <c r="Z3602" t="s">
        <v>19775</v>
      </c>
      <c r="AA3602" t="s">
        <v>11650</v>
      </c>
      <c r="AB3602" t="s">
        <v>19778</v>
      </c>
      <c r="AC3602">
        <v>99022</v>
      </c>
      <c r="AD3602" t="s">
        <v>2218</v>
      </c>
      <c r="AE3602">
        <v>-39.653365890000003</v>
      </c>
      <c r="AF3602">
        <v>176.85249472999999</v>
      </c>
      <c r="AG3602">
        <v>68</v>
      </c>
      <c r="AH3602">
        <v>15</v>
      </c>
      <c r="AI3602">
        <v>1</v>
      </c>
      <c r="AJ3602">
        <v>16</v>
      </c>
      <c r="AK3602">
        <v>13</v>
      </c>
      <c r="AL3602">
        <v>19</v>
      </c>
      <c r="AM3602">
        <v>26</v>
      </c>
      <c r="AN3602">
        <v>0</v>
      </c>
      <c r="AO3602">
        <v>75</v>
      </c>
      <c r="AP3602">
        <v>60</v>
      </c>
      <c r="AQ3602">
        <v>21</v>
      </c>
      <c r="AR3602">
        <v>3</v>
      </c>
      <c r="AS3602">
        <v>14</v>
      </c>
      <c r="AT3602">
        <v>5</v>
      </c>
    </row>
    <row r="3603" spans="1:46">
      <c r="A3603">
        <v>55050</v>
      </c>
      <c r="B3603" t="s">
        <v>19779</v>
      </c>
      <c r="C3603" t="s">
        <v>19780</v>
      </c>
      <c r="D3603" t="s">
        <v>19781</v>
      </c>
      <c r="E3603" t="s">
        <v>19782</v>
      </c>
      <c r="F3603" t="s">
        <v>2175</v>
      </c>
      <c r="G3603" t="s">
        <v>2119</v>
      </c>
      <c r="H3603" t="s">
        <v>3942</v>
      </c>
      <c r="J3603" t="s">
        <v>518</v>
      </c>
      <c r="K3603" t="s">
        <v>519</v>
      </c>
      <c r="M3603" t="s">
        <v>1297</v>
      </c>
      <c r="N3603" t="s">
        <v>571</v>
      </c>
      <c r="O3603" t="s">
        <v>2131</v>
      </c>
      <c r="P3603" t="s">
        <v>584</v>
      </c>
      <c r="Q3603" t="s">
        <v>2118</v>
      </c>
      <c r="R3603" t="s">
        <v>2084</v>
      </c>
      <c r="S3603" t="s">
        <v>2119</v>
      </c>
      <c r="T3603" t="s">
        <v>2085</v>
      </c>
      <c r="U3603">
        <v>213200</v>
      </c>
      <c r="V3603" t="s">
        <v>19783</v>
      </c>
      <c r="W3603" t="s">
        <v>2140</v>
      </c>
      <c r="X3603" t="s">
        <v>19784</v>
      </c>
      <c r="Y3603" t="s">
        <v>7353</v>
      </c>
      <c r="AA3603" t="s">
        <v>7354</v>
      </c>
      <c r="AB3603" t="s">
        <v>19780</v>
      </c>
      <c r="AC3603">
        <v>99217</v>
      </c>
      <c r="AD3603" t="s">
        <v>2141</v>
      </c>
      <c r="AE3603">
        <v>-39.538543910000001</v>
      </c>
      <c r="AF3603">
        <v>176.84730411000001</v>
      </c>
      <c r="AG3603">
        <v>61</v>
      </c>
      <c r="AH3603">
        <v>20</v>
      </c>
      <c r="AI3603">
        <v>1</v>
      </c>
      <c r="AJ3603">
        <v>13</v>
      </c>
      <c r="AK3603">
        <v>16</v>
      </c>
      <c r="AL3603">
        <v>16</v>
      </c>
      <c r="AM3603">
        <v>19</v>
      </c>
      <c r="AN3603">
        <v>0</v>
      </c>
      <c r="AO3603">
        <v>65</v>
      </c>
      <c r="AP3603">
        <v>50</v>
      </c>
      <c r="AQ3603">
        <v>23</v>
      </c>
      <c r="AR3603">
        <v>2</v>
      </c>
      <c r="AS3603">
        <v>8</v>
      </c>
      <c r="AT3603">
        <v>0</v>
      </c>
    </row>
    <row r="3604" spans="1:46">
      <c r="A3604">
        <v>55051</v>
      </c>
      <c r="B3604" t="s">
        <v>19785</v>
      </c>
      <c r="C3604" t="s">
        <v>19786</v>
      </c>
      <c r="D3604" t="s">
        <v>19787</v>
      </c>
      <c r="E3604" t="s">
        <v>19788</v>
      </c>
      <c r="F3604" t="s">
        <v>11114</v>
      </c>
      <c r="G3604" t="s">
        <v>2119</v>
      </c>
      <c r="H3604" t="s">
        <v>3942</v>
      </c>
      <c r="J3604" t="s">
        <v>518</v>
      </c>
      <c r="K3604" t="s">
        <v>519</v>
      </c>
      <c r="M3604" t="s">
        <v>1297</v>
      </c>
      <c r="N3604" t="s">
        <v>571</v>
      </c>
      <c r="O3604" t="s">
        <v>2131</v>
      </c>
      <c r="P3604" t="s">
        <v>584</v>
      </c>
      <c r="Q3604" t="s">
        <v>2118</v>
      </c>
      <c r="R3604" t="s">
        <v>2084</v>
      </c>
      <c r="S3604" t="s">
        <v>2119</v>
      </c>
      <c r="T3604" t="s">
        <v>2085</v>
      </c>
      <c r="U3604">
        <v>212900</v>
      </c>
      <c r="V3604" t="s">
        <v>11114</v>
      </c>
      <c r="W3604" t="s">
        <v>3736</v>
      </c>
      <c r="X3604" t="s">
        <v>19789</v>
      </c>
      <c r="Y3604" t="s">
        <v>19788</v>
      </c>
      <c r="Z3604" t="s">
        <v>11114</v>
      </c>
      <c r="AA3604" t="s">
        <v>12120</v>
      </c>
      <c r="AB3604" t="s">
        <v>19790</v>
      </c>
      <c r="AE3604">
        <v>-39.484053709999998</v>
      </c>
      <c r="AF3604">
        <v>176.89908779999999</v>
      </c>
      <c r="AG3604">
        <v>50</v>
      </c>
      <c r="AH3604">
        <v>12</v>
      </c>
      <c r="AI3604">
        <v>3</v>
      </c>
      <c r="AJ3604">
        <v>7</v>
      </c>
      <c r="AK3604">
        <v>16</v>
      </c>
      <c r="AL3604">
        <v>14</v>
      </c>
      <c r="AM3604">
        <v>18</v>
      </c>
      <c r="AN3604">
        <v>1</v>
      </c>
      <c r="AO3604">
        <v>59</v>
      </c>
      <c r="AP3604">
        <v>48</v>
      </c>
      <c r="AQ3604">
        <v>14</v>
      </c>
      <c r="AR3604">
        <v>1</v>
      </c>
      <c r="AS3604">
        <v>2</v>
      </c>
      <c r="AT3604">
        <v>7</v>
      </c>
    </row>
    <row r="3605" spans="1:46">
      <c r="A3605">
        <v>55053</v>
      </c>
      <c r="B3605" t="s">
        <v>19791</v>
      </c>
      <c r="C3605" t="s">
        <v>19792</v>
      </c>
      <c r="D3605" t="s">
        <v>19793</v>
      </c>
      <c r="E3605" t="s">
        <v>19794</v>
      </c>
      <c r="F3605" t="s">
        <v>2169</v>
      </c>
      <c r="G3605" t="s">
        <v>2119</v>
      </c>
      <c r="H3605" t="s">
        <v>3942</v>
      </c>
      <c r="J3605" t="s">
        <v>518</v>
      </c>
      <c r="K3605" t="s">
        <v>519</v>
      </c>
      <c r="M3605" t="s">
        <v>1297</v>
      </c>
      <c r="N3605" t="s">
        <v>727</v>
      </c>
      <c r="O3605" t="s">
        <v>2131</v>
      </c>
      <c r="P3605" t="s">
        <v>584</v>
      </c>
      <c r="Q3605" t="s">
        <v>2118</v>
      </c>
      <c r="R3605" t="s">
        <v>2084</v>
      </c>
      <c r="S3605" t="s">
        <v>2119</v>
      </c>
      <c r="T3605" t="s">
        <v>2085</v>
      </c>
      <c r="U3605">
        <v>214700</v>
      </c>
      <c r="V3605" t="s">
        <v>2170</v>
      </c>
      <c r="W3605" t="s">
        <v>2132</v>
      </c>
      <c r="X3605" t="s">
        <v>12870</v>
      </c>
      <c r="Y3605" t="s">
        <v>12871</v>
      </c>
      <c r="Z3605" t="s">
        <v>2122</v>
      </c>
      <c r="AA3605" t="s">
        <v>2123</v>
      </c>
      <c r="AB3605" t="s">
        <v>12872</v>
      </c>
      <c r="AE3605">
        <v>-39.517752100000003</v>
      </c>
      <c r="AF3605">
        <v>176.8822241</v>
      </c>
      <c r="AG3605">
        <v>37</v>
      </c>
      <c r="AH3605">
        <v>1</v>
      </c>
      <c r="AI3605">
        <v>0</v>
      </c>
      <c r="AJ3605">
        <v>0</v>
      </c>
      <c r="AK3605">
        <v>12</v>
      </c>
      <c r="AL3605">
        <v>9</v>
      </c>
      <c r="AM3605">
        <v>9</v>
      </c>
      <c r="AN3605">
        <v>0</v>
      </c>
      <c r="AO3605">
        <v>30</v>
      </c>
      <c r="AP3605">
        <v>18</v>
      </c>
      <c r="AQ3605">
        <v>19</v>
      </c>
      <c r="AR3605">
        <v>9</v>
      </c>
      <c r="AS3605">
        <v>2</v>
      </c>
      <c r="AT3605">
        <v>0</v>
      </c>
    </row>
    <row r="3606" spans="1:46">
      <c r="A3606">
        <v>55054</v>
      </c>
      <c r="B3606" t="s">
        <v>19795</v>
      </c>
      <c r="C3606" t="s">
        <v>19796</v>
      </c>
      <c r="D3606" t="s">
        <v>19797</v>
      </c>
      <c r="E3606" t="s">
        <v>19798</v>
      </c>
      <c r="G3606" t="s">
        <v>2216</v>
      </c>
      <c r="H3606" t="s">
        <v>298</v>
      </c>
      <c r="J3606" t="s">
        <v>518</v>
      </c>
      <c r="K3606" t="s">
        <v>519</v>
      </c>
      <c r="M3606" t="s">
        <v>1297</v>
      </c>
      <c r="N3606" t="s">
        <v>571</v>
      </c>
      <c r="O3606" t="s">
        <v>2198</v>
      </c>
      <c r="P3606" t="s">
        <v>1262</v>
      </c>
      <c r="Q3606" t="s">
        <v>2118</v>
      </c>
      <c r="R3606" t="s">
        <v>2084</v>
      </c>
      <c r="S3606" t="s">
        <v>2199</v>
      </c>
      <c r="T3606" t="s">
        <v>2085</v>
      </c>
      <c r="U3606">
        <v>211600</v>
      </c>
      <c r="V3606" t="s">
        <v>8721</v>
      </c>
      <c r="W3606" t="s">
        <v>2200</v>
      </c>
      <c r="X3606" t="s">
        <v>12236</v>
      </c>
      <c r="Y3606" t="s">
        <v>5187</v>
      </c>
      <c r="AA3606" t="s">
        <v>5188</v>
      </c>
      <c r="AB3606" t="s">
        <v>12237</v>
      </c>
      <c r="AE3606">
        <v>-39.668128830000001</v>
      </c>
      <c r="AF3606">
        <v>176.87692000000001</v>
      </c>
      <c r="AG3606">
        <v>29</v>
      </c>
      <c r="AH3606">
        <v>15</v>
      </c>
      <c r="AI3606">
        <v>1</v>
      </c>
      <c r="AJ3606">
        <v>6</v>
      </c>
      <c r="AK3606">
        <v>4</v>
      </c>
      <c r="AL3606">
        <v>6</v>
      </c>
      <c r="AM3606">
        <v>4</v>
      </c>
      <c r="AN3606">
        <v>2</v>
      </c>
      <c r="AO3606">
        <v>23</v>
      </c>
      <c r="AP3606">
        <v>22</v>
      </c>
      <c r="AQ3606">
        <v>5</v>
      </c>
      <c r="AR3606">
        <v>1</v>
      </c>
      <c r="AS3606">
        <v>0</v>
      </c>
      <c r="AT3606">
        <v>0</v>
      </c>
    </row>
    <row r="3607" spans="1:46">
      <c r="A3607">
        <v>55056</v>
      </c>
      <c r="B3607" t="s">
        <v>19799</v>
      </c>
      <c r="C3607" t="s">
        <v>19800</v>
      </c>
      <c r="D3607" t="s">
        <v>19801</v>
      </c>
      <c r="E3607" t="s">
        <v>19802</v>
      </c>
      <c r="G3607" t="s">
        <v>19803</v>
      </c>
      <c r="H3607" t="s">
        <v>298</v>
      </c>
      <c r="J3607" t="s">
        <v>518</v>
      </c>
      <c r="K3607" t="s">
        <v>519</v>
      </c>
      <c r="M3607" t="s">
        <v>1297</v>
      </c>
      <c r="N3607" t="s">
        <v>571</v>
      </c>
      <c r="O3607" t="s">
        <v>2198</v>
      </c>
      <c r="P3607" t="s">
        <v>572</v>
      </c>
      <c r="Q3607" t="s">
        <v>2118</v>
      </c>
      <c r="R3607" t="s">
        <v>2084</v>
      </c>
      <c r="S3607" t="s">
        <v>2199</v>
      </c>
      <c r="T3607" t="s">
        <v>2085</v>
      </c>
      <c r="U3607">
        <v>208100</v>
      </c>
      <c r="V3607" t="s">
        <v>19804</v>
      </c>
      <c r="W3607" t="s">
        <v>19805</v>
      </c>
      <c r="X3607" t="s">
        <v>12236</v>
      </c>
      <c r="Y3607" t="s">
        <v>5187</v>
      </c>
      <c r="AA3607" t="s">
        <v>5188</v>
      </c>
      <c r="AB3607" t="s">
        <v>12237</v>
      </c>
      <c r="AE3607">
        <v>-39.501558580000001</v>
      </c>
      <c r="AF3607">
        <v>176.499244</v>
      </c>
      <c r="AG3607">
        <v>25</v>
      </c>
      <c r="AH3607">
        <v>15</v>
      </c>
      <c r="AI3607">
        <v>1</v>
      </c>
      <c r="AJ3607">
        <v>2</v>
      </c>
      <c r="AK3607">
        <v>5</v>
      </c>
      <c r="AL3607">
        <v>2</v>
      </c>
      <c r="AM3607">
        <v>5</v>
      </c>
      <c r="AN3607">
        <v>0</v>
      </c>
      <c r="AO3607">
        <v>15</v>
      </c>
      <c r="AP3607">
        <v>15</v>
      </c>
      <c r="AQ3607">
        <v>0</v>
      </c>
      <c r="AR3607">
        <v>0</v>
      </c>
      <c r="AS3607">
        <v>0</v>
      </c>
      <c r="AT3607">
        <v>0</v>
      </c>
    </row>
    <row r="3608" spans="1:46">
      <c r="A3608">
        <v>55057</v>
      </c>
      <c r="B3608" t="s">
        <v>19806</v>
      </c>
      <c r="D3608" t="s">
        <v>19807</v>
      </c>
      <c r="E3608" t="s">
        <v>19808</v>
      </c>
      <c r="F3608" t="s">
        <v>2122</v>
      </c>
      <c r="G3608" t="s">
        <v>2119</v>
      </c>
      <c r="H3608" t="s">
        <v>298</v>
      </c>
      <c r="J3608" t="s">
        <v>518</v>
      </c>
      <c r="K3608" t="s">
        <v>519</v>
      </c>
      <c r="M3608" t="s">
        <v>1297</v>
      </c>
      <c r="N3608" t="s">
        <v>571</v>
      </c>
      <c r="O3608" t="s">
        <v>2131</v>
      </c>
      <c r="P3608" t="s">
        <v>584</v>
      </c>
      <c r="Q3608" t="s">
        <v>2118</v>
      </c>
      <c r="R3608" t="s">
        <v>2084</v>
      </c>
      <c r="S3608" t="s">
        <v>2119</v>
      </c>
      <c r="T3608" t="s">
        <v>2085</v>
      </c>
      <c r="U3608">
        <v>215200</v>
      </c>
      <c r="V3608" t="s">
        <v>12117</v>
      </c>
      <c r="W3608" t="s">
        <v>2132</v>
      </c>
      <c r="X3608" t="s">
        <v>12236</v>
      </c>
      <c r="Y3608" t="s">
        <v>5187</v>
      </c>
      <c r="AA3608" t="s">
        <v>5188</v>
      </c>
      <c r="AB3608" t="s">
        <v>12237</v>
      </c>
      <c r="AE3608">
        <v>-39.504479510000003</v>
      </c>
      <c r="AF3608">
        <v>176.91372820999999</v>
      </c>
      <c r="AG3608">
        <v>25</v>
      </c>
      <c r="AH3608">
        <v>15</v>
      </c>
      <c r="AI3608">
        <v>0</v>
      </c>
      <c r="AJ3608">
        <v>4</v>
      </c>
      <c r="AK3608">
        <v>2</v>
      </c>
      <c r="AL3608">
        <v>2</v>
      </c>
      <c r="AM3608">
        <v>3</v>
      </c>
      <c r="AN3608">
        <v>0</v>
      </c>
      <c r="AO3608">
        <v>11</v>
      </c>
      <c r="AP3608">
        <v>9</v>
      </c>
      <c r="AQ3608">
        <v>1</v>
      </c>
      <c r="AR3608">
        <v>0</v>
      </c>
      <c r="AS3608">
        <v>4</v>
      </c>
      <c r="AT3608">
        <v>1</v>
      </c>
    </row>
    <row r="3609" spans="1:46">
      <c r="A3609">
        <v>55058</v>
      </c>
      <c r="B3609" t="s">
        <v>19809</v>
      </c>
      <c r="C3609" t="s">
        <v>19810</v>
      </c>
      <c r="D3609" t="s">
        <v>19811</v>
      </c>
      <c r="E3609" t="s">
        <v>19812</v>
      </c>
      <c r="F3609" t="s">
        <v>11114</v>
      </c>
      <c r="G3609" t="s">
        <v>2119</v>
      </c>
      <c r="H3609" t="s">
        <v>298</v>
      </c>
      <c r="J3609" t="s">
        <v>518</v>
      </c>
      <c r="K3609" t="s">
        <v>519</v>
      </c>
      <c r="M3609" t="s">
        <v>1297</v>
      </c>
      <c r="N3609" t="s">
        <v>571</v>
      </c>
      <c r="O3609" t="s">
        <v>2131</v>
      </c>
      <c r="P3609" t="s">
        <v>584</v>
      </c>
      <c r="Q3609" t="s">
        <v>2118</v>
      </c>
      <c r="R3609" t="s">
        <v>2084</v>
      </c>
      <c r="S3609" t="s">
        <v>2119</v>
      </c>
      <c r="T3609" t="s">
        <v>2085</v>
      </c>
      <c r="U3609">
        <v>212900</v>
      </c>
      <c r="V3609" t="s">
        <v>11114</v>
      </c>
      <c r="W3609" t="s">
        <v>3736</v>
      </c>
      <c r="X3609" t="s">
        <v>12236</v>
      </c>
      <c r="Y3609" t="s">
        <v>5187</v>
      </c>
      <c r="AA3609" t="s">
        <v>5188</v>
      </c>
      <c r="AB3609" t="s">
        <v>12237</v>
      </c>
      <c r="AE3609">
        <v>-39.484464799999998</v>
      </c>
      <c r="AF3609">
        <v>176.8982795</v>
      </c>
      <c r="AG3609">
        <v>23</v>
      </c>
      <c r="AH3609">
        <v>13</v>
      </c>
      <c r="AI3609">
        <v>1</v>
      </c>
      <c r="AJ3609">
        <v>3</v>
      </c>
      <c r="AK3609">
        <v>3</v>
      </c>
      <c r="AL3609">
        <v>4</v>
      </c>
      <c r="AM3609">
        <v>3</v>
      </c>
      <c r="AN3609">
        <v>0</v>
      </c>
      <c r="AO3609">
        <v>14</v>
      </c>
      <c r="AP3609">
        <v>13</v>
      </c>
      <c r="AQ3609">
        <v>1</v>
      </c>
      <c r="AR3609">
        <v>0</v>
      </c>
      <c r="AS3609">
        <v>1</v>
      </c>
      <c r="AT3609">
        <v>1</v>
      </c>
    </row>
    <row r="3610" spans="1:46">
      <c r="A3610">
        <v>55059</v>
      </c>
      <c r="B3610" t="s">
        <v>19813</v>
      </c>
      <c r="C3610" t="s">
        <v>19814</v>
      </c>
      <c r="D3610" t="s">
        <v>19815</v>
      </c>
      <c r="E3610" t="s">
        <v>19816</v>
      </c>
      <c r="F3610" t="s">
        <v>2181</v>
      </c>
      <c r="G3610" t="s">
        <v>2119</v>
      </c>
      <c r="H3610" t="s">
        <v>298</v>
      </c>
      <c r="J3610" t="s">
        <v>518</v>
      </c>
      <c r="K3610" t="s">
        <v>519</v>
      </c>
      <c r="M3610" t="s">
        <v>1297</v>
      </c>
      <c r="N3610" t="s">
        <v>557</v>
      </c>
      <c r="O3610" t="s">
        <v>2131</v>
      </c>
      <c r="P3610" t="s">
        <v>584</v>
      </c>
      <c r="Q3610" t="s">
        <v>2118</v>
      </c>
      <c r="R3610" t="s">
        <v>2084</v>
      </c>
      <c r="S3610" t="s">
        <v>2119</v>
      </c>
      <c r="T3610" t="s">
        <v>2085</v>
      </c>
      <c r="U3610">
        <v>213800</v>
      </c>
      <c r="V3610" t="s">
        <v>19817</v>
      </c>
      <c r="W3610" t="s">
        <v>2163</v>
      </c>
      <c r="X3610" t="s">
        <v>12236</v>
      </c>
      <c r="Y3610" t="s">
        <v>5187</v>
      </c>
      <c r="AA3610" t="s">
        <v>5188</v>
      </c>
      <c r="AB3610" t="s">
        <v>12237</v>
      </c>
      <c r="AE3610">
        <v>-39.516967880000003</v>
      </c>
      <c r="AF3610">
        <v>176.86676209000001</v>
      </c>
      <c r="AG3610">
        <v>25</v>
      </c>
      <c r="AH3610">
        <v>15</v>
      </c>
      <c r="AI3610">
        <v>0</v>
      </c>
      <c r="AJ3610">
        <v>2</v>
      </c>
      <c r="AK3610">
        <v>4</v>
      </c>
      <c r="AL3610">
        <v>1</v>
      </c>
      <c r="AM3610">
        <v>3</v>
      </c>
      <c r="AN3610">
        <v>0</v>
      </c>
      <c r="AO3610">
        <v>10</v>
      </c>
      <c r="AP3610">
        <v>9</v>
      </c>
      <c r="AQ3610">
        <v>2</v>
      </c>
      <c r="AR3610">
        <v>0</v>
      </c>
      <c r="AS3610">
        <v>1</v>
      </c>
      <c r="AT3610">
        <v>0</v>
      </c>
    </row>
    <row r="3611" spans="1:46">
      <c r="A3611">
        <v>55060</v>
      </c>
      <c r="B3611" t="s">
        <v>19818</v>
      </c>
      <c r="C3611" t="s">
        <v>19819</v>
      </c>
      <c r="D3611" t="s">
        <v>19820</v>
      </c>
      <c r="E3611" t="s">
        <v>19821</v>
      </c>
      <c r="F3611" t="s">
        <v>2175</v>
      </c>
      <c r="G3611" t="s">
        <v>2119</v>
      </c>
      <c r="H3611" t="s">
        <v>298</v>
      </c>
      <c r="J3611" t="s">
        <v>518</v>
      </c>
      <c r="K3611" t="s">
        <v>519</v>
      </c>
      <c r="M3611" t="s">
        <v>1297</v>
      </c>
      <c r="N3611" t="s">
        <v>571</v>
      </c>
      <c r="O3611" t="s">
        <v>2131</v>
      </c>
      <c r="P3611" t="s">
        <v>584</v>
      </c>
      <c r="Q3611" t="s">
        <v>2118</v>
      </c>
      <c r="R3611" t="s">
        <v>2084</v>
      </c>
      <c r="S3611" t="s">
        <v>2119</v>
      </c>
      <c r="T3611" t="s">
        <v>2085</v>
      </c>
      <c r="U3611">
        <v>214600</v>
      </c>
      <c r="V3611" t="s">
        <v>19822</v>
      </c>
      <c r="W3611" t="s">
        <v>2140</v>
      </c>
      <c r="X3611" t="s">
        <v>12236</v>
      </c>
      <c r="Y3611" t="s">
        <v>5187</v>
      </c>
      <c r="AA3611" t="s">
        <v>5188</v>
      </c>
      <c r="AB3611" t="s">
        <v>12237</v>
      </c>
      <c r="AE3611">
        <v>-39.534497000000002</v>
      </c>
      <c r="AF3611">
        <v>176.85204569999999</v>
      </c>
      <c r="AG3611">
        <v>25</v>
      </c>
      <c r="AH3611">
        <v>15</v>
      </c>
      <c r="AI3611">
        <v>0</v>
      </c>
      <c r="AJ3611">
        <v>2</v>
      </c>
      <c r="AK3611">
        <v>3</v>
      </c>
      <c r="AL3611">
        <v>11</v>
      </c>
      <c r="AM3611">
        <v>1</v>
      </c>
      <c r="AN3611">
        <v>0</v>
      </c>
      <c r="AO3611">
        <v>17</v>
      </c>
      <c r="AP3611">
        <v>15</v>
      </c>
      <c r="AQ3611">
        <v>5</v>
      </c>
      <c r="AR3611">
        <v>0</v>
      </c>
      <c r="AS3611">
        <v>0</v>
      </c>
      <c r="AT3611">
        <v>0</v>
      </c>
    </row>
    <row r="3612" spans="1:46">
      <c r="A3612">
        <v>55063</v>
      </c>
      <c r="B3612" t="s">
        <v>19823</v>
      </c>
      <c r="D3612" t="s">
        <v>19824</v>
      </c>
      <c r="E3612" t="s">
        <v>19825</v>
      </c>
      <c r="G3612" t="s">
        <v>19826</v>
      </c>
      <c r="H3612" t="s">
        <v>298</v>
      </c>
      <c r="J3612" t="s">
        <v>518</v>
      </c>
      <c r="K3612" t="s">
        <v>519</v>
      </c>
      <c r="M3612" t="s">
        <v>1297</v>
      </c>
      <c r="N3612" t="s">
        <v>571</v>
      </c>
      <c r="O3612" t="s">
        <v>2198</v>
      </c>
      <c r="P3612" t="s">
        <v>523</v>
      </c>
      <c r="Q3612" t="s">
        <v>2118</v>
      </c>
      <c r="R3612" t="s">
        <v>2084</v>
      </c>
      <c r="S3612" t="s">
        <v>2199</v>
      </c>
      <c r="T3612" t="s">
        <v>2085</v>
      </c>
      <c r="U3612">
        <v>211301</v>
      </c>
      <c r="V3612" t="s">
        <v>19826</v>
      </c>
      <c r="W3612" t="s">
        <v>11860</v>
      </c>
      <c r="X3612" t="s">
        <v>12236</v>
      </c>
      <c r="Y3612" t="s">
        <v>5187</v>
      </c>
      <c r="AA3612" t="s">
        <v>5188</v>
      </c>
      <c r="AB3612" t="s">
        <v>12237</v>
      </c>
      <c r="AE3612">
        <v>-39.602770380000003</v>
      </c>
      <c r="AF3612">
        <v>176.94428177</v>
      </c>
      <c r="AG3612">
        <v>17</v>
      </c>
      <c r="AH3612">
        <v>10</v>
      </c>
      <c r="AI3612">
        <v>4</v>
      </c>
      <c r="AJ3612">
        <v>3</v>
      </c>
      <c r="AK3612">
        <v>1</v>
      </c>
      <c r="AL3612">
        <v>2</v>
      </c>
      <c r="AM3612">
        <v>1</v>
      </c>
      <c r="AN3612">
        <v>0</v>
      </c>
      <c r="AO3612">
        <v>11</v>
      </c>
      <c r="AP3612">
        <v>9</v>
      </c>
      <c r="AQ3612">
        <v>3</v>
      </c>
      <c r="AR3612">
        <v>0</v>
      </c>
      <c r="AS3612">
        <v>2</v>
      </c>
      <c r="AT3612">
        <v>0</v>
      </c>
    </row>
    <row r="3613" spans="1:46">
      <c r="A3613">
        <v>55066</v>
      </c>
      <c r="B3613" t="s">
        <v>19827</v>
      </c>
      <c r="D3613" t="s">
        <v>19828</v>
      </c>
      <c r="E3613" t="s">
        <v>19829</v>
      </c>
      <c r="G3613" t="s">
        <v>19826</v>
      </c>
      <c r="H3613" t="s">
        <v>298</v>
      </c>
      <c r="J3613" t="s">
        <v>518</v>
      </c>
      <c r="K3613" t="s">
        <v>519</v>
      </c>
      <c r="M3613" t="s">
        <v>1297</v>
      </c>
      <c r="N3613" t="s">
        <v>571</v>
      </c>
      <c r="O3613" t="s">
        <v>2198</v>
      </c>
      <c r="P3613" t="s">
        <v>523</v>
      </c>
      <c r="Q3613" t="s">
        <v>2118</v>
      </c>
      <c r="R3613" t="s">
        <v>2084</v>
      </c>
      <c r="S3613" t="s">
        <v>2199</v>
      </c>
      <c r="T3613" t="s">
        <v>2085</v>
      </c>
      <c r="U3613">
        <v>211301</v>
      </c>
      <c r="V3613" t="s">
        <v>19826</v>
      </c>
      <c r="W3613" t="s">
        <v>11860</v>
      </c>
      <c r="X3613" t="s">
        <v>12236</v>
      </c>
      <c r="Y3613" t="s">
        <v>5187</v>
      </c>
      <c r="AA3613" t="s">
        <v>5188</v>
      </c>
      <c r="AB3613" t="s">
        <v>12237</v>
      </c>
      <c r="AE3613">
        <v>-39.60263613</v>
      </c>
      <c r="AF3613">
        <v>176.94413868000001</v>
      </c>
      <c r="AG3613">
        <v>17</v>
      </c>
      <c r="AH3613">
        <v>10</v>
      </c>
      <c r="AI3613">
        <v>6</v>
      </c>
      <c r="AJ3613">
        <v>4</v>
      </c>
      <c r="AK3613">
        <v>3</v>
      </c>
      <c r="AL3613">
        <v>4</v>
      </c>
      <c r="AM3613">
        <v>1</v>
      </c>
      <c r="AN3613">
        <v>0</v>
      </c>
      <c r="AO3613">
        <v>18</v>
      </c>
      <c r="AP3613">
        <v>18</v>
      </c>
      <c r="AQ3613">
        <v>2</v>
      </c>
      <c r="AR3613">
        <v>0</v>
      </c>
      <c r="AS3613">
        <v>0</v>
      </c>
      <c r="AT3613">
        <v>0</v>
      </c>
    </row>
    <row r="3614" spans="1:46">
      <c r="A3614">
        <v>55070</v>
      </c>
      <c r="B3614" t="s">
        <v>19830</v>
      </c>
      <c r="C3614" t="s">
        <v>19831</v>
      </c>
      <c r="D3614" t="s">
        <v>19832</v>
      </c>
      <c r="E3614" t="s">
        <v>19833</v>
      </c>
      <c r="G3614" t="s">
        <v>19834</v>
      </c>
      <c r="H3614" t="s">
        <v>298</v>
      </c>
      <c r="J3614" t="s">
        <v>518</v>
      </c>
      <c r="K3614" t="s">
        <v>519</v>
      </c>
      <c r="M3614" t="s">
        <v>1297</v>
      </c>
      <c r="N3614" t="s">
        <v>571</v>
      </c>
      <c r="O3614" t="s">
        <v>2268</v>
      </c>
      <c r="P3614" t="s">
        <v>540</v>
      </c>
      <c r="Q3614" t="s">
        <v>2118</v>
      </c>
      <c r="R3614" t="s">
        <v>2084</v>
      </c>
      <c r="S3614" t="s">
        <v>2199</v>
      </c>
      <c r="T3614" t="s">
        <v>2085</v>
      </c>
      <c r="U3614">
        <v>215600</v>
      </c>
      <c r="V3614" t="s">
        <v>12234</v>
      </c>
      <c r="W3614" t="s">
        <v>12235</v>
      </c>
      <c r="X3614" t="s">
        <v>12236</v>
      </c>
      <c r="Y3614" t="s">
        <v>5187</v>
      </c>
      <c r="AA3614" t="s">
        <v>5188</v>
      </c>
      <c r="AB3614" t="s">
        <v>12237</v>
      </c>
      <c r="AE3614">
        <v>-39.913732090000003</v>
      </c>
      <c r="AF3614">
        <v>176.4207318</v>
      </c>
      <c r="AG3614">
        <v>30</v>
      </c>
      <c r="AH3614">
        <v>10</v>
      </c>
      <c r="AI3614">
        <v>2</v>
      </c>
      <c r="AJ3614">
        <v>1</v>
      </c>
      <c r="AK3614">
        <v>3</v>
      </c>
      <c r="AL3614">
        <v>1</v>
      </c>
      <c r="AM3614">
        <v>0</v>
      </c>
      <c r="AN3614">
        <v>0</v>
      </c>
      <c r="AO3614">
        <v>7</v>
      </c>
      <c r="AP3614">
        <v>7</v>
      </c>
      <c r="AQ3614">
        <v>2</v>
      </c>
      <c r="AR3614">
        <v>0</v>
      </c>
      <c r="AS3614">
        <v>0</v>
      </c>
      <c r="AT3614">
        <v>0</v>
      </c>
    </row>
    <row r="3615" spans="1:46">
      <c r="A3615">
        <v>55071</v>
      </c>
      <c r="B3615" t="s">
        <v>19835</v>
      </c>
      <c r="C3615" t="s">
        <v>19836</v>
      </c>
      <c r="D3615" t="s">
        <v>19837</v>
      </c>
      <c r="E3615" t="s">
        <v>19838</v>
      </c>
      <c r="G3615" t="s">
        <v>19839</v>
      </c>
      <c r="H3615" t="s">
        <v>298</v>
      </c>
      <c r="J3615" t="s">
        <v>518</v>
      </c>
      <c r="K3615" t="s">
        <v>519</v>
      </c>
      <c r="M3615" t="s">
        <v>1297</v>
      </c>
      <c r="N3615" t="s">
        <v>571</v>
      </c>
      <c r="O3615" t="s">
        <v>2268</v>
      </c>
      <c r="P3615" t="s">
        <v>540</v>
      </c>
      <c r="Q3615" t="s">
        <v>2118</v>
      </c>
      <c r="R3615" t="s">
        <v>2084</v>
      </c>
      <c r="S3615" t="s">
        <v>2269</v>
      </c>
      <c r="T3615" t="s">
        <v>2085</v>
      </c>
      <c r="U3615">
        <v>216101</v>
      </c>
      <c r="V3615" t="s">
        <v>19840</v>
      </c>
      <c r="W3615" t="s">
        <v>12235</v>
      </c>
      <c r="X3615" t="s">
        <v>12236</v>
      </c>
      <c r="Y3615" t="s">
        <v>5187</v>
      </c>
      <c r="AA3615" t="s">
        <v>5188</v>
      </c>
      <c r="AB3615" t="s">
        <v>12237</v>
      </c>
      <c r="AE3615">
        <v>-40.303299899999999</v>
      </c>
      <c r="AF3615">
        <v>176.616806</v>
      </c>
      <c r="AG3615">
        <v>30</v>
      </c>
      <c r="AH3615">
        <v>15</v>
      </c>
      <c r="AI3615">
        <v>2</v>
      </c>
      <c r="AJ3615">
        <v>3</v>
      </c>
      <c r="AK3615">
        <v>4</v>
      </c>
      <c r="AL3615">
        <v>1</v>
      </c>
      <c r="AM3615">
        <v>4</v>
      </c>
      <c r="AN3615">
        <v>0</v>
      </c>
      <c r="AO3615">
        <v>14</v>
      </c>
      <c r="AP3615">
        <v>10</v>
      </c>
      <c r="AQ3615">
        <v>9</v>
      </c>
      <c r="AR3615">
        <v>2</v>
      </c>
      <c r="AS3615">
        <v>0</v>
      </c>
      <c r="AT3615">
        <v>0</v>
      </c>
    </row>
    <row r="3616" spans="1:46">
      <c r="A3616">
        <v>55074</v>
      </c>
      <c r="B3616" t="s">
        <v>19841</v>
      </c>
      <c r="C3616" t="s">
        <v>19842</v>
      </c>
      <c r="D3616" t="s">
        <v>19843</v>
      </c>
      <c r="E3616" t="s">
        <v>19844</v>
      </c>
      <c r="G3616" t="s">
        <v>19845</v>
      </c>
      <c r="H3616" t="s">
        <v>298</v>
      </c>
      <c r="J3616" t="s">
        <v>518</v>
      </c>
      <c r="K3616" t="s">
        <v>519</v>
      </c>
      <c r="M3616" t="s">
        <v>1297</v>
      </c>
      <c r="N3616" t="s">
        <v>571</v>
      </c>
      <c r="O3616" t="s">
        <v>2268</v>
      </c>
      <c r="P3616" t="s">
        <v>540</v>
      </c>
      <c r="Q3616" t="s">
        <v>2118</v>
      </c>
      <c r="R3616" t="s">
        <v>2084</v>
      </c>
      <c r="S3616" t="s">
        <v>2199</v>
      </c>
      <c r="T3616" t="s">
        <v>2085</v>
      </c>
      <c r="U3616">
        <v>215500</v>
      </c>
      <c r="V3616" t="s">
        <v>19846</v>
      </c>
      <c r="W3616" t="s">
        <v>12235</v>
      </c>
      <c r="X3616" t="s">
        <v>12236</v>
      </c>
      <c r="Y3616" t="s">
        <v>5187</v>
      </c>
      <c r="AA3616" t="s">
        <v>5188</v>
      </c>
      <c r="AB3616" t="s">
        <v>12237</v>
      </c>
      <c r="AE3616">
        <v>-39.8217207</v>
      </c>
      <c r="AF3616">
        <v>176.45686140000001</v>
      </c>
      <c r="AG3616">
        <v>30</v>
      </c>
      <c r="AH3616">
        <v>10</v>
      </c>
      <c r="AI3616">
        <v>1</v>
      </c>
      <c r="AJ3616">
        <v>2</v>
      </c>
      <c r="AK3616">
        <v>3</v>
      </c>
      <c r="AL3616">
        <v>0</v>
      </c>
      <c r="AM3616">
        <v>0</v>
      </c>
      <c r="AN3616">
        <v>0</v>
      </c>
      <c r="AO3616">
        <v>6</v>
      </c>
      <c r="AP3616">
        <v>6</v>
      </c>
      <c r="AQ3616">
        <v>2</v>
      </c>
      <c r="AR3616">
        <v>0</v>
      </c>
      <c r="AS3616">
        <v>0</v>
      </c>
      <c r="AT3616">
        <v>0</v>
      </c>
    </row>
    <row r="3617" spans="1:46">
      <c r="A3617">
        <v>55077</v>
      </c>
      <c r="B3617" t="s">
        <v>19847</v>
      </c>
      <c r="C3617" t="s">
        <v>19848</v>
      </c>
      <c r="D3617" t="s">
        <v>19849</v>
      </c>
      <c r="E3617" t="s">
        <v>19850</v>
      </c>
      <c r="F3617" t="s">
        <v>2138</v>
      </c>
      <c r="G3617" t="s">
        <v>2119</v>
      </c>
      <c r="H3617" t="s">
        <v>3942</v>
      </c>
      <c r="I3617" t="s">
        <v>12020</v>
      </c>
      <c r="J3617" t="s">
        <v>518</v>
      </c>
      <c r="K3617" t="s">
        <v>519</v>
      </c>
      <c r="M3617" t="s">
        <v>1297</v>
      </c>
      <c r="N3617" t="s">
        <v>571</v>
      </c>
      <c r="O3617" t="s">
        <v>2131</v>
      </c>
      <c r="P3617" t="s">
        <v>584</v>
      </c>
      <c r="Q3617" t="s">
        <v>2118</v>
      </c>
      <c r="R3617" t="s">
        <v>2084</v>
      </c>
      <c r="S3617" t="s">
        <v>2119</v>
      </c>
      <c r="T3617" t="s">
        <v>2085</v>
      </c>
      <c r="U3617">
        <v>214400</v>
      </c>
      <c r="V3617" t="s">
        <v>8898</v>
      </c>
      <c r="W3617" t="s">
        <v>2140</v>
      </c>
      <c r="X3617" t="s">
        <v>19851</v>
      </c>
      <c r="Y3617" t="s">
        <v>19852</v>
      </c>
      <c r="Z3617" t="s">
        <v>2138</v>
      </c>
      <c r="AA3617" t="s">
        <v>14058</v>
      </c>
      <c r="AB3617" t="s">
        <v>19853</v>
      </c>
      <c r="AC3617">
        <v>99217</v>
      </c>
      <c r="AD3617" t="s">
        <v>2141</v>
      </c>
      <c r="AE3617">
        <v>-39.52585217</v>
      </c>
      <c r="AF3617">
        <v>176.86602149999999</v>
      </c>
      <c r="AG3617">
        <v>50</v>
      </c>
      <c r="AH3617">
        <v>10</v>
      </c>
      <c r="AI3617">
        <v>2</v>
      </c>
      <c r="AJ3617">
        <v>5</v>
      </c>
      <c r="AK3617">
        <v>11</v>
      </c>
      <c r="AL3617">
        <v>13</v>
      </c>
      <c r="AM3617">
        <v>9</v>
      </c>
      <c r="AN3617">
        <v>0</v>
      </c>
      <c r="AO3617">
        <v>40</v>
      </c>
      <c r="AP3617">
        <v>36</v>
      </c>
      <c r="AQ3617">
        <v>12</v>
      </c>
      <c r="AR3617">
        <v>1</v>
      </c>
      <c r="AS3617">
        <v>2</v>
      </c>
      <c r="AT3617">
        <v>0</v>
      </c>
    </row>
    <row r="3618" spans="1:46">
      <c r="A3618">
        <v>55078</v>
      </c>
      <c r="B3618" t="s">
        <v>19854</v>
      </c>
      <c r="C3618" t="s">
        <v>19855</v>
      </c>
      <c r="E3618" t="s">
        <v>19856</v>
      </c>
      <c r="F3618" t="s">
        <v>9007</v>
      </c>
      <c r="G3618" t="s">
        <v>2081</v>
      </c>
      <c r="H3618" t="s">
        <v>3942</v>
      </c>
      <c r="I3618" t="s">
        <v>6806</v>
      </c>
      <c r="J3618" t="s">
        <v>518</v>
      </c>
      <c r="K3618" t="s">
        <v>519</v>
      </c>
      <c r="M3618" t="s">
        <v>1297</v>
      </c>
      <c r="N3618" t="s">
        <v>727</v>
      </c>
      <c r="O3618" t="s">
        <v>2082</v>
      </c>
      <c r="P3618" t="s">
        <v>584</v>
      </c>
      <c r="Q3618" t="s">
        <v>2083</v>
      </c>
      <c r="R3618" t="s">
        <v>2084</v>
      </c>
      <c r="S3618" t="s">
        <v>1473</v>
      </c>
      <c r="T3618" t="s">
        <v>2085</v>
      </c>
      <c r="U3618">
        <v>206000</v>
      </c>
      <c r="V3618" t="s">
        <v>2086</v>
      </c>
      <c r="W3618" t="s">
        <v>2087</v>
      </c>
      <c r="X3618" t="s">
        <v>19857</v>
      </c>
      <c r="Y3618" t="s">
        <v>8367</v>
      </c>
      <c r="AA3618" t="s">
        <v>8368</v>
      </c>
      <c r="AB3618" t="s">
        <v>19858</v>
      </c>
      <c r="AC3618">
        <v>99083</v>
      </c>
      <c r="AD3618" t="s">
        <v>2099</v>
      </c>
      <c r="AE3618">
        <v>-38.656429680000002</v>
      </c>
      <c r="AF3618">
        <v>177.99275037000001</v>
      </c>
      <c r="AG3618">
        <v>50</v>
      </c>
      <c r="AH3618">
        <v>20</v>
      </c>
      <c r="AI3618">
        <v>2</v>
      </c>
      <c r="AJ3618">
        <v>7</v>
      </c>
      <c r="AK3618">
        <v>9</v>
      </c>
      <c r="AL3618">
        <v>9</v>
      </c>
      <c r="AM3618">
        <v>7</v>
      </c>
      <c r="AN3618">
        <v>1</v>
      </c>
      <c r="AO3618">
        <v>35</v>
      </c>
      <c r="AP3618">
        <v>7</v>
      </c>
      <c r="AQ3618">
        <v>30</v>
      </c>
      <c r="AR3618">
        <v>2</v>
      </c>
      <c r="AS3618">
        <v>0</v>
      </c>
      <c r="AT3618">
        <v>0</v>
      </c>
    </row>
    <row r="3619" spans="1:46">
      <c r="A3619">
        <v>55087</v>
      </c>
      <c r="B3619" t="s">
        <v>19859</v>
      </c>
      <c r="C3619" t="s">
        <v>19860</v>
      </c>
      <c r="D3619" t="s">
        <v>19861</v>
      </c>
      <c r="E3619" t="s">
        <v>19862</v>
      </c>
      <c r="F3619" t="s">
        <v>3629</v>
      </c>
      <c r="G3619" t="s">
        <v>2119</v>
      </c>
      <c r="H3619" t="s">
        <v>3942</v>
      </c>
      <c r="J3619" t="s">
        <v>518</v>
      </c>
      <c r="K3619" t="s">
        <v>519</v>
      </c>
      <c r="M3619" t="s">
        <v>1297</v>
      </c>
      <c r="N3619" t="s">
        <v>571</v>
      </c>
      <c r="O3619" t="s">
        <v>2131</v>
      </c>
      <c r="P3619" t="s">
        <v>584</v>
      </c>
      <c r="Q3619" t="s">
        <v>2118</v>
      </c>
      <c r="R3619" t="s">
        <v>2084</v>
      </c>
      <c r="S3619" t="s">
        <v>2119</v>
      </c>
      <c r="T3619" t="s">
        <v>2085</v>
      </c>
      <c r="U3619">
        <v>214300</v>
      </c>
      <c r="V3619" t="s">
        <v>19863</v>
      </c>
      <c r="W3619" t="s">
        <v>2132</v>
      </c>
      <c r="X3619" t="s">
        <v>19864</v>
      </c>
      <c r="Y3619" t="s">
        <v>19788</v>
      </c>
      <c r="Z3619" t="s">
        <v>11114</v>
      </c>
      <c r="AA3619" t="s">
        <v>12120</v>
      </c>
      <c r="AB3619" t="s">
        <v>19865</v>
      </c>
      <c r="AE3619">
        <v>-39.494243130000001</v>
      </c>
      <c r="AF3619">
        <v>176.91729543</v>
      </c>
      <c r="AG3619">
        <v>50</v>
      </c>
      <c r="AH3619">
        <v>15</v>
      </c>
      <c r="AI3619">
        <v>4</v>
      </c>
      <c r="AJ3619">
        <v>9</v>
      </c>
      <c r="AK3619">
        <v>14</v>
      </c>
      <c r="AL3619">
        <v>13</v>
      </c>
      <c r="AM3619">
        <v>14</v>
      </c>
      <c r="AN3619">
        <v>1</v>
      </c>
      <c r="AO3619">
        <v>55</v>
      </c>
      <c r="AP3619">
        <v>45</v>
      </c>
      <c r="AQ3619">
        <v>19</v>
      </c>
      <c r="AR3619">
        <v>2</v>
      </c>
      <c r="AS3619">
        <v>6</v>
      </c>
      <c r="AT3619">
        <v>4</v>
      </c>
    </row>
    <row r="3620" spans="1:46">
      <c r="A3620">
        <v>55089</v>
      </c>
      <c r="B3620" t="s">
        <v>19866</v>
      </c>
      <c r="C3620" t="s">
        <v>19867</v>
      </c>
      <c r="D3620" t="s">
        <v>19868</v>
      </c>
      <c r="E3620" t="s">
        <v>19869</v>
      </c>
      <c r="F3620" t="s">
        <v>2244</v>
      </c>
      <c r="G3620" t="s">
        <v>2197</v>
      </c>
      <c r="H3620" t="s">
        <v>3942</v>
      </c>
      <c r="J3620" t="s">
        <v>518</v>
      </c>
      <c r="K3620" t="s">
        <v>519</v>
      </c>
      <c r="M3620" t="s">
        <v>1297</v>
      </c>
      <c r="N3620" t="s">
        <v>557</v>
      </c>
      <c r="O3620" t="s">
        <v>2198</v>
      </c>
      <c r="P3620" t="s">
        <v>584</v>
      </c>
      <c r="Q3620" t="s">
        <v>2118</v>
      </c>
      <c r="R3620" t="s">
        <v>2084</v>
      </c>
      <c r="S3620" t="s">
        <v>2199</v>
      </c>
      <c r="T3620" t="s">
        <v>2085</v>
      </c>
      <c r="U3620">
        <v>210600</v>
      </c>
      <c r="V3620" t="s">
        <v>19870</v>
      </c>
      <c r="W3620" t="s">
        <v>2200</v>
      </c>
      <c r="X3620" t="s">
        <v>8899</v>
      </c>
      <c r="Y3620" t="s">
        <v>3944</v>
      </c>
      <c r="Z3620" t="s">
        <v>3945</v>
      </c>
      <c r="AA3620" t="s">
        <v>3946</v>
      </c>
      <c r="AB3620" t="s">
        <v>8900</v>
      </c>
      <c r="AC3620">
        <v>99159</v>
      </c>
      <c r="AD3620" t="s">
        <v>2206</v>
      </c>
      <c r="AE3620">
        <v>-39.629437369999998</v>
      </c>
      <c r="AF3620">
        <v>176.85097404999999</v>
      </c>
      <c r="AG3620">
        <v>42</v>
      </c>
      <c r="AH3620">
        <v>15</v>
      </c>
      <c r="AI3620">
        <v>2</v>
      </c>
      <c r="AJ3620">
        <v>7</v>
      </c>
      <c r="AK3620">
        <v>9</v>
      </c>
      <c r="AL3620">
        <v>12</v>
      </c>
      <c r="AM3620">
        <v>14</v>
      </c>
      <c r="AN3620">
        <v>2</v>
      </c>
      <c r="AO3620">
        <v>46</v>
      </c>
      <c r="AP3620">
        <v>16</v>
      </c>
      <c r="AQ3620">
        <v>25</v>
      </c>
      <c r="AR3620">
        <v>6</v>
      </c>
      <c r="AS3620">
        <v>7</v>
      </c>
      <c r="AT3620">
        <v>2</v>
      </c>
    </row>
    <row r="3621" spans="1:46">
      <c r="A3621">
        <v>55092</v>
      </c>
      <c r="B3621" t="s">
        <v>19871</v>
      </c>
      <c r="C3621" t="s">
        <v>19872</v>
      </c>
      <c r="E3621" t="s">
        <v>19873</v>
      </c>
      <c r="F3621" t="s">
        <v>2138</v>
      </c>
      <c r="G3621" t="s">
        <v>2119</v>
      </c>
      <c r="H3621" t="s">
        <v>3942</v>
      </c>
      <c r="J3621" t="s">
        <v>3962</v>
      </c>
      <c r="K3621" t="s">
        <v>519</v>
      </c>
      <c r="M3621" t="s">
        <v>1297</v>
      </c>
      <c r="N3621" t="s">
        <v>571</v>
      </c>
      <c r="O3621" t="s">
        <v>2131</v>
      </c>
      <c r="P3621" t="s">
        <v>584</v>
      </c>
      <c r="Q3621" t="s">
        <v>2118</v>
      </c>
      <c r="R3621" t="s">
        <v>2084</v>
      </c>
      <c r="S3621" t="s">
        <v>2119</v>
      </c>
      <c r="T3621" t="s">
        <v>2085</v>
      </c>
      <c r="U3621">
        <v>214600</v>
      </c>
      <c r="V3621" t="s">
        <v>19822</v>
      </c>
      <c r="W3621" t="s">
        <v>2140</v>
      </c>
      <c r="X3621" t="s">
        <v>18782</v>
      </c>
      <c r="Y3621" t="s">
        <v>19874</v>
      </c>
      <c r="Z3621" t="s">
        <v>2175</v>
      </c>
      <c r="AA3621" t="s">
        <v>16572</v>
      </c>
      <c r="AB3621" t="s">
        <v>18784</v>
      </c>
      <c r="AC3621">
        <v>99217</v>
      </c>
      <c r="AD3621" t="s">
        <v>2141</v>
      </c>
      <c r="AE3621">
        <v>-39.529918350000003</v>
      </c>
      <c r="AF3621">
        <v>176.85927938</v>
      </c>
      <c r="AG3621">
        <v>28</v>
      </c>
      <c r="AH3621">
        <v>25</v>
      </c>
      <c r="AI3621">
        <v>4</v>
      </c>
      <c r="AJ3621">
        <v>12</v>
      </c>
      <c r="AK3621">
        <v>11</v>
      </c>
      <c r="AL3621">
        <v>0</v>
      </c>
      <c r="AM3621">
        <v>0</v>
      </c>
      <c r="AN3621">
        <v>0</v>
      </c>
      <c r="AO3621">
        <v>27</v>
      </c>
      <c r="AP3621">
        <v>20</v>
      </c>
      <c r="AQ3621">
        <v>7</v>
      </c>
      <c r="AR3621">
        <v>3</v>
      </c>
      <c r="AS3621">
        <v>3</v>
      </c>
      <c r="AT3621">
        <v>3</v>
      </c>
    </row>
    <row r="3622" spans="1:46">
      <c r="A3622">
        <v>55093</v>
      </c>
      <c r="B3622" t="s">
        <v>19875</v>
      </c>
      <c r="C3622" t="s">
        <v>19876</v>
      </c>
      <c r="D3622" t="s">
        <v>19877</v>
      </c>
      <c r="E3622" t="s">
        <v>19878</v>
      </c>
      <c r="F3622" t="s">
        <v>2203</v>
      </c>
      <c r="G3622" t="s">
        <v>2197</v>
      </c>
      <c r="H3622" t="s">
        <v>3942</v>
      </c>
      <c r="J3622" t="s">
        <v>518</v>
      </c>
      <c r="K3622" t="s">
        <v>519</v>
      </c>
      <c r="M3622" t="s">
        <v>1297</v>
      </c>
      <c r="N3622" t="s">
        <v>521</v>
      </c>
      <c r="O3622" t="s">
        <v>2198</v>
      </c>
      <c r="P3622" t="s">
        <v>584</v>
      </c>
      <c r="Q3622" t="s">
        <v>2118</v>
      </c>
      <c r="R3622" t="s">
        <v>2084</v>
      </c>
      <c r="S3622" t="s">
        <v>2199</v>
      </c>
      <c r="T3622" t="s">
        <v>2085</v>
      </c>
      <c r="U3622">
        <v>210900</v>
      </c>
      <c r="V3622" t="s">
        <v>2203</v>
      </c>
      <c r="W3622" t="s">
        <v>2200</v>
      </c>
      <c r="X3622" t="s">
        <v>19879</v>
      </c>
      <c r="Y3622" t="s">
        <v>6369</v>
      </c>
      <c r="Z3622" t="s">
        <v>4555</v>
      </c>
      <c r="AA3622" t="s">
        <v>4556</v>
      </c>
      <c r="AB3622" t="s">
        <v>19880</v>
      </c>
      <c r="AE3622">
        <v>-39.639994979999997</v>
      </c>
      <c r="AF3622">
        <v>176.86365597</v>
      </c>
      <c r="AG3622">
        <v>45</v>
      </c>
      <c r="AH3622">
        <v>15</v>
      </c>
      <c r="AI3622">
        <v>2</v>
      </c>
      <c r="AJ3622">
        <v>10</v>
      </c>
      <c r="AK3622">
        <v>13</v>
      </c>
      <c r="AL3622">
        <v>11</v>
      </c>
      <c r="AM3622">
        <v>9</v>
      </c>
      <c r="AN3622">
        <v>1</v>
      </c>
      <c r="AO3622">
        <v>46</v>
      </c>
      <c r="AP3622">
        <v>23</v>
      </c>
      <c r="AQ3622">
        <v>27</v>
      </c>
      <c r="AR3622">
        <v>7</v>
      </c>
      <c r="AS3622">
        <v>5</v>
      </c>
      <c r="AT3622">
        <v>2</v>
      </c>
    </row>
    <row r="3623" spans="1:46">
      <c r="A3623">
        <v>55097</v>
      </c>
      <c r="B3623" t="s">
        <v>19881</v>
      </c>
      <c r="C3623" t="s">
        <v>19882</v>
      </c>
      <c r="D3623" t="s">
        <v>19883</v>
      </c>
      <c r="E3623" t="s">
        <v>19884</v>
      </c>
      <c r="G3623" t="s">
        <v>2286</v>
      </c>
      <c r="H3623" t="s">
        <v>343</v>
      </c>
      <c r="J3623" t="s">
        <v>518</v>
      </c>
      <c r="K3623" t="s">
        <v>519</v>
      </c>
      <c r="L3623" t="s">
        <v>4205</v>
      </c>
      <c r="M3623" t="s">
        <v>1297</v>
      </c>
      <c r="N3623" t="s">
        <v>521</v>
      </c>
      <c r="O3623" t="s">
        <v>2288</v>
      </c>
      <c r="P3623" t="s">
        <v>523</v>
      </c>
      <c r="Q3623" t="s">
        <v>1636</v>
      </c>
      <c r="R3623" t="s">
        <v>2084</v>
      </c>
      <c r="S3623" t="s">
        <v>2269</v>
      </c>
      <c r="T3623" t="s">
        <v>2085</v>
      </c>
      <c r="U3623">
        <v>233300</v>
      </c>
      <c r="V3623" t="s">
        <v>2301</v>
      </c>
      <c r="W3623" t="s">
        <v>2291</v>
      </c>
      <c r="X3623" t="s">
        <v>8804</v>
      </c>
      <c r="Y3623" t="s">
        <v>4208</v>
      </c>
      <c r="Z3623" t="s">
        <v>4209</v>
      </c>
      <c r="AA3623" t="s">
        <v>4210</v>
      </c>
      <c r="AB3623" t="s">
        <v>8805</v>
      </c>
      <c r="AE3623">
        <v>-40.206072020000001</v>
      </c>
      <c r="AF3623">
        <v>176.1015874</v>
      </c>
      <c r="AG3623">
        <v>36</v>
      </c>
      <c r="AH3623">
        <v>10</v>
      </c>
      <c r="AI3623">
        <v>1</v>
      </c>
      <c r="AJ3623">
        <v>6</v>
      </c>
      <c r="AK3623">
        <v>7</v>
      </c>
      <c r="AL3623">
        <v>7</v>
      </c>
      <c r="AM3623">
        <v>4</v>
      </c>
      <c r="AN3623">
        <v>0</v>
      </c>
      <c r="AO3623">
        <v>25</v>
      </c>
      <c r="AP3623">
        <v>0</v>
      </c>
      <c r="AQ3623">
        <v>25</v>
      </c>
      <c r="AR3623">
        <v>0</v>
      </c>
      <c r="AS3623">
        <v>0</v>
      </c>
      <c r="AT3623">
        <v>0</v>
      </c>
    </row>
    <row r="3624" spans="1:46">
      <c r="A3624">
        <v>55098</v>
      </c>
      <c r="B3624" t="s">
        <v>19885</v>
      </c>
      <c r="C3624" t="s">
        <v>19886</v>
      </c>
      <c r="D3624" t="s">
        <v>19887</v>
      </c>
      <c r="E3624" t="s">
        <v>19888</v>
      </c>
      <c r="G3624" t="s">
        <v>2306</v>
      </c>
      <c r="H3624" t="s">
        <v>343</v>
      </c>
      <c r="J3624" t="s">
        <v>518</v>
      </c>
      <c r="K3624" t="s">
        <v>519</v>
      </c>
      <c r="L3624" t="s">
        <v>4205</v>
      </c>
      <c r="M3624" t="s">
        <v>1297</v>
      </c>
      <c r="N3624" t="s">
        <v>521</v>
      </c>
      <c r="O3624" t="s">
        <v>2288</v>
      </c>
      <c r="P3624" t="s">
        <v>523</v>
      </c>
      <c r="Q3624" t="s">
        <v>1636</v>
      </c>
      <c r="R3624" t="s">
        <v>2084</v>
      </c>
      <c r="S3624" t="s">
        <v>2269</v>
      </c>
      <c r="T3624" t="s">
        <v>2085</v>
      </c>
      <c r="U3624">
        <v>233600</v>
      </c>
      <c r="V3624" t="s">
        <v>2306</v>
      </c>
      <c r="W3624" t="s">
        <v>2307</v>
      </c>
      <c r="X3624" t="s">
        <v>19889</v>
      </c>
      <c r="Y3624" t="s">
        <v>4208</v>
      </c>
      <c r="Z3624" t="s">
        <v>4209</v>
      </c>
      <c r="AA3624" t="s">
        <v>4210</v>
      </c>
      <c r="AB3624" t="s">
        <v>8805</v>
      </c>
      <c r="AE3624">
        <v>-40.46292347</v>
      </c>
      <c r="AF3624">
        <v>175.83792581</v>
      </c>
      <c r="AG3624">
        <v>20</v>
      </c>
      <c r="AH3624">
        <v>8</v>
      </c>
      <c r="AI3624">
        <v>0</v>
      </c>
      <c r="AJ3624">
        <v>5</v>
      </c>
      <c r="AK3624">
        <v>5</v>
      </c>
      <c r="AL3624">
        <v>6</v>
      </c>
      <c r="AM3624">
        <v>1</v>
      </c>
      <c r="AN3624">
        <v>0</v>
      </c>
      <c r="AO3624">
        <v>17</v>
      </c>
      <c r="AP3624">
        <v>0</v>
      </c>
      <c r="AQ3624">
        <v>15</v>
      </c>
      <c r="AR3624">
        <v>1</v>
      </c>
      <c r="AS3624">
        <v>0</v>
      </c>
      <c r="AT3624">
        <v>1</v>
      </c>
    </row>
    <row r="3625" spans="1:46">
      <c r="A3625">
        <v>55102</v>
      </c>
      <c r="B3625" t="s">
        <v>19890</v>
      </c>
      <c r="C3625" t="s">
        <v>19891</v>
      </c>
      <c r="D3625" t="s">
        <v>19892</v>
      </c>
      <c r="E3625" t="s">
        <v>19893</v>
      </c>
      <c r="F3625" t="s">
        <v>2130</v>
      </c>
      <c r="G3625" t="s">
        <v>2119</v>
      </c>
      <c r="H3625" t="s">
        <v>343</v>
      </c>
      <c r="J3625" t="s">
        <v>518</v>
      </c>
      <c r="K3625" t="s">
        <v>519</v>
      </c>
      <c r="L3625" t="s">
        <v>4205</v>
      </c>
      <c r="M3625" t="s">
        <v>1297</v>
      </c>
      <c r="N3625" t="s">
        <v>727</v>
      </c>
      <c r="O3625" t="s">
        <v>2131</v>
      </c>
      <c r="P3625" t="s">
        <v>584</v>
      </c>
      <c r="Q3625" t="s">
        <v>2118</v>
      </c>
      <c r="R3625" t="s">
        <v>2084</v>
      </c>
      <c r="S3625" t="s">
        <v>2119</v>
      </c>
      <c r="T3625" t="s">
        <v>2085</v>
      </c>
      <c r="U3625">
        <v>215300</v>
      </c>
      <c r="V3625" t="s">
        <v>2130</v>
      </c>
      <c r="W3625" t="s">
        <v>2132</v>
      </c>
      <c r="X3625" t="s">
        <v>8804</v>
      </c>
      <c r="Y3625" t="s">
        <v>4208</v>
      </c>
      <c r="Z3625" t="s">
        <v>4209</v>
      </c>
      <c r="AA3625" t="s">
        <v>4210</v>
      </c>
      <c r="AB3625" t="s">
        <v>8805</v>
      </c>
      <c r="AE3625">
        <v>-39.51330008</v>
      </c>
      <c r="AF3625">
        <v>176.90224816</v>
      </c>
      <c r="AG3625">
        <v>35</v>
      </c>
      <c r="AH3625">
        <v>10</v>
      </c>
      <c r="AI3625">
        <v>1</v>
      </c>
      <c r="AJ3625">
        <v>5</v>
      </c>
      <c r="AK3625">
        <v>6</v>
      </c>
      <c r="AL3625">
        <v>6</v>
      </c>
      <c r="AM3625">
        <v>6</v>
      </c>
      <c r="AN3625">
        <v>0</v>
      </c>
      <c r="AO3625">
        <v>24</v>
      </c>
      <c r="AP3625">
        <v>0</v>
      </c>
      <c r="AQ3625">
        <v>23</v>
      </c>
      <c r="AR3625">
        <v>1</v>
      </c>
      <c r="AS3625">
        <v>0</v>
      </c>
      <c r="AT3625">
        <v>0</v>
      </c>
    </row>
    <row r="3626" spans="1:46">
      <c r="A3626">
        <v>55103</v>
      </c>
      <c r="B3626" t="s">
        <v>19894</v>
      </c>
      <c r="C3626" t="s">
        <v>19895</v>
      </c>
      <c r="D3626" t="s">
        <v>19896</v>
      </c>
      <c r="E3626" t="s">
        <v>19897</v>
      </c>
      <c r="F3626" t="s">
        <v>2196</v>
      </c>
      <c r="G3626" t="s">
        <v>2197</v>
      </c>
      <c r="H3626" t="s">
        <v>343</v>
      </c>
      <c r="J3626" t="s">
        <v>518</v>
      </c>
      <c r="K3626" t="s">
        <v>519</v>
      </c>
      <c r="L3626" t="s">
        <v>4205</v>
      </c>
      <c r="M3626" t="s">
        <v>1297</v>
      </c>
      <c r="N3626" t="s">
        <v>727</v>
      </c>
      <c r="O3626" t="s">
        <v>2198</v>
      </c>
      <c r="P3626" t="s">
        <v>584</v>
      </c>
      <c r="Q3626" t="s">
        <v>2118</v>
      </c>
      <c r="R3626" t="s">
        <v>2084</v>
      </c>
      <c r="S3626" t="s">
        <v>2199</v>
      </c>
      <c r="T3626" t="s">
        <v>2085</v>
      </c>
      <c r="U3626">
        <v>209500</v>
      </c>
      <c r="V3626" t="s">
        <v>2196</v>
      </c>
      <c r="W3626" t="s">
        <v>2200</v>
      </c>
      <c r="X3626" t="s">
        <v>19889</v>
      </c>
      <c r="Y3626" t="s">
        <v>4208</v>
      </c>
      <c r="Z3626" t="s">
        <v>4209</v>
      </c>
      <c r="AA3626" t="s">
        <v>4210</v>
      </c>
      <c r="AB3626" t="s">
        <v>8805</v>
      </c>
      <c r="AE3626">
        <v>-39.628012730000002</v>
      </c>
      <c r="AF3626">
        <v>176.81938137</v>
      </c>
      <c r="AG3626">
        <v>25</v>
      </c>
      <c r="AH3626">
        <v>8</v>
      </c>
      <c r="AI3626">
        <v>2</v>
      </c>
      <c r="AJ3626">
        <v>3</v>
      </c>
      <c r="AK3626">
        <v>8</v>
      </c>
      <c r="AL3626">
        <v>3</v>
      </c>
      <c r="AM3626">
        <v>7</v>
      </c>
      <c r="AN3626">
        <v>0</v>
      </c>
      <c r="AO3626">
        <v>23</v>
      </c>
      <c r="AP3626">
        <v>0</v>
      </c>
      <c r="AQ3626">
        <v>19</v>
      </c>
      <c r="AR3626">
        <v>2</v>
      </c>
      <c r="AS3626">
        <v>0</v>
      </c>
      <c r="AT3626">
        <v>2</v>
      </c>
    </row>
    <row r="3627" spans="1:46">
      <c r="A3627">
        <v>55104</v>
      </c>
      <c r="B3627" t="s">
        <v>19898</v>
      </c>
      <c r="C3627" t="s">
        <v>19899</v>
      </c>
      <c r="D3627" t="s">
        <v>19900</v>
      </c>
      <c r="E3627" t="s">
        <v>19901</v>
      </c>
      <c r="G3627" t="s">
        <v>19902</v>
      </c>
      <c r="H3627" t="s">
        <v>343</v>
      </c>
      <c r="J3627" t="s">
        <v>518</v>
      </c>
      <c r="K3627" t="s">
        <v>519</v>
      </c>
      <c r="L3627" t="s">
        <v>4205</v>
      </c>
      <c r="M3627" t="s">
        <v>1297</v>
      </c>
      <c r="N3627" t="s">
        <v>727</v>
      </c>
      <c r="O3627" t="s">
        <v>2198</v>
      </c>
      <c r="P3627" t="s">
        <v>572</v>
      </c>
      <c r="Q3627" t="s">
        <v>2118</v>
      </c>
      <c r="R3627" t="s">
        <v>2084</v>
      </c>
      <c r="S3627" t="s">
        <v>2199</v>
      </c>
      <c r="T3627" t="s">
        <v>2085</v>
      </c>
      <c r="U3627">
        <v>208301</v>
      </c>
      <c r="V3627" t="s">
        <v>19903</v>
      </c>
      <c r="W3627" t="s">
        <v>19805</v>
      </c>
      <c r="X3627" t="s">
        <v>8804</v>
      </c>
      <c r="Y3627" t="s">
        <v>4208</v>
      </c>
      <c r="Z3627" t="s">
        <v>4209</v>
      </c>
      <c r="AA3627" t="s">
        <v>4210</v>
      </c>
      <c r="AB3627" t="s">
        <v>8805</v>
      </c>
      <c r="AE3627">
        <v>-39.519849260000001</v>
      </c>
      <c r="AF3627">
        <v>176.77017495000001</v>
      </c>
      <c r="AG3627">
        <v>15</v>
      </c>
      <c r="AH3627">
        <v>5</v>
      </c>
      <c r="AI3627">
        <v>0</v>
      </c>
      <c r="AJ3627">
        <v>2</v>
      </c>
      <c r="AK3627">
        <v>2</v>
      </c>
      <c r="AL3627">
        <v>4</v>
      </c>
      <c r="AM3627">
        <v>2</v>
      </c>
      <c r="AN3627">
        <v>0</v>
      </c>
      <c r="AO3627">
        <v>10</v>
      </c>
      <c r="AP3627">
        <v>0</v>
      </c>
      <c r="AQ3627">
        <v>8</v>
      </c>
      <c r="AR3627">
        <v>0</v>
      </c>
      <c r="AS3627">
        <v>0</v>
      </c>
      <c r="AT3627">
        <v>2</v>
      </c>
    </row>
    <row r="3628" spans="1:46">
      <c r="A3628">
        <v>55106</v>
      </c>
      <c r="B3628" t="s">
        <v>19904</v>
      </c>
      <c r="C3628" t="s">
        <v>19905</v>
      </c>
      <c r="D3628" t="s">
        <v>19906</v>
      </c>
      <c r="E3628" t="s">
        <v>19907</v>
      </c>
      <c r="F3628" t="s">
        <v>18587</v>
      </c>
      <c r="G3628" t="s">
        <v>2197</v>
      </c>
      <c r="H3628" t="s">
        <v>343</v>
      </c>
      <c r="J3628" t="s">
        <v>518</v>
      </c>
      <c r="K3628" t="s">
        <v>519</v>
      </c>
      <c r="L3628" t="s">
        <v>4205</v>
      </c>
      <c r="M3628" t="s">
        <v>1297</v>
      </c>
      <c r="N3628" t="s">
        <v>727</v>
      </c>
      <c r="O3628" t="s">
        <v>2198</v>
      </c>
      <c r="P3628" t="s">
        <v>584</v>
      </c>
      <c r="Q3628" t="s">
        <v>2118</v>
      </c>
      <c r="R3628" t="s">
        <v>2084</v>
      </c>
      <c r="S3628" t="s">
        <v>2199</v>
      </c>
      <c r="T3628" t="s">
        <v>2085</v>
      </c>
      <c r="U3628">
        <v>210100</v>
      </c>
      <c r="V3628" t="s">
        <v>19908</v>
      </c>
      <c r="W3628" t="s">
        <v>11860</v>
      </c>
      <c r="X3628" t="s">
        <v>19889</v>
      </c>
      <c r="Y3628" t="s">
        <v>4208</v>
      </c>
      <c r="Z3628" t="s">
        <v>4209</v>
      </c>
      <c r="AA3628" t="s">
        <v>4210</v>
      </c>
      <c r="AB3628" t="s">
        <v>8805</v>
      </c>
      <c r="AE3628">
        <v>-39.63030217</v>
      </c>
      <c r="AF3628">
        <v>176.87268749</v>
      </c>
      <c r="AG3628">
        <v>20</v>
      </c>
      <c r="AH3628">
        <v>6</v>
      </c>
      <c r="AI3628">
        <v>0</v>
      </c>
      <c r="AJ3628">
        <v>5</v>
      </c>
      <c r="AK3628">
        <v>7</v>
      </c>
      <c r="AL3628">
        <v>6</v>
      </c>
      <c r="AM3628">
        <v>1</v>
      </c>
      <c r="AN3628">
        <v>0</v>
      </c>
      <c r="AO3628">
        <v>19</v>
      </c>
      <c r="AP3628">
        <v>0</v>
      </c>
      <c r="AQ3628">
        <v>18</v>
      </c>
      <c r="AR3628">
        <v>1</v>
      </c>
      <c r="AS3628">
        <v>0</v>
      </c>
      <c r="AT3628">
        <v>0</v>
      </c>
    </row>
    <row r="3629" spans="1:46">
      <c r="A3629">
        <v>55107</v>
      </c>
      <c r="B3629" t="s">
        <v>19909</v>
      </c>
      <c r="C3629" t="s">
        <v>19910</v>
      </c>
      <c r="D3629" t="s">
        <v>19911</v>
      </c>
      <c r="E3629" t="s">
        <v>19912</v>
      </c>
      <c r="G3629" t="s">
        <v>19913</v>
      </c>
      <c r="H3629" t="s">
        <v>343</v>
      </c>
      <c r="J3629" t="s">
        <v>518</v>
      </c>
      <c r="K3629" t="s">
        <v>519</v>
      </c>
      <c r="L3629" t="s">
        <v>4205</v>
      </c>
      <c r="M3629" t="s">
        <v>1297</v>
      </c>
      <c r="N3629" t="s">
        <v>539</v>
      </c>
      <c r="O3629" t="s">
        <v>2198</v>
      </c>
      <c r="P3629" t="s">
        <v>540</v>
      </c>
      <c r="Q3629" t="s">
        <v>2118</v>
      </c>
      <c r="R3629" t="s">
        <v>2084</v>
      </c>
      <c r="S3629" t="s">
        <v>2199</v>
      </c>
      <c r="T3629" t="s">
        <v>2085</v>
      </c>
      <c r="U3629">
        <v>210400</v>
      </c>
      <c r="V3629" t="s">
        <v>18588</v>
      </c>
      <c r="W3629" t="s">
        <v>11860</v>
      </c>
      <c r="X3629" t="s">
        <v>19914</v>
      </c>
      <c r="Y3629" t="s">
        <v>4208</v>
      </c>
      <c r="Z3629" t="s">
        <v>4209</v>
      </c>
      <c r="AA3629" t="s">
        <v>4210</v>
      </c>
      <c r="AB3629" t="s">
        <v>19915</v>
      </c>
      <c r="AE3629">
        <v>-39.601189759999997</v>
      </c>
      <c r="AF3629">
        <v>176.89770813999999</v>
      </c>
      <c r="AG3629">
        <v>20</v>
      </c>
      <c r="AH3629">
        <v>4</v>
      </c>
      <c r="AI3629">
        <v>0</v>
      </c>
      <c r="AJ3629">
        <v>4</v>
      </c>
      <c r="AK3629">
        <v>4</v>
      </c>
      <c r="AL3629">
        <v>5</v>
      </c>
      <c r="AM3629">
        <v>3</v>
      </c>
      <c r="AN3629">
        <v>0</v>
      </c>
      <c r="AO3629">
        <v>16</v>
      </c>
      <c r="AP3629">
        <v>0</v>
      </c>
      <c r="AQ3629">
        <v>16</v>
      </c>
      <c r="AR3629">
        <v>0</v>
      </c>
      <c r="AS3629">
        <v>0</v>
      </c>
      <c r="AT3629">
        <v>0</v>
      </c>
    </row>
    <row r="3630" spans="1:46">
      <c r="A3630">
        <v>55110</v>
      </c>
      <c r="B3630" t="s">
        <v>19916</v>
      </c>
      <c r="C3630" t="s">
        <v>19917</v>
      </c>
      <c r="D3630" t="s">
        <v>19918</v>
      </c>
      <c r="E3630" t="s">
        <v>19919</v>
      </c>
      <c r="G3630" t="s">
        <v>19920</v>
      </c>
      <c r="H3630" t="s">
        <v>343</v>
      </c>
      <c r="J3630" t="s">
        <v>518</v>
      </c>
      <c r="K3630" t="s">
        <v>519</v>
      </c>
      <c r="L3630" t="s">
        <v>4205</v>
      </c>
      <c r="M3630" t="s">
        <v>1297</v>
      </c>
      <c r="N3630" t="s">
        <v>727</v>
      </c>
      <c r="O3630" t="s">
        <v>2198</v>
      </c>
      <c r="P3630" t="s">
        <v>572</v>
      </c>
      <c r="Q3630" t="s">
        <v>2118</v>
      </c>
      <c r="R3630" t="s">
        <v>2084</v>
      </c>
      <c r="S3630" t="s">
        <v>2199</v>
      </c>
      <c r="T3630" t="s">
        <v>2085</v>
      </c>
      <c r="U3630">
        <v>212201</v>
      </c>
      <c r="V3630" t="s">
        <v>19921</v>
      </c>
      <c r="W3630" t="s">
        <v>8749</v>
      </c>
      <c r="X3630" t="s">
        <v>19889</v>
      </c>
      <c r="Y3630" t="s">
        <v>4208</v>
      </c>
      <c r="Z3630" t="s">
        <v>4209</v>
      </c>
      <c r="AA3630" t="s">
        <v>4210</v>
      </c>
      <c r="AB3630" t="s">
        <v>8805</v>
      </c>
      <c r="AE3630">
        <v>-39.804340920000001</v>
      </c>
      <c r="AF3630">
        <v>176.98519256</v>
      </c>
      <c r="AG3630">
        <v>15</v>
      </c>
      <c r="AH3630">
        <v>3</v>
      </c>
      <c r="AI3630">
        <v>0</v>
      </c>
      <c r="AJ3630">
        <v>0</v>
      </c>
      <c r="AK3630">
        <v>2</v>
      </c>
      <c r="AL3630">
        <v>3</v>
      </c>
      <c r="AM3630">
        <v>3</v>
      </c>
      <c r="AN3630">
        <v>0</v>
      </c>
      <c r="AO3630">
        <v>8</v>
      </c>
      <c r="AP3630">
        <v>0</v>
      </c>
      <c r="AQ3630">
        <v>8</v>
      </c>
      <c r="AR3630">
        <v>0</v>
      </c>
      <c r="AS3630">
        <v>0</v>
      </c>
      <c r="AT3630">
        <v>0</v>
      </c>
    </row>
    <row r="3631" spans="1:46">
      <c r="A3631">
        <v>55111</v>
      </c>
      <c r="B3631" t="s">
        <v>19922</v>
      </c>
      <c r="C3631" t="s">
        <v>19923</v>
      </c>
      <c r="D3631" t="s">
        <v>19924</v>
      </c>
      <c r="E3631" t="s">
        <v>19925</v>
      </c>
      <c r="G3631" t="s">
        <v>2279</v>
      </c>
      <c r="H3631" t="s">
        <v>343</v>
      </c>
      <c r="J3631" t="s">
        <v>518</v>
      </c>
      <c r="K3631" t="s">
        <v>519</v>
      </c>
      <c r="L3631" t="s">
        <v>4205</v>
      </c>
      <c r="M3631" t="s">
        <v>1297</v>
      </c>
      <c r="N3631" t="s">
        <v>521</v>
      </c>
      <c r="O3631" t="s">
        <v>2268</v>
      </c>
      <c r="P3631" t="s">
        <v>523</v>
      </c>
      <c r="Q3631" t="s">
        <v>2118</v>
      </c>
      <c r="R3631" t="s">
        <v>2084</v>
      </c>
      <c r="S3631" t="s">
        <v>2269</v>
      </c>
      <c r="T3631" t="s">
        <v>2085</v>
      </c>
      <c r="U3631">
        <v>215700</v>
      </c>
      <c r="V3631" t="s">
        <v>2280</v>
      </c>
      <c r="W3631" t="s">
        <v>2271</v>
      </c>
      <c r="X3631" t="s">
        <v>19889</v>
      </c>
      <c r="Y3631" t="s">
        <v>4208</v>
      </c>
      <c r="Z3631" t="s">
        <v>4209</v>
      </c>
      <c r="AA3631" t="s">
        <v>4210</v>
      </c>
      <c r="AB3631" t="s">
        <v>8805</v>
      </c>
      <c r="AE3631">
        <v>-39.935811749999999</v>
      </c>
      <c r="AF3631">
        <v>176.59016033</v>
      </c>
      <c r="AG3631">
        <v>25</v>
      </c>
      <c r="AH3631">
        <v>10</v>
      </c>
      <c r="AI3631">
        <v>2</v>
      </c>
      <c r="AJ3631">
        <v>5</v>
      </c>
      <c r="AK3631">
        <v>5</v>
      </c>
      <c r="AL3631">
        <v>6</v>
      </c>
      <c r="AM3631">
        <v>5</v>
      </c>
      <c r="AN3631">
        <v>0</v>
      </c>
      <c r="AO3631">
        <v>23</v>
      </c>
      <c r="AP3631">
        <v>0</v>
      </c>
      <c r="AQ3631">
        <v>23</v>
      </c>
      <c r="AR3631">
        <v>0</v>
      </c>
      <c r="AS3631">
        <v>0</v>
      </c>
      <c r="AT3631">
        <v>0</v>
      </c>
    </row>
    <row r="3632" spans="1:46">
      <c r="A3632">
        <v>55112</v>
      </c>
      <c r="B3632" t="s">
        <v>19926</v>
      </c>
      <c r="C3632" t="s">
        <v>19927</v>
      </c>
      <c r="D3632" t="s">
        <v>19928</v>
      </c>
      <c r="E3632" t="s">
        <v>19929</v>
      </c>
      <c r="F3632" t="s">
        <v>2156</v>
      </c>
      <c r="G3632" t="s">
        <v>2119</v>
      </c>
      <c r="H3632" t="s">
        <v>343</v>
      </c>
      <c r="J3632" t="s">
        <v>518</v>
      </c>
      <c r="K3632" t="s">
        <v>519</v>
      </c>
      <c r="L3632" t="s">
        <v>4205</v>
      </c>
      <c r="M3632" t="s">
        <v>1297</v>
      </c>
      <c r="N3632" t="s">
        <v>727</v>
      </c>
      <c r="O3632" t="s">
        <v>2131</v>
      </c>
      <c r="P3632" t="s">
        <v>584</v>
      </c>
      <c r="Q3632" t="s">
        <v>2118</v>
      </c>
      <c r="R3632" t="s">
        <v>2084</v>
      </c>
      <c r="S3632" t="s">
        <v>2119</v>
      </c>
      <c r="T3632" t="s">
        <v>2085</v>
      </c>
      <c r="U3632">
        <v>215101</v>
      </c>
      <c r="V3632" t="s">
        <v>19930</v>
      </c>
      <c r="W3632" t="s">
        <v>2132</v>
      </c>
      <c r="X3632" t="s">
        <v>8804</v>
      </c>
      <c r="Y3632" t="s">
        <v>4208</v>
      </c>
      <c r="Z3632" t="s">
        <v>4209</v>
      </c>
      <c r="AA3632" t="s">
        <v>4210</v>
      </c>
      <c r="AB3632" t="s">
        <v>8805</v>
      </c>
      <c r="AE3632">
        <v>-39.516216460000003</v>
      </c>
      <c r="AF3632">
        <v>176.88769483999999</v>
      </c>
      <c r="AG3632">
        <v>25</v>
      </c>
      <c r="AH3632">
        <v>10</v>
      </c>
      <c r="AI3632">
        <v>0</v>
      </c>
      <c r="AJ3632">
        <v>4</v>
      </c>
      <c r="AK3632">
        <v>8</v>
      </c>
      <c r="AL3632">
        <v>5</v>
      </c>
      <c r="AM3632">
        <v>7</v>
      </c>
      <c r="AN3632">
        <v>0</v>
      </c>
      <c r="AO3632">
        <v>24</v>
      </c>
      <c r="AP3632">
        <v>0</v>
      </c>
      <c r="AQ3632">
        <v>23</v>
      </c>
      <c r="AR3632">
        <v>1</v>
      </c>
      <c r="AS3632">
        <v>0</v>
      </c>
      <c r="AT3632">
        <v>0</v>
      </c>
    </row>
    <row r="3633" spans="1:46">
      <c r="A3633">
        <v>55115</v>
      </c>
      <c r="B3633" t="s">
        <v>19931</v>
      </c>
      <c r="C3633" t="s">
        <v>19932</v>
      </c>
      <c r="D3633" t="s">
        <v>19933</v>
      </c>
      <c r="E3633" t="s">
        <v>19934</v>
      </c>
      <c r="G3633" t="s">
        <v>2116</v>
      </c>
      <c r="H3633" t="s">
        <v>343</v>
      </c>
      <c r="J3633" t="s">
        <v>518</v>
      </c>
      <c r="K3633" t="s">
        <v>519</v>
      </c>
      <c r="L3633" t="s">
        <v>4205</v>
      </c>
      <c r="M3633" t="s">
        <v>1297</v>
      </c>
      <c r="N3633" t="s">
        <v>727</v>
      </c>
      <c r="O3633" t="s">
        <v>2117</v>
      </c>
      <c r="P3633" t="s">
        <v>523</v>
      </c>
      <c r="Q3633" t="s">
        <v>2118</v>
      </c>
      <c r="R3633" t="s">
        <v>2084</v>
      </c>
      <c r="S3633" t="s">
        <v>2119</v>
      </c>
      <c r="T3633" t="s">
        <v>2085</v>
      </c>
      <c r="U3633">
        <v>207800</v>
      </c>
      <c r="V3633" t="s">
        <v>2116</v>
      </c>
      <c r="W3633" t="s">
        <v>565</v>
      </c>
      <c r="X3633" t="s">
        <v>18128</v>
      </c>
      <c r="Y3633" t="s">
        <v>4208</v>
      </c>
      <c r="Z3633" t="s">
        <v>4209</v>
      </c>
      <c r="AA3633" t="s">
        <v>4210</v>
      </c>
      <c r="AB3633" t="s">
        <v>18129</v>
      </c>
      <c r="AE3633">
        <v>-39.017503069999997</v>
      </c>
      <c r="AF3633">
        <v>177.41668106</v>
      </c>
      <c r="AG3633">
        <v>30</v>
      </c>
      <c r="AH3633">
        <v>10</v>
      </c>
      <c r="AI3633">
        <v>2</v>
      </c>
      <c r="AJ3633">
        <v>5</v>
      </c>
      <c r="AK3633">
        <v>8</v>
      </c>
      <c r="AL3633">
        <v>4</v>
      </c>
      <c r="AM3633">
        <v>7</v>
      </c>
      <c r="AN3633">
        <v>0</v>
      </c>
      <c r="AO3633">
        <v>26</v>
      </c>
      <c r="AP3633">
        <v>0</v>
      </c>
      <c r="AQ3633">
        <v>26</v>
      </c>
      <c r="AR3633">
        <v>0</v>
      </c>
      <c r="AS3633">
        <v>0</v>
      </c>
      <c r="AT3633">
        <v>0</v>
      </c>
    </row>
    <row r="3634" spans="1:46">
      <c r="A3634">
        <v>55117</v>
      </c>
      <c r="B3634" t="s">
        <v>19935</v>
      </c>
      <c r="C3634" t="s">
        <v>19936</v>
      </c>
      <c r="D3634" t="s">
        <v>19937</v>
      </c>
      <c r="E3634" t="s">
        <v>19938</v>
      </c>
      <c r="G3634" t="s">
        <v>18839</v>
      </c>
      <c r="H3634" t="s">
        <v>343</v>
      </c>
      <c r="J3634" t="s">
        <v>518</v>
      </c>
      <c r="K3634" t="s">
        <v>519</v>
      </c>
      <c r="L3634" t="s">
        <v>4205</v>
      </c>
      <c r="M3634" t="s">
        <v>1297</v>
      </c>
      <c r="N3634" t="s">
        <v>521</v>
      </c>
      <c r="O3634" t="s">
        <v>2082</v>
      </c>
      <c r="P3634" t="s">
        <v>572</v>
      </c>
      <c r="Q3634" t="s">
        <v>2083</v>
      </c>
      <c r="R3634" t="s">
        <v>2084</v>
      </c>
      <c r="S3634" t="s">
        <v>1473</v>
      </c>
      <c r="T3634" t="s">
        <v>2085</v>
      </c>
      <c r="U3634">
        <v>205300</v>
      </c>
      <c r="V3634" t="s">
        <v>19939</v>
      </c>
      <c r="W3634" t="s">
        <v>2087</v>
      </c>
      <c r="X3634" t="s">
        <v>18128</v>
      </c>
      <c r="Y3634" t="s">
        <v>4208</v>
      </c>
      <c r="Z3634" t="s">
        <v>4209</v>
      </c>
      <c r="AA3634" t="s">
        <v>4210</v>
      </c>
      <c r="AB3634" t="s">
        <v>18129</v>
      </c>
      <c r="AE3634">
        <v>-38.591537520000003</v>
      </c>
      <c r="AF3634">
        <v>177.90006167999999</v>
      </c>
      <c r="AG3634">
        <v>14</v>
      </c>
      <c r="AH3634">
        <v>3</v>
      </c>
      <c r="AI3634">
        <v>1</v>
      </c>
      <c r="AJ3634">
        <v>3</v>
      </c>
      <c r="AK3634">
        <v>2</v>
      </c>
      <c r="AL3634">
        <v>2</v>
      </c>
      <c r="AM3634">
        <v>4</v>
      </c>
      <c r="AN3634">
        <v>0</v>
      </c>
      <c r="AO3634">
        <v>12</v>
      </c>
      <c r="AP3634">
        <v>0</v>
      </c>
      <c r="AQ3634">
        <v>12</v>
      </c>
      <c r="AR3634">
        <v>0</v>
      </c>
      <c r="AS3634">
        <v>0</v>
      </c>
      <c r="AT3634">
        <v>0</v>
      </c>
    </row>
    <row r="3635" spans="1:46">
      <c r="A3635">
        <v>55118</v>
      </c>
      <c r="B3635" t="s">
        <v>19940</v>
      </c>
      <c r="C3635" t="s">
        <v>19941</v>
      </c>
      <c r="D3635" t="s">
        <v>19942</v>
      </c>
      <c r="E3635" t="s">
        <v>19943</v>
      </c>
      <c r="G3635" t="s">
        <v>19944</v>
      </c>
      <c r="H3635" t="s">
        <v>343</v>
      </c>
      <c r="J3635" t="s">
        <v>518</v>
      </c>
      <c r="K3635" t="s">
        <v>519</v>
      </c>
      <c r="L3635" t="s">
        <v>4205</v>
      </c>
      <c r="M3635" t="s">
        <v>1297</v>
      </c>
      <c r="N3635" t="s">
        <v>727</v>
      </c>
      <c r="O3635" t="s">
        <v>2082</v>
      </c>
      <c r="P3635" t="s">
        <v>540</v>
      </c>
      <c r="Q3635" t="s">
        <v>2083</v>
      </c>
      <c r="R3635" t="s">
        <v>2084</v>
      </c>
      <c r="S3635" t="s">
        <v>1473</v>
      </c>
      <c r="T3635" t="s">
        <v>2085</v>
      </c>
      <c r="U3635">
        <v>205300</v>
      </c>
      <c r="V3635" t="s">
        <v>19939</v>
      </c>
      <c r="W3635" t="s">
        <v>2087</v>
      </c>
      <c r="X3635" t="s">
        <v>19945</v>
      </c>
      <c r="Y3635" t="s">
        <v>4208</v>
      </c>
      <c r="Z3635" t="s">
        <v>4209</v>
      </c>
      <c r="AA3635" t="s">
        <v>4210</v>
      </c>
      <c r="AB3635" t="s">
        <v>19946</v>
      </c>
      <c r="AE3635">
        <v>-38.683804799999997</v>
      </c>
      <c r="AF3635">
        <v>177.91105906999999</v>
      </c>
      <c r="AG3635">
        <v>28</v>
      </c>
      <c r="AH3635">
        <v>10</v>
      </c>
      <c r="AI3635">
        <v>0</v>
      </c>
      <c r="AJ3635">
        <v>3</v>
      </c>
      <c r="AK3635">
        <v>2</v>
      </c>
      <c r="AL3635">
        <v>8</v>
      </c>
      <c r="AM3635">
        <v>2</v>
      </c>
      <c r="AN3635">
        <v>0</v>
      </c>
      <c r="AO3635">
        <v>15</v>
      </c>
      <c r="AP3635">
        <v>0</v>
      </c>
      <c r="AQ3635">
        <v>15</v>
      </c>
      <c r="AR3635">
        <v>0</v>
      </c>
      <c r="AS3635">
        <v>0</v>
      </c>
      <c r="AT3635">
        <v>0</v>
      </c>
    </row>
    <row r="3636" spans="1:46">
      <c r="A3636">
        <v>55119</v>
      </c>
      <c r="B3636" t="s">
        <v>19947</v>
      </c>
      <c r="C3636" t="s">
        <v>19948</v>
      </c>
      <c r="D3636" t="s">
        <v>19949</v>
      </c>
      <c r="E3636" t="s">
        <v>19950</v>
      </c>
      <c r="G3636" t="s">
        <v>19944</v>
      </c>
      <c r="H3636" t="s">
        <v>343</v>
      </c>
      <c r="J3636" t="s">
        <v>518</v>
      </c>
      <c r="K3636" t="s">
        <v>519</v>
      </c>
      <c r="L3636" t="s">
        <v>4205</v>
      </c>
      <c r="M3636" t="s">
        <v>1297</v>
      </c>
      <c r="N3636" t="s">
        <v>521</v>
      </c>
      <c r="O3636" t="s">
        <v>2082</v>
      </c>
      <c r="P3636" t="s">
        <v>540</v>
      </c>
      <c r="Q3636" t="s">
        <v>2083</v>
      </c>
      <c r="R3636" t="s">
        <v>2084</v>
      </c>
      <c r="S3636" t="s">
        <v>1473</v>
      </c>
      <c r="T3636" t="s">
        <v>2085</v>
      </c>
      <c r="U3636">
        <v>205300</v>
      </c>
      <c r="V3636" t="s">
        <v>19939</v>
      </c>
      <c r="W3636" t="s">
        <v>2087</v>
      </c>
      <c r="X3636" t="s">
        <v>18128</v>
      </c>
      <c r="Y3636" t="s">
        <v>4208</v>
      </c>
      <c r="Z3636" t="s">
        <v>4209</v>
      </c>
      <c r="AA3636" t="s">
        <v>4210</v>
      </c>
      <c r="AB3636" t="s">
        <v>18129</v>
      </c>
      <c r="AE3636">
        <v>-38.679900089999997</v>
      </c>
      <c r="AF3636">
        <v>177.90885660999999</v>
      </c>
      <c r="AG3636">
        <v>20</v>
      </c>
      <c r="AH3636">
        <v>6</v>
      </c>
      <c r="AI3636">
        <v>3</v>
      </c>
      <c r="AJ3636">
        <v>2</v>
      </c>
      <c r="AK3636">
        <v>6</v>
      </c>
      <c r="AL3636">
        <v>4</v>
      </c>
      <c r="AM3636">
        <v>6</v>
      </c>
      <c r="AN3636">
        <v>0</v>
      </c>
      <c r="AO3636">
        <v>21</v>
      </c>
      <c r="AP3636">
        <v>0</v>
      </c>
      <c r="AQ3636">
        <v>21</v>
      </c>
      <c r="AR3636">
        <v>0</v>
      </c>
      <c r="AS3636">
        <v>0</v>
      </c>
      <c r="AT3636">
        <v>0</v>
      </c>
    </row>
    <row r="3637" spans="1:46">
      <c r="A3637">
        <v>55120</v>
      </c>
      <c r="B3637" t="s">
        <v>19951</v>
      </c>
      <c r="C3637" t="s">
        <v>19952</v>
      </c>
      <c r="D3637" t="s">
        <v>19953</v>
      </c>
      <c r="E3637" t="s">
        <v>19954</v>
      </c>
      <c r="G3637" t="s">
        <v>19955</v>
      </c>
      <c r="H3637" t="s">
        <v>343</v>
      </c>
      <c r="J3637" t="s">
        <v>518</v>
      </c>
      <c r="K3637" t="s">
        <v>519</v>
      </c>
      <c r="L3637" t="s">
        <v>4205</v>
      </c>
      <c r="M3637" t="s">
        <v>1297</v>
      </c>
      <c r="N3637" t="s">
        <v>727</v>
      </c>
      <c r="O3637" t="s">
        <v>2082</v>
      </c>
      <c r="P3637" t="s">
        <v>540</v>
      </c>
      <c r="Q3637" t="s">
        <v>2083</v>
      </c>
      <c r="R3637" t="s">
        <v>2084</v>
      </c>
      <c r="S3637" t="s">
        <v>1473</v>
      </c>
      <c r="T3637" t="s">
        <v>2085</v>
      </c>
      <c r="U3637">
        <v>205201</v>
      </c>
      <c r="V3637" t="s">
        <v>19956</v>
      </c>
      <c r="W3637" t="s">
        <v>2087</v>
      </c>
      <c r="X3637" t="s">
        <v>19945</v>
      </c>
      <c r="Y3637" t="s">
        <v>4208</v>
      </c>
      <c r="Z3637" t="s">
        <v>4209</v>
      </c>
      <c r="AA3637" t="s">
        <v>4210</v>
      </c>
      <c r="AB3637" t="s">
        <v>19946</v>
      </c>
      <c r="AE3637">
        <v>-38.378065620000001</v>
      </c>
      <c r="AF3637">
        <v>178.29897061</v>
      </c>
      <c r="AG3637">
        <v>28</v>
      </c>
      <c r="AH3637">
        <v>8</v>
      </c>
      <c r="AI3637">
        <v>0</v>
      </c>
      <c r="AJ3637">
        <v>5</v>
      </c>
      <c r="AK3637">
        <v>8</v>
      </c>
      <c r="AL3637">
        <v>6</v>
      </c>
      <c r="AM3637">
        <v>9</v>
      </c>
      <c r="AN3637">
        <v>0</v>
      </c>
      <c r="AO3637">
        <v>28</v>
      </c>
      <c r="AP3637">
        <v>0</v>
      </c>
      <c r="AQ3637">
        <v>26</v>
      </c>
      <c r="AR3637">
        <v>0</v>
      </c>
      <c r="AS3637">
        <v>0</v>
      </c>
      <c r="AT3637">
        <v>2</v>
      </c>
    </row>
    <row r="3638" spans="1:46">
      <c r="A3638">
        <v>55121</v>
      </c>
      <c r="B3638" t="s">
        <v>19957</v>
      </c>
      <c r="C3638" t="s">
        <v>19958</v>
      </c>
      <c r="D3638" t="s">
        <v>19959</v>
      </c>
      <c r="E3638" t="s">
        <v>19960</v>
      </c>
      <c r="G3638" t="s">
        <v>19961</v>
      </c>
      <c r="H3638" t="s">
        <v>343</v>
      </c>
      <c r="J3638" t="s">
        <v>518</v>
      </c>
      <c r="K3638" t="s">
        <v>519</v>
      </c>
      <c r="L3638" t="s">
        <v>4205</v>
      </c>
      <c r="M3638" t="s">
        <v>1297</v>
      </c>
      <c r="N3638" t="s">
        <v>727</v>
      </c>
      <c r="O3638" t="s">
        <v>2082</v>
      </c>
      <c r="P3638" t="s">
        <v>540</v>
      </c>
      <c r="Q3638" t="s">
        <v>2083</v>
      </c>
      <c r="R3638" t="s">
        <v>2084</v>
      </c>
      <c r="S3638" t="s">
        <v>1473</v>
      </c>
      <c r="T3638" t="s">
        <v>2085</v>
      </c>
      <c r="U3638">
        <v>204700</v>
      </c>
      <c r="V3638" t="s">
        <v>13965</v>
      </c>
      <c r="W3638" t="s">
        <v>2087</v>
      </c>
      <c r="X3638" t="s">
        <v>19945</v>
      </c>
      <c r="Y3638" t="s">
        <v>4208</v>
      </c>
      <c r="Z3638" t="s">
        <v>4209</v>
      </c>
      <c r="AA3638" t="s">
        <v>4210</v>
      </c>
      <c r="AB3638" t="s">
        <v>19946</v>
      </c>
      <c r="AC3638">
        <v>99162</v>
      </c>
      <c r="AD3638" t="s">
        <v>13356</v>
      </c>
      <c r="AE3638">
        <v>-37.633148290000001</v>
      </c>
      <c r="AF3638">
        <v>178.37018685999999</v>
      </c>
      <c r="AG3638">
        <v>30</v>
      </c>
      <c r="AH3638">
        <v>14</v>
      </c>
      <c r="AI3638">
        <v>0</v>
      </c>
      <c r="AJ3638">
        <v>3</v>
      </c>
      <c r="AK3638">
        <v>5</v>
      </c>
      <c r="AL3638">
        <v>2</v>
      </c>
      <c r="AM3638">
        <v>6</v>
      </c>
      <c r="AN3638">
        <v>0</v>
      </c>
      <c r="AO3638">
        <v>16</v>
      </c>
      <c r="AP3638">
        <v>0</v>
      </c>
      <c r="AQ3638">
        <v>14</v>
      </c>
      <c r="AR3638">
        <v>0</v>
      </c>
      <c r="AS3638">
        <v>0</v>
      </c>
      <c r="AT3638">
        <v>2</v>
      </c>
    </row>
    <row r="3639" spans="1:46">
      <c r="A3639">
        <v>55123</v>
      </c>
      <c r="B3639" t="s">
        <v>19962</v>
      </c>
      <c r="C3639" t="s">
        <v>19963</v>
      </c>
      <c r="D3639" t="s">
        <v>19964</v>
      </c>
      <c r="E3639" t="s">
        <v>19965</v>
      </c>
      <c r="G3639" t="s">
        <v>19944</v>
      </c>
      <c r="H3639" t="s">
        <v>343</v>
      </c>
      <c r="J3639" t="s">
        <v>518</v>
      </c>
      <c r="K3639" t="s">
        <v>519</v>
      </c>
      <c r="L3639" t="s">
        <v>4205</v>
      </c>
      <c r="M3639" t="s">
        <v>1297</v>
      </c>
      <c r="N3639" t="s">
        <v>539</v>
      </c>
      <c r="O3639" t="s">
        <v>2082</v>
      </c>
      <c r="P3639" t="s">
        <v>572</v>
      </c>
      <c r="Q3639" t="s">
        <v>2083</v>
      </c>
      <c r="R3639" t="s">
        <v>2084</v>
      </c>
      <c r="S3639" t="s">
        <v>1473</v>
      </c>
      <c r="T3639" t="s">
        <v>2085</v>
      </c>
      <c r="U3639">
        <v>205300</v>
      </c>
      <c r="V3639" t="s">
        <v>19939</v>
      </c>
      <c r="W3639" t="s">
        <v>2087</v>
      </c>
      <c r="X3639" t="s">
        <v>19966</v>
      </c>
      <c r="Y3639" t="s">
        <v>4208</v>
      </c>
      <c r="Z3639" t="s">
        <v>4209</v>
      </c>
      <c r="AA3639" t="s">
        <v>4210</v>
      </c>
      <c r="AB3639" t="s">
        <v>19967</v>
      </c>
      <c r="AC3639">
        <v>99081</v>
      </c>
      <c r="AD3639" t="s">
        <v>13006</v>
      </c>
      <c r="AE3639">
        <v>-38.686453589999999</v>
      </c>
      <c r="AF3639">
        <v>177.91778445</v>
      </c>
      <c r="AG3639">
        <v>15</v>
      </c>
      <c r="AH3639">
        <v>6</v>
      </c>
      <c r="AI3639">
        <v>1</v>
      </c>
      <c r="AJ3639">
        <v>4</v>
      </c>
      <c r="AK3639">
        <v>4</v>
      </c>
      <c r="AL3639">
        <v>2</v>
      </c>
      <c r="AM3639">
        <v>2</v>
      </c>
      <c r="AN3639">
        <v>0</v>
      </c>
      <c r="AO3639">
        <v>13</v>
      </c>
      <c r="AP3639">
        <v>0</v>
      </c>
      <c r="AQ3639">
        <v>13</v>
      </c>
      <c r="AR3639">
        <v>0</v>
      </c>
      <c r="AS3639">
        <v>0</v>
      </c>
      <c r="AT3639">
        <v>0</v>
      </c>
    </row>
    <row r="3640" spans="1:46">
      <c r="A3640">
        <v>55127</v>
      </c>
      <c r="B3640" t="s">
        <v>19968</v>
      </c>
      <c r="C3640" t="s">
        <v>19969</v>
      </c>
      <c r="D3640" t="s">
        <v>19970</v>
      </c>
      <c r="E3640" t="s">
        <v>19971</v>
      </c>
      <c r="G3640" t="s">
        <v>19972</v>
      </c>
      <c r="H3640" t="s">
        <v>343</v>
      </c>
      <c r="J3640" t="s">
        <v>518</v>
      </c>
      <c r="K3640" t="s">
        <v>519</v>
      </c>
      <c r="L3640" t="s">
        <v>4205</v>
      </c>
      <c r="M3640" t="s">
        <v>1297</v>
      </c>
      <c r="N3640" t="s">
        <v>539</v>
      </c>
      <c r="O3640" t="s">
        <v>2082</v>
      </c>
      <c r="P3640" t="s">
        <v>540</v>
      </c>
      <c r="Q3640" t="s">
        <v>2083</v>
      </c>
      <c r="R3640" t="s">
        <v>2084</v>
      </c>
      <c r="S3640" t="s">
        <v>1473</v>
      </c>
      <c r="T3640" t="s">
        <v>2085</v>
      </c>
      <c r="U3640">
        <v>205000</v>
      </c>
      <c r="V3640" t="s">
        <v>19494</v>
      </c>
      <c r="W3640" t="s">
        <v>2087</v>
      </c>
      <c r="X3640" t="s">
        <v>18128</v>
      </c>
      <c r="Y3640" t="s">
        <v>4208</v>
      </c>
      <c r="Z3640" t="s">
        <v>4209</v>
      </c>
      <c r="AA3640" t="s">
        <v>4210</v>
      </c>
      <c r="AB3640" t="s">
        <v>18129</v>
      </c>
      <c r="AE3640">
        <v>-38.118288819999997</v>
      </c>
      <c r="AF3640">
        <v>178.32532803000001</v>
      </c>
      <c r="AG3640">
        <v>13</v>
      </c>
      <c r="AH3640">
        <v>4</v>
      </c>
      <c r="AI3640">
        <v>0</v>
      </c>
      <c r="AJ3640">
        <v>1</v>
      </c>
      <c r="AK3640">
        <v>4</v>
      </c>
      <c r="AL3640">
        <v>2</v>
      </c>
      <c r="AM3640">
        <v>4</v>
      </c>
      <c r="AN3640">
        <v>0</v>
      </c>
      <c r="AO3640">
        <v>11</v>
      </c>
      <c r="AP3640">
        <v>0</v>
      </c>
      <c r="AQ3640">
        <v>11</v>
      </c>
      <c r="AR3640">
        <v>0</v>
      </c>
      <c r="AS3640">
        <v>0</v>
      </c>
      <c r="AT3640">
        <v>0</v>
      </c>
    </row>
    <row r="3641" spans="1:46">
      <c r="A3641">
        <v>55130</v>
      </c>
      <c r="B3641" t="s">
        <v>19973</v>
      </c>
      <c r="C3641" t="s">
        <v>19974</v>
      </c>
      <c r="D3641" t="s">
        <v>19975</v>
      </c>
      <c r="E3641" t="s">
        <v>19976</v>
      </c>
      <c r="G3641" t="s">
        <v>19977</v>
      </c>
      <c r="H3641" t="s">
        <v>343</v>
      </c>
      <c r="J3641" t="s">
        <v>518</v>
      </c>
      <c r="K3641" t="s">
        <v>519</v>
      </c>
      <c r="L3641" t="s">
        <v>4205</v>
      </c>
      <c r="M3641" t="s">
        <v>1297</v>
      </c>
      <c r="N3641" t="s">
        <v>727</v>
      </c>
      <c r="O3641" t="s">
        <v>2082</v>
      </c>
      <c r="P3641" t="s">
        <v>572</v>
      </c>
      <c r="Q3641" t="s">
        <v>2083</v>
      </c>
      <c r="R3641" t="s">
        <v>2084</v>
      </c>
      <c r="S3641" t="s">
        <v>1473</v>
      </c>
      <c r="T3641" t="s">
        <v>2085</v>
      </c>
      <c r="U3641">
        <v>204700</v>
      </c>
      <c r="V3641" t="s">
        <v>13965</v>
      </c>
      <c r="W3641" t="s">
        <v>2087</v>
      </c>
      <c r="X3641" t="s">
        <v>18128</v>
      </c>
      <c r="Y3641" t="s">
        <v>4208</v>
      </c>
      <c r="Z3641" t="s">
        <v>4209</v>
      </c>
      <c r="AA3641" t="s">
        <v>4210</v>
      </c>
      <c r="AB3641" t="s">
        <v>18129</v>
      </c>
      <c r="AE3641">
        <v>-37.795549639999997</v>
      </c>
      <c r="AF3641">
        <v>178.40917898000001</v>
      </c>
      <c r="AG3641">
        <v>15</v>
      </c>
      <c r="AH3641">
        <v>8</v>
      </c>
      <c r="AI3641">
        <v>0</v>
      </c>
      <c r="AJ3641">
        <v>3</v>
      </c>
      <c r="AK3641">
        <v>1</v>
      </c>
      <c r="AL3641">
        <v>7</v>
      </c>
      <c r="AM3641">
        <v>3</v>
      </c>
      <c r="AN3641">
        <v>0</v>
      </c>
      <c r="AO3641">
        <v>14</v>
      </c>
      <c r="AP3641">
        <v>0</v>
      </c>
      <c r="AQ3641">
        <v>14</v>
      </c>
      <c r="AR3641">
        <v>0</v>
      </c>
      <c r="AS3641">
        <v>0</v>
      </c>
      <c r="AT3641">
        <v>0</v>
      </c>
    </row>
    <row r="3642" spans="1:46">
      <c r="A3642">
        <v>55131</v>
      </c>
      <c r="B3642" t="s">
        <v>19978</v>
      </c>
      <c r="C3642" t="s">
        <v>19979</v>
      </c>
      <c r="D3642" t="s">
        <v>19980</v>
      </c>
      <c r="E3642" t="s">
        <v>19981</v>
      </c>
      <c r="G3642" t="s">
        <v>18946</v>
      </c>
      <c r="H3642" t="s">
        <v>343</v>
      </c>
      <c r="J3642" t="s">
        <v>518</v>
      </c>
      <c r="K3642" t="s">
        <v>519</v>
      </c>
      <c r="L3642" t="s">
        <v>4205</v>
      </c>
      <c r="M3642" t="s">
        <v>1297</v>
      </c>
      <c r="N3642" t="s">
        <v>727</v>
      </c>
      <c r="O3642" t="s">
        <v>2117</v>
      </c>
      <c r="P3642" t="s">
        <v>572</v>
      </c>
      <c r="Q3642" t="s">
        <v>2118</v>
      </c>
      <c r="R3642" t="s">
        <v>2084</v>
      </c>
      <c r="S3642" t="s">
        <v>2119</v>
      </c>
      <c r="T3642" t="s">
        <v>2085</v>
      </c>
      <c r="U3642">
        <v>207400</v>
      </c>
      <c r="V3642" t="s">
        <v>10301</v>
      </c>
      <c r="W3642" t="s">
        <v>565</v>
      </c>
      <c r="X3642" t="s">
        <v>19889</v>
      </c>
      <c r="Y3642" t="s">
        <v>4208</v>
      </c>
      <c r="Z3642" t="s">
        <v>4209</v>
      </c>
      <c r="AA3642" t="s">
        <v>4210</v>
      </c>
      <c r="AB3642" t="s">
        <v>8805</v>
      </c>
      <c r="AE3642">
        <v>-39.0198994</v>
      </c>
      <c r="AF3642">
        <v>177.1018105</v>
      </c>
      <c r="AG3642">
        <v>17</v>
      </c>
      <c r="AH3642">
        <v>4</v>
      </c>
      <c r="AI3642">
        <v>0</v>
      </c>
      <c r="AJ3642">
        <v>2</v>
      </c>
      <c r="AK3642">
        <v>1</v>
      </c>
      <c r="AL3642">
        <v>7</v>
      </c>
      <c r="AM3642">
        <v>6</v>
      </c>
      <c r="AN3642">
        <v>0</v>
      </c>
      <c r="AO3642">
        <v>16</v>
      </c>
      <c r="AP3642">
        <v>0</v>
      </c>
      <c r="AQ3642">
        <v>16</v>
      </c>
      <c r="AR3642">
        <v>0</v>
      </c>
      <c r="AS3642">
        <v>0</v>
      </c>
      <c r="AT3642">
        <v>0</v>
      </c>
    </row>
    <row r="3643" spans="1:46">
      <c r="A3643">
        <v>55137</v>
      </c>
      <c r="B3643" t="s">
        <v>19982</v>
      </c>
      <c r="C3643" t="s">
        <v>19983</v>
      </c>
      <c r="D3643" t="s">
        <v>19984</v>
      </c>
      <c r="E3643" t="s">
        <v>19985</v>
      </c>
      <c r="G3643" t="s">
        <v>19986</v>
      </c>
      <c r="H3643" t="s">
        <v>343</v>
      </c>
      <c r="J3643" t="s">
        <v>518</v>
      </c>
      <c r="K3643" t="s">
        <v>519</v>
      </c>
      <c r="L3643" t="s">
        <v>4205</v>
      </c>
      <c r="M3643" t="s">
        <v>1297</v>
      </c>
      <c r="N3643" t="s">
        <v>727</v>
      </c>
      <c r="O3643" t="s">
        <v>2198</v>
      </c>
      <c r="P3643" t="s">
        <v>572</v>
      </c>
      <c r="Q3643" t="s">
        <v>2118</v>
      </c>
      <c r="R3643" t="s">
        <v>2084</v>
      </c>
      <c r="S3643" t="s">
        <v>2199</v>
      </c>
      <c r="T3643" t="s">
        <v>2085</v>
      </c>
      <c r="U3643">
        <v>208700</v>
      </c>
      <c r="V3643" t="s">
        <v>19987</v>
      </c>
      <c r="W3643" t="s">
        <v>8749</v>
      </c>
      <c r="X3643" t="s">
        <v>8804</v>
      </c>
      <c r="Y3643" t="s">
        <v>4208</v>
      </c>
      <c r="Z3643" t="s">
        <v>4209</v>
      </c>
      <c r="AA3643" t="s">
        <v>4210</v>
      </c>
      <c r="AB3643" t="s">
        <v>8805</v>
      </c>
      <c r="AE3643">
        <v>-39.772303299999997</v>
      </c>
      <c r="AF3643">
        <v>176.68941459000001</v>
      </c>
      <c r="AG3643">
        <v>30</v>
      </c>
      <c r="AH3643">
        <v>5</v>
      </c>
      <c r="AI3643">
        <v>0</v>
      </c>
      <c r="AJ3643">
        <v>3</v>
      </c>
      <c r="AK3643">
        <v>5</v>
      </c>
      <c r="AL3643">
        <v>6</v>
      </c>
      <c r="AM3643">
        <v>2</v>
      </c>
      <c r="AN3643">
        <v>0</v>
      </c>
      <c r="AO3643">
        <v>16</v>
      </c>
      <c r="AP3643">
        <v>0</v>
      </c>
      <c r="AQ3643">
        <v>16</v>
      </c>
      <c r="AR3643">
        <v>0</v>
      </c>
      <c r="AS3643">
        <v>0</v>
      </c>
      <c r="AT3643">
        <v>0</v>
      </c>
    </row>
    <row r="3644" spans="1:46">
      <c r="A3644">
        <v>55138</v>
      </c>
      <c r="B3644" t="s">
        <v>19988</v>
      </c>
      <c r="C3644" t="s">
        <v>19989</v>
      </c>
      <c r="D3644" t="s">
        <v>19990</v>
      </c>
      <c r="E3644" t="s">
        <v>19991</v>
      </c>
      <c r="F3644" t="s">
        <v>2203</v>
      </c>
      <c r="G3644" t="s">
        <v>2197</v>
      </c>
      <c r="H3644" t="s">
        <v>343</v>
      </c>
      <c r="J3644" t="s">
        <v>518</v>
      </c>
      <c r="K3644" t="s">
        <v>519</v>
      </c>
      <c r="L3644" t="s">
        <v>4205</v>
      </c>
      <c r="M3644" t="s">
        <v>1297</v>
      </c>
      <c r="N3644" t="s">
        <v>727</v>
      </c>
      <c r="O3644" t="s">
        <v>2198</v>
      </c>
      <c r="P3644" t="s">
        <v>584</v>
      </c>
      <c r="Q3644" t="s">
        <v>2118</v>
      </c>
      <c r="R3644" t="s">
        <v>2084</v>
      </c>
      <c r="S3644" t="s">
        <v>2199</v>
      </c>
      <c r="T3644" t="s">
        <v>2085</v>
      </c>
      <c r="U3644">
        <v>210500</v>
      </c>
      <c r="V3644" t="s">
        <v>11648</v>
      </c>
      <c r="W3644" t="s">
        <v>2200</v>
      </c>
      <c r="X3644" t="s">
        <v>19889</v>
      </c>
      <c r="Y3644" t="s">
        <v>4208</v>
      </c>
      <c r="Z3644" t="s">
        <v>4209</v>
      </c>
      <c r="AA3644" t="s">
        <v>4210</v>
      </c>
      <c r="AB3644" t="s">
        <v>8805</v>
      </c>
      <c r="AE3644">
        <v>-39.637389880000001</v>
      </c>
      <c r="AF3644">
        <v>176.85065456000001</v>
      </c>
      <c r="AG3644">
        <v>30</v>
      </c>
      <c r="AH3644">
        <v>10</v>
      </c>
      <c r="AI3644">
        <v>1</v>
      </c>
      <c r="AJ3644">
        <v>2</v>
      </c>
      <c r="AK3644">
        <v>9</v>
      </c>
      <c r="AL3644">
        <v>4</v>
      </c>
      <c r="AM3644">
        <v>10</v>
      </c>
      <c r="AN3644">
        <v>0</v>
      </c>
      <c r="AO3644">
        <v>26</v>
      </c>
      <c r="AP3644">
        <v>0</v>
      </c>
      <c r="AQ3644">
        <v>23</v>
      </c>
      <c r="AR3644">
        <v>1</v>
      </c>
      <c r="AS3644">
        <v>0</v>
      </c>
      <c r="AT3644">
        <v>2</v>
      </c>
    </row>
    <row r="3645" spans="1:46">
      <c r="A3645">
        <v>55145</v>
      </c>
      <c r="B3645" t="s">
        <v>19992</v>
      </c>
      <c r="C3645" t="s">
        <v>19993</v>
      </c>
      <c r="D3645" t="s">
        <v>19994</v>
      </c>
      <c r="E3645" t="s">
        <v>19995</v>
      </c>
      <c r="G3645" t="s">
        <v>2267</v>
      </c>
      <c r="H3645" t="s">
        <v>343</v>
      </c>
      <c r="J3645" t="s">
        <v>518</v>
      </c>
      <c r="K3645" t="s">
        <v>519</v>
      </c>
      <c r="L3645" t="s">
        <v>4205</v>
      </c>
      <c r="M3645" t="s">
        <v>1297</v>
      </c>
      <c r="N3645" t="s">
        <v>727</v>
      </c>
      <c r="O3645" t="s">
        <v>2268</v>
      </c>
      <c r="P3645" t="s">
        <v>523</v>
      </c>
      <c r="Q3645" t="s">
        <v>2118</v>
      </c>
      <c r="R3645" t="s">
        <v>2084</v>
      </c>
      <c r="S3645" t="s">
        <v>2269</v>
      </c>
      <c r="T3645" t="s">
        <v>2085</v>
      </c>
      <c r="U3645">
        <v>215801</v>
      </c>
      <c r="V3645" t="s">
        <v>2270</v>
      </c>
      <c r="W3645" t="s">
        <v>2271</v>
      </c>
      <c r="X3645" t="s">
        <v>19889</v>
      </c>
      <c r="Y3645" t="s">
        <v>4208</v>
      </c>
      <c r="Z3645" t="s">
        <v>4209</v>
      </c>
      <c r="AA3645" t="s">
        <v>4210</v>
      </c>
      <c r="AB3645" t="s">
        <v>8805</v>
      </c>
      <c r="AE3645">
        <v>-39.991674240000002</v>
      </c>
      <c r="AF3645">
        <v>176.54083173000001</v>
      </c>
      <c r="AG3645">
        <v>20</v>
      </c>
      <c r="AH3645">
        <v>10</v>
      </c>
      <c r="AI3645">
        <v>2</v>
      </c>
      <c r="AJ3645">
        <v>5</v>
      </c>
      <c r="AK3645">
        <v>5</v>
      </c>
      <c r="AL3645">
        <v>5</v>
      </c>
      <c r="AM3645">
        <v>3</v>
      </c>
      <c r="AN3645">
        <v>0</v>
      </c>
      <c r="AO3645">
        <v>20</v>
      </c>
      <c r="AP3645">
        <v>0</v>
      </c>
      <c r="AQ3645">
        <v>18</v>
      </c>
      <c r="AR3645">
        <v>0</v>
      </c>
      <c r="AS3645">
        <v>0</v>
      </c>
      <c r="AT3645">
        <v>2</v>
      </c>
    </row>
    <row r="3646" spans="1:46">
      <c r="A3646">
        <v>55146</v>
      </c>
      <c r="B3646" t="s">
        <v>19996</v>
      </c>
      <c r="C3646" t="s">
        <v>19997</v>
      </c>
      <c r="D3646" t="s">
        <v>19998</v>
      </c>
      <c r="E3646" t="s">
        <v>19999</v>
      </c>
      <c r="G3646" t="s">
        <v>20000</v>
      </c>
      <c r="H3646" t="s">
        <v>343</v>
      </c>
      <c r="J3646" t="s">
        <v>518</v>
      </c>
      <c r="K3646" t="s">
        <v>519</v>
      </c>
      <c r="L3646" t="s">
        <v>4205</v>
      </c>
      <c r="M3646" t="s">
        <v>1297</v>
      </c>
      <c r="N3646" t="s">
        <v>727</v>
      </c>
      <c r="O3646" t="s">
        <v>2198</v>
      </c>
      <c r="P3646" t="s">
        <v>572</v>
      </c>
      <c r="Q3646" t="s">
        <v>2118</v>
      </c>
      <c r="R3646" t="s">
        <v>2084</v>
      </c>
      <c r="S3646" t="s">
        <v>2199</v>
      </c>
      <c r="T3646" t="s">
        <v>2085</v>
      </c>
      <c r="U3646">
        <v>210201</v>
      </c>
      <c r="V3646" t="s">
        <v>20001</v>
      </c>
      <c r="W3646" t="s">
        <v>8749</v>
      </c>
      <c r="X3646" t="s">
        <v>20002</v>
      </c>
      <c r="Y3646" t="s">
        <v>4208</v>
      </c>
      <c r="Z3646" t="s">
        <v>4209</v>
      </c>
      <c r="AA3646" t="s">
        <v>4210</v>
      </c>
      <c r="AB3646" t="s">
        <v>20003</v>
      </c>
      <c r="AE3646">
        <v>-39.692830700000002</v>
      </c>
      <c r="AF3646">
        <v>176.79268947</v>
      </c>
      <c r="AG3646">
        <v>25</v>
      </c>
      <c r="AH3646">
        <v>10</v>
      </c>
      <c r="AI3646">
        <v>0</v>
      </c>
      <c r="AJ3646">
        <v>5</v>
      </c>
      <c r="AK3646">
        <v>1</v>
      </c>
      <c r="AL3646">
        <v>2</v>
      </c>
      <c r="AM3646">
        <v>3</v>
      </c>
      <c r="AN3646">
        <v>0</v>
      </c>
      <c r="AO3646">
        <v>11</v>
      </c>
      <c r="AP3646">
        <v>0</v>
      </c>
      <c r="AQ3646">
        <v>11</v>
      </c>
      <c r="AR3646">
        <v>0</v>
      </c>
      <c r="AS3646">
        <v>0</v>
      </c>
      <c r="AT3646">
        <v>0</v>
      </c>
    </row>
    <row r="3647" spans="1:46">
      <c r="A3647">
        <v>55147</v>
      </c>
      <c r="B3647" t="s">
        <v>20004</v>
      </c>
      <c r="C3647" t="s">
        <v>20005</v>
      </c>
      <c r="D3647" t="s">
        <v>20006</v>
      </c>
      <c r="E3647" t="s">
        <v>20007</v>
      </c>
      <c r="F3647" t="s">
        <v>2223</v>
      </c>
      <c r="G3647" t="s">
        <v>2197</v>
      </c>
      <c r="H3647" t="s">
        <v>343</v>
      </c>
      <c r="J3647" t="s">
        <v>518</v>
      </c>
      <c r="K3647" t="s">
        <v>519</v>
      </c>
      <c r="L3647" t="s">
        <v>4205</v>
      </c>
      <c r="M3647" t="s">
        <v>1297</v>
      </c>
      <c r="N3647" t="s">
        <v>727</v>
      </c>
      <c r="O3647" t="s">
        <v>2198</v>
      </c>
      <c r="P3647" t="s">
        <v>584</v>
      </c>
      <c r="Q3647" t="s">
        <v>2118</v>
      </c>
      <c r="R3647" t="s">
        <v>2084</v>
      </c>
      <c r="S3647" t="s">
        <v>2199</v>
      </c>
      <c r="T3647" t="s">
        <v>2085</v>
      </c>
      <c r="U3647">
        <v>208800</v>
      </c>
      <c r="V3647" t="s">
        <v>12922</v>
      </c>
      <c r="W3647" t="s">
        <v>2225</v>
      </c>
      <c r="X3647" t="s">
        <v>8804</v>
      </c>
      <c r="Y3647" t="s">
        <v>4208</v>
      </c>
      <c r="Z3647" t="s">
        <v>4209</v>
      </c>
      <c r="AA3647" t="s">
        <v>4210</v>
      </c>
      <c r="AB3647" t="s">
        <v>8805</v>
      </c>
      <c r="AE3647">
        <v>-39.614446000000001</v>
      </c>
      <c r="AF3647">
        <v>176.77142038</v>
      </c>
      <c r="AG3647">
        <v>30</v>
      </c>
      <c r="AH3647">
        <v>10</v>
      </c>
      <c r="AI3647">
        <v>1</v>
      </c>
      <c r="AJ3647">
        <v>7</v>
      </c>
      <c r="AK3647">
        <v>7</v>
      </c>
      <c r="AL3647">
        <v>9</v>
      </c>
      <c r="AM3647">
        <v>3</v>
      </c>
      <c r="AN3647">
        <v>0</v>
      </c>
      <c r="AO3647">
        <v>27</v>
      </c>
      <c r="AP3647">
        <v>0</v>
      </c>
      <c r="AQ3647">
        <v>26</v>
      </c>
      <c r="AR3647">
        <v>1</v>
      </c>
      <c r="AS3647">
        <v>0</v>
      </c>
      <c r="AT3647">
        <v>0</v>
      </c>
    </row>
    <row r="3648" spans="1:46">
      <c r="A3648">
        <v>55148</v>
      </c>
      <c r="B3648" t="s">
        <v>20008</v>
      </c>
      <c r="C3648" t="s">
        <v>20009</v>
      </c>
      <c r="D3648" t="s">
        <v>20010</v>
      </c>
      <c r="E3648" t="s">
        <v>20011</v>
      </c>
      <c r="F3648" t="s">
        <v>2105</v>
      </c>
      <c r="G3648" t="s">
        <v>2081</v>
      </c>
      <c r="H3648" t="s">
        <v>343</v>
      </c>
      <c r="J3648" t="s">
        <v>518</v>
      </c>
      <c r="K3648" t="s">
        <v>519</v>
      </c>
      <c r="L3648" t="s">
        <v>4205</v>
      </c>
      <c r="M3648" t="s">
        <v>1297</v>
      </c>
      <c r="N3648" t="s">
        <v>727</v>
      </c>
      <c r="O3648" t="s">
        <v>2082</v>
      </c>
      <c r="P3648" t="s">
        <v>584</v>
      </c>
      <c r="Q3648" t="s">
        <v>2083</v>
      </c>
      <c r="R3648" t="s">
        <v>2084</v>
      </c>
      <c r="S3648" t="s">
        <v>1473</v>
      </c>
      <c r="T3648" t="s">
        <v>2085</v>
      </c>
      <c r="U3648">
        <v>207100</v>
      </c>
      <c r="V3648" t="s">
        <v>2105</v>
      </c>
      <c r="W3648" t="s">
        <v>2087</v>
      </c>
      <c r="X3648" t="s">
        <v>18128</v>
      </c>
      <c r="Y3648" t="s">
        <v>4208</v>
      </c>
      <c r="Z3648" t="s">
        <v>4209</v>
      </c>
      <c r="AA3648" t="s">
        <v>4210</v>
      </c>
      <c r="AB3648" t="s">
        <v>18129</v>
      </c>
      <c r="AE3648">
        <v>-38.66944951</v>
      </c>
      <c r="AF3648">
        <v>178.05249971000001</v>
      </c>
      <c r="AG3648">
        <v>50</v>
      </c>
      <c r="AH3648">
        <v>10</v>
      </c>
      <c r="AI3648">
        <v>0</v>
      </c>
      <c r="AJ3648">
        <v>8</v>
      </c>
      <c r="AK3648">
        <v>8</v>
      </c>
      <c r="AL3648">
        <v>5</v>
      </c>
      <c r="AM3648">
        <v>7</v>
      </c>
      <c r="AN3648">
        <v>0</v>
      </c>
      <c r="AO3648">
        <v>28</v>
      </c>
      <c r="AP3648">
        <v>0</v>
      </c>
      <c r="AQ3648">
        <v>28</v>
      </c>
      <c r="AR3648">
        <v>0</v>
      </c>
      <c r="AS3648">
        <v>0</v>
      </c>
      <c r="AT3648">
        <v>0</v>
      </c>
    </row>
    <row r="3649" spans="1:46">
      <c r="A3649">
        <v>55149</v>
      </c>
      <c r="B3649" t="s">
        <v>20012</v>
      </c>
      <c r="C3649" t="s">
        <v>20013</v>
      </c>
      <c r="D3649" t="s">
        <v>20014</v>
      </c>
      <c r="E3649" t="s">
        <v>20015</v>
      </c>
      <c r="F3649" t="s">
        <v>2258</v>
      </c>
      <c r="G3649" t="s">
        <v>2197</v>
      </c>
      <c r="H3649" t="s">
        <v>343</v>
      </c>
      <c r="J3649" t="s">
        <v>518</v>
      </c>
      <c r="K3649" t="s">
        <v>519</v>
      </c>
      <c r="L3649" t="s">
        <v>4205</v>
      </c>
      <c r="M3649" t="s">
        <v>1297</v>
      </c>
      <c r="N3649" t="s">
        <v>727</v>
      </c>
      <c r="O3649" t="s">
        <v>2198</v>
      </c>
      <c r="P3649" t="s">
        <v>584</v>
      </c>
      <c r="Q3649" t="s">
        <v>2118</v>
      </c>
      <c r="R3649" t="s">
        <v>2084</v>
      </c>
      <c r="S3649" t="s">
        <v>2199</v>
      </c>
      <c r="T3649" t="s">
        <v>2085</v>
      </c>
      <c r="U3649">
        <v>209500</v>
      </c>
      <c r="V3649" t="s">
        <v>2196</v>
      </c>
      <c r="W3649" t="s">
        <v>2200</v>
      </c>
      <c r="X3649" t="s">
        <v>8804</v>
      </c>
      <c r="Y3649" t="s">
        <v>4208</v>
      </c>
      <c r="Z3649" t="s">
        <v>4209</v>
      </c>
      <c r="AA3649" t="s">
        <v>4210</v>
      </c>
      <c r="AB3649" t="s">
        <v>8805</v>
      </c>
      <c r="AC3649">
        <v>99203</v>
      </c>
      <c r="AD3649" t="s">
        <v>20016</v>
      </c>
      <c r="AE3649">
        <v>-39.630210779999999</v>
      </c>
      <c r="AF3649">
        <v>176.83029707</v>
      </c>
      <c r="AG3649">
        <v>40</v>
      </c>
      <c r="AH3649">
        <v>12</v>
      </c>
      <c r="AI3649">
        <v>1</v>
      </c>
      <c r="AJ3649">
        <v>10</v>
      </c>
      <c r="AK3649">
        <v>9</v>
      </c>
      <c r="AL3649">
        <v>12</v>
      </c>
      <c r="AM3649">
        <v>4</v>
      </c>
      <c r="AN3649">
        <v>0</v>
      </c>
      <c r="AO3649">
        <v>36</v>
      </c>
      <c r="AP3649">
        <v>0</v>
      </c>
      <c r="AQ3649">
        <v>33</v>
      </c>
      <c r="AR3649">
        <v>3</v>
      </c>
      <c r="AS3649">
        <v>0</v>
      </c>
      <c r="AT3649">
        <v>0</v>
      </c>
    </row>
    <row r="3650" spans="1:46">
      <c r="A3650">
        <v>55151</v>
      </c>
      <c r="B3650" t="s">
        <v>20017</v>
      </c>
      <c r="C3650" t="s">
        <v>20018</v>
      </c>
      <c r="D3650" t="s">
        <v>20019</v>
      </c>
      <c r="E3650" t="s">
        <v>20020</v>
      </c>
      <c r="G3650" t="s">
        <v>2286</v>
      </c>
      <c r="H3650" t="s">
        <v>343</v>
      </c>
      <c r="J3650" t="s">
        <v>518</v>
      </c>
      <c r="K3650" t="s">
        <v>519</v>
      </c>
      <c r="L3650" t="s">
        <v>4205</v>
      </c>
      <c r="M3650" t="s">
        <v>1297</v>
      </c>
      <c r="N3650" t="s">
        <v>539</v>
      </c>
      <c r="O3650" t="s">
        <v>2288</v>
      </c>
      <c r="P3650" t="s">
        <v>572</v>
      </c>
      <c r="Q3650" t="s">
        <v>1636</v>
      </c>
      <c r="R3650" t="s">
        <v>2084</v>
      </c>
      <c r="S3650" t="s">
        <v>2269</v>
      </c>
      <c r="T3650" t="s">
        <v>2085</v>
      </c>
      <c r="U3650">
        <v>233400</v>
      </c>
      <c r="V3650" t="s">
        <v>20021</v>
      </c>
      <c r="W3650" t="s">
        <v>2291</v>
      </c>
      <c r="X3650" t="s">
        <v>8804</v>
      </c>
      <c r="Y3650" t="s">
        <v>4208</v>
      </c>
      <c r="Z3650" t="s">
        <v>4209</v>
      </c>
      <c r="AA3650" t="s">
        <v>4210</v>
      </c>
      <c r="AB3650" t="s">
        <v>8805</v>
      </c>
      <c r="AE3650">
        <v>-40.242004250000001</v>
      </c>
      <c r="AF3650">
        <v>176.11678024</v>
      </c>
      <c r="AG3650">
        <v>25</v>
      </c>
      <c r="AH3650">
        <v>8</v>
      </c>
      <c r="AI3650">
        <v>1</v>
      </c>
      <c r="AJ3650">
        <v>3</v>
      </c>
      <c r="AK3650">
        <v>11</v>
      </c>
      <c r="AL3650">
        <v>3</v>
      </c>
      <c r="AM3650">
        <v>5</v>
      </c>
      <c r="AN3650">
        <v>0</v>
      </c>
      <c r="AO3650">
        <v>23</v>
      </c>
      <c r="AP3650">
        <v>0</v>
      </c>
      <c r="AQ3650">
        <v>20</v>
      </c>
      <c r="AR3650">
        <v>1</v>
      </c>
      <c r="AS3650">
        <v>0</v>
      </c>
      <c r="AT3650">
        <v>2</v>
      </c>
    </row>
    <row r="3651" spans="1:46">
      <c r="A3651">
        <v>55152</v>
      </c>
      <c r="B3651" t="s">
        <v>10099</v>
      </c>
      <c r="C3651" t="s">
        <v>20022</v>
      </c>
      <c r="D3651" t="s">
        <v>20023</v>
      </c>
      <c r="E3651" t="s">
        <v>20024</v>
      </c>
      <c r="G3651" t="s">
        <v>14075</v>
      </c>
      <c r="H3651" t="s">
        <v>343</v>
      </c>
      <c r="J3651" t="s">
        <v>518</v>
      </c>
      <c r="K3651" t="s">
        <v>519</v>
      </c>
      <c r="L3651" t="s">
        <v>4205</v>
      </c>
      <c r="M3651" t="s">
        <v>1297</v>
      </c>
      <c r="N3651" t="s">
        <v>557</v>
      </c>
      <c r="O3651" t="s">
        <v>2288</v>
      </c>
      <c r="P3651" t="s">
        <v>523</v>
      </c>
      <c r="Q3651" t="s">
        <v>1636</v>
      </c>
      <c r="R3651" t="s">
        <v>2084</v>
      </c>
      <c r="S3651" t="s">
        <v>2269</v>
      </c>
      <c r="T3651" t="s">
        <v>2085</v>
      </c>
      <c r="U3651">
        <v>233100</v>
      </c>
      <c r="V3651" t="s">
        <v>14075</v>
      </c>
      <c r="W3651" t="s">
        <v>2307</v>
      </c>
      <c r="X3651" t="s">
        <v>8804</v>
      </c>
      <c r="Y3651" t="s">
        <v>4208</v>
      </c>
      <c r="Z3651" t="s">
        <v>4209</v>
      </c>
      <c r="AA3651" t="s">
        <v>4210</v>
      </c>
      <c r="AB3651" t="s">
        <v>8805</v>
      </c>
      <c r="AC3651">
        <v>99071</v>
      </c>
      <c r="AD3651" t="s">
        <v>2308</v>
      </c>
      <c r="AE3651">
        <v>-40.339109440000001</v>
      </c>
      <c r="AF3651">
        <v>175.87349230000001</v>
      </c>
      <c r="AG3651">
        <v>25</v>
      </c>
      <c r="AH3651">
        <v>6</v>
      </c>
      <c r="AI3651">
        <v>1</v>
      </c>
      <c r="AJ3651">
        <v>4</v>
      </c>
      <c r="AK3651">
        <v>2</v>
      </c>
      <c r="AL3651">
        <v>3</v>
      </c>
      <c r="AM3651">
        <v>2</v>
      </c>
      <c r="AN3651">
        <v>0</v>
      </c>
      <c r="AO3651">
        <v>12</v>
      </c>
      <c r="AP3651">
        <v>0</v>
      </c>
      <c r="AQ3651">
        <v>10</v>
      </c>
      <c r="AR3651">
        <v>1</v>
      </c>
      <c r="AS3651">
        <v>0</v>
      </c>
      <c r="AT3651">
        <v>1</v>
      </c>
    </row>
    <row r="3652" spans="1:46">
      <c r="A3652">
        <v>55153</v>
      </c>
      <c r="B3652" t="s">
        <v>20025</v>
      </c>
      <c r="C3652" t="s">
        <v>20026</v>
      </c>
      <c r="D3652" t="s">
        <v>20027</v>
      </c>
      <c r="E3652" t="s">
        <v>20028</v>
      </c>
      <c r="G3652" t="s">
        <v>20029</v>
      </c>
      <c r="H3652" t="s">
        <v>343</v>
      </c>
      <c r="J3652" t="s">
        <v>518</v>
      </c>
      <c r="K3652" t="s">
        <v>519</v>
      </c>
      <c r="L3652" t="s">
        <v>4205</v>
      </c>
      <c r="M3652" t="s">
        <v>1297</v>
      </c>
      <c r="N3652" t="s">
        <v>521</v>
      </c>
      <c r="O3652" t="s">
        <v>2198</v>
      </c>
      <c r="P3652" t="s">
        <v>572</v>
      </c>
      <c r="Q3652" t="s">
        <v>2118</v>
      </c>
      <c r="R3652" t="s">
        <v>2084</v>
      </c>
      <c r="S3652" t="s">
        <v>2199</v>
      </c>
      <c r="T3652" t="s">
        <v>2085</v>
      </c>
      <c r="U3652">
        <v>208500</v>
      </c>
      <c r="V3652" t="s">
        <v>20029</v>
      </c>
      <c r="W3652" t="s">
        <v>8749</v>
      </c>
      <c r="X3652" t="s">
        <v>8804</v>
      </c>
      <c r="Y3652" t="s">
        <v>4208</v>
      </c>
      <c r="Z3652" t="s">
        <v>4209</v>
      </c>
      <c r="AA3652" t="s">
        <v>4210</v>
      </c>
      <c r="AB3652" t="s">
        <v>8805</v>
      </c>
      <c r="AE3652">
        <v>-39.651025400000002</v>
      </c>
      <c r="AF3652">
        <v>176.75391475999999</v>
      </c>
      <c r="AG3652">
        <v>22</v>
      </c>
      <c r="AH3652">
        <v>8</v>
      </c>
      <c r="AI3652">
        <v>0</v>
      </c>
      <c r="AJ3652">
        <v>5</v>
      </c>
      <c r="AK3652">
        <v>2</v>
      </c>
      <c r="AL3652">
        <v>1</v>
      </c>
      <c r="AM3652">
        <v>4</v>
      </c>
      <c r="AN3652">
        <v>0</v>
      </c>
      <c r="AO3652">
        <v>12</v>
      </c>
      <c r="AP3652">
        <v>0</v>
      </c>
      <c r="AQ3652">
        <v>12</v>
      </c>
      <c r="AR3652">
        <v>0</v>
      </c>
      <c r="AS3652">
        <v>0</v>
      </c>
      <c r="AT3652">
        <v>0</v>
      </c>
    </row>
    <row r="3653" spans="1:46">
      <c r="A3653">
        <v>55155</v>
      </c>
      <c r="B3653" t="s">
        <v>20030</v>
      </c>
      <c r="C3653" t="s">
        <v>20031</v>
      </c>
      <c r="D3653" t="s">
        <v>20032</v>
      </c>
      <c r="E3653" t="s">
        <v>20033</v>
      </c>
      <c r="F3653" t="s">
        <v>2175</v>
      </c>
      <c r="G3653" t="s">
        <v>2119</v>
      </c>
      <c r="H3653" t="s">
        <v>343</v>
      </c>
      <c r="J3653" t="s">
        <v>518</v>
      </c>
      <c r="K3653" t="s">
        <v>519</v>
      </c>
      <c r="L3653" t="s">
        <v>4205</v>
      </c>
      <c r="M3653" t="s">
        <v>1297</v>
      </c>
      <c r="N3653" t="s">
        <v>571</v>
      </c>
      <c r="O3653" t="s">
        <v>2131</v>
      </c>
      <c r="P3653" t="s">
        <v>584</v>
      </c>
      <c r="Q3653" t="s">
        <v>2118</v>
      </c>
      <c r="R3653" t="s">
        <v>2084</v>
      </c>
      <c r="S3653" t="s">
        <v>2119</v>
      </c>
      <c r="T3653" t="s">
        <v>2085</v>
      </c>
      <c r="U3653">
        <v>214900</v>
      </c>
      <c r="V3653" t="s">
        <v>2176</v>
      </c>
      <c r="W3653" t="s">
        <v>2140</v>
      </c>
      <c r="X3653" t="s">
        <v>8804</v>
      </c>
      <c r="Y3653" t="s">
        <v>4208</v>
      </c>
      <c r="Z3653" t="s">
        <v>4209</v>
      </c>
      <c r="AA3653" t="s">
        <v>4210</v>
      </c>
      <c r="AB3653" t="s">
        <v>8805</v>
      </c>
      <c r="AE3653">
        <v>-39.539762639999999</v>
      </c>
      <c r="AF3653">
        <v>176.85484133</v>
      </c>
      <c r="AG3653">
        <v>15</v>
      </c>
      <c r="AH3653">
        <v>5</v>
      </c>
      <c r="AI3653">
        <v>0</v>
      </c>
      <c r="AJ3653">
        <v>0</v>
      </c>
      <c r="AK3653">
        <v>7</v>
      </c>
      <c r="AL3653">
        <v>3</v>
      </c>
      <c r="AM3653">
        <v>1</v>
      </c>
      <c r="AN3653">
        <v>0</v>
      </c>
      <c r="AO3653">
        <v>11</v>
      </c>
      <c r="AP3653">
        <v>0</v>
      </c>
      <c r="AQ3653">
        <v>11</v>
      </c>
      <c r="AR3653">
        <v>0</v>
      </c>
      <c r="AS3653">
        <v>0</v>
      </c>
      <c r="AT3653">
        <v>0</v>
      </c>
    </row>
    <row r="3654" spans="1:46">
      <c r="A3654">
        <v>55159</v>
      </c>
      <c r="B3654" t="s">
        <v>20034</v>
      </c>
      <c r="C3654" t="s">
        <v>20035</v>
      </c>
      <c r="D3654" t="s">
        <v>20036</v>
      </c>
      <c r="E3654" t="s">
        <v>20037</v>
      </c>
      <c r="F3654" t="s">
        <v>2104</v>
      </c>
      <c r="G3654" t="s">
        <v>2081</v>
      </c>
      <c r="H3654" t="s">
        <v>343</v>
      </c>
      <c r="J3654" t="s">
        <v>518</v>
      </c>
      <c r="K3654" t="s">
        <v>519</v>
      </c>
      <c r="L3654" t="s">
        <v>4205</v>
      </c>
      <c r="M3654" t="s">
        <v>1297</v>
      </c>
      <c r="N3654" t="s">
        <v>521</v>
      </c>
      <c r="O3654" t="s">
        <v>2082</v>
      </c>
      <c r="P3654" t="s">
        <v>584</v>
      </c>
      <c r="Q3654" t="s">
        <v>2083</v>
      </c>
      <c r="R3654" t="s">
        <v>2084</v>
      </c>
      <c r="S3654" t="s">
        <v>1473</v>
      </c>
      <c r="T3654" t="s">
        <v>2085</v>
      </c>
      <c r="U3654">
        <v>207000</v>
      </c>
      <c r="V3654" t="s">
        <v>3847</v>
      </c>
      <c r="W3654" t="s">
        <v>2087</v>
      </c>
      <c r="X3654" t="s">
        <v>18128</v>
      </c>
      <c r="Y3654" t="s">
        <v>4208</v>
      </c>
      <c r="Z3654" t="s">
        <v>4209</v>
      </c>
      <c r="AA3654" t="s">
        <v>4210</v>
      </c>
      <c r="AB3654" t="s">
        <v>18129</v>
      </c>
      <c r="AE3654">
        <v>-38.67431715</v>
      </c>
      <c r="AF3654">
        <v>178.04528213</v>
      </c>
      <c r="AG3654">
        <v>30</v>
      </c>
      <c r="AH3654">
        <v>8</v>
      </c>
      <c r="AI3654">
        <v>0</v>
      </c>
      <c r="AJ3654">
        <v>3</v>
      </c>
      <c r="AK3654">
        <v>6</v>
      </c>
      <c r="AL3654">
        <v>2</v>
      </c>
      <c r="AM3654">
        <v>2</v>
      </c>
      <c r="AN3654">
        <v>0</v>
      </c>
      <c r="AO3654">
        <v>13</v>
      </c>
      <c r="AP3654">
        <v>0</v>
      </c>
      <c r="AQ3654">
        <v>13</v>
      </c>
      <c r="AR3654">
        <v>0</v>
      </c>
      <c r="AS3654">
        <v>0</v>
      </c>
      <c r="AT3654">
        <v>0</v>
      </c>
    </row>
    <row r="3655" spans="1:46">
      <c r="A3655">
        <v>55167</v>
      </c>
      <c r="B3655" t="s">
        <v>20038</v>
      </c>
      <c r="C3655" t="s">
        <v>20039</v>
      </c>
      <c r="D3655" t="s">
        <v>20040</v>
      </c>
      <c r="E3655" t="s">
        <v>20041</v>
      </c>
      <c r="F3655" t="s">
        <v>2130</v>
      </c>
      <c r="G3655" t="s">
        <v>2119</v>
      </c>
      <c r="H3655" t="s">
        <v>343</v>
      </c>
      <c r="J3655" t="s">
        <v>518</v>
      </c>
      <c r="K3655" t="s">
        <v>519</v>
      </c>
      <c r="L3655" t="s">
        <v>4205</v>
      </c>
      <c r="M3655" t="s">
        <v>1297</v>
      </c>
      <c r="N3655" t="s">
        <v>727</v>
      </c>
      <c r="O3655" t="s">
        <v>2131</v>
      </c>
      <c r="P3655" t="s">
        <v>584</v>
      </c>
      <c r="Q3655" t="s">
        <v>2118</v>
      </c>
      <c r="R3655" t="s">
        <v>2084</v>
      </c>
      <c r="S3655" t="s">
        <v>2119</v>
      </c>
      <c r="T3655" t="s">
        <v>2085</v>
      </c>
      <c r="U3655">
        <v>215300</v>
      </c>
      <c r="V3655" t="s">
        <v>2130</v>
      </c>
      <c r="W3655" t="s">
        <v>2132</v>
      </c>
      <c r="X3655" t="s">
        <v>20042</v>
      </c>
      <c r="Y3655" t="s">
        <v>4208</v>
      </c>
      <c r="Z3655" t="s">
        <v>4209</v>
      </c>
      <c r="AA3655" t="s">
        <v>4210</v>
      </c>
      <c r="AB3655" t="s">
        <v>20043</v>
      </c>
      <c r="AE3655">
        <v>-39.514075650000002</v>
      </c>
      <c r="AF3655">
        <v>176.90423831000001</v>
      </c>
      <c r="AG3655">
        <v>30</v>
      </c>
      <c r="AH3655">
        <v>10</v>
      </c>
      <c r="AI3655">
        <v>1</v>
      </c>
      <c r="AJ3655">
        <v>7</v>
      </c>
      <c r="AK3655">
        <v>7</v>
      </c>
      <c r="AL3655">
        <v>5</v>
      </c>
      <c r="AM3655">
        <v>2</v>
      </c>
      <c r="AN3655">
        <v>0</v>
      </c>
      <c r="AO3655">
        <v>22</v>
      </c>
      <c r="AP3655">
        <v>0</v>
      </c>
      <c r="AQ3655">
        <v>20</v>
      </c>
      <c r="AR3655">
        <v>2</v>
      </c>
      <c r="AS3655">
        <v>0</v>
      </c>
      <c r="AT3655">
        <v>0</v>
      </c>
    </row>
    <row r="3656" spans="1:46">
      <c r="A3656">
        <v>55170</v>
      </c>
      <c r="B3656" t="s">
        <v>20044</v>
      </c>
      <c r="C3656" t="s">
        <v>20045</v>
      </c>
      <c r="D3656" t="s">
        <v>20046</v>
      </c>
      <c r="E3656" t="s">
        <v>20047</v>
      </c>
      <c r="F3656" t="s">
        <v>2203</v>
      </c>
      <c r="G3656" t="s">
        <v>2197</v>
      </c>
      <c r="H3656" t="s">
        <v>343</v>
      </c>
      <c r="J3656" t="s">
        <v>518</v>
      </c>
      <c r="K3656" t="s">
        <v>519</v>
      </c>
      <c r="L3656" t="s">
        <v>4205</v>
      </c>
      <c r="M3656" t="s">
        <v>1297</v>
      </c>
      <c r="N3656" t="s">
        <v>727</v>
      </c>
      <c r="O3656" t="s">
        <v>2198</v>
      </c>
      <c r="P3656" t="s">
        <v>584</v>
      </c>
      <c r="Q3656" t="s">
        <v>2118</v>
      </c>
      <c r="R3656" t="s">
        <v>2084</v>
      </c>
      <c r="S3656" t="s">
        <v>2199</v>
      </c>
      <c r="T3656" t="s">
        <v>2085</v>
      </c>
      <c r="U3656">
        <v>210600</v>
      </c>
      <c r="V3656" t="s">
        <v>19870</v>
      </c>
      <c r="W3656" t="s">
        <v>2200</v>
      </c>
      <c r="X3656" t="s">
        <v>19889</v>
      </c>
      <c r="Y3656" t="s">
        <v>4208</v>
      </c>
      <c r="Z3656" t="s">
        <v>4209</v>
      </c>
      <c r="AA3656" t="s">
        <v>4210</v>
      </c>
      <c r="AB3656" t="s">
        <v>8805</v>
      </c>
      <c r="AE3656">
        <v>-39.635768329999998</v>
      </c>
      <c r="AF3656">
        <v>176.85505617999999</v>
      </c>
      <c r="AG3656">
        <v>30</v>
      </c>
      <c r="AH3656">
        <v>10</v>
      </c>
      <c r="AI3656">
        <v>1</v>
      </c>
      <c r="AJ3656">
        <v>3</v>
      </c>
      <c r="AK3656">
        <v>9</v>
      </c>
      <c r="AL3656">
        <v>8</v>
      </c>
      <c r="AM3656">
        <v>5</v>
      </c>
      <c r="AN3656">
        <v>0</v>
      </c>
      <c r="AO3656">
        <v>26</v>
      </c>
      <c r="AP3656">
        <v>0</v>
      </c>
      <c r="AQ3656">
        <v>25</v>
      </c>
      <c r="AR3656">
        <v>0</v>
      </c>
      <c r="AS3656">
        <v>0</v>
      </c>
      <c r="AT3656">
        <v>1</v>
      </c>
    </row>
    <row r="3657" spans="1:46">
      <c r="A3657">
        <v>55173</v>
      </c>
      <c r="B3657" t="s">
        <v>20048</v>
      </c>
      <c r="C3657" t="s">
        <v>20049</v>
      </c>
      <c r="D3657" t="s">
        <v>20050</v>
      </c>
      <c r="E3657" t="s">
        <v>20051</v>
      </c>
      <c r="G3657" t="s">
        <v>13351</v>
      </c>
      <c r="H3657" t="s">
        <v>343</v>
      </c>
      <c r="J3657" t="s">
        <v>518</v>
      </c>
      <c r="K3657" t="s">
        <v>519</v>
      </c>
      <c r="L3657" t="s">
        <v>4205</v>
      </c>
      <c r="M3657" t="s">
        <v>1297</v>
      </c>
      <c r="N3657" t="s">
        <v>521</v>
      </c>
      <c r="O3657" t="s">
        <v>2082</v>
      </c>
      <c r="P3657" t="s">
        <v>572</v>
      </c>
      <c r="Q3657" t="s">
        <v>2083</v>
      </c>
      <c r="R3657" t="s">
        <v>2084</v>
      </c>
      <c r="S3657" t="s">
        <v>1473</v>
      </c>
      <c r="T3657" t="s">
        <v>2085</v>
      </c>
      <c r="U3657">
        <v>204900</v>
      </c>
      <c r="V3657" t="s">
        <v>13352</v>
      </c>
      <c r="W3657" t="s">
        <v>2087</v>
      </c>
      <c r="X3657" t="s">
        <v>18128</v>
      </c>
      <c r="Y3657" t="s">
        <v>4208</v>
      </c>
      <c r="Z3657" t="s">
        <v>4209</v>
      </c>
      <c r="AA3657" t="s">
        <v>4210</v>
      </c>
      <c r="AB3657" t="s">
        <v>18129</v>
      </c>
      <c r="AE3657">
        <v>-37.926768369999998</v>
      </c>
      <c r="AF3657">
        <v>178.26042960999999</v>
      </c>
      <c r="AG3657">
        <v>22</v>
      </c>
      <c r="AH3657">
        <v>8</v>
      </c>
      <c r="AI3657">
        <v>1</v>
      </c>
      <c r="AJ3657">
        <v>3</v>
      </c>
      <c r="AK3657">
        <v>5</v>
      </c>
      <c r="AL3657">
        <v>4</v>
      </c>
      <c r="AM3657">
        <v>8</v>
      </c>
      <c r="AN3657">
        <v>0</v>
      </c>
      <c r="AO3657">
        <v>21</v>
      </c>
      <c r="AP3657">
        <v>0</v>
      </c>
      <c r="AQ3657">
        <v>18</v>
      </c>
      <c r="AR3657">
        <v>0</v>
      </c>
      <c r="AS3657">
        <v>0</v>
      </c>
      <c r="AT3657">
        <v>3</v>
      </c>
    </row>
    <row r="3658" spans="1:46">
      <c r="A3658">
        <v>55174</v>
      </c>
      <c r="B3658" t="s">
        <v>20052</v>
      </c>
      <c r="C3658" t="s">
        <v>20053</v>
      </c>
      <c r="D3658" t="s">
        <v>20054</v>
      </c>
      <c r="E3658" t="s">
        <v>20055</v>
      </c>
      <c r="F3658" t="s">
        <v>2104</v>
      </c>
      <c r="G3658" t="s">
        <v>2081</v>
      </c>
      <c r="H3658" t="s">
        <v>343</v>
      </c>
      <c r="J3658" t="s">
        <v>518</v>
      </c>
      <c r="K3658" t="s">
        <v>519</v>
      </c>
      <c r="L3658" t="s">
        <v>4205</v>
      </c>
      <c r="M3658" t="s">
        <v>1297</v>
      </c>
      <c r="N3658" t="s">
        <v>521</v>
      </c>
      <c r="O3658" t="s">
        <v>2082</v>
      </c>
      <c r="P3658" t="s">
        <v>584</v>
      </c>
      <c r="Q3658" t="s">
        <v>2083</v>
      </c>
      <c r="R3658" t="s">
        <v>2084</v>
      </c>
      <c r="S3658" t="s">
        <v>1473</v>
      </c>
      <c r="T3658" t="s">
        <v>2085</v>
      </c>
      <c r="U3658">
        <v>207000</v>
      </c>
      <c r="V3658" t="s">
        <v>3847</v>
      </c>
      <c r="W3658" t="s">
        <v>2087</v>
      </c>
      <c r="X3658" t="s">
        <v>20056</v>
      </c>
      <c r="Y3658" t="s">
        <v>4208</v>
      </c>
      <c r="Z3658" t="s">
        <v>4209</v>
      </c>
      <c r="AA3658" t="s">
        <v>4210</v>
      </c>
      <c r="AE3658">
        <v>-38.674959919999999</v>
      </c>
      <c r="AF3658">
        <v>178.03616077000001</v>
      </c>
      <c r="AG3658">
        <v>30</v>
      </c>
      <c r="AH3658">
        <v>10</v>
      </c>
      <c r="AI3658">
        <v>5</v>
      </c>
      <c r="AJ3658">
        <v>5</v>
      </c>
      <c r="AK3658">
        <v>4</v>
      </c>
      <c r="AL3658">
        <v>7</v>
      </c>
      <c r="AM3658">
        <v>6</v>
      </c>
      <c r="AN3658">
        <v>0</v>
      </c>
      <c r="AO3658">
        <v>27</v>
      </c>
      <c r="AP3658">
        <v>0</v>
      </c>
      <c r="AQ3658">
        <v>27</v>
      </c>
      <c r="AR3658">
        <v>0</v>
      </c>
      <c r="AS3658">
        <v>0</v>
      </c>
      <c r="AT3658">
        <v>0</v>
      </c>
    </row>
    <row r="3659" spans="1:46">
      <c r="A3659">
        <v>55180</v>
      </c>
      <c r="B3659" t="s">
        <v>20057</v>
      </c>
      <c r="C3659" t="s">
        <v>20058</v>
      </c>
      <c r="D3659" t="s">
        <v>20059</v>
      </c>
      <c r="E3659" t="s">
        <v>20060</v>
      </c>
      <c r="G3659" t="s">
        <v>20061</v>
      </c>
      <c r="H3659" t="s">
        <v>3942</v>
      </c>
      <c r="J3659" t="s">
        <v>518</v>
      </c>
      <c r="K3659" t="s">
        <v>519</v>
      </c>
      <c r="M3659" t="s">
        <v>1297</v>
      </c>
      <c r="N3659" t="s">
        <v>571</v>
      </c>
      <c r="O3659" t="s">
        <v>2198</v>
      </c>
      <c r="P3659" t="s">
        <v>572</v>
      </c>
      <c r="Q3659" t="s">
        <v>2118</v>
      </c>
      <c r="R3659" t="s">
        <v>2084</v>
      </c>
      <c r="S3659" t="s">
        <v>2119</v>
      </c>
      <c r="T3659" t="s">
        <v>2085</v>
      </c>
      <c r="U3659">
        <v>208001</v>
      </c>
      <c r="V3659" t="s">
        <v>20062</v>
      </c>
      <c r="W3659" t="s">
        <v>19805</v>
      </c>
      <c r="X3659" t="s">
        <v>20063</v>
      </c>
      <c r="Y3659" t="s">
        <v>20064</v>
      </c>
      <c r="AA3659" t="s">
        <v>20065</v>
      </c>
      <c r="AB3659" t="s">
        <v>20066</v>
      </c>
      <c r="AC3659">
        <v>99217</v>
      </c>
      <c r="AD3659" t="s">
        <v>2141</v>
      </c>
      <c r="AE3659">
        <v>-39.346620379999997</v>
      </c>
      <c r="AF3659">
        <v>176.60435835999999</v>
      </c>
      <c r="AG3659">
        <v>20</v>
      </c>
      <c r="AH3659">
        <v>0</v>
      </c>
      <c r="AI3659">
        <v>0</v>
      </c>
      <c r="AJ3659">
        <v>0</v>
      </c>
      <c r="AK3659">
        <v>5</v>
      </c>
      <c r="AL3659">
        <v>5</v>
      </c>
      <c r="AM3659">
        <v>5</v>
      </c>
      <c r="AN3659">
        <v>1</v>
      </c>
      <c r="AO3659">
        <v>16</v>
      </c>
      <c r="AP3659">
        <v>14</v>
      </c>
      <c r="AQ3659">
        <v>2</v>
      </c>
      <c r="AR3659">
        <v>4</v>
      </c>
      <c r="AS3659">
        <v>1</v>
      </c>
      <c r="AT3659">
        <v>0</v>
      </c>
    </row>
    <row r="3660" spans="1:46">
      <c r="A3660">
        <v>55181</v>
      </c>
      <c r="B3660" t="s">
        <v>20067</v>
      </c>
      <c r="C3660" t="s">
        <v>20068</v>
      </c>
      <c r="D3660" t="s">
        <v>20069</v>
      </c>
      <c r="E3660" t="s">
        <v>20070</v>
      </c>
      <c r="G3660" t="s">
        <v>2197</v>
      </c>
      <c r="H3660" t="s">
        <v>343</v>
      </c>
      <c r="J3660" t="s">
        <v>518</v>
      </c>
      <c r="K3660" t="s">
        <v>519</v>
      </c>
      <c r="L3660" t="s">
        <v>4205</v>
      </c>
      <c r="M3660" t="s">
        <v>1297</v>
      </c>
      <c r="N3660" t="s">
        <v>727</v>
      </c>
      <c r="O3660" t="s">
        <v>2198</v>
      </c>
      <c r="P3660" t="s">
        <v>523</v>
      </c>
      <c r="Q3660" t="s">
        <v>2118</v>
      </c>
      <c r="R3660" t="s">
        <v>2084</v>
      </c>
      <c r="S3660" t="s">
        <v>2199</v>
      </c>
      <c r="T3660" t="s">
        <v>2085</v>
      </c>
      <c r="U3660">
        <v>209601</v>
      </c>
      <c r="V3660" t="s">
        <v>11859</v>
      </c>
      <c r="W3660" t="s">
        <v>11860</v>
      </c>
      <c r="X3660" t="s">
        <v>8804</v>
      </c>
      <c r="Y3660" t="s">
        <v>4208</v>
      </c>
      <c r="Z3660" t="s">
        <v>4209</v>
      </c>
      <c r="AA3660" t="s">
        <v>4210</v>
      </c>
      <c r="AB3660" t="s">
        <v>8805</v>
      </c>
      <c r="AE3660">
        <v>-39.584755719999997</v>
      </c>
      <c r="AF3660">
        <v>176.91832016000001</v>
      </c>
      <c r="AG3660">
        <v>16</v>
      </c>
      <c r="AH3660">
        <v>4</v>
      </c>
      <c r="AI3660">
        <v>0</v>
      </c>
      <c r="AJ3660">
        <v>3</v>
      </c>
      <c r="AK3660">
        <v>2</v>
      </c>
      <c r="AL3660">
        <v>4</v>
      </c>
      <c r="AM3660">
        <v>1</v>
      </c>
      <c r="AN3660">
        <v>0</v>
      </c>
      <c r="AO3660">
        <v>10</v>
      </c>
      <c r="AP3660">
        <v>0</v>
      </c>
      <c r="AQ3660">
        <v>10</v>
      </c>
      <c r="AR3660">
        <v>0</v>
      </c>
      <c r="AS3660">
        <v>0</v>
      </c>
      <c r="AT3660">
        <v>0</v>
      </c>
    </row>
    <row r="3661" spans="1:46">
      <c r="A3661">
        <v>55182</v>
      </c>
      <c r="B3661" t="s">
        <v>20071</v>
      </c>
      <c r="C3661" t="s">
        <v>20072</v>
      </c>
      <c r="D3661" t="s">
        <v>20073</v>
      </c>
      <c r="E3661" t="s">
        <v>20074</v>
      </c>
      <c r="G3661" t="s">
        <v>20029</v>
      </c>
      <c r="H3661" t="s">
        <v>343</v>
      </c>
      <c r="J3661" t="s">
        <v>518</v>
      </c>
      <c r="K3661" t="s">
        <v>519</v>
      </c>
      <c r="L3661" t="s">
        <v>4205</v>
      </c>
      <c r="M3661" t="s">
        <v>1297</v>
      </c>
      <c r="N3661" t="s">
        <v>727</v>
      </c>
      <c r="O3661" t="s">
        <v>2198</v>
      </c>
      <c r="P3661" t="s">
        <v>572</v>
      </c>
      <c r="Q3661" t="s">
        <v>2118</v>
      </c>
      <c r="R3661" t="s">
        <v>2084</v>
      </c>
      <c r="S3661" t="s">
        <v>2199</v>
      </c>
      <c r="T3661" t="s">
        <v>2085</v>
      </c>
      <c r="U3661">
        <v>208500</v>
      </c>
      <c r="V3661" t="s">
        <v>20029</v>
      </c>
      <c r="W3661" t="s">
        <v>8749</v>
      </c>
      <c r="X3661" t="s">
        <v>8804</v>
      </c>
      <c r="Y3661" t="s">
        <v>4208</v>
      </c>
      <c r="Z3661" t="s">
        <v>4209</v>
      </c>
      <c r="AA3661" t="s">
        <v>4210</v>
      </c>
      <c r="AB3661" t="s">
        <v>8805</v>
      </c>
      <c r="AE3661">
        <v>-39.651928699999999</v>
      </c>
      <c r="AF3661">
        <v>176.75884665999999</v>
      </c>
      <c r="AG3661">
        <v>27</v>
      </c>
      <c r="AH3661">
        <v>10</v>
      </c>
      <c r="AI3661">
        <v>2</v>
      </c>
      <c r="AJ3661">
        <v>3</v>
      </c>
      <c r="AK3661">
        <v>3</v>
      </c>
      <c r="AL3661">
        <v>6</v>
      </c>
      <c r="AM3661">
        <v>1</v>
      </c>
      <c r="AN3661">
        <v>0</v>
      </c>
      <c r="AO3661">
        <v>15</v>
      </c>
      <c r="AP3661">
        <v>0</v>
      </c>
      <c r="AQ3661">
        <v>15</v>
      </c>
      <c r="AR3661">
        <v>0</v>
      </c>
      <c r="AS3661">
        <v>0</v>
      </c>
      <c r="AT3661">
        <v>0</v>
      </c>
    </row>
    <row r="3662" spans="1:46">
      <c r="A3662">
        <v>55190</v>
      </c>
      <c r="B3662" t="s">
        <v>20075</v>
      </c>
      <c r="C3662" t="s">
        <v>20076</v>
      </c>
      <c r="D3662" t="s">
        <v>20077</v>
      </c>
      <c r="E3662" t="s">
        <v>20078</v>
      </c>
      <c r="F3662" t="s">
        <v>2223</v>
      </c>
      <c r="G3662" t="s">
        <v>2197</v>
      </c>
      <c r="H3662" t="s">
        <v>343</v>
      </c>
      <c r="J3662" t="s">
        <v>518</v>
      </c>
      <c r="K3662" t="s">
        <v>519</v>
      </c>
      <c r="L3662" t="s">
        <v>4205</v>
      </c>
      <c r="M3662" t="s">
        <v>1297</v>
      </c>
      <c r="N3662" t="s">
        <v>727</v>
      </c>
      <c r="O3662" t="s">
        <v>2198</v>
      </c>
      <c r="P3662" t="s">
        <v>584</v>
      </c>
      <c r="Q3662" t="s">
        <v>2118</v>
      </c>
      <c r="R3662" t="s">
        <v>2084</v>
      </c>
      <c r="S3662" t="s">
        <v>2199</v>
      </c>
      <c r="T3662" t="s">
        <v>2085</v>
      </c>
      <c r="U3662">
        <v>209000</v>
      </c>
      <c r="V3662" t="s">
        <v>2224</v>
      </c>
      <c r="W3662" t="s">
        <v>2225</v>
      </c>
      <c r="X3662" t="s">
        <v>8804</v>
      </c>
      <c r="Y3662" t="s">
        <v>4208</v>
      </c>
      <c r="Z3662" t="s">
        <v>4209</v>
      </c>
      <c r="AA3662" t="s">
        <v>4210</v>
      </c>
      <c r="AB3662" t="s">
        <v>8805</v>
      </c>
      <c r="AE3662">
        <v>-39.620252280000003</v>
      </c>
      <c r="AF3662">
        <v>176.78079839</v>
      </c>
      <c r="AG3662">
        <v>37</v>
      </c>
      <c r="AH3662">
        <v>15</v>
      </c>
      <c r="AI3662">
        <v>6</v>
      </c>
      <c r="AJ3662">
        <v>9</v>
      </c>
      <c r="AK3662">
        <v>11</v>
      </c>
      <c r="AL3662">
        <v>5</v>
      </c>
      <c r="AM3662">
        <v>5</v>
      </c>
      <c r="AN3662">
        <v>0</v>
      </c>
      <c r="AO3662">
        <v>36</v>
      </c>
      <c r="AP3662">
        <v>0</v>
      </c>
      <c r="AQ3662">
        <v>36</v>
      </c>
      <c r="AR3662">
        <v>0</v>
      </c>
      <c r="AS3662">
        <v>0</v>
      </c>
      <c r="AT3662">
        <v>0</v>
      </c>
    </row>
    <row r="3663" spans="1:46">
      <c r="A3663">
        <v>55195</v>
      </c>
      <c r="B3663" t="s">
        <v>20079</v>
      </c>
      <c r="C3663" t="s">
        <v>20080</v>
      </c>
      <c r="D3663" t="s">
        <v>20081</v>
      </c>
      <c r="E3663" t="s">
        <v>20082</v>
      </c>
      <c r="F3663" t="s">
        <v>2258</v>
      </c>
      <c r="G3663" t="s">
        <v>2197</v>
      </c>
      <c r="H3663" t="s">
        <v>3942</v>
      </c>
      <c r="J3663" t="s">
        <v>3962</v>
      </c>
      <c r="K3663" t="s">
        <v>519</v>
      </c>
      <c r="M3663" t="s">
        <v>1297</v>
      </c>
      <c r="N3663" t="s">
        <v>539</v>
      </c>
      <c r="O3663" t="s">
        <v>2198</v>
      </c>
      <c r="P3663" t="s">
        <v>584</v>
      </c>
      <c r="Q3663" t="s">
        <v>2118</v>
      </c>
      <c r="R3663" t="s">
        <v>2084</v>
      </c>
      <c r="S3663" t="s">
        <v>2199</v>
      </c>
      <c r="T3663" t="s">
        <v>2085</v>
      </c>
      <c r="U3663">
        <v>209901</v>
      </c>
      <c r="V3663" t="s">
        <v>2258</v>
      </c>
      <c r="W3663" t="s">
        <v>2200</v>
      </c>
      <c r="X3663" t="s">
        <v>20083</v>
      </c>
      <c r="Y3663" t="s">
        <v>20084</v>
      </c>
      <c r="AA3663" t="s">
        <v>16572</v>
      </c>
      <c r="AB3663" t="s">
        <v>20085</v>
      </c>
      <c r="AE3663">
        <v>-39.636202480000001</v>
      </c>
      <c r="AF3663">
        <v>176.82742417</v>
      </c>
      <c r="AG3663">
        <v>25</v>
      </c>
      <c r="AH3663">
        <v>10</v>
      </c>
      <c r="AI3663">
        <v>1</v>
      </c>
      <c r="AJ3663">
        <v>5</v>
      </c>
      <c r="AK3663">
        <v>3</v>
      </c>
      <c r="AL3663">
        <v>6</v>
      </c>
      <c r="AM3663">
        <v>8</v>
      </c>
      <c r="AN3663">
        <v>0</v>
      </c>
      <c r="AO3663">
        <v>23</v>
      </c>
      <c r="AP3663">
        <v>17</v>
      </c>
      <c r="AQ3663">
        <v>7</v>
      </c>
      <c r="AR3663">
        <v>0</v>
      </c>
      <c r="AS3663">
        <v>5</v>
      </c>
      <c r="AT3663">
        <v>1</v>
      </c>
    </row>
    <row r="3664" spans="1:46">
      <c r="A3664">
        <v>55197</v>
      </c>
      <c r="B3664" t="s">
        <v>20086</v>
      </c>
      <c r="C3664" t="s">
        <v>20087</v>
      </c>
      <c r="D3664" t="s">
        <v>20088</v>
      </c>
      <c r="E3664" t="s">
        <v>20089</v>
      </c>
      <c r="G3664" t="s">
        <v>19955</v>
      </c>
      <c r="H3664" t="s">
        <v>343</v>
      </c>
      <c r="J3664" t="s">
        <v>518</v>
      </c>
      <c r="K3664" t="s">
        <v>519</v>
      </c>
      <c r="L3664" t="s">
        <v>4205</v>
      </c>
      <c r="M3664" t="s">
        <v>1297</v>
      </c>
      <c r="N3664" t="s">
        <v>521</v>
      </c>
      <c r="O3664" t="s">
        <v>2082</v>
      </c>
      <c r="P3664" t="s">
        <v>540</v>
      </c>
      <c r="Q3664" t="s">
        <v>2083</v>
      </c>
      <c r="R3664" t="s">
        <v>2084</v>
      </c>
      <c r="S3664" t="s">
        <v>1473</v>
      </c>
      <c r="T3664" t="s">
        <v>2085</v>
      </c>
      <c r="U3664">
        <v>205201</v>
      </c>
      <c r="V3664" t="s">
        <v>19956</v>
      </c>
      <c r="W3664" t="s">
        <v>2087</v>
      </c>
      <c r="X3664" t="s">
        <v>18128</v>
      </c>
      <c r="Y3664" t="s">
        <v>4208</v>
      </c>
      <c r="Z3664" t="s">
        <v>4209</v>
      </c>
      <c r="AA3664" t="s">
        <v>4210</v>
      </c>
      <c r="AB3664" t="s">
        <v>18129</v>
      </c>
      <c r="AC3664">
        <v>99162</v>
      </c>
      <c r="AD3664" t="s">
        <v>13356</v>
      </c>
      <c r="AE3664">
        <v>-38.377812040000002</v>
      </c>
      <c r="AF3664">
        <v>178.2953493</v>
      </c>
      <c r="AG3664">
        <v>35</v>
      </c>
      <c r="AH3664">
        <v>15</v>
      </c>
      <c r="AI3664">
        <v>2</v>
      </c>
      <c r="AJ3664">
        <v>5</v>
      </c>
      <c r="AK3664">
        <v>5</v>
      </c>
      <c r="AL3664">
        <v>8</v>
      </c>
      <c r="AM3664">
        <v>7</v>
      </c>
      <c r="AN3664">
        <v>0</v>
      </c>
      <c r="AO3664">
        <v>27</v>
      </c>
      <c r="AP3664">
        <v>0</v>
      </c>
      <c r="AQ3664">
        <v>26</v>
      </c>
      <c r="AR3664">
        <v>0</v>
      </c>
      <c r="AS3664">
        <v>0</v>
      </c>
      <c r="AT3664">
        <v>1</v>
      </c>
    </row>
    <row r="3665" spans="1:46">
      <c r="A3665">
        <v>55198</v>
      </c>
      <c r="B3665" t="s">
        <v>20090</v>
      </c>
      <c r="C3665" t="s">
        <v>20091</v>
      </c>
      <c r="D3665" t="s">
        <v>20092</v>
      </c>
      <c r="E3665" t="s">
        <v>20093</v>
      </c>
      <c r="G3665" t="s">
        <v>2116</v>
      </c>
      <c r="H3665" t="s">
        <v>343</v>
      </c>
      <c r="J3665" t="s">
        <v>518</v>
      </c>
      <c r="K3665" t="s">
        <v>519</v>
      </c>
      <c r="L3665" t="s">
        <v>4205</v>
      </c>
      <c r="M3665" t="s">
        <v>1297</v>
      </c>
      <c r="N3665" t="s">
        <v>539</v>
      </c>
      <c r="O3665" t="s">
        <v>2117</v>
      </c>
      <c r="P3665" t="s">
        <v>572</v>
      </c>
      <c r="Q3665" t="s">
        <v>2118</v>
      </c>
      <c r="R3665" t="s">
        <v>2084</v>
      </c>
      <c r="S3665" t="s">
        <v>2119</v>
      </c>
      <c r="T3665" t="s">
        <v>2085</v>
      </c>
      <c r="U3665">
        <v>207700</v>
      </c>
      <c r="V3665" t="s">
        <v>20094</v>
      </c>
      <c r="W3665" t="s">
        <v>565</v>
      </c>
      <c r="X3665" t="s">
        <v>18128</v>
      </c>
      <c r="Y3665" t="s">
        <v>4208</v>
      </c>
      <c r="Z3665" t="s">
        <v>4209</v>
      </c>
      <c r="AA3665" t="s">
        <v>4210</v>
      </c>
      <c r="AB3665" t="s">
        <v>18129</v>
      </c>
      <c r="AE3665">
        <v>-39.024601609999998</v>
      </c>
      <c r="AF3665">
        <v>177.39506706</v>
      </c>
      <c r="AG3665">
        <v>20</v>
      </c>
      <c r="AH3665">
        <v>6</v>
      </c>
      <c r="AI3665">
        <v>0</v>
      </c>
      <c r="AJ3665">
        <v>6</v>
      </c>
      <c r="AK3665">
        <v>3</v>
      </c>
      <c r="AL3665">
        <v>5</v>
      </c>
      <c r="AM3665">
        <v>4</v>
      </c>
      <c r="AN3665">
        <v>0</v>
      </c>
      <c r="AO3665">
        <v>18</v>
      </c>
      <c r="AP3665">
        <v>0</v>
      </c>
      <c r="AQ3665">
        <v>18</v>
      </c>
      <c r="AR3665">
        <v>0</v>
      </c>
      <c r="AS3665">
        <v>0</v>
      </c>
      <c r="AT3665">
        <v>0</v>
      </c>
    </row>
    <row r="3666" spans="1:46">
      <c r="A3666">
        <v>55199</v>
      </c>
      <c r="B3666" t="s">
        <v>20095</v>
      </c>
      <c r="C3666" t="s">
        <v>20096</v>
      </c>
      <c r="D3666" t="s">
        <v>20097</v>
      </c>
      <c r="E3666" t="s">
        <v>20098</v>
      </c>
      <c r="F3666" t="s">
        <v>2175</v>
      </c>
      <c r="G3666" t="s">
        <v>2119</v>
      </c>
      <c r="H3666" t="s">
        <v>343</v>
      </c>
      <c r="J3666" t="s">
        <v>518</v>
      </c>
      <c r="K3666" t="s">
        <v>519</v>
      </c>
      <c r="L3666" t="s">
        <v>4205</v>
      </c>
      <c r="M3666" t="s">
        <v>1297</v>
      </c>
      <c r="N3666" t="s">
        <v>521</v>
      </c>
      <c r="O3666" t="s">
        <v>2198</v>
      </c>
      <c r="P3666" t="s">
        <v>540</v>
      </c>
      <c r="Q3666" t="s">
        <v>2118</v>
      </c>
      <c r="R3666" t="s">
        <v>2084</v>
      </c>
      <c r="S3666" t="s">
        <v>2199</v>
      </c>
      <c r="T3666" t="s">
        <v>2085</v>
      </c>
      <c r="U3666">
        <v>208401</v>
      </c>
      <c r="V3666" t="s">
        <v>20099</v>
      </c>
      <c r="W3666" t="s">
        <v>11860</v>
      </c>
      <c r="X3666" t="s">
        <v>20100</v>
      </c>
      <c r="Y3666" t="s">
        <v>4208</v>
      </c>
      <c r="Z3666" t="s">
        <v>4209</v>
      </c>
      <c r="AA3666" t="s">
        <v>4210</v>
      </c>
      <c r="AB3666" t="s">
        <v>20101</v>
      </c>
      <c r="AC3666">
        <v>99217</v>
      </c>
      <c r="AD3666" t="s">
        <v>2141</v>
      </c>
      <c r="AE3666">
        <v>-39.553355680000003</v>
      </c>
      <c r="AF3666">
        <v>176.83514067999999</v>
      </c>
      <c r="AG3666">
        <v>25</v>
      </c>
      <c r="AH3666">
        <v>5</v>
      </c>
      <c r="AI3666">
        <v>0</v>
      </c>
      <c r="AJ3666">
        <v>4</v>
      </c>
      <c r="AK3666">
        <v>6</v>
      </c>
      <c r="AL3666">
        <v>3</v>
      </c>
      <c r="AM3666">
        <v>4</v>
      </c>
      <c r="AN3666">
        <v>0</v>
      </c>
      <c r="AO3666">
        <v>17</v>
      </c>
      <c r="AP3666">
        <v>0</v>
      </c>
      <c r="AQ3666">
        <v>13</v>
      </c>
      <c r="AR3666">
        <v>2</v>
      </c>
      <c r="AS3666">
        <v>0</v>
      </c>
      <c r="AT3666">
        <v>2</v>
      </c>
    </row>
    <row r="3667" spans="1:46">
      <c r="A3667">
        <v>55200</v>
      </c>
      <c r="B3667" t="s">
        <v>20102</v>
      </c>
      <c r="C3667" t="s">
        <v>20103</v>
      </c>
      <c r="D3667" t="s">
        <v>20104</v>
      </c>
      <c r="E3667" t="s">
        <v>20105</v>
      </c>
      <c r="G3667" t="s">
        <v>2197</v>
      </c>
      <c r="H3667" t="s">
        <v>343</v>
      </c>
      <c r="J3667" t="s">
        <v>518</v>
      </c>
      <c r="K3667" t="s">
        <v>519</v>
      </c>
      <c r="L3667" t="s">
        <v>4205</v>
      </c>
      <c r="M3667" t="s">
        <v>1297</v>
      </c>
      <c r="N3667" t="s">
        <v>727</v>
      </c>
      <c r="O3667" t="s">
        <v>2198</v>
      </c>
      <c r="P3667" t="s">
        <v>540</v>
      </c>
      <c r="Q3667" t="s">
        <v>2118</v>
      </c>
      <c r="R3667" t="s">
        <v>2084</v>
      </c>
      <c r="S3667" t="s">
        <v>2199</v>
      </c>
      <c r="T3667" t="s">
        <v>2085</v>
      </c>
      <c r="U3667">
        <v>208401</v>
      </c>
      <c r="V3667" t="s">
        <v>20099</v>
      </c>
      <c r="W3667" t="s">
        <v>11860</v>
      </c>
      <c r="X3667" t="s">
        <v>19889</v>
      </c>
      <c r="Y3667" t="s">
        <v>4208</v>
      </c>
      <c r="Z3667" t="s">
        <v>4209</v>
      </c>
      <c r="AA3667" t="s">
        <v>4210</v>
      </c>
      <c r="AB3667" t="s">
        <v>8805</v>
      </c>
      <c r="AE3667">
        <v>-39.581937340000003</v>
      </c>
      <c r="AF3667">
        <v>176.75937519999999</v>
      </c>
      <c r="AG3667">
        <v>24</v>
      </c>
      <c r="AH3667">
        <v>8</v>
      </c>
      <c r="AI3667">
        <v>1</v>
      </c>
      <c r="AJ3667">
        <v>1</v>
      </c>
      <c r="AK3667">
        <v>1</v>
      </c>
      <c r="AL3667">
        <v>0</v>
      </c>
      <c r="AM3667">
        <v>2</v>
      </c>
      <c r="AN3667">
        <v>0</v>
      </c>
      <c r="AO3667">
        <v>5</v>
      </c>
      <c r="AP3667">
        <v>0</v>
      </c>
      <c r="AQ3667">
        <v>5</v>
      </c>
      <c r="AR3667">
        <v>0</v>
      </c>
      <c r="AS3667">
        <v>0</v>
      </c>
      <c r="AT3667">
        <v>0</v>
      </c>
    </row>
    <row r="3668" spans="1:46">
      <c r="A3668">
        <v>55203</v>
      </c>
      <c r="B3668" t="s">
        <v>20106</v>
      </c>
      <c r="C3668" t="s">
        <v>20107</v>
      </c>
      <c r="D3668" t="s">
        <v>20108</v>
      </c>
      <c r="E3668" t="s">
        <v>20109</v>
      </c>
      <c r="G3668" t="s">
        <v>2216</v>
      </c>
      <c r="H3668" t="s">
        <v>343</v>
      </c>
      <c r="J3668" t="s">
        <v>518</v>
      </c>
      <c r="K3668" t="s">
        <v>519</v>
      </c>
      <c r="L3668" t="s">
        <v>4205</v>
      </c>
      <c r="M3668" t="s">
        <v>1297</v>
      </c>
      <c r="N3668" t="s">
        <v>727</v>
      </c>
      <c r="O3668" t="s">
        <v>2198</v>
      </c>
      <c r="P3668" t="s">
        <v>1262</v>
      </c>
      <c r="Q3668" t="s">
        <v>2118</v>
      </c>
      <c r="R3668" t="s">
        <v>2084</v>
      </c>
      <c r="S3668" t="s">
        <v>2199</v>
      </c>
      <c r="T3668" t="s">
        <v>2085</v>
      </c>
      <c r="U3668">
        <v>211401</v>
      </c>
      <c r="V3668" t="s">
        <v>2239</v>
      </c>
      <c r="W3668" t="s">
        <v>2200</v>
      </c>
      <c r="X3668" t="s">
        <v>20110</v>
      </c>
      <c r="Y3668" t="s">
        <v>4208</v>
      </c>
      <c r="Z3668" t="s">
        <v>4209</v>
      </c>
      <c r="AA3668" t="s">
        <v>4210</v>
      </c>
      <c r="AB3668" t="s">
        <v>20111</v>
      </c>
      <c r="AE3668">
        <v>-39.670976209999999</v>
      </c>
      <c r="AF3668">
        <v>176.86806695999999</v>
      </c>
      <c r="AG3668">
        <v>15</v>
      </c>
      <c r="AH3668">
        <v>5</v>
      </c>
      <c r="AI3668">
        <v>2</v>
      </c>
      <c r="AJ3668">
        <v>2</v>
      </c>
      <c r="AK3668">
        <v>5</v>
      </c>
      <c r="AL3668">
        <v>3</v>
      </c>
      <c r="AM3668">
        <v>2</v>
      </c>
      <c r="AN3668">
        <v>0</v>
      </c>
      <c r="AO3668">
        <v>14</v>
      </c>
      <c r="AP3668">
        <v>0</v>
      </c>
      <c r="AQ3668">
        <v>10</v>
      </c>
      <c r="AR3668">
        <v>4</v>
      </c>
      <c r="AS3668">
        <v>0</v>
      </c>
      <c r="AT3668">
        <v>0</v>
      </c>
    </row>
    <row r="3669" spans="1:46">
      <c r="A3669">
        <v>55206</v>
      </c>
      <c r="B3669" t="s">
        <v>20112</v>
      </c>
      <c r="C3669" t="s">
        <v>20113</v>
      </c>
      <c r="D3669" t="s">
        <v>20114</v>
      </c>
      <c r="E3669" t="s">
        <v>20115</v>
      </c>
      <c r="G3669" t="s">
        <v>20116</v>
      </c>
      <c r="H3669" t="s">
        <v>343</v>
      </c>
      <c r="J3669" t="s">
        <v>518</v>
      </c>
      <c r="K3669" t="s">
        <v>519</v>
      </c>
      <c r="L3669" t="s">
        <v>4205</v>
      </c>
      <c r="M3669" t="s">
        <v>1297</v>
      </c>
      <c r="N3669" t="s">
        <v>521</v>
      </c>
      <c r="O3669" t="s">
        <v>2082</v>
      </c>
      <c r="P3669" t="s">
        <v>572</v>
      </c>
      <c r="Q3669" t="s">
        <v>2083</v>
      </c>
      <c r="R3669" t="s">
        <v>2084</v>
      </c>
      <c r="S3669" t="s">
        <v>1473</v>
      </c>
      <c r="T3669" t="s">
        <v>2085</v>
      </c>
      <c r="U3669">
        <v>205401</v>
      </c>
      <c r="V3669" t="s">
        <v>20117</v>
      </c>
      <c r="W3669" t="s">
        <v>2087</v>
      </c>
      <c r="X3669" t="s">
        <v>18128</v>
      </c>
      <c r="Y3669" t="s">
        <v>4208</v>
      </c>
      <c r="Z3669" t="s">
        <v>4209</v>
      </c>
      <c r="AA3669" t="s">
        <v>4210</v>
      </c>
      <c r="AB3669" t="s">
        <v>18129</v>
      </c>
      <c r="AE3669">
        <v>-38.557105049999997</v>
      </c>
      <c r="AF3669">
        <v>177.9256369</v>
      </c>
      <c r="AG3669">
        <v>12</v>
      </c>
      <c r="AH3669">
        <v>5</v>
      </c>
      <c r="AI3669">
        <v>0</v>
      </c>
      <c r="AJ3669">
        <v>3</v>
      </c>
      <c r="AK3669">
        <v>4</v>
      </c>
      <c r="AL3669">
        <v>1</v>
      </c>
      <c r="AM3669">
        <v>1</v>
      </c>
      <c r="AN3669">
        <v>0</v>
      </c>
      <c r="AO3669">
        <v>9</v>
      </c>
      <c r="AP3669">
        <v>0</v>
      </c>
      <c r="AQ3669">
        <v>9</v>
      </c>
      <c r="AR3669">
        <v>0</v>
      </c>
      <c r="AS3669">
        <v>0</v>
      </c>
      <c r="AT3669">
        <v>0</v>
      </c>
    </row>
    <row r="3670" spans="1:46">
      <c r="A3670">
        <v>55208</v>
      </c>
      <c r="B3670" t="s">
        <v>20118</v>
      </c>
      <c r="C3670" t="s">
        <v>20119</v>
      </c>
      <c r="D3670" t="s">
        <v>20120</v>
      </c>
      <c r="E3670" t="s">
        <v>20121</v>
      </c>
      <c r="G3670" t="s">
        <v>19972</v>
      </c>
      <c r="H3670" t="s">
        <v>343</v>
      </c>
      <c r="J3670" t="s">
        <v>518</v>
      </c>
      <c r="K3670" t="s">
        <v>519</v>
      </c>
      <c r="L3670" t="s">
        <v>4205</v>
      </c>
      <c r="M3670" t="s">
        <v>1297</v>
      </c>
      <c r="N3670" t="s">
        <v>521</v>
      </c>
      <c r="O3670" t="s">
        <v>2082</v>
      </c>
      <c r="P3670" t="s">
        <v>540</v>
      </c>
      <c r="Q3670" t="s">
        <v>2083</v>
      </c>
      <c r="R3670" t="s">
        <v>2084</v>
      </c>
      <c r="S3670" t="s">
        <v>1473</v>
      </c>
      <c r="T3670" t="s">
        <v>2085</v>
      </c>
      <c r="U3670">
        <v>205000</v>
      </c>
      <c r="V3670" t="s">
        <v>19494</v>
      </c>
      <c r="W3670" t="s">
        <v>2087</v>
      </c>
      <c r="X3670" t="s">
        <v>18128</v>
      </c>
      <c r="Y3670" t="s">
        <v>4208</v>
      </c>
      <c r="Z3670" t="s">
        <v>4209</v>
      </c>
      <c r="AA3670" t="s">
        <v>4210</v>
      </c>
      <c r="AB3670" t="s">
        <v>18129</v>
      </c>
      <c r="AE3670">
        <v>-38.110550969999998</v>
      </c>
      <c r="AF3670">
        <v>178.33929821000001</v>
      </c>
      <c r="AG3670">
        <v>18</v>
      </c>
      <c r="AH3670">
        <v>4</v>
      </c>
      <c r="AI3670">
        <v>1</v>
      </c>
      <c r="AJ3670">
        <v>1</v>
      </c>
      <c r="AK3670">
        <v>3</v>
      </c>
      <c r="AL3670">
        <v>3</v>
      </c>
      <c r="AM3670">
        <v>3</v>
      </c>
      <c r="AN3670">
        <v>0</v>
      </c>
      <c r="AO3670">
        <v>11</v>
      </c>
      <c r="AP3670">
        <v>0</v>
      </c>
      <c r="AQ3670">
        <v>10</v>
      </c>
      <c r="AR3670">
        <v>0</v>
      </c>
      <c r="AS3670">
        <v>0</v>
      </c>
      <c r="AT3670">
        <v>1</v>
      </c>
    </row>
    <row r="3671" spans="1:46">
      <c r="A3671">
        <v>55210</v>
      </c>
      <c r="B3671" t="s">
        <v>20122</v>
      </c>
      <c r="C3671" t="s">
        <v>20123</v>
      </c>
      <c r="D3671" t="s">
        <v>20124</v>
      </c>
      <c r="E3671" t="s">
        <v>20125</v>
      </c>
      <c r="F3671" t="s">
        <v>2223</v>
      </c>
      <c r="G3671" t="s">
        <v>2197</v>
      </c>
      <c r="H3671" t="s">
        <v>343</v>
      </c>
      <c r="J3671" t="s">
        <v>518</v>
      </c>
      <c r="K3671" t="s">
        <v>519</v>
      </c>
      <c r="L3671" t="s">
        <v>4205</v>
      </c>
      <c r="M3671" t="s">
        <v>1297</v>
      </c>
      <c r="N3671" t="s">
        <v>727</v>
      </c>
      <c r="O3671" t="s">
        <v>2198</v>
      </c>
      <c r="P3671" t="s">
        <v>584</v>
      </c>
      <c r="Q3671" t="s">
        <v>2118</v>
      </c>
      <c r="R3671" t="s">
        <v>2084</v>
      </c>
      <c r="S3671" t="s">
        <v>2199</v>
      </c>
      <c r="T3671" t="s">
        <v>2085</v>
      </c>
      <c r="U3671">
        <v>209100</v>
      </c>
      <c r="V3671" t="s">
        <v>2235</v>
      </c>
      <c r="W3671" t="s">
        <v>2225</v>
      </c>
      <c r="X3671" t="s">
        <v>8804</v>
      </c>
      <c r="Y3671" t="s">
        <v>4208</v>
      </c>
      <c r="Z3671" t="s">
        <v>4209</v>
      </c>
      <c r="AA3671" t="s">
        <v>4210</v>
      </c>
      <c r="AB3671" t="s">
        <v>8805</v>
      </c>
      <c r="AE3671">
        <v>-39.627443030000002</v>
      </c>
      <c r="AF3671">
        <v>176.77939988</v>
      </c>
      <c r="AG3671">
        <v>20</v>
      </c>
      <c r="AH3671">
        <v>6</v>
      </c>
      <c r="AI3671">
        <v>0</v>
      </c>
      <c r="AJ3671">
        <v>2</v>
      </c>
      <c r="AK3671">
        <v>4</v>
      </c>
      <c r="AL3671">
        <v>1</v>
      </c>
      <c r="AM3671">
        <v>5</v>
      </c>
      <c r="AN3671">
        <v>0</v>
      </c>
      <c r="AO3671">
        <v>12</v>
      </c>
      <c r="AP3671">
        <v>0</v>
      </c>
      <c r="AQ3671">
        <v>12</v>
      </c>
      <c r="AR3671">
        <v>0</v>
      </c>
      <c r="AS3671">
        <v>0</v>
      </c>
      <c r="AT3671">
        <v>0</v>
      </c>
    </row>
    <row r="3672" spans="1:46">
      <c r="A3672">
        <v>55211</v>
      </c>
      <c r="B3672" t="s">
        <v>20126</v>
      </c>
      <c r="C3672" t="s">
        <v>20127</v>
      </c>
      <c r="D3672" t="s">
        <v>20128</v>
      </c>
      <c r="E3672" t="s">
        <v>20129</v>
      </c>
      <c r="G3672" t="s">
        <v>13351</v>
      </c>
      <c r="H3672" t="s">
        <v>343</v>
      </c>
      <c r="J3672" t="s">
        <v>518</v>
      </c>
      <c r="K3672" t="s">
        <v>519</v>
      </c>
      <c r="L3672" t="s">
        <v>4205</v>
      </c>
      <c r="M3672" t="s">
        <v>1297</v>
      </c>
      <c r="N3672" t="s">
        <v>521</v>
      </c>
      <c r="O3672" t="s">
        <v>2082</v>
      </c>
      <c r="P3672" t="s">
        <v>540</v>
      </c>
      <c r="Q3672" t="s">
        <v>2083</v>
      </c>
      <c r="R3672" t="s">
        <v>2084</v>
      </c>
      <c r="S3672" t="s">
        <v>1473</v>
      </c>
      <c r="T3672" t="s">
        <v>2085</v>
      </c>
      <c r="U3672">
        <v>204900</v>
      </c>
      <c r="V3672" t="s">
        <v>13352</v>
      </c>
      <c r="W3672" t="s">
        <v>2087</v>
      </c>
      <c r="X3672" t="s">
        <v>18128</v>
      </c>
      <c r="Y3672" t="s">
        <v>4208</v>
      </c>
      <c r="Z3672" t="s">
        <v>4209</v>
      </c>
      <c r="AA3672" t="s">
        <v>4210</v>
      </c>
      <c r="AB3672" t="s">
        <v>18129</v>
      </c>
      <c r="AE3672">
        <v>-37.88788375</v>
      </c>
      <c r="AF3672">
        <v>178.34413286</v>
      </c>
      <c r="AG3672">
        <v>40</v>
      </c>
      <c r="AH3672">
        <v>10</v>
      </c>
      <c r="AI3672">
        <v>0</v>
      </c>
      <c r="AJ3672">
        <v>6</v>
      </c>
      <c r="AK3672">
        <v>6</v>
      </c>
      <c r="AL3672">
        <v>5</v>
      </c>
      <c r="AM3672">
        <v>5</v>
      </c>
      <c r="AN3672">
        <v>0</v>
      </c>
      <c r="AO3672">
        <v>22</v>
      </c>
      <c r="AP3672">
        <v>0</v>
      </c>
      <c r="AQ3672">
        <v>21</v>
      </c>
      <c r="AR3672">
        <v>0</v>
      </c>
      <c r="AS3672">
        <v>0</v>
      </c>
      <c r="AT3672">
        <v>1</v>
      </c>
    </row>
    <row r="3673" spans="1:46">
      <c r="A3673">
        <v>55214</v>
      </c>
      <c r="B3673" t="s">
        <v>20130</v>
      </c>
      <c r="C3673" t="s">
        <v>20131</v>
      </c>
      <c r="D3673" t="s">
        <v>20132</v>
      </c>
      <c r="E3673" t="s">
        <v>20133</v>
      </c>
      <c r="G3673" t="s">
        <v>13964</v>
      </c>
      <c r="H3673" t="s">
        <v>343</v>
      </c>
      <c r="J3673" t="s">
        <v>518</v>
      </c>
      <c r="K3673" t="s">
        <v>519</v>
      </c>
      <c r="L3673" t="s">
        <v>4205</v>
      </c>
      <c r="M3673" t="s">
        <v>1297</v>
      </c>
      <c r="N3673" t="s">
        <v>727</v>
      </c>
      <c r="O3673" t="s">
        <v>2082</v>
      </c>
      <c r="P3673" t="s">
        <v>540</v>
      </c>
      <c r="Q3673" t="s">
        <v>2083</v>
      </c>
      <c r="R3673" t="s">
        <v>2084</v>
      </c>
      <c r="S3673" t="s">
        <v>1473</v>
      </c>
      <c r="T3673" t="s">
        <v>2085</v>
      </c>
      <c r="U3673">
        <v>204700</v>
      </c>
      <c r="V3673" t="s">
        <v>13965</v>
      </c>
      <c r="W3673" t="s">
        <v>2087</v>
      </c>
      <c r="X3673" t="s">
        <v>18128</v>
      </c>
      <c r="Y3673" t="s">
        <v>4208</v>
      </c>
      <c r="Z3673" t="s">
        <v>4209</v>
      </c>
      <c r="AA3673" t="s">
        <v>4210</v>
      </c>
      <c r="AB3673" t="s">
        <v>18129</v>
      </c>
      <c r="AE3673">
        <v>-37.59271656</v>
      </c>
      <c r="AF3673">
        <v>178.28901415999999</v>
      </c>
      <c r="AG3673">
        <v>12</v>
      </c>
      <c r="AH3673">
        <v>8</v>
      </c>
      <c r="AI3673">
        <v>1</v>
      </c>
      <c r="AJ3673">
        <v>1</v>
      </c>
      <c r="AK3673">
        <v>0</v>
      </c>
      <c r="AL3673">
        <v>2</v>
      </c>
      <c r="AM3673">
        <v>0</v>
      </c>
      <c r="AN3673">
        <v>0</v>
      </c>
      <c r="AO3673">
        <v>4</v>
      </c>
      <c r="AP3673">
        <v>0</v>
      </c>
      <c r="AQ3673">
        <v>4</v>
      </c>
      <c r="AR3673">
        <v>0</v>
      </c>
      <c r="AS3673">
        <v>0</v>
      </c>
      <c r="AT3673">
        <v>0</v>
      </c>
    </row>
    <row r="3674" spans="1:46">
      <c r="A3674">
        <v>55215</v>
      </c>
      <c r="B3674" t="s">
        <v>20134</v>
      </c>
      <c r="C3674" t="s">
        <v>20135</v>
      </c>
      <c r="D3674" t="s">
        <v>20136</v>
      </c>
      <c r="E3674" t="s">
        <v>20137</v>
      </c>
      <c r="G3674" t="s">
        <v>2216</v>
      </c>
      <c r="H3674" t="s">
        <v>3942</v>
      </c>
      <c r="J3674" t="s">
        <v>3962</v>
      </c>
      <c r="K3674" t="s">
        <v>519</v>
      </c>
      <c r="M3674" t="s">
        <v>1297</v>
      </c>
      <c r="N3674" t="s">
        <v>571</v>
      </c>
      <c r="O3674" t="s">
        <v>2198</v>
      </c>
      <c r="P3674" t="s">
        <v>1262</v>
      </c>
      <c r="Q3674" t="s">
        <v>2118</v>
      </c>
      <c r="R3674" t="s">
        <v>2084</v>
      </c>
      <c r="S3674" t="s">
        <v>2199</v>
      </c>
      <c r="T3674" t="s">
        <v>2085</v>
      </c>
      <c r="U3674">
        <v>211600</v>
      </c>
      <c r="V3674" t="s">
        <v>8721</v>
      </c>
      <c r="W3674" t="s">
        <v>2200</v>
      </c>
      <c r="X3674" t="s">
        <v>20138</v>
      </c>
      <c r="Y3674" t="s">
        <v>20137</v>
      </c>
      <c r="AA3674" t="s">
        <v>14747</v>
      </c>
      <c r="AB3674" t="s">
        <v>20139</v>
      </c>
      <c r="AC3674">
        <v>99022</v>
      </c>
      <c r="AD3674" t="s">
        <v>2218</v>
      </c>
      <c r="AE3674">
        <v>-39.667859819999997</v>
      </c>
      <c r="AF3674">
        <v>176.87928239999999</v>
      </c>
      <c r="AG3674">
        <v>61</v>
      </c>
      <c r="AH3674">
        <v>16</v>
      </c>
      <c r="AI3674">
        <v>2</v>
      </c>
      <c r="AJ3674">
        <v>9</v>
      </c>
      <c r="AK3674">
        <v>11</v>
      </c>
      <c r="AL3674">
        <v>12</v>
      </c>
      <c r="AM3674">
        <v>17</v>
      </c>
      <c r="AN3674">
        <v>1</v>
      </c>
      <c r="AO3674">
        <v>52</v>
      </c>
      <c r="AP3674">
        <v>40</v>
      </c>
      <c r="AQ3674">
        <v>14</v>
      </c>
      <c r="AR3674">
        <v>0</v>
      </c>
      <c r="AS3674">
        <v>11</v>
      </c>
      <c r="AT3674">
        <v>1</v>
      </c>
    </row>
    <row r="3675" spans="1:46">
      <c r="A3675">
        <v>55216</v>
      </c>
      <c r="B3675" t="s">
        <v>20140</v>
      </c>
      <c r="C3675" t="s">
        <v>20141</v>
      </c>
      <c r="D3675" t="s">
        <v>20142</v>
      </c>
      <c r="E3675" t="s">
        <v>20143</v>
      </c>
      <c r="F3675" t="s">
        <v>20144</v>
      </c>
      <c r="G3675" t="s">
        <v>2081</v>
      </c>
      <c r="H3675" t="s">
        <v>517</v>
      </c>
      <c r="J3675" t="s">
        <v>518</v>
      </c>
      <c r="K3675" t="s">
        <v>519</v>
      </c>
      <c r="M3675" t="s">
        <v>1297</v>
      </c>
      <c r="N3675" t="s">
        <v>571</v>
      </c>
      <c r="O3675" t="s">
        <v>2082</v>
      </c>
      <c r="P3675" t="s">
        <v>572</v>
      </c>
      <c r="Q3675" t="s">
        <v>2083</v>
      </c>
      <c r="R3675" t="s">
        <v>2084</v>
      </c>
      <c r="S3675" t="s">
        <v>1473</v>
      </c>
      <c r="T3675" t="s">
        <v>2085</v>
      </c>
      <c r="U3675">
        <v>205401</v>
      </c>
      <c r="V3675" t="s">
        <v>20117</v>
      </c>
      <c r="W3675" t="s">
        <v>2087</v>
      </c>
      <c r="X3675" t="s">
        <v>2088</v>
      </c>
      <c r="Y3675" t="s">
        <v>2089</v>
      </c>
      <c r="AA3675" t="s">
        <v>2090</v>
      </c>
      <c r="AB3675" t="s">
        <v>2091</v>
      </c>
      <c r="AC3675">
        <v>99082</v>
      </c>
      <c r="AD3675" t="s">
        <v>2092</v>
      </c>
      <c r="AE3675">
        <v>-38.553142549999997</v>
      </c>
      <c r="AF3675">
        <v>177.91958898999999</v>
      </c>
      <c r="AG3675">
        <v>34</v>
      </c>
      <c r="AH3675">
        <v>4</v>
      </c>
      <c r="AI3675">
        <v>0</v>
      </c>
      <c r="AJ3675">
        <v>3</v>
      </c>
      <c r="AK3675">
        <v>9</v>
      </c>
      <c r="AL3675">
        <v>17</v>
      </c>
      <c r="AM3675">
        <v>16</v>
      </c>
      <c r="AN3675">
        <v>0</v>
      </c>
      <c r="AO3675">
        <v>45</v>
      </c>
      <c r="AP3675">
        <v>42</v>
      </c>
      <c r="AQ3675">
        <v>17</v>
      </c>
      <c r="AR3675">
        <v>3</v>
      </c>
      <c r="AS3675">
        <v>0</v>
      </c>
      <c r="AT3675">
        <v>0</v>
      </c>
    </row>
    <row r="3676" spans="1:46">
      <c r="A3676">
        <v>55217</v>
      </c>
      <c r="B3676" t="s">
        <v>20145</v>
      </c>
      <c r="C3676" t="s">
        <v>20146</v>
      </c>
      <c r="D3676" t="s">
        <v>20147</v>
      </c>
      <c r="E3676" t="s">
        <v>20148</v>
      </c>
      <c r="F3676" t="s">
        <v>9806</v>
      </c>
      <c r="G3676" t="s">
        <v>2081</v>
      </c>
      <c r="H3676" t="s">
        <v>3942</v>
      </c>
      <c r="J3676" t="s">
        <v>518</v>
      </c>
      <c r="K3676" t="s">
        <v>519</v>
      </c>
      <c r="M3676" t="s">
        <v>1297</v>
      </c>
      <c r="N3676" t="s">
        <v>557</v>
      </c>
      <c r="O3676" t="s">
        <v>2082</v>
      </c>
      <c r="P3676" t="s">
        <v>584</v>
      </c>
      <c r="Q3676" t="s">
        <v>2083</v>
      </c>
      <c r="R3676" t="s">
        <v>2084</v>
      </c>
      <c r="S3676" t="s">
        <v>1473</v>
      </c>
      <c r="T3676" t="s">
        <v>2085</v>
      </c>
      <c r="U3676">
        <v>205601</v>
      </c>
      <c r="V3676" t="s">
        <v>20149</v>
      </c>
      <c r="W3676" t="s">
        <v>2087</v>
      </c>
      <c r="X3676" t="s">
        <v>20150</v>
      </c>
      <c r="Y3676" t="s">
        <v>10506</v>
      </c>
      <c r="Z3676" t="s">
        <v>2081</v>
      </c>
      <c r="AA3676" t="s">
        <v>2090</v>
      </c>
      <c r="AB3676" t="s">
        <v>20151</v>
      </c>
      <c r="AE3676">
        <v>-38.667446900000002</v>
      </c>
      <c r="AF3676">
        <v>178.0095508</v>
      </c>
      <c r="AG3676">
        <v>40</v>
      </c>
      <c r="AH3676">
        <v>8</v>
      </c>
      <c r="AI3676">
        <v>2</v>
      </c>
      <c r="AJ3676">
        <v>9</v>
      </c>
      <c r="AK3676">
        <v>13</v>
      </c>
      <c r="AL3676">
        <v>12</v>
      </c>
      <c r="AM3676">
        <v>10</v>
      </c>
      <c r="AN3676">
        <v>1</v>
      </c>
      <c r="AO3676">
        <v>47</v>
      </c>
      <c r="AP3676">
        <v>40</v>
      </c>
      <c r="AQ3676">
        <v>24</v>
      </c>
      <c r="AR3676">
        <v>1</v>
      </c>
      <c r="AS3676">
        <v>0</v>
      </c>
      <c r="AT3676">
        <v>4</v>
      </c>
    </row>
    <row r="3677" spans="1:46">
      <c r="A3677">
        <v>55223</v>
      </c>
      <c r="B3677" t="s">
        <v>20152</v>
      </c>
      <c r="C3677" t="s">
        <v>20153</v>
      </c>
      <c r="D3677" t="s">
        <v>20154</v>
      </c>
      <c r="E3677" t="s">
        <v>20155</v>
      </c>
      <c r="F3677" t="s">
        <v>2080</v>
      </c>
      <c r="G3677" t="s">
        <v>2081</v>
      </c>
      <c r="H3677" t="s">
        <v>343</v>
      </c>
      <c r="J3677" t="s">
        <v>518</v>
      </c>
      <c r="K3677" t="s">
        <v>519</v>
      </c>
      <c r="L3677" t="s">
        <v>4205</v>
      </c>
      <c r="M3677" t="s">
        <v>1297</v>
      </c>
      <c r="N3677" t="s">
        <v>521</v>
      </c>
      <c r="O3677" t="s">
        <v>2082</v>
      </c>
      <c r="P3677" t="s">
        <v>584</v>
      </c>
      <c r="Q3677" t="s">
        <v>2083</v>
      </c>
      <c r="R3677" t="s">
        <v>2084</v>
      </c>
      <c r="S3677" t="s">
        <v>1473</v>
      </c>
      <c r="T3677" t="s">
        <v>2085</v>
      </c>
      <c r="U3677">
        <v>206000</v>
      </c>
      <c r="V3677" t="s">
        <v>2086</v>
      </c>
      <c r="W3677" t="s">
        <v>2087</v>
      </c>
      <c r="X3677" t="s">
        <v>18128</v>
      </c>
      <c r="Y3677" t="s">
        <v>4208</v>
      </c>
      <c r="Z3677" t="s">
        <v>4209</v>
      </c>
      <c r="AA3677" t="s">
        <v>4210</v>
      </c>
      <c r="AB3677" t="s">
        <v>18129</v>
      </c>
      <c r="AE3677">
        <v>-38.654626639999996</v>
      </c>
      <c r="AF3677">
        <v>177.99698197000001</v>
      </c>
      <c r="AG3677">
        <v>30</v>
      </c>
      <c r="AH3677">
        <v>10</v>
      </c>
      <c r="AI3677">
        <v>2</v>
      </c>
      <c r="AJ3677">
        <v>5</v>
      </c>
      <c r="AK3677">
        <v>5</v>
      </c>
      <c r="AL3677">
        <v>5</v>
      </c>
      <c r="AM3677">
        <v>4</v>
      </c>
      <c r="AN3677">
        <v>0</v>
      </c>
      <c r="AO3677">
        <v>21</v>
      </c>
      <c r="AP3677">
        <v>0</v>
      </c>
      <c r="AQ3677">
        <v>20</v>
      </c>
      <c r="AR3677">
        <v>0</v>
      </c>
      <c r="AS3677">
        <v>0</v>
      </c>
      <c r="AT3677">
        <v>1</v>
      </c>
    </row>
    <row r="3678" spans="1:46">
      <c r="A3678">
        <v>55224</v>
      </c>
      <c r="B3678" t="s">
        <v>20156</v>
      </c>
      <c r="C3678" t="s">
        <v>20157</v>
      </c>
      <c r="D3678" t="s">
        <v>20158</v>
      </c>
      <c r="E3678" t="s">
        <v>20159</v>
      </c>
      <c r="G3678" t="s">
        <v>2081</v>
      </c>
      <c r="H3678" t="s">
        <v>517</v>
      </c>
      <c r="J3678" t="s">
        <v>518</v>
      </c>
      <c r="K3678" t="s">
        <v>519</v>
      </c>
      <c r="M3678" t="s">
        <v>1297</v>
      </c>
      <c r="N3678" t="s">
        <v>571</v>
      </c>
      <c r="O3678" t="s">
        <v>2082</v>
      </c>
      <c r="P3678" t="s">
        <v>572</v>
      </c>
      <c r="Q3678" t="s">
        <v>2083</v>
      </c>
      <c r="R3678" t="s">
        <v>2084</v>
      </c>
      <c r="S3678" t="s">
        <v>1473</v>
      </c>
      <c r="T3678" t="s">
        <v>2085</v>
      </c>
      <c r="U3678">
        <v>205401</v>
      </c>
      <c r="V3678" t="s">
        <v>20117</v>
      </c>
      <c r="W3678" t="s">
        <v>2087</v>
      </c>
      <c r="X3678" t="s">
        <v>2088</v>
      </c>
      <c r="Y3678" t="s">
        <v>2089</v>
      </c>
      <c r="AA3678" t="s">
        <v>2090</v>
      </c>
      <c r="AB3678" t="s">
        <v>2091</v>
      </c>
      <c r="AC3678">
        <v>99082</v>
      </c>
      <c r="AD3678" t="s">
        <v>2092</v>
      </c>
      <c r="AE3678">
        <v>-38.624844760000002</v>
      </c>
      <c r="AF3678">
        <v>177.95701169</v>
      </c>
      <c r="AG3678">
        <v>40</v>
      </c>
      <c r="AH3678">
        <v>0</v>
      </c>
      <c r="AI3678">
        <v>0</v>
      </c>
      <c r="AJ3678">
        <v>0</v>
      </c>
      <c r="AK3678">
        <v>5</v>
      </c>
      <c r="AL3678">
        <v>18</v>
      </c>
      <c r="AM3678">
        <v>21</v>
      </c>
      <c r="AN3678">
        <v>3</v>
      </c>
      <c r="AO3678">
        <v>47</v>
      </c>
      <c r="AP3678">
        <v>40</v>
      </c>
      <c r="AQ3678">
        <v>10</v>
      </c>
      <c r="AR3678">
        <v>1</v>
      </c>
      <c r="AS3678">
        <v>5</v>
      </c>
      <c r="AT3678">
        <v>1</v>
      </c>
    </row>
    <row r="3679" spans="1:46">
      <c r="A3679">
        <v>55226</v>
      </c>
      <c r="B3679" t="s">
        <v>20160</v>
      </c>
      <c r="C3679" t="s">
        <v>20161</v>
      </c>
      <c r="D3679" t="s">
        <v>20162</v>
      </c>
      <c r="E3679" t="s">
        <v>20033</v>
      </c>
      <c r="F3679" t="s">
        <v>2175</v>
      </c>
      <c r="G3679" t="s">
        <v>2119</v>
      </c>
      <c r="H3679" t="s">
        <v>343</v>
      </c>
      <c r="J3679" t="s">
        <v>518</v>
      </c>
      <c r="K3679" t="s">
        <v>519</v>
      </c>
      <c r="L3679" t="s">
        <v>4205</v>
      </c>
      <c r="M3679" t="s">
        <v>1297</v>
      </c>
      <c r="N3679" t="s">
        <v>727</v>
      </c>
      <c r="O3679" t="s">
        <v>2131</v>
      </c>
      <c r="P3679" t="s">
        <v>584</v>
      </c>
      <c r="Q3679" t="s">
        <v>2118</v>
      </c>
      <c r="R3679" t="s">
        <v>2084</v>
      </c>
      <c r="S3679" t="s">
        <v>2119</v>
      </c>
      <c r="T3679" t="s">
        <v>2085</v>
      </c>
      <c r="U3679">
        <v>214900</v>
      </c>
      <c r="V3679" t="s">
        <v>2176</v>
      </c>
      <c r="W3679" t="s">
        <v>2140</v>
      </c>
      <c r="X3679" t="s">
        <v>8804</v>
      </c>
      <c r="Y3679" t="s">
        <v>4208</v>
      </c>
      <c r="Z3679" t="s">
        <v>4209</v>
      </c>
      <c r="AA3679" t="s">
        <v>4210</v>
      </c>
      <c r="AB3679" t="s">
        <v>8805</v>
      </c>
      <c r="AE3679">
        <v>-39.539803810000002</v>
      </c>
      <c r="AF3679">
        <v>176.85484360999999</v>
      </c>
      <c r="AG3679">
        <v>24</v>
      </c>
      <c r="AH3679">
        <v>4</v>
      </c>
      <c r="AI3679">
        <v>1</v>
      </c>
      <c r="AJ3679">
        <v>3</v>
      </c>
      <c r="AK3679">
        <v>6</v>
      </c>
      <c r="AL3679">
        <v>5</v>
      </c>
      <c r="AM3679">
        <v>7</v>
      </c>
      <c r="AN3679">
        <v>0</v>
      </c>
      <c r="AO3679">
        <v>22</v>
      </c>
      <c r="AP3679">
        <v>0</v>
      </c>
      <c r="AQ3679">
        <v>22</v>
      </c>
      <c r="AR3679">
        <v>0</v>
      </c>
      <c r="AS3679">
        <v>0</v>
      </c>
      <c r="AT3679">
        <v>0</v>
      </c>
    </row>
    <row r="3680" spans="1:46">
      <c r="A3680">
        <v>55233</v>
      </c>
      <c r="B3680" t="s">
        <v>20163</v>
      </c>
      <c r="C3680" t="s">
        <v>20164</v>
      </c>
      <c r="D3680" t="s">
        <v>20165</v>
      </c>
      <c r="E3680" t="s">
        <v>20166</v>
      </c>
      <c r="G3680" t="s">
        <v>20167</v>
      </c>
      <c r="H3680" t="s">
        <v>343</v>
      </c>
      <c r="J3680" t="s">
        <v>518</v>
      </c>
      <c r="K3680" t="s">
        <v>519</v>
      </c>
      <c r="L3680" t="s">
        <v>4205</v>
      </c>
      <c r="M3680" t="s">
        <v>1297</v>
      </c>
      <c r="N3680" t="s">
        <v>521</v>
      </c>
      <c r="O3680" t="s">
        <v>2117</v>
      </c>
      <c r="P3680" t="s">
        <v>572</v>
      </c>
      <c r="Q3680" t="s">
        <v>2118</v>
      </c>
      <c r="R3680" t="s">
        <v>2084</v>
      </c>
      <c r="S3680" t="s">
        <v>2119</v>
      </c>
      <c r="T3680" t="s">
        <v>2085</v>
      </c>
      <c r="U3680">
        <v>207900</v>
      </c>
      <c r="V3680" t="s">
        <v>20167</v>
      </c>
      <c r="W3680" t="s">
        <v>565</v>
      </c>
      <c r="X3680" t="s">
        <v>18128</v>
      </c>
      <c r="Y3680" t="s">
        <v>4208</v>
      </c>
      <c r="Z3680" t="s">
        <v>4209</v>
      </c>
      <c r="AA3680" t="s">
        <v>4210</v>
      </c>
      <c r="AB3680" t="s">
        <v>18129</v>
      </c>
      <c r="AE3680">
        <v>-39.0469212</v>
      </c>
      <c r="AF3680">
        <v>177.86557091</v>
      </c>
      <c r="AG3680">
        <v>20</v>
      </c>
      <c r="AH3680">
        <v>8</v>
      </c>
      <c r="AI3680">
        <v>0</v>
      </c>
      <c r="AJ3680">
        <v>3</v>
      </c>
      <c r="AK3680">
        <v>3</v>
      </c>
      <c r="AL3680">
        <v>7</v>
      </c>
      <c r="AM3680">
        <v>4</v>
      </c>
      <c r="AN3680">
        <v>0</v>
      </c>
      <c r="AO3680">
        <v>17</v>
      </c>
      <c r="AP3680">
        <v>0</v>
      </c>
      <c r="AQ3680">
        <v>17</v>
      </c>
      <c r="AR3680">
        <v>0</v>
      </c>
      <c r="AS3680">
        <v>0</v>
      </c>
      <c r="AT3680">
        <v>0</v>
      </c>
    </row>
    <row r="3681" spans="1:46">
      <c r="A3681">
        <v>55234</v>
      </c>
      <c r="B3681" t="s">
        <v>20168</v>
      </c>
      <c r="C3681" t="s">
        <v>20169</v>
      </c>
      <c r="D3681" t="s">
        <v>20170</v>
      </c>
      <c r="E3681" t="s">
        <v>20171</v>
      </c>
      <c r="F3681" t="s">
        <v>9007</v>
      </c>
      <c r="G3681" t="s">
        <v>2081</v>
      </c>
      <c r="H3681" t="s">
        <v>343</v>
      </c>
      <c r="J3681" t="s">
        <v>518</v>
      </c>
      <c r="K3681" t="s">
        <v>519</v>
      </c>
      <c r="L3681" t="s">
        <v>4205</v>
      </c>
      <c r="M3681" t="s">
        <v>1297</v>
      </c>
      <c r="N3681" t="s">
        <v>727</v>
      </c>
      <c r="O3681" t="s">
        <v>2082</v>
      </c>
      <c r="P3681" t="s">
        <v>584</v>
      </c>
      <c r="Q3681" t="s">
        <v>2083</v>
      </c>
      <c r="R3681" t="s">
        <v>2084</v>
      </c>
      <c r="S3681" t="s">
        <v>1473</v>
      </c>
      <c r="T3681" t="s">
        <v>2085</v>
      </c>
      <c r="U3681">
        <v>206400</v>
      </c>
      <c r="V3681" t="s">
        <v>15817</v>
      </c>
      <c r="W3681" t="s">
        <v>2087</v>
      </c>
      <c r="X3681" t="s">
        <v>18128</v>
      </c>
      <c r="Y3681" t="s">
        <v>4208</v>
      </c>
      <c r="Z3681" t="s">
        <v>4209</v>
      </c>
      <c r="AA3681" t="s">
        <v>4210</v>
      </c>
      <c r="AB3681" t="s">
        <v>18129</v>
      </c>
      <c r="AE3681">
        <v>-38.658450440000003</v>
      </c>
      <c r="AF3681">
        <v>178.0177367</v>
      </c>
      <c r="AG3681">
        <v>70</v>
      </c>
      <c r="AH3681">
        <v>30</v>
      </c>
      <c r="AI3681">
        <v>3</v>
      </c>
      <c r="AJ3681">
        <v>14</v>
      </c>
      <c r="AK3681">
        <v>12</v>
      </c>
      <c r="AL3681">
        <v>13</v>
      </c>
      <c r="AM3681">
        <v>6</v>
      </c>
      <c r="AN3681">
        <v>0</v>
      </c>
      <c r="AO3681">
        <v>48</v>
      </c>
      <c r="AP3681">
        <v>0</v>
      </c>
      <c r="AQ3681">
        <v>48</v>
      </c>
      <c r="AR3681">
        <v>0</v>
      </c>
      <c r="AS3681">
        <v>0</v>
      </c>
      <c r="AT3681">
        <v>0</v>
      </c>
    </row>
    <row r="3682" spans="1:46">
      <c r="A3682">
        <v>55238</v>
      </c>
      <c r="B3682" t="s">
        <v>20172</v>
      </c>
      <c r="C3682" t="s">
        <v>20173</v>
      </c>
      <c r="D3682" t="s">
        <v>20174</v>
      </c>
      <c r="E3682" t="s">
        <v>20175</v>
      </c>
      <c r="G3682" t="s">
        <v>20176</v>
      </c>
      <c r="H3682" t="s">
        <v>343</v>
      </c>
      <c r="J3682" t="s">
        <v>518</v>
      </c>
      <c r="K3682" t="s">
        <v>519</v>
      </c>
      <c r="L3682" t="s">
        <v>4205</v>
      </c>
      <c r="M3682" t="s">
        <v>1297</v>
      </c>
      <c r="N3682" t="s">
        <v>521</v>
      </c>
      <c r="O3682" t="s">
        <v>2117</v>
      </c>
      <c r="P3682" t="s">
        <v>572</v>
      </c>
      <c r="Q3682" t="s">
        <v>2118</v>
      </c>
      <c r="R3682" t="s">
        <v>2084</v>
      </c>
      <c r="S3682" t="s">
        <v>2119</v>
      </c>
      <c r="T3682" t="s">
        <v>2085</v>
      </c>
      <c r="U3682">
        <v>207700</v>
      </c>
      <c r="V3682" t="s">
        <v>20094</v>
      </c>
      <c r="W3682" t="s">
        <v>565</v>
      </c>
      <c r="X3682" t="s">
        <v>19889</v>
      </c>
      <c r="Y3682" t="s">
        <v>4208</v>
      </c>
      <c r="Z3682" t="s">
        <v>4209</v>
      </c>
      <c r="AA3682" t="s">
        <v>4210</v>
      </c>
      <c r="AB3682" t="s">
        <v>8805</v>
      </c>
      <c r="AE3682">
        <v>-39.013049430000002</v>
      </c>
      <c r="AF3682">
        <v>177.41342646999999</v>
      </c>
      <c r="AG3682">
        <v>20</v>
      </c>
      <c r="AH3682">
        <v>8</v>
      </c>
      <c r="AI3682">
        <v>2</v>
      </c>
      <c r="AJ3682">
        <v>4</v>
      </c>
      <c r="AK3682">
        <v>4</v>
      </c>
      <c r="AL3682">
        <v>2</v>
      </c>
      <c r="AM3682">
        <v>1</v>
      </c>
      <c r="AN3682">
        <v>0</v>
      </c>
      <c r="AO3682">
        <v>13</v>
      </c>
      <c r="AP3682">
        <v>0</v>
      </c>
      <c r="AQ3682">
        <v>13</v>
      </c>
      <c r="AR3682">
        <v>0</v>
      </c>
      <c r="AS3682">
        <v>0</v>
      </c>
      <c r="AT3682">
        <v>0</v>
      </c>
    </row>
    <row r="3683" spans="1:46">
      <c r="A3683">
        <v>55239</v>
      </c>
      <c r="B3683" t="s">
        <v>10550</v>
      </c>
      <c r="C3683" t="s">
        <v>20177</v>
      </c>
      <c r="D3683" t="s">
        <v>20178</v>
      </c>
      <c r="E3683" t="s">
        <v>20179</v>
      </c>
      <c r="G3683" t="s">
        <v>2116</v>
      </c>
      <c r="H3683" t="s">
        <v>343</v>
      </c>
      <c r="J3683" t="s">
        <v>518</v>
      </c>
      <c r="K3683" t="s">
        <v>519</v>
      </c>
      <c r="L3683" t="s">
        <v>4205</v>
      </c>
      <c r="M3683" t="s">
        <v>1297</v>
      </c>
      <c r="N3683" t="s">
        <v>727</v>
      </c>
      <c r="O3683" t="s">
        <v>2117</v>
      </c>
      <c r="P3683" t="s">
        <v>523</v>
      </c>
      <c r="Q3683" t="s">
        <v>2118</v>
      </c>
      <c r="R3683" t="s">
        <v>2084</v>
      </c>
      <c r="S3683" t="s">
        <v>2119</v>
      </c>
      <c r="T3683" t="s">
        <v>2085</v>
      </c>
      <c r="U3683">
        <v>207800</v>
      </c>
      <c r="V3683" t="s">
        <v>2116</v>
      </c>
      <c r="W3683" t="s">
        <v>565</v>
      </c>
      <c r="X3683" t="s">
        <v>19889</v>
      </c>
      <c r="Y3683" t="s">
        <v>4208</v>
      </c>
      <c r="Z3683" t="s">
        <v>4209</v>
      </c>
      <c r="AA3683" t="s">
        <v>4210</v>
      </c>
      <c r="AB3683" t="s">
        <v>8805</v>
      </c>
      <c r="AE3683">
        <v>-39.041492820000002</v>
      </c>
      <c r="AF3683">
        <v>177.42111639000001</v>
      </c>
      <c r="AG3683">
        <v>20</v>
      </c>
      <c r="AH3683">
        <v>8</v>
      </c>
      <c r="AI3683">
        <v>0</v>
      </c>
      <c r="AJ3683">
        <v>1</v>
      </c>
      <c r="AK3683">
        <v>3</v>
      </c>
      <c r="AL3683">
        <v>2</v>
      </c>
      <c r="AM3683">
        <v>5</v>
      </c>
      <c r="AN3683">
        <v>0</v>
      </c>
      <c r="AO3683">
        <v>11</v>
      </c>
      <c r="AP3683">
        <v>0</v>
      </c>
      <c r="AQ3683">
        <v>11</v>
      </c>
      <c r="AR3683">
        <v>0</v>
      </c>
      <c r="AS3683">
        <v>0</v>
      </c>
      <c r="AT3683">
        <v>0</v>
      </c>
    </row>
    <row r="3684" spans="1:46">
      <c r="A3684">
        <v>55240</v>
      </c>
      <c r="B3684" t="s">
        <v>20180</v>
      </c>
      <c r="C3684" t="s">
        <v>20181</v>
      </c>
      <c r="D3684" t="s">
        <v>20182</v>
      </c>
      <c r="E3684" t="s">
        <v>20183</v>
      </c>
      <c r="G3684" t="s">
        <v>2116</v>
      </c>
      <c r="H3684" t="s">
        <v>343</v>
      </c>
      <c r="J3684" t="s">
        <v>518</v>
      </c>
      <c r="K3684" t="s">
        <v>519</v>
      </c>
      <c r="L3684" t="s">
        <v>4205</v>
      </c>
      <c r="M3684" t="s">
        <v>1297</v>
      </c>
      <c r="N3684" t="s">
        <v>521</v>
      </c>
      <c r="O3684" t="s">
        <v>2117</v>
      </c>
      <c r="P3684" t="s">
        <v>523</v>
      </c>
      <c r="Q3684" t="s">
        <v>2118</v>
      </c>
      <c r="R3684" t="s">
        <v>2084</v>
      </c>
      <c r="S3684" t="s">
        <v>2119</v>
      </c>
      <c r="T3684" t="s">
        <v>2085</v>
      </c>
      <c r="U3684">
        <v>207800</v>
      </c>
      <c r="V3684" t="s">
        <v>2116</v>
      </c>
      <c r="W3684" t="s">
        <v>565</v>
      </c>
      <c r="X3684" t="s">
        <v>19889</v>
      </c>
      <c r="Y3684" t="s">
        <v>4208</v>
      </c>
      <c r="Z3684" t="s">
        <v>4209</v>
      </c>
      <c r="AA3684" t="s">
        <v>4210</v>
      </c>
      <c r="AB3684" t="s">
        <v>8805</v>
      </c>
      <c r="AE3684">
        <v>-39.040184009999997</v>
      </c>
      <c r="AF3684">
        <v>177.42949146999999</v>
      </c>
      <c r="AG3684">
        <v>16</v>
      </c>
      <c r="AH3684">
        <v>6</v>
      </c>
      <c r="AI3684">
        <v>1</v>
      </c>
      <c r="AJ3684">
        <v>3</v>
      </c>
      <c r="AK3684">
        <v>6</v>
      </c>
      <c r="AL3684">
        <v>2</v>
      </c>
      <c r="AM3684">
        <v>0</v>
      </c>
      <c r="AN3684">
        <v>0</v>
      </c>
      <c r="AO3684">
        <v>12</v>
      </c>
      <c r="AP3684">
        <v>0</v>
      </c>
      <c r="AQ3684">
        <v>12</v>
      </c>
      <c r="AR3684">
        <v>0</v>
      </c>
      <c r="AS3684">
        <v>0</v>
      </c>
      <c r="AT3684">
        <v>0</v>
      </c>
    </row>
    <row r="3685" spans="1:46">
      <c r="A3685">
        <v>55254</v>
      </c>
      <c r="B3685" t="s">
        <v>20184</v>
      </c>
      <c r="C3685" t="s">
        <v>20139</v>
      </c>
      <c r="D3685" t="s">
        <v>11780</v>
      </c>
      <c r="E3685" t="s">
        <v>11781</v>
      </c>
      <c r="F3685" t="s">
        <v>2156</v>
      </c>
      <c r="G3685" t="s">
        <v>2119</v>
      </c>
      <c r="H3685" t="s">
        <v>3942</v>
      </c>
      <c r="J3685" t="s">
        <v>3962</v>
      </c>
      <c r="K3685" t="s">
        <v>519</v>
      </c>
      <c r="M3685" t="s">
        <v>1297</v>
      </c>
      <c r="N3685" t="s">
        <v>557</v>
      </c>
      <c r="O3685" t="s">
        <v>2131</v>
      </c>
      <c r="P3685" t="s">
        <v>584</v>
      </c>
      <c r="Q3685" t="s">
        <v>2118</v>
      </c>
      <c r="R3685" t="s">
        <v>2084</v>
      </c>
      <c r="S3685" t="s">
        <v>2119</v>
      </c>
      <c r="T3685" t="s">
        <v>2085</v>
      </c>
      <c r="U3685">
        <v>212800</v>
      </c>
      <c r="V3685" t="s">
        <v>11782</v>
      </c>
      <c r="W3685" t="s">
        <v>2163</v>
      </c>
      <c r="X3685" t="s">
        <v>11783</v>
      </c>
      <c r="Y3685" t="s">
        <v>11784</v>
      </c>
      <c r="AA3685" t="s">
        <v>8791</v>
      </c>
      <c r="AB3685" t="s">
        <v>11785</v>
      </c>
      <c r="AE3685">
        <v>-39.504913870000003</v>
      </c>
      <c r="AF3685">
        <v>176.88155140999999</v>
      </c>
      <c r="AG3685">
        <v>120</v>
      </c>
      <c r="AH3685">
        <v>32</v>
      </c>
      <c r="AI3685">
        <v>6</v>
      </c>
      <c r="AJ3685">
        <v>15</v>
      </c>
      <c r="AK3685">
        <v>27</v>
      </c>
      <c r="AL3685">
        <v>28</v>
      </c>
      <c r="AM3685">
        <v>26</v>
      </c>
      <c r="AN3685">
        <v>0</v>
      </c>
      <c r="AO3685">
        <v>102</v>
      </c>
      <c r="AP3685">
        <v>83</v>
      </c>
      <c r="AQ3685">
        <v>37</v>
      </c>
      <c r="AR3685">
        <v>5</v>
      </c>
      <c r="AS3685">
        <v>9</v>
      </c>
      <c r="AT3685">
        <v>0</v>
      </c>
    </row>
    <row r="3686" spans="1:46">
      <c r="A3686">
        <v>55255</v>
      </c>
      <c r="B3686" t="s">
        <v>20185</v>
      </c>
      <c r="C3686" t="s">
        <v>20186</v>
      </c>
      <c r="D3686" t="s">
        <v>20187</v>
      </c>
      <c r="E3686" t="s">
        <v>20188</v>
      </c>
      <c r="G3686" t="s">
        <v>2116</v>
      </c>
      <c r="H3686" t="s">
        <v>343</v>
      </c>
      <c r="J3686" t="s">
        <v>518</v>
      </c>
      <c r="K3686" t="s">
        <v>519</v>
      </c>
      <c r="L3686" t="s">
        <v>4205</v>
      </c>
      <c r="M3686" t="s">
        <v>1297</v>
      </c>
      <c r="N3686" t="s">
        <v>727</v>
      </c>
      <c r="O3686" t="s">
        <v>2117</v>
      </c>
      <c r="P3686" t="s">
        <v>572</v>
      </c>
      <c r="Q3686" t="s">
        <v>2118</v>
      </c>
      <c r="R3686" t="s">
        <v>2084</v>
      </c>
      <c r="S3686" t="s">
        <v>2119</v>
      </c>
      <c r="T3686" t="s">
        <v>2085</v>
      </c>
      <c r="U3686">
        <v>207700</v>
      </c>
      <c r="V3686" t="s">
        <v>20094</v>
      </c>
      <c r="W3686" t="s">
        <v>565</v>
      </c>
      <c r="X3686" t="s">
        <v>19889</v>
      </c>
      <c r="Y3686" t="s">
        <v>4208</v>
      </c>
      <c r="Z3686" t="s">
        <v>4209</v>
      </c>
      <c r="AA3686" t="s">
        <v>4210</v>
      </c>
      <c r="AB3686" t="s">
        <v>8805</v>
      </c>
      <c r="AE3686">
        <v>-39.029775469999997</v>
      </c>
      <c r="AF3686">
        <v>177.40894745</v>
      </c>
      <c r="AG3686">
        <v>22</v>
      </c>
      <c r="AH3686">
        <v>8</v>
      </c>
    </row>
    <row r="3687" spans="1:46">
      <c r="A3687">
        <v>55256</v>
      </c>
      <c r="B3687" t="s">
        <v>20189</v>
      </c>
      <c r="C3687" t="s">
        <v>20190</v>
      </c>
      <c r="D3687" t="s">
        <v>20191</v>
      </c>
      <c r="E3687" t="s">
        <v>20192</v>
      </c>
      <c r="F3687" t="s">
        <v>2223</v>
      </c>
      <c r="G3687" t="s">
        <v>2197</v>
      </c>
      <c r="H3687" t="s">
        <v>343</v>
      </c>
      <c r="J3687" t="s">
        <v>518</v>
      </c>
      <c r="K3687" t="s">
        <v>519</v>
      </c>
      <c r="L3687" t="s">
        <v>4205</v>
      </c>
      <c r="M3687" t="s">
        <v>1297</v>
      </c>
      <c r="N3687" t="s">
        <v>727</v>
      </c>
      <c r="O3687" t="s">
        <v>2198</v>
      </c>
      <c r="P3687" t="s">
        <v>584</v>
      </c>
      <c r="Q3687" t="s">
        <v>2118</v>
      </c>
      <c r="R3687" t="s">
        <v>2084</v>
      </c>
      <c r="S3687" t="s">
        <v>2199</v>
      </c>
      <c r="T3687" t="s">
        <v>2085</v>
      </c>
      <c r="U3687">
        <v>209100</v>
      </c>
      <c r="V3687" t="s">
        <v>2235</v>
      </c>
      <c r="W3687" t="s">
        <v>2225</v>
      </c>
      <c r="X3687" t="s">
        <v>19889</v>
      </c>
      <c r="Y3687" t="s">
        <v>4208</v>
      </c>
      <c r="Z3687" t="s">
        <v>4209</v>
      </c>
      <c r="AA3687" t="s">
        <v>4210</v>
      </c>
      <c r="AB3687" t="s">
        <v>8805</v>
      </c>
      <c r="AE3687">
        <v>-39.624819449999997</v>
      </c>
      <c r="AF3687">
        <v>176.78539339</v>
      </c>
      <c r="AG3687">
        <v>25</v>
      </c>
      <c r="AH3687">
        <v>8</v>
      </c>
      <c r="AI3687">
        <v>0</v>
      </c>
      <c r="AJ3687">
        <v>7</v>
      </c>
      <c r="AK3687">
        <v>5</v>
      </c>
      <c r="AL3687">
        <v>5</v>
      </c>
      <c r="AM3687">
        <v>6</v>
      </c>
      <c r="AN3687">
        <v>0</v>
      </c>
      <c r="AO3687">
        <v>23</v>
      </c>
      <c r="AP3687">
        <v>0</v>
      </c>
      <c r="AQ3687">
        <v>21</v>
      </c>
      <c r="AR3687">
        <v>2</v>
      </c>
      <c r="AS3687">
        <v>0</v>
      </c>
      <c r="AT3687">
        <v>0</v>
      </c>
    </row>
    <row r="3688" spans="1:46">
      <c r="A3688">
        <v>55257</v>
      </c>
      <c r="B3688" t="s">
        <v>20193</v>
      </c>
      <c r="C3688" t="s">
        <v>20194</v>
      </c>
      <c r="D3688" t="s">
        <v>20195</v>
      </c>
      <c r="E3688" t="s">
        <v>20196</v>
      </c>
      <c r="F3688" t="s">
        <v>2080</v>
      </c>
      <c r="G3688" t="s">
        <v>2081</v>
      </c>
      <c r="H3688" t="s">
        <v>343</v>
      </c>
      <c r="J3688" t="s">
        <v>518</v>
      </c>
      <c r="K3688" t="s">
        <v>519</v>
      </c>
      <c r="L3688" t="s">
        <v>4205</v>
      </c>
      <c r="M3688" t="s">
        <v>1297</v>
      </c>
      <c r="N3688" t="s">
        <v>727</v>
      </c>
      <c r="O3688" t="s">
        <v>2082</v>
      </c>
      <c r="P3688" t="s">
        <v>584</v>
      </c>
      <c r="Q3688" t="s">
        <v>2083</v>
      </c>
      <c r="R3688" t="s">
        <v>2084</v>
      </c>
      <c r="S3688" t="s">
        <v>1473</v>
      </c>
      <c r="T3688" t="s">
        <v>2085</v>
      </c>
      <c r="U3688">
        <v>206500</v>
      </c>
      <c r="V3688" t="s">
        <v>19684</v>
      </c>
      <c r="W3688" t="s">
        <v>2087</v>
      </c>
      <c r="X3688" t="s">
        <v>18128</v>
      </c>
      <c r="Y3688" t="s">
        <v>4208</v>
      </c>
      <c r="Z3688" t="s">
        <v>4209</v>
      </c>
      <c r="AA3688" t="s">
        <v>4210</v>
      </c>
      <c r="AB3688" t="s">
        <v>18129</v>
      </c>
      <c r="AE3688">
        <v>-38.659593049999998</v>
      </c>
      <c r="AF3688">
        <v>178.00187317999999</v>
      </c>
      <c r="AG3688">
        <v>93</v>
      </c>
      <c r="AH3688">
        <v>20</v>
      </c>
      <c r="AI3688">
        <v>1</v>
      </c>
      <c r="AJ3688">
        <v>11</v>
      </c>
      <c r="AK3688">
        <v>12</v>
      </c>
      <c r="AL3688">
        <v>18</v>
      </c>
      <c r="AM3688">
        <v>16</v>
      </c>
      <c r="AN3688">
        <v>0</v>
      </c>
      <c r="AO3688">
        <v>58</v>
      </c>
      <c r="AP3688">
        <v>0</v>
      </c>
      <c r="AQ3688">
        <v>58</v>
      </c>
      <c r="AR3688">
        <v>0</v>
      </c>
      <c r="AS3688">
        <v>0</v>
      </c>
      <c r="AT3688">
        <v>0</v>
      </c>
    </row>
    <row r="3689" spans="1:46">
      <c r="A3689">
        <v>55258</v>
      </c>
      <c r="B3689" t="s">
        <v>20197</v>
      </c>
      <c r="C3689" t="s">
        <v>20198</v>
      </c>
      <c r="D3689" t="s">
        <v>20199</v>
      </c>
      <c r="E3689" t="s">
        <v>20200</v>
      </c>
      <c r="G3689" t="s">
        <v>20201</v>
      </c>
      <c r="H3689" t="s">
        <v>343</v>
      </c>
      <c r="J3689" t="s">
        <v>518</v>
      </c>
      <c r="K3689" t="s">
        <v>519</v>
      </c>
      <c r="L3689" t="s">
        <v>4205</v>
      </c>
      <c r="M3689" t="s">
        <v>1297</v>
      </c>
      <c r="N3689" t="s">
        <v>521</v>
      </c>
      <c r="O3689" t="s">
        <v>2117</v>
      </c>
      <c r="P3689" t="s">
        <v>572</v>
      </c>
      <c r="Q3689" t="s">
        <v>2118</v>
      </c>
      <c r="R3689" t="s">
        <v>2084</v>
      </c>
      <c r="S3689" t="s">
        <v>2119</v>
      </c>
      <c r="T3689" t="s">
        <v>2085</v>
      </c>
      <c r="U3689">
        <v>207900</v>
      </c>
      <c r="V3689" t="s">
        <v>20167</v>
      </c>
      <c r="W3689" t="s">
        <v>565</v>
      </c>
      <c r="X3689" t="s">
        <v>8804</v>
      </c>
      <c r="Y3689" t="s">
        <v>4208</v>
      </c>
      <c r="Z3689" t="s">
        <v>4209</v>
      </c>
      <c r="AA3689" t="s">
        <v>4210</v>
      </c>
      <c r="AB3689" t="s">
        <v>8805</v>
      </c>
      <c r="AE3689">
        <v>-39.07100793</v>
      </c>
      <c r="AF3689">
        <v>177.82447341</v>
      </c>
      <c r="AG3689">
        <v>20</v>
      </c>
      <c r="AH3689">
        <v>6</v>
      </c>
      <c r="AI3689">
        <v>0</v>
      </c>
      <c r="AJ3689">
        <v>5</v>
      </c>
      <c r="AK3689">
        <v>3</v>
      </c>
      <c r="AL3689">
        <v>5</v>
      </c>
      <c r="AM3689">
        <v>3</v>
      </c>
      <c r="AN3689">
        <v>0</v>
      </c>
      <c r="AO3689">
        <v>16</v>
      </c>
      <c r="AP3689">
        <v>0</v>
      </c>
      <c r="AQ3689">
        <v>14</v>
      </c>
      <c r="AR3689">
        <v>0</v>
      </c>
      <c r="AS3689">
        <v>0</v>
      </c>
      <c r="AT3689">
        <v>2</v>
      </c>
    </row>
    <row r="3690" spans="1:46">
      <c r="A3690">
        <v>55260</v>
      </c>
      <c r="B3690" t="s">
        <v>20202</v>
      </c>
      <c r="C3690" t="s">
        <v>20203</v>
      </c>
      <c r="D3690" t="s">
        <v>20204</v>
      </c>
      <c r="E3690" t="s">
        <v>20205</v>
      </c>
      <c r="F3690" t="s">
        <v>2223</v>
      </c>
      <c r="G3690" t="s">
        <v>2197</v>
      </c>
      <c r="H3690" t="s">
        <v>343</v>
      </c>
      <c r="J3690" t="s">
        <v>518</v>
      </c>
      <c r="K3690" t="s">
        <v>519</v>
      </c>
      <c r="L3690" t="s">
        <v>4205</v>
      </c>
      <c r="M3690" t="s">
        <v>1297</v>
      </c>
      <c r="N3690" t="s">
        <v>727</v>
      </c>
      <c r="O3690" t="s">
        <v>2198</v>
      </c>
      <c r="P3690" t="s">
        <v>584</v>
      </c>
      <c r="Q3690" t="s">
        <v>2118</v>
      </c>
      <c r="R3690" t="s">
        <v>2084</v>
      </c>
      <c r="S3690" t="s">
        <v>2199</v>
      </c>
      <c r="T3690" t="s">
        <v>2085</v>
      </c>
      <c r="U3690">
        <v>209000</v>
      </c>
      <c r="V3690" t="s">
        <v>2224</v>
      </c>
      <c r="W3690" t="s">
        <v>2225</v>
      </c>
      <c r="X3690" t="s">
        <v>19889</v>
      </c>
      <c r="Y3690" t="s">
        <v>4208</v>
      </c>
      <c r="Z3690" t="s">
        <v>4209</v>
      </c>
      <c r="AA3690" t="s">
        <v>4210</v>
      </c>
      <c r="AB3690" t="s">
        <v>8805</v>
      </c>
      <c r="AE3690">
        <v>-39.617410390000003</v>
      </c>
      <c r="AF3690">
        <v>176.78851177000001</v>
      </c>
      <c r="AG3690">
        <v>23</v>
      </c>
      <c r="AH3690">
        <v>8</v>
      </c>
      <c r="AI3690">
        <v>1</v>
      </c>
      <c r="AJ3690">
        <v>1</v>
      </c>
      <c r="AK3690">
        <v>10</v>
      </c>
      <c r="AL3690">
        <v>5</v>
      </c>
      <c r="AM3690">
        <v>2</v>
      </c>
      <c r="AN3690">
        <v>0</v>
      </c>
      <c r="AO3690">
        <v>19</v>
      </c>
      <c r="AP3690">
        <v>0</v>
      </c>
      <c r="AQ3690">
        <v>19</v>
      </c>
      <c r="AR3690">
        <v>0</v>
      </c>
      <c r="AS3690">
        <v>0</v>
      </c>
      <c r="AT3690">
        <v>0</v>
      </c>
    </row>
    <row r="3691" spans="1:46">
      <c r="A3691">
        <v>55261</v>
      </c>
      <c r="B3691" t="s">
        <v>20206</v>
      </c>
      <c r="C3691" t="s">
        <v>20207</v>
      </c>
      <c r="D3691" t="s">
        <v>20208</v>
      </c>
      <c r="E3691" t="s">
        <v>20209</v>
      </c>
      <c r="F3691" t="s">
        <v>2122</v>
      </c>
      <c r="G3691" t="s">
        <v>2119</v>
      </c>
      <c r="H3691" t="s">
        <v>343</v>
      </c>
      <c r="J3691" t="s">
        <v>518</v>
      </c>
      <c r="K3691" t="s">
        <v>519</v>
      </c>
      <c r="L3691" t="s">
        <v>4205</v>
      </c>
      <c r="M3691" t="s">
        <v>1297</v>
      </c>
      <c r="N3691" t="s">
        <v>727</v>
      </c>
      <c r="O3691" t="s">
        <v>2131</v>
      </c>
      <c r="P3691" t="s">
        <v>584</v>
      </c>
      <c r="Q3691" t="s">
        <v>2118</v>
      </c>
      <c r="R3691" t="s">
        <v>2084</v>
      </c>
      <c r="S3691" t="s">
        <v>2119</v>
      </c>
      <c r="T3691" t="s">
        <v>2085</v>
      </c>
      <c r="U3691">
        <v>214800</v>
      </c>
      <c r="V3691" t="s">
        <v>2157</v>
      </c>
      <c r="W3691" t="s">
        <v>2132</v>
      </c>
      <c r="X3691" t="s">
        <v>19889</v>
      </c>
      <c r="Y3691" t="s">
        <v>4208</v>
      </c>
      <c r="Z3691" t="s">
        <v>4209</v>
      </c>
      <c r="AA3691" t="s">
        <v>4210</v>
      </c>
      <c r="AB3691" t="s">
        <v>8805</v>
      </c>
      <c r="AE3691">
        <v>-39.509094699999999</v>
      </c>
      <c r="AF3691">
        <v>176.89987951000001</v>
      </c>
      <c r="AG3691">
        <v>20</v>
      </c>
      <c r="AH3691">
        <v>0</v>
      </c>
      <c r="AI3691">
        <v>0</v>
      </c>
      <c r="AJ3691">
        <v>2</v>
      </c>
      <c r="AK3691">
        <v>4</v>
      </c>
      <c r="AL3691">
        <v>5</v>
      </c>
      <c r="AM3691">
        <v>2</v>
      </c>
      <c r="AN3691">
        <v>0</v>
      </c>
      <c r="AO3691">
        <v>13</v>
      </c>
      <c r="AP3691">
        <v>0</v>
      </c>
      <c r="AQ3691">
        <v>12</v>
      </c>
      <c r="AR3691">
        <v>0</v>
      </c>
      <c r="AS3691">
        <v>0</v>
      </c>
      <c r="AT3691">
        <v>1</v>
      </c>
    </row>
    <row r="3692" spans="1:46">
      <c r="A3692">
        <v>55267</v>
      </c>
      <c r="B3692" t="s">
        <v>20210</v>
      </c>
      <c r="C3692" t="s">
        <v>20211</v>
      </c>
      <c r="D3692" t="s">
        <v>20212</v>
      </c>
      <c r="E3692" t="s">
        <v>20213</v>
      </c>
      <c r="F3692" t="s">
        <v>2156</v>
      </c>
      <c r="G3692" t="s">
        <v>2119</v>
      </c>
      <c r="H3692" t="s">
        <v>343</v>
      </c>
      <c r="J3692" t="s">
        <v>518</v>
      </c>
      <c r="K3692" t="s">
        <v>519</v>
      </c>
      <c r="L3692" t="s">
        <v>4205</v>
      </c>
      <c r="M3692" t="s">
        <v>1297</v>
      </c>
      <c r="N3692" t="s">
        <v>521</v>
      </c>
      <c r="O3692" t="s">
        <v>2131</v>
      </c>
      <c r="P3692" t="s">
        <v>584</v>
      </c>
      <c r="Q3692" t="s">
        <v>2118</v>
      </c>
      <c r="R3692" t="s">
        <v>2084</v>
      </c>
      <c r="S3692" t="s">
        <v>2119</v>
      </c>
      <c r="T3692" t="s">
        <v>2085</v>
      </c>
      <c r="U3692">
        <v>214800</v>
      </c>
      <c r="V3692" t="s">
        <v>2157</v>
      </c>
      <c r="W3692" t="s">
        <v>2132</v>
      </c>
      <c r="X3692" t="s">
        <v>20214</v>
      </c>
      <c r="Y3692" t="s">
        <v>4208</v>
      </c>
      <c r="Z3692" t="s">
        <v>4209</v>
      </c>
      <c r="AA3692" t="s">
        <v>4210</v>
      </c>
      <c r="AB3692" t="s">
        <v>20215</v>
      </c>
      <c r="AE3692">
        <v>-39.510284220000003</v>
      </c>
      <c r="AF3692">
        <v>176.89184653000001</v>
      </c>
      <c r="AG3692">
        <v>32</v>
      </c>
      <c r="AH3692">
        <v>9</v>
      </c>
      <c r="AI3692">
        <v>0</v>
      </c>
      <c r="AJ3692">
        <v>7</v>
      </c>
      <c r="AK3692">
        <v>8</v>
      </c>
      <c r="AL3692">
        <v>7</v>
      </c>
      <c r="AM3692">
        <v>4</v>
      </c>
      <c r="AN3692">
        <v>0</v>
      </c>
      <c r="AO3692">
        <v>26</v>
      </c>
      <c r="AP3692">
        <v>0</v>
      </c>
      <c r="AQ3692">
        <v>24</v>
      </c>
      <c r="AR3692">
        <v>2</v>
      </c>
      <c r="AS3692">
        <v>0</v>
      </c>
      <c r="AT3692">
        <v>0</v>
      </c>
    </row>
    <row r="3693" spans="1:46">
      <c r="A3693">
        <v>55269</v>
      </c>
      <c r="B3693" t="s">
        <v>20216</v>
      </c>
      <c r="C3693" t="s">
        <v>20217</v>
      </c>
      <c r="D3693" t="s">
        <v>20218</v>
      </c>
      <c r="E3693" t="s">
        <v>20219</v>
      </c>
      <c r="F3693" t="s">
        <v>2122</v>
      </c>
      <c r="G3693" t="s">
        <v>2119</v>
      </c>
      <c r="H3693" t="s">
        <v>343</v>
      </c>
      <c r="J3693" t="s">
        <v>518</v>
      </c>
      <c r="K3693" t="s">
        <v>519</v>
      </c>
      <c r="L3693" t="s">
        <v>4205</v>
      </c>
      <c r="M3693" t="s">
        <v>1297</v>
      </c>
      <c r="N3693" t="s">
        <v>727</v>
      </c>
      <c r="O3693" t="s">
        <v>2131</v>
      </c>
      <c r="P3693" t="s">
        <v>584</v>
      </c>
      <c r="Q3693" t="s">
        <v>2118</v>
      </c>
      <c r="R3693" t="s">
        <v>2084</v>
      </c>
      <c r="S3693" t="s">
        <v>2119</v>
      </c>
      <c r="T3693" t="s">
        <v>2085</v>
      </c>
      <c r="U3693">
        <v>215000</v>
      </c>
      <c r="V3693" t="s">
        <v>2146</v>
      </c>
      <c r="W3693" t="s">
        <v>2132</v>
      </c>
      <c r="X3693" t="s">
        <v>20220</v>
      </c>
      <c r="Y3693" t="s">
        <v>4208</v>
      </c>
      <c r="Z3693" t="s">
        <v>4209</v>
      </c>
      <c r="AA3693" t="s">
        <v>4210</v>
      </c>
      <c r="AB3693" t="s">
        <v>20221</v>
      </c>
      <c r="AE3693">
        <v>-39.5046404</v>
      </c>
      <c r="AF3693">
        <v>176.90429109999999</v>
      </c>
      <c r="AG3693">
        <v>20</v>
      </c>
      <c r="AH3693">
        <v>7</v>
      </c>
      <c r="AI3693">
        <v>0</v>
      </c>
      <c r="AJ3693">
        <v>4</v>
      </c>
      <c r="AK3693">
        <v>3</v>
      </c>
      <c r="AL3693">
        <v>7</v>
      </c>
      <c r="AM3693">
        <v>1</v>
      </c>
      <c r="AN3693">
        <v>0</v>
      </c>
      <c r="AO3693">
        <v>15</v>
      </c>
      <c r="AP3693">
        <v>0</v>
      </c>
      <c r="AQ3693">
        <v>15</v>
      </c>
      <c r="AR3693">
        <v>0</v>
      </c>
      <c r="AS3693">
        <v>0</v>
      </c>
      <c r="AT3693">
        <v>0</v>
      </c>
    </row>
    <row r="3694" spans="1:46">
      <c r="A3694">
        <v>55271</v>
      </c>
      <c r="B3694" t="s">
        <v>20222</v>
      </c>
      <c r="C3694" t="s">
        <v>20223</v>
      </c>
      <c r="E3694" t="s">
        <v>20224</v>
      </c>
      <c r="F3694" t="s">
        <v>2597</v>
      </c>
      <c r="G3694" t="s">
        <v>2289</v>
      </c>
      <c r="H3694" t="s">
        <v>3942</v>
      </c>
      <c r="J3694" t="s">
        <v>3962</v>
      </c>
      <c r="K3694" t="s">
        <v>519</v>
      </c>
      <c r="M3694" t="s">
        <v>2287</v>
      </c>
      <c r="N3694" t="s">
        <v>571</v>
      </c>
      <c r="O3694" t="s">
        <v>2536</v>
      </c>
      <c r="P3694" t="s">
        <v>654</v>
      </c>
      <c r="Q3694" t="s">
        <v>2319</v>
      </c>
      <c r="R3694" t="s">
        <v>2289</v>
      </c>
      <c r="S3694" t="s">
        <v>2545</v>
      </c>
      <c r="T3694" t="s">
        <v>2448</v>
      </c>
      <c r="U3694">
        <v>248600</v>
      </c>
      <c r="V3694" t="s">
        <v>16887</v>
      </c>
      <c r="W3694" t="s">
        <v>2547</v>
      </c>
      <c r="X3694" t="s">
        <v>20225</v>
      </c>
      <c r="Y3694" t="s">
        <v>20226</v>
      </c>
      <c r="Z3694" t="s">
        <v>2597</v>
      </c>
      <c r="AA3694" t="s">
        <v>20227</v>
      </c>
      <c r="AB3694" t="s">
        <v>20228</v>
      </c>
      <c r="AE3694">
        <v>-41.219185299999999</v>
      </c>
      <c r="AF3694">
        <v>174.80570729999999</v>
      </c>
      <c r="AG3694">
        <v>20</v>
      </c>
      <c r="AH3694">
        <v>0</v>
      </c>
      <c r="AI3694">
        <v>0</v>
      </c>
      <c r="AJ3694">
        <v>0</v>
      </c>
      <c r="AK3694">
        <v>4</v>
      </c>
      <c r="AL3694">
        <v>6</v>
      </c>
      <c r="AM3694">
        <v>14</v>
      </c>
      <c r="AN3694">
        <v>0</v>
      </c>
      <c r="AO3694">
        <v>24</v>
      </c>
      <c r="AP3694">
        <v>8</v>
      </c>
      <c r="AQ3694">
        <v>3</v>
      </c>
      <c r="AR3694">
        <v>0</v>
      </c>
      <c r="AS3694">
        <v>15</v>
      </c>
      <c r="AT3694">
        <v>3</v>
      </c>
    </row>
    <row r="3695" spans="1:46">
      <c r="A3695">
        <v>55272</v>
      </c>
      <c r="B3695" t="s">
        <v>20229</v>
      </c>
      <c r="C3695" t="s">
        <v>20230</v>
      </c>
      <c r="D3695" t="s">
        <v>20231</v>
      </c>
      <c r="E3695" t="s">
        <v>20232</v>
      </c>
      <c r="G3695" t="s">
        <v>2279</v>
      </c>
      <c r="H3695" t="s">
        <v>3942</v>
      </c>
      <c r="J3695" t="s">
        <v>518</v>
      </c>
      <c r="K3695" t="s">
        <v>519</v>
      </c>
      <c r="M3695" t="s">
        <v>1297</v>
      </c>
      <c r="N3695" t="s">
        <v>571</v>
      </c>
      <c r="O3695" t="s">
        <v>2268</v>
      </c>
      <c r="P3695" t="s">
        <v>523</v>
      </c>
      <c r="Q3695" t="s">
        <v>2118</v>
      </c>
      <c r="R3695" t="s">
        <v>2084</v>
      </c>
      <c r="S3695" t="s">
        <v>2269</v>
      </c>
      <c r="T3695" t="s">
        <v>2085</v>
      </c>
      <c r="U3695">
        <v>215700</v>
      </c>
      <c r="V3695" t="s">
        <v>2280</v>
      </c>
      <c r="W3695" t="s">
        <v>2271</v>
      </c>
      <c r="X3695" t="s">
        <v>19762</v>
      </c>
      <c r="Y3695" t="s">
        <v>8367</v>
      </c>
      <c r="AA3695" t="s">
        <v>8368</v>
      </c>
      <c r="AC3695">
        <v>99161</v>
      </c>
      <c r="AD3695" t="s">
        <v>2281</v>
      </c>
      <c r="AE3695">
        <v>-39.943534839999998</v>
      </c>
      <c r="AF3695">
        <v>176.58570187000001</v>
      </c>
      <c r="AG3695">
        <v>33</v>
      </c>
      <c r="AH3695">
        <v>9</v>
      </c>
      <c r="AI3695">
        <v>0</v>
      </c>
      <c r="AJ3695">
        <v>6</v>
      </c>
      <c r="AK3695">
        <v>9</v>
      </c>
      <c r="AL3695">
        <v>7</v>
      </c>
      <c r="AM3695">
        <v>13</v>
      </c>
      <c r="AN3695">
        <v>0</v>
      </c>
      <c r="AO3695">
        <v>35</v>
      </c>
      <c r="AP3695">
        <v>34</v>
      </c>
      <c r="AQ3695">
        <v>21</v>
      </c>
      <c r="AR3695">
        <v>4</v>
      </c>
      <c r="AS3695">
        <v>0</v>
      </c>
      <c r="AT3695">
        <v>0</v>
      </c>
    </row>
    <row r="3696" spans="1:46">
      <c r="A3696">
        <v>55274</v>
      </c>
      <c r="B3696" t="s">
        <v>20233</v>
      </c>
      <c r="C3696" t="s">
        <v>20234</v>
      </c>
      <c r="E3696" t="s">
        <v>20235</v>
      </c>
      <c r="F3696" t="s">
        <v>2175</v>
      </c>
      <c r="G3696" t="s">
        <v>2119</v>
      </c>
      <c r="H3696" t="s">
        <v>3942</v>
      </c>
      <c r="J3696" t="s">
        <v>3962</v>
      </c>
      <c r="K3696" t="s">
        <v>519</v>
      </c>
      <c r="M3696" t="s">
        <v>1297</v>
      </c>
      <c r="N3696" t="s">
        <v>4519</v>
      </c>
      <c r="O3696" t="s">
        <v>2131</v>
      </c>
      <c r="P3696" t="s">
        <v>584</v>
      </c>
      <c r="Q3696" t="s">
        <v>2118</v>
      </c>
      <c r="R3696" t="s">
        <v>2084</v>
      </c>
      <c r="S3696" t="s">
        <v>2119</v>
      </c>
      <c r="T3696" t="s">
        <v>2085</v>
      </c>
      <c r="U3696">
        <v>213700</v>
      </c>
      <c r="V3696" t="s">
        <v>2187</v>
      </c>
      <c r="W3696" t="s">
        <v>2140</v>
      </c>
      <c r="X3696" t="s">
        <v>20236</v>
      </c>
      <c r="Y3696" t="s">
        <v>20237</v>
      </c>
      <c r="Z3696" t="s">
        <v>2138</v>
      </c>
      <c r="AA3696" t="s">
        <v>13598</v>
      </c>
      <c r="AB3696" t="s">
        <v>20238</v>
      </c>
      <c r="AC3696">
        <v>99217</v>
      </c>
      <c r="AD3696" t="s">
        <v>2141</v>
      </c>
      <c r="AE3696">
        <v>-39.534246789999997</v>
      </c>
      <c r="AF3696">
        <v>176.84668679999999</v>
      </c>
      <c r="AG3696">
        <v>32</v>
      </c>
      <c r="AH3696">
        <v>10</v>
      </c>
      <c r="AI3696">
        <v>2</v>
      </c>
      <c r="AJ3696">
        <v>11</v>
      </c>
      <c r="AK3696">
        <v>12</v>
      </c>
      <c r="AL3696">
        <v>7</v>
      </c>
      <c r="AM3696">
        <v>10</v>
      </c>
      <c r="AN3696">
        <v>0</v>
      </c>
      <c r="AO3696">
        <v>42</v>
      </c>
      <c r="AP3696">
        <v>39</v>
      </c>
      <c r="AQ3696">
        <v>9</v>
      </c>
      <c r="AR3696">
        <v>1</v>
      </c>
      <c r="AS3696">
        <v>5</v>
      </c>
      <c r="AT3696">
        <v>0</v>
      </c>
    </row>
    <row r="3697" spans="1:46">
      <c r="A3697">
        <v>55280</v>
      </c>
      <c r="B3697" t="s">
        <v>20239</v>
      </c>
      <c r="C3697" t="s">
        <v>20240</v>
      </c>
      <c r="D3697" t="s">
        <v>8785</v>
      </c>
      <c r="E3697" t="s">
        <v>20241</v>
      </c>
      <c r="F3697" t="s">
        <v>2181</v>
      </c>
      <c r="G3697" t="s">
        <v>2119</v>
      </c>
      <c r="H3697" t="s">
        <v>3942</v>
      </c>
      <c r="J3697" t="s">
        <v>3962</v>
      </c>
      <c r="K3697" t="s">
        <v>519</v>
      </c>
      <c r="M3697" t="s">
        <v>1297</v>
      </c>
      <c r="N3697" t="s">
        <v>571</v>
      </c>
      <c r="O3697" t="s">
        <v>2131</v>
      </c>
      <c r="P3697" t="s">
        <v>584</v>
      </c>
      <c r="Q3697" t="s">
        <v>2118</v>
      </c>
      <c r="R3697" t="s">
        <v>2084</v>
      </c>
      <c r="S3697" t="s">
        <v>2119</v>
      </c>
      <c r="T3697" t="s">
        <v>2085</v>
      </c>
      <c r="U3697">
        <v>213500</v>
      </c>
      <c r="V3697" t="s">
        <v>2182</v>
      </c>
      <c r="W3697" t="s">
        <v>2163</v>
      </c>
      <c r="X3697" t="s">
        <v>8789</v>
      </c>
      <c r="Y3697" t="s">
        <v>20242</v>
      </c>
      <c r="Z3697" t="s">
        <v>12451</v>
      </c>
      <c r="AA3697" t="s">
        <v>4911</v>
      </c>
      <c r="AE3697">
        <v>-39.507702950000002</v>
      </c>
      <c r="AF3697">
        <v>176.86555562000001</v>
      </c>
      <c r="AG3697">
        <v>27</v>
      </c>
      <c r="AH3697">
        <v>11</v>
      </c>
      <c r="AI3697">
        <v>0</v>
      </c>
      <c r="AJ3697">
        <v>3</v>
      </c>
      <c r="AK3697">
        <v>7</v>
      </c>
      <c r="AL3697">
        <v>3</v>
      </c>
      <c r="AM3697">
        <v>13</v>
      </c>
      <c r="AN3697">
        <v>0</v>
      </c>
      <c r="AO3697">
        <v>26</v>
      </c>
      <c r="AP3697">
        <v>17</v>
      </c>
      <c r="AQ3697">
        <v>5</v>
      </c>
      <c r="AR3697">
        <v>0</v>
      </c>
      <c r="AS3697">
        <v>3</v>
      </c>
      <c r="AT3697">
        <v>2</v>
      </c>
    </row>
    <row r="3698" spans="1:46">
      <c r="A3698">
        <v>55285</v>
      </c>
      <c r="B3698" t="s">
        <v>20243</v>
      </c>
      <c r="C3698" t="s">
        <v>20244</v>
      </c>
      <c r="D3698" t="s">
        <v>20245</v>
      </c>
      <c r="E3698" t="s">
        <v>20246</v>
      </c>
      <c r="F3698" t="s">
        <v>20247</v>
      </c>
      <c r="G3698" t="s">
        <v>2197</v>
      </c>
      <c r="H3698" t="s">
        <v>3942</v>
      </c>
      <c r="J3698" t="s">
        <v>518</v>
      </c>
      <c r="K3698" t="s">
        <v>519</v>
      </c>
      <c r="M3698" t="s">
        <v>1297</v>
      </c>
      <c r="N3698" t="s">
        <v>727</v>
      </c>
      <c r="O3698" t="s">
        <v>2198</v>
      </c>
      <c r="P3698" t="s">
        <v>584</v>
      </c>
      <c r="Q3698" t="s">
        <v>2118</v>
      </c>
      <c r="R3698" t="s">
        <v>2084</v>
      </c>
      <c r="S3698" t="s">
        <v>2199</v>
      </c>
      <c r="T3698" t="s">
        <v>2085</v>
      </c>
      <c r="U3698">
        <v>209401</v>
      </c>
      <c r="V3698" t="s">
        <v>8698</v>
      </c>
      <c r="W3698" t="s">
        <v>2200</v>
      </c>
      <c r="X3698" t="s">
        <v>20248</v>
      </c>
      <c r="Y3698" t="s">
        <v>20246</v>
      </c>
      <c r="Z3698" t="s">
        <v>8698</v>
      </c>
      <c r="AA3698" t="s">
        <v>2204</v>
      </c>
      <c r="AB3698" t="s">
        <v>20249</v>
      </c>
      <c r="AE3698">
        <v>-39.626348419999999</v>
      </c>
      <c r="AF3698">
        <v>176.83607240000001</v>
      </c>
      <c r="AG3698">
        <v>22</v>
      </c>
      <c r="AH3698">
        <v>5</v>
      </c>
      <c r="AI3698">
        <v>2</v>
      </c>
      <c r="AJ3698">
        <v>3</v>
      </c>
      <c r="AK3698">
        <v>5</v>
      </c>
      <c r="AL3698">
        <v>5</v>
      </c>
      <c r="AM3698">
        <v>3</v>
      </c>
      <c r="AN3698">
        <v>0</v>
      </c>
      <c r="AO3698">
        <v>18</v>
      </c>
      <c r="AP3698">
        <v>3</v>
      </c>
      <c r="AQ3698">
        <v>14</v>
      </c>
      <c r="AR3698">
        <v>5</v>
      </c>
      <c r="AS3698">
        <v>2</v>
      </c>
      <c r="AT3698">
        <v>3</v>
      </c>
    </row>
    <row r="3699" spans="1:46">
      <c r="A3699">
        <v>55294</v>
      </c>
      <c r="B3699" t="s">
        <v>20250</v>
      </c>
      <c r="C3699" t="s">
        <v>20251</v>
      </c>
      <c r="D3699" t="s">
        <v>20252</v>
      </c>
      <c r="E3699" t="s">
        <v>20253</v>
      </c>
      <c r="F3699" t="s">
        <v>2223</v>
      </c>
      <c r="G3699" t="s">
        <v>2197</v>
      </c>
      <c r="H3699" t="s">
        <v>343</v>
      </c>
      <c r="J3699" t="s">
        <v>518</v>
      </c>
      <c r="K3699" t="s">
        <v>519</v>
      </c>
      <c r="L3699" t="s">
        <v>4205</v>
      </c>
      <c r="M3699" t="s">
        <v>1297</v>
      </c>
      <c r="N3699" t="s">
        <v>521</v>
      </c>
      <c r="O3699" t="s">
        <v>2198</v>
      </c>
      <c r="P3699" t="s">
        <v>584</v>
      </c>
      <c r="Q3699" t="s">
        <v>2118</v>
      </c>
      <c r="R3699" t="s">
        <v>2084</v>
      </c>
      <c r="S3699" t="s">
        <v>2199</v>
      </c>
      <c r="T3699" t="s">
        <v>2085</v>
      </c>
      <c r="U3699">
        <v>209201</v>
      </c>
      <c r="V3699" t="s">
        <v>2231</v>
      </c>
      <c r="W3699" t="s">
        <v>2225</v>
      </c>
      <c r="X3699" t="s">
        <v>8804</v>
      </c>
      <c r="Y3699" t="s">
        <v>4208</v>
      </c>
      <c r="Z3699" t="s">
        <v>4209</v>
      </c>
      <c r="AA3699" t="s">
        <v>4210</v>
      </c>
      <c r="AB3699" t="s">
        <v>8805</v>
      </c>
      <c r="AE3699">
        <v>-39.635148309999998</v>
      </c>
      <c r="AF3699">
        <v>176.79283285</v>
      </c>
      <c r="AG3699">
        <v>30</v>
      </c>
      <c r="AH3699">
        <v>10</v>
      </c>
      <c r="AI3699">
        <v>0</v>
      </c>
      <c r="AJ3699">
        <v>4</v>
      </c>
      <c r="AK3699">
        <v>1</v>
      </c>
      <c r="AL3699">
        <v>0</v>
      </c>
      <c r="AM3699">
        <v>2</v>
      </c>
      <c r="AN3699">
        <v>0</v>
      </c>
      <c r="AO3699">
        <v>7</v>
      </c>
      <c r="AP3699">
        <v>0</v>
      </c>
      <c r="AQ3699">
        <v>6</v>
      </c>
      <c r="AR3699">
        <v>1</v>
      </c>
      <c r="AS3699">
        <v>0</v>
      </c>
      <c r="AT3699">
        <v>0</v>
      </c>
    </row>
    <row r="3700" spans="1:46">
      <c r="A3700">
        <v>55296</v>
      </c>
      <c r="B3700" t="s">
        <v>20254</v>
      </c>
      <c r="C3700" t="s">
        <v>20255</v>
      </c>
      <c r="D3700" t="s">
        <v>20256</v>
      </c>
      <c r="E3700" t="s">
        <v>20257</v>
      </c>
      <c r="G3700" t="s">
        <v>20258</v>
      </c>
      <c r="H3700" t="s">
        <v>343</v>
      </c>
      <c r="J3700" t="s">
        <v>518</v>
      </c>
      <c r="K3700" t="s">
        <v>519</v>
      </c>
      <c r="L3700" t="s">
        <v>4205</v>
      </c>
      <c r="M3700" t="s">
        <v>1297</v>
      </c>
      <c r="N3700" t="s">
        <v>539</v>
      </c>
      <c r="O3700" t="s">
        <v>2268</v>
      </c>
      <c r="P3700" t="s">
        <v>540</v>
      </c>
      <c r="Q3700" t="s">
        <v>2118</v>
      </c>
      <c r="R3700" t="s">
        <v>2084</v>
      </c>
      <c r="S3700" t="s">
        <v>2199</v>
      </c>
      <c r="T3700" t="s">
        <v>2085</v>
      </c>
      <c r="U3700">
        <v>215900</v>
      </c>
      <c r="V3700" t="s">
        <v>20259</v>
      </c>
      <c r="W3700" t="s">
        <v>12235</v>
      </c>
      <c r="X3700" t="s">
        <v>8804</v>
      </c>
      <c r="Y3700" t="s">
        <v>4208</v>
      </c>
      <c r="Z3700" t="s">
        <v>4209</v>
      </c>
      <c r="AA3700" t="s">
        <v>4210</v>
      </c>
      <c r="AB3700" t="s">
        <v>8805</v>
      </c>
      <c r="AE3700">
        <v>-39.897248679999997</v>
      </c>
      <c r="AF3700">
        <v>176.62984392000001</v>
      </c>
      <c r="AG3700">
        <v>20</v>
      </c>
      <c r="AH3700">
        <v>5</v>
      </c>
      <c r="AI3700">
        <v>0</v>
      </c>
      <c r="AJ3700">
        <v>2</v>
      </c>
      <c r="AK3700">
        <v>4</v>
      </c>
      <c r="AL3700">
        <v>5</v>
      </c>
      <c r="AM3700">
        <v>5</v>
      </c>
      <c r="AN3700">
        <v>0</v>
      </c>
      <c r="AO3700">
        <v>16</v>
      </c>
      <c r="AP3700">
        <v>0</v>
      </c>
      <c r="AQ3700">
        <v>16</v>
      </c>
      <c r="AR3700">
        <v>0</v>
      </c>
      <c r="AS3700">
        <v>0</v>
      </c>
      <c r="AT3700">
        <v>0</v>
      </c>
    </row>
    <row r="3701" spans="1:46">
      <c r="A3701">
        <v>55305</v>
      </c>
      <c r="B3701" t="s">
        <v>19935</v>
      </c>
      <c r="C3701" t="s">
        <v>20260</v>
      </c>
      <c r="D3701" t="s">
        <v>20261</v>
      </c>
      <c r="E3701" t="s">
        <v>20262</v>
      </c>
      <c r="G3701" t="s">
        <v>20176</v>
      </c>
      <c r="H3701" t="s">
        <v>343</v>
      </c>
      <c r="J3701" t="s">
        <v>518</v>
      </c>
      <c r="K3701" t="s">
        <v>519</v>
      </c>
      <c r="L3701" t="s">
        <v>4205</v>
      </c>
      <c r="M3701" t="s">
        <v>1297</v>
      </c>
      <c r="N3701" t="s">
        <v>727</v>
      </c>
      <c r="O3701" t="s">
        <v>2117</v>
      </c>
      <c r="P3701" t="s">
        <v>572</v>
      </c>
      <c r="Q3701" t="s">
        <v>2118</v>
      </c>
      <c r="R3701" t="s">
        <v>2084</v>
      </c>
      <c r="S3701" t="s">
        <v>2119</v>
      </c>
      <c r="T3701" t="s">
        <v>2085</v>
      </c>
      <c r="U3701">
        <v>207600</v>
      </c>
      <c r="V3701" t="s">
        <v>20263</v>
      </c>
      <c r="W3701" t="s">
        <v>565</v>
      </c>
      <c r="X3701" t="s">
        <v>8804</v>
      </c>
      <c r="Y3701" t="s">
        <v>4208</v>
      </c>
      <c r="Z3701" t="s">
        <v>4209</v>
      </c>
      <c r="AA3701" t="s">
        <v>4210</v>
      </c>
      <c r="AB3701" t="s">
        <v>8805</v>
      </c>
      <c r="AE3701">
        <v>-38.964113169999997</v>
      </c>
      <c r="AF3701">
        <v>177.39702392000001</v>
      </c>
      <c r="AG3701">
        <v>20</v>
      </c>
      <c r="AH3701">
        <v>6</v>
      </c>
      <c r="AI3701">
        <v>0</v>
      </c>
      <c r="AJ3701">
        <v>5</v>
      </c>
      <c r="AK3701">
        <v>5</v>
      </c>
      <c r="AL3701">
        <v>6</v>
      </c>
      <c r="AM3701">
        <v>3</v>
      </c>
      <c r="AN3701">
        <v>0</v>
      </c>
      <c r="AO3701">
        <v>19</v>
      </c>
      <c r="AP3701">
        <v>0</v>
      </c>
      <c r="AQ3701">
        <v>19</v>
      </c>
      <c r="AR3701">
        <v>0</v>
      </c>
      <c r="AS3701">
        <v>0</v>
      </c>
      <c r="AT3701">
        <v>0</v>
      </c>
    </row>
    <row r="3702" spans="1:46">
      <c r="A3702">
        <v>55307</v>
      </c>
      <c r="B3702" t="s">
        <v>20264</v>
      </c>
      <c r="C3702" t="s">
        <v>20265</v>
      </c>
      <c r="D3702" t="s">
        <v>20266</v>
      </c>
      <c r="E3702" t="s">
        <v>20267</v>
      </c>
      <c r="G3702" t="s">
        <v>11859</v>
      </c>
      <c r="H3702" t="s">
        <v>3942</v>
      </c>
      <c r="J3702" t="s">
        <v>3962</v>
      </c>
      <c r="K3702" t="s">
        <v>519</v>
      </c>
      <c r="M3702" t="s">
        <v>1297</v>
      </c>
      <c r="N3702" t="s">
        <v>571</v>
      </c>
      <c r="O3702" t="s">
        <v>2198</v>
      </c>
      <c r="P3702" t="s">
        <v>523</v>
      </c>
      <c r="Q3702" t="s">
        <v>2118</v>
      </c>
      <c r="R3702" t="s">
        <v>2084</v>
      </c>
      <c r="S3702" t="s">
        <v>2199</v>
      </c>
      <c r="T3702" t="s">
        <v>2085</v>
      </c>
      <c r="U3702">
        <v>209601</v>
      </c>
      <c r="V3702" t="s">
        <v>11859</v>
      </c>
      <c r="W3702" t="s">
        <v>11860</v>
      </c>
      <c r="X3702" t="s">
        <v>20268</v>
      </c>
      <c r="Y3702" t="s">
        <v>20269</v>
      </c>
      <c r="Z3702" t="s">
        <v>19826</v>
      </c>
      <c r="AA3702" t="s">
        <v>20270</v>
      </c>
      <c r="AB3702" t="s">
        <v>20271</v>
      </c>
      <c r="AE3702">
        <v>-39.587330170000001</v>
      </c>
      <c r="AF3702">
        <v>176.91221343999999</v>
      </c>
      <c r="AG3702">
        <v>30</v>
      </c>
      <c r="AH3702">
        <v>10</v>
      </c>
      <c r="AI3702">
        <v>0</v>
      </c>
      <c r="AJ3702">
        <v>11</v>
      </c>
      <c r="AK3702">
        <v>6</v>
      </c>
      <c r="AL3702">
        <v>8</v>
      </c>
      <c r="AM3702">
        <v>13</v>
      </c>
      <c r="AN3702">
        <v>0</v>
      </c>
      <c r="AO3702">
        <v>38</v>
      </c>
      <c r="AP3702">
        <v>32</v>
      </c>
      <c r="AQ3702">
        <v>14</v>
      </c>
      <c r="AR3702">
        <v>4</v>
      </c>
      <c r="AS3702">
        <v>2</v>
      </c>
      <c r="AT3702">
        <v>2</v>
      </c>
    </row>
    <row r="3703" spans="1:46">
      <c r="A3703">
        <v>55309</v>
      </c>
      <c r="B3703" t="s">
        <v>20272</v>
      </c>
      <c r="C3703" t="s">
        <v>14158</v>
      </c>
      <c r="D3703" t="s">
        <v>20273</v>
      </c>
      <c r="E3703" t="s">
        <v>20274</v>
      </c>
      <c r="F3703" t="s">
        <v>2122</v>
      </c>
      <c r="G3703" t="s">
        <v>2119</v>
      </c>
      <c r="H3703" t="s">
        <v>3942</v>
      </c>
      <c r="J3703" t="s">
        <v>3962</v>
      </c>
      <c r="K3703" t="s">
        <v>519</v>
      </c>
      <c r="M3703" t="s">
        <v>1297</v>
      </c>
      <c r="N3703" t="s">
        <v>727</v>
      </c>
      <c r="O3703" t="s">
        <v>2131</v>
      </c>
      <c r="P3703" t="s">
        <v>584</v>
      </c>
      <c r="Q3703" t="s">
        <v>2118</v>
      </c>
      <c r="R3703" t="s">
        <v>2084</v>
      </c>
      <c r="S3703" t="s">
        <v>2119</v>
      </c>
      <c r="T3703" t="s">
        <v>2085</v>
      </c>
      <c r="U3703">
        <v>214800</v>
      </c>
      <c r="V3703" t="s">
        <v>2157</v>
      </c>
      <c r="W3703" t="s">
        <v>2132</v>
      </c>
      <c r="X3703" t="s">
        <v>14157</v>
      </c>
      <c r="Y3703" t="s">
        <v>8723</v>
      </c>
      <c r="Z3703" t="s">
        <v>2216</v>
      </c>
      <c r="AA3703" t="s">
        <v>8724</v>
      </c>
      <c r="AB3703" t="s">
        <v>14158</v>
      </c>
      <c r="AE3703">
        <v>-39.508437100000002</v>
      </c>
      <c r="AF3703">
        <v>176.90084390999999</v>
      </c>
      <c r="AG3703">
        <v>50</v>
      </c>
      <c r="AH3703">
        <v>16</v>
      </c>
      <c r="AI3703">
        <v>1</v>
      </c>
      <c r="AJ3703">
        <v>8</v>
      </c>
      <c r="AK3703">
        <v>11</v>
      </c>
      <c r="AL3703">
        <v>8</v>
      </c>
      <c r="AM3703">
        <v>12</v>
      </c>
      <c r="AN3703">
        <v>1</v>
      </c>
      <c r="AO3703">
        <v>41</v>
      </c>
      <c r="AP3703">
        <v>15</v>
      </c>
      <c r="AQ3703">
        <v>33</v>
      </c>
      <c r="AR3703">
        <v>7</v>
      </c>
      <c r="AS3703">
        <v>2</v>
      </c>
      <c r="AT3703">
        <v>0</v>
      </c>
    </row>
    <row r="3704" spans="1:46">
      <c r="A3704">
        <v>55316</v>
      </c>
      <c r="B3704" t="s">
        <v>20275</v>
      </c>
      <c r="C3704" t="s">
        <v>11499</v>
      </c>
      <c r="D3704" t="s">
        <v>17172</v>
      </c>
      <c r="E3704" t="s">
        <v>20276</v>
      </c>
      <c r="G3704" t="s">
        <v>2267</v>
      </c>
      <c r="H3704" t="s">
        <v>3942</v>
      </c>
      <c r="J3704" t="s">
        <v>3962</v>
      </c>
      <c r="K3704" t="s">
        <v>519</v>
      </c>
      <c r="M3704" t="s">
        <v>1297</v>
      </c>
      <c r="N3704" t="s">
        <v>571</v>
      </c>
      <c r="O3704" t="s">
        <v>2268</v>
      </c>
      <c r="P3704" t="s">
        <v>523</v>
      </c>
      <c r="Q3704" t="s">
        <v>2118</v>
      </c>
      <c r="R3704" t="s">
        <v>2084</v>
      </c>
      <c r="S3704" t="s">
        <v>2269</v>
      </c>
      <c r="T3704" t="s">
        <v>2085</v>
      </c>
      <c r="U3704">
        <v>215801</v>
      </c>
      <c r="V3704" t="s">
        <v>2270</v>
      </c>
      <c r="W3704" t="s">
        <v>2271</v>
      </c>
      <c r="X3704" t="s">
        <v>8934</v>
      </c>
      <c r="Y3704" t="s">
        <v>8935</v>
      </c>
      <c r="Z3704" t="s">
        <v>2267</v>
      </c>
      <c r="AA3704" t="s">
        <v>8936</v>
      </c>
      <c r="AB3704" t="s">
        <v>8937</v>
      </c>
      <c r="AC3704">
        <v>99160</v>
      </c>
      <c r="AD3704" t="s">
        <v>2272</v>
      </c>
      <c r="AE3704">
        <v>-39.995037750000002</v>
      </c>
      <c r="AF3704">
        <v>176.55881509</v>
      </c>
      <c r="AG3704">
        <v>30</v>
      </c>
      <c r="AH3704">
        <v>0</v>
      </c>
      <c r="AI3704">
        <v>0</v>
      </c>
      <c r="AJ3704">
        <v>0</v>
      </c>
      <c r="AK3704">
        <v>0</v>
      </c>
      <c r="AL3704">
        <v>1</v>
      </c>
      <c r="AM3704">
        <v>19</v>
      </c>
      <c r="AN3704">
        <v>2</v>
      </c>
      <c r="AO3704">
        <v>22</v>
      </c>
      <c r="AP3704">
        <v>9</v>
      </c>
      <c r="AQ3704">
        <v>9</v>
      </c>
      <c r="AR3704">
        <v>0</v>
      </c>
      <c r="AS3704">
        <v>5</v>
      </c>
      <c r="AT3704">
        <v>3</v>
      </c>
    </row>
    <row r="3705" spans="1:46">
      <c r="A3705">
        <v>55318</v>
      </c>
      <c r="B3705" t="s">
        <v>20277</v>
      </c>
      <c r="C3705" t="s">
        <v>20278</v>
      </c>
      <c r="D3705" t="s">
        <v>20279</v>
      </c>
      <c r="E3705" t="s">
        <v>20280</v>
      </c>
      <c r="F3705" t="s">
        <v>2258</v>
      </c>
      <c r="G3705" t="s">
        <v>2197</v>
      </c>
      <c r="H3705" t="s">
        <v>3942</v>
      </c>
      <c r="J3705" t="s">
        <v>518</v>
      </c>
      <c r="K3705" t="s">
        <v>519</v>
      </c>
      <c r="M3705" t="s">
        <v>1297</v>
      </c>
      <c r="N3705" t="s">
        <v>727</v>
      </c>
      <c r="O3705" t="s">
        <v>2198</v>
      </c>
      <c r="P3705" t="s">
        <v>584</v>
      </c>
      <c r="Q3705" t="s">
        <v>2118</v>
      </c>
      <c r="R3705" t="s">
        <v>2084</v>
      </c>
      <c r="S3705" t="s">
        <v>2199</v>
      </c>
      <c r="T3705" t="s">
        <v>2085</v>
      </c>
      <c r="U3705">
        <v>209901</v>
      </c>
      <c r="V3705" t="s">
        <v>2258</v>
      </c>
      <c r="W3705" t="s">
        <v>2200</v>
      </c>
      <c r="X3705" t="s">
        <v>8899</v>
      </c>
      <c r="Y3705" t="s">
        <v>3944</v>
      </c>
      <c r="Z3705" t="s">
        <v>3945</v>
      </c>
      <c r="AA3705" t="s">
        <v>3946</v>
      </c>
      <c r="AB3705" t="s">
        <v>8900</v>
      </c>
      <c r="AC3705">
        <v>99159</v>
      </c>
      <c r="AD3705" t="s">
        <v>2206</v>
      </c>
      <c r="AE3705">
        <v>-39.641651430000003</v>
      </c>
      <c r="AF3705">
        <v>176.82452817000001</v>
      </c>
      <c r="AG3705">
        <v>49</v>
      </c>
      <c r="AH3705">
        <v>15</v>
      </c>
      <c r="AI3705">
        <v>1</v>
      </c>
      <c r="AJ3705">
        <v>11</v>
      </c>
      <c r="AK3705">
        <v>9</v>
      </c>
      <c r="AL3705">
        <v>11</v>
      </c>
      <c r="AM3705">
        <v>14</v>
      </c>
      <c r="AN3705">
        <v>1</v>
      </c>
      <c r="AO3705">
        <v>47</v>
      </c>
      <c r="AP3705">
        <v>19</v>
      </c>
      <c r="AQ3705">
        <v>25</v>
      </c>
      <c r="AR3705">
        <v>12</v>
      </c>
      <c r="AS3705">
        <v>5</v>
      </c>
      <c r="AT3705">
        <v>2</v>
      </c>
    </row>
    <row r="3706" spans="1:46">
      <c r="A3706">
        <v>55321</v>
      </c>
      <c r="B3706" t="s">
        <v>20281</v>
      </c>
      <c r="C3706" t="s">
        <v>20282</v>
      </c>
      <c r="D3706" t="s">
        <v>20283</v>
      </c>
      <c r="E3706" t="s">
        <v>20284</v>
      </c>
      <c r="F3706" t="s">
        <v>2122</v>
      </c>
      <c r="G3706" t="s">
        <v>2119</v>
      </c>
      <c r="H3706" t="s">
        <v>3942</v>
      </c>
      <c r="J3706" t="s">
        <v>518</v>
      </c>
      <c r="K3706" t="s">
        <v>519</v>
      </c>
      <c r="M3706" t="s">
        <v>1297</v>
      </c>
      <c r="N3706" t="s">
        <v>557</v>
      </c>
      <c r="O3706" t="s">
        <v>2131</v>
      </c>
      <c r="P3706" t="s">
        <v>584</v>
      </c>
      <c r="Q3706" t="s">
        <v>2118</v>
      </c>
      <c r="R3706" t="s">
        <v>2084</v>
      </c>
      <c r="S3706" t="s">
        <v>2119</v>
      </c>
      <c r="T3706" t="s">
        <v>2085</v>
      </c>
      <c r="U3706">
        <v>215000</v>
      </c>
      <c r="V3706" t="s">
        <v>2146</v>
      </c>
      <c r="W3706" t="s">
        <v>2132</v>
      </c>
      <c r="X3706" t="s">
        <v>8899</v>
      </c>
      <c r="Y3706" t="s">
        <v>3944</v>
      </c>
      <c r="Z3706" t="s">
        <v>3945</v>
      </c>
      <c r="AA3706" t="s">
        <v>3946</v>
      </c>
      <c r="AB3706" t="s">
        <v>8900</v>
      </c>
      <c r="AE3706">
        <v>-39.501123339999999</v>
      </c>
      <c r="AF3706">
        <v>176.90160288000001</v>
      </c>
      <c r="AG3706">
        <v>46</v>
      </c>
      <c r="AH3706">
        <v>16</v>
      </c>
      <c r="AI3706">
        <v>4</v>
      </c>
      <c r="AJ3706">
        <v>8</v>
      </c>
      <c r="AK3706">
        <v>7</v>
      </c>
      <c r="AL3706">
        <v>12</v>
      </c>
      <c r="AM3706">
        <v>12</v>
      </c>
      <c r="AN3706">
        <v>0</v>
      </c>
      <c r="AO3706">
        <v>43</v>
      </c>
      <c r="AP3706">
        <v>17</v>
      </c>
      <c r="AQ3706">
        <v>14</v>
      </c>
      <c r="AR3706">
        <v>2</v>
      </c>
      <c r="AS3706">
        <v>11</v>
      </c>
      <c r="AT3706">
        <v>7</v>
      </c>
    </row>
    <row r="3707" spans="1:46">
      <c r="A3707">
        <v>55324</v>
      </c>
      <c r="B3707" t="s">
        <v>20285</v>
      </c>
      <c r="C3707" t="s">
        <v>20286</v>
      </c>
      <c r="D3707" t="s">
        <v>20287</v>
      </c>
      <c r="E3707" t="s">
        <v>20288</v>
      </c>
      <c r="F3707" t="s">
        <v>16320</v>
      </c>
      <c r="G3707" t="s">
        <v>2081</v>
      </c>
      <c r="H3707" t="s">
        <v>3942</v>
      </c>
      <c r="J3707" t="s">
        <v>518</v>
      </c>
      <c r="K3707" t="s">
        <v>519</v>
      </c>
      <c r="M3707" t="s">
        <v>1297</v>
      </c>
      <c r="N3707" t="s">
        <v>539</v>
      </c>
      <c r="O3707" t="s">
        <v>2082</v>
      </c>
      <c r="P3707" t="s">
        <v>584</v>
      </c>
      <c r="Q3707" t="s">
        <v>2083</v>
      </c>
      <c r="R3707" t="s">
        <v>2084</v>
      </c>
      <c r="S3707" t="s">
        <v>1473</v>
      </c>
      <c r="T3707" t="s">
        <v>2085</v>
      </c>
      <c r="U3707">
        <v>206801</v>
      </c>
      <c r="V3707" t="s">
        <v>16321</v>
      </c>
      <c r="W3707" t="s">
        <v>2087</v>
      </c>
      <c r="X3707" t="s">
        <v>20289</v>
      </c>
      <c r="Y3707" t="s">
        <v>20290</v>
      </c>
      <c r="Z3707" t="s">
        <v>2081</v>
      </c>
      <c r="AA3707" t="s">
        <v>2090</v>
      </c>
      <c r="AB3707" t="s">
        <v>20286</v>
      </c>
      <c r="AC3707">
        <v>99083</v>
      </c>
      <c r="AD3707" t="s">
        <v>2099</v>
      </c>
      <c r="AE3707">
        <v>-38.662021899999999</v>
      </c>
      <c r="AF3707">
        <v>178.02131861999999</v>
      </c>
      <c r="AG3707">
        <v>45</v>
      </c>
      <c r="AH3707">
        <v>12</v>
      </c>
      <c r="AI3707">
        <v>1</v>
      </c>
      <c r="AJ3707">
        <v>4</v>
      </c>
      <c r="AK3707">
        <v>11</v>
      </c>
      <c r="AL3707">
        <v>14</v>
      </c>
      <c r="AM3707">
        <v>16</v>
      </c>
      <c r="AN3707">
        <v>0</v>
      </c>
      <c r="AO3707">
        <v>46</v>
      </c>
      <c r="AP3707">
        <v>11</v>
      </c>
      <c r="AQ3707">
        <v>36</v>
      </c>
      <c r="AR3707">
        <v>5</v>
      </c>
      <c r="AS3707">
        <v>2</v>
      </c>
      <c r="AT3707">
        <v>0</v>
      </c>
    </row>
    <row r="3708" spans="1:46">
      <c r="A3708">
        <v>55326</v>
      </c>
      <c r="B3708" t="s">
        <v>20291</v>
      </c>
      <c r="C3708" t="s">
        <v>20292</v>
      </c>
      <c r="D3708" t="s">
        <v>20293</v>
      </c>
      <c r="E3708" t="s">
        <v>20294</v>
      </c>
      <c r="F3708" t="s">
        <v>2223</v>
      </c>
      <c r="G3708" t="s">
        <v>2197</v>
      </c>
      <c r="H3708" t="s">
        <v>343</v>
      </c>
      <c r="J3708" t="s">
        <v>518</v>
      </c>
      <c r="K3708" t="s">
        <v>519</v>
      </c>
      <c r="L3708" t="s">
        <v>4205</v>
      </c>
      <c r="M3708" t="s">
        <v>1297</v>
      </c>
      <c r="N3708" t="s">
        <v>727</v>
      </c>
      <c r="O3708" t="s">
        <v>2198</v>
      </c>
      <c r="P3708" t="s">
        <v>584</v>
      </c>
      <c r="Q3708" t="s">
        <v>2118</v>
      </c>
      <c r="R3708" t="s">
        <v>2084</v>
      </c>
      <c r="S3708" t="s">
        <v>2199</v>
      </c>
      <c r="T3708" t="s">
        <v>2085</v>
      </c>
      <c r="U3708">
        <v>209000</v>
      </c>
      <c r="V3708" t="s">
        <v>2224</v>
      </c>
      <c r="W3708" t="s">
        <v>2225</v>
      </c>
      <c r="X3708" t="s">
        <v>19889</v>
      </c>
      <c r="Y3708" t="s">
        <v>4208</v>
      </c>
      <c r="Z3708" t="s">
        <v>4209</v>
      </c>
      <c r="AA3708" t="s">
        <v>4210</v>
      </c>
      <c r="AB3708" t="s">
        <v>8805</v>
      </c>
      <c r="AE3708">
        <v>-39.62203804</v>
      </c>
      <c r="AF3708">
        <v>176.77592651000001</v>
      </c>
      <c r="AG3708">
        <v>30</v>
      </c>
      <c r="AH3708">
        <v>8</v>
      </c>
      <c r="AI3708">
        <v>3</v>
      </c>
      <c r="AJ3708">
        <v>6</v>
      </c>
      <c r="AK3708">
        <v>6</v>
      </c>
      <c r="AL3708">
        <v>6</v>
      </c>
      <c r="AM3708">
        <v>6</v>
      </c>
      <c r="AN3708">
        <v>0</v>
      </c>
      <c r="AO3708">
        <v>27</v>
      </c>
      <c r="AP3708">
        <v>0</v>
      </c>
      <c r="AQ3708">
        <v>23</v>
      </c>
      <c r="AR3708">
        <v>4</v>
      </c>
      <c r="AS3708">
        <v>0</v>
      </c>
      <c r="AT3708">
        <v>0</v>
      </c>
    </row>
    <row r="3709" spans="1:46">
      <c r="A3709">
        <v>55328</v>
      </c>
      <c r="B3709" t="s">
        <v>20295</v>
      </c>
      <c r="C3709" t="s">
        <v>20296</v>
      </c>
      <c r="D3709" t="s">
        <v>20297</v>
      </c>
      <c r="E3709" t="s">
        <v>20298</v>
      </c>
      <c r="G3709" t="s">
        <v>20299</v>
      </c>
      <c r="H3709" t="s">
        <v>517</v>
      </c>
      <c r="J3709" t="s">
        <v>518</v>
      </c>
      <c r="K3709" t="s">
        <v>519</v>
      </c>
      <c r="M3709" t="s">
        <v>1297</v>
      </c>
      <c r="N3709" t="s">
        <v>539</v>
      </c>
      <c r="O3709" t="s">
        <v>2082</v>
      </c>
      <c r="P3709" t="s">
        <v>572</v>
      </c>
      <c r="Q3709" t="s">
        <v>2083</v>
      </c>
      <c r="R3709" t="s">
        <v>2084</v>
      </c>
      <c r="S3709" t="s">
        <v>1473</v>
      </c>
      <c r="T3709" t="s">
        <v>2085</v>
      </c>
      <c r="U3709">
        <v>205201</v>
      </c>
      <c r="V3709" t="s">
        <v>19956</v>
      </c>
      <c r="W3709" t="s">
        <v>2087</v>
      </c>
      <c r="X3709" t="s">
        <v>2088</v>
      </c>
      <c r="Y3709" t="s">
        <v>2089</v>
      </c>
      <c r="AA3709" t="s">
        <v>2090</v>
      </c>
      <c r="AB3709" t="s">
        <v>2091</v>
      </c>
      <c r="AC3709">
        <v>99050</v>
      </c>
      <c r="AD3709" t="s">
        <v>2106</v>
      </c>
      <c r="AE3709">
        <v>-38.556983350000003</v>
      </c>
      <c r="AF3709">
        <v>178.21513898000001</v>
      </c>
      <c r="AG3709">
        <v>20</v>
      </c>
      <c r="AH3709">
        <v>0</v>
      </c>
      <c r="AI3709">
        <v>0</v>
      </c>
      <c r="AJ3709">
        <v>0</v>
      </c>
      <c r="AK3709">
        <v>7</v>
      </c>
      <c r="AL3709">
        <v>9</v>
      </c>
      <c r="AM3709">
        <v>8</v>
      </c>
      <c r="AN3709">
        <v>1</v>
      </c>
      <c r="AO3709">
        <v>25</v>
      </c>
      <c r="AP3709">
        <v>18</v>
      </c>
      <c r="AQ3709">
        <v>13</v>
      </c>
      <c r="AR3709">
        <v>1</v>
      </c>
      <c r="AS3709">
        <v>0</v>
      </c>
      <c r="AT3709">
        <v>0</v>
      </c>
    </row>
    <row r="3710" spans="1:46">
      <c r="A3710">
        <v>55336</v>
      </c>
      <c r="B3710" t="s">
        <v>20300</v>
      </c>
      <c r="C3710" t="s">
        <v>20301</v>
      </c>
      <c r="D3710" t="s">
        <v>20302</v>
      </c>
      <c r="E3710" t="s">
        <v>20303</v>
      </c>
      <c r="G3710" t="s">
        <v>2116</v>
      </c>
      <c r="H3710" t="s">
        <v>343</v>
      </c>
      <c r="J3710" t="s">
        <v>518</v>
      </c>
      <c r="K3710" t="s">
        <v>519</v>
      </c>
      <c r="L3710" t="s">
        <v>4205</v>
      </c>
      <c r="M3710" t="s">
        <v>1297</v>
      </c>
      <c r="N3710" t="s">
        <v>727</v>
      </c>
      <c r="O3710" t="s">
        <v>2117</v>
      </c>
      <c r="P3710" t="s">
        <v>523</v>
      </c>
      <c r="Q3710" t="s">
        <v>2118</v>
      </c>
      <c r="R3710" t="s">
        <v>2084</v>
      </c>
      <c r="S3710" t="s">
        <v>2119</v>
      </c>
      <c r="T3710" t="s">
        <v>2085</v>
      </c>
      <c r="U3710">
        <v>207800</v>
      </c>
      <c r="V3710" t="s">
        <v>2116</v>
      </c>
      <c r="W3710" t="s">
        <v>565</v>
      </c>
      <c r="X3710" t="s">
        <v>8804</v>
      </c>
      <c r="Y3710" t="s">
        <v>4208</v>
      </c>
      <c r="Z3710" t="s">
        <v>4209</v>
      </c>
      <c r="AA3710" t="s">
        <v>4210</v>
      </c>
      <c r="AB3710" t="s">
        <v>8805</v>
      </c>
      <c r="AE3710">
        <v>-39.036135350000002</v>
      </c>
      <c r="AF3710">
        <v>177.40931705</v>
      </c>
      <c r="AG3710">
        <v>20</v>
      </c>
      <c r="AH3710">
        <v>10</v>
      </c>
      <c r="AI3710">
        <v>1</v>
      </c>
      <c r="AJ3710">
        <v>7</v>
      </c>
      <c r="AK3710">
        <v>8</v>
      </c>
      <c r="AL3710">
        <v>5</v>
      </c>
      <c r="AM3710">
        <v>0</v>
      </c>
      <c r="AN3710">
        <v>0</v>
      </c>
      <c r="AO3710">
        <v>21</v>
      </c>
      <c r="AP3710">
        <v>0</v>
      </c>
      <c r="AQ3710">
        <v>21</v>
      </c>
      <c r="AR3710">
        <v>0</v>
      </c>
      <c r="AS3710">
        <v>0</v>
      </c>
      <c r="AT3710">
        <v>0</v>
      </c>
    </row>
    <row r="3711" spans="1:46">
      <c r="A3711">
        <v>55341</v>
      </c>
      <c r="B3711" t="s">
        <v>20304</v>
      </c>
      <c r="C3711" t="s">
        <v>20305</v>
      </c>
      <c r="D3711" t="s">
        <v>20306</v>
      </c>
      <c r="E3711" t="s">
        <v>20307</v>
      </c>
      <c r="G3711" t="s">
        <v>20308</v>
      </c>
      <c r="H3711" t="s">
        <v>3942</v>
      </c>
      <c r="J3711" t="s">
        <v>518</v>
      </c>
      <c r="K3711" t="s">
        <v>519</v>
      </c>
      <c r="M3711" t="s">
        <v>1297</v>
      </c>
      <c r="N3711" t="s">
        <v>539</v>
      </c>
      <c r="O3711" t="s">
        <v>2082</v>
      </c>
      <c r="P3711" t="s">
        <v>540</v>
      </c>
      <c r="Q3711" t="s">
        <v>2083</v>
      </c>
      <c r="R3711" t="s">
        <v>2084</v>
      </c>
      <c r="S3711" t="s">
        <v>1473</v>
      </c>
      <c r="T3711" t="s">
        <v>2085</v>
      </c>
      <c r="U3711">
        <v>204800</v>
      </c>
      <c r="V3711" t="s">
        <v>19712</v>
      </c>
      <c r="W3711" t="s">
        <v>2087</v>
      </c>
      <c r="X3711" t="s">
        <v>20309</v>
      </c>
      <c r="Y3711" t="s">
        <v>20310</v>
      </c>
      <c r="Z3711" t="s">
        <v>20311</v>
      </c>
      <c r="AA3711" t="s">
        <v>20312</v>
      </c>
      <c r="AB3711" t="s">
        <v>20305</v>
      </c>
      <c r="AE3711">
        <v>-38.469188699999997</v>
      </c>
      <c r="AF3711">
        <v>177.86635851</v>
      </c>
      <c r="AG3711">
        <v>26</v>
      </c>
      <c r="AH3711">
        <v>8</v>
      </c>
      <c r="AI3711">
        <v>0</v>
      </c>
      <c r="AJ3711">
        <v>3</v>
      </c>
      <c r="AK3711">
        <v>8</v>
      </c>
      <c r="AL3711">
        <v>9</v>
      </c>
      <c r="AM3711">
        <v>7</v>
      </c>
      <c r="AN3711">
        <v>0</v>
      </c>
      <c r="AO3711">
        <v>27</v>
      </c>
      <c r="AP3711">
        <v>5</v>
      </c>
      <c r="AQ3711">
        <v>26</v>
      </c>
      <c r="AR3711">
        <v>1</v>
      </c>
      <c r="AS3711">
        <v>0</v>
      </c>
      <c r="AT3711">
        <v>0</v>
      </c>
    </row>
    <row r="3712" spans="1:46">
      <c r="A3712">
        <v>55342</v>
      </c>
      <c r="B3712" t="s">
        <v>20313</v>
      </c>
      <c r="C3712" t="s">
        <v>20314</v>
      </c>
      <c r="E3712" t="s">
        <v>20315</v>
      </c>
      <c r="G3712" t="s">
        <v>2197</v>
      </c>
      <c r="H3712" t="s">
        <v>3942</v>
      </c>
      <c r="J3712" t="s">
        <v>518</v>
      </c>
      <c r="K3712" t="s">
        <v>519</v>
      </c>
      <c r="M3712" t="s">
        <v>1297</v>
      </c>
      <c r="N3712" t="s">
        <v>571</v>
      </c>
      <c r="O3712" t="s">
        <v>2198</v>
      </c>
      <c r="P3712" t="s">
        <v>572</v>
      </c>
      <c r="Q3712" t="s">
        <v>2118</v>
      </c>
      <c r="R3712" t="s">
        <v>2084</v>
      </c>
      <c r="S3712" t="s">
        <v>2199</v>
      </c>
      <c r="T3712" t="s">
        <v>2085</v>
      </c>
      <c r="U3712">
        <v>208200</v>
      </c>
      <c r="V3712" t="s">
        <v>8748</v>
      </c>
      <c r="W3712" t="s">
        <v>8749</v>
      </c>
      <c r="X3712" t="s">
        <v>20316</v>
      </c>
      <c r="Y3712" t="s">
        <v>20317</v>
      </c>
      <c r="AA3712" t="s">
        <v>20318</v>
      </c>
      <c r="AB3712" t="s">
        <v>20319</v>
      </c>
      <c r="AE3712">
        <v>-39.647348559999998</v>
      </c>
      <c r="AF3712">
        <v>176.41498655000001</v>
      </c>
      <c r="AG3712">
        <v>12</v>
      </c>
      <c r="AH3712">
        <v>0</v>
      </c>
      <c r="AI3712">
        <v>0</v>
      </c>
      <c r="AJ3712">
        <v>0</v>
      </c>
      <c r="AK3712">
        <v>1</v>
      </c>
      <c r="AL3712">
        <v>2</v>
      </c>
      <c r="AM3712">
        <v>4</v>
      </c>
      <c r="AN3712">
        <v>0</v>
      </c>
      <c r="AO3712">
        <v>7</v>
      </c>
      <c r="AP3712">
        <v>7</v>
      </c>
      <c r="AQ3712">
        <v>0</v>
      </c>
      <c r="AR3712">
        <v>0</v>
      </c>
      <c r="AS3712">
        <v>0</v>
      </c>
      <c r="AT3712">
        <v>1</v>
      </c>
    </row>
    <row r="3713" spans="1:46">
      <c r="A3713">
        <v>55347</v>
      </c>
      <c r="B3713" t="s">
        <v>20320</v>
      </c>
      <c r="C3713" t="s">
        <v>20321</v>
      </c>
      <c r="D3713" t="s">
        <v>20322</v>
      </c>
      <c r="E3713" t="s">
        <v>20323</v>
      </c>
      <c r="F3713" t="s">
        <v>2630</v>
      </c>
      <c r="G3713" t="s">
        <v>2526</v>
      </c>
      <c r="H3713" t="s">
        <v>343</v>
      </c>
      <c r="J3713" t="s">
        <v>518</v>
      </c>
      <c r="K3713" t="s">
        <v>519</v>
      </c>
      <c r="L3713" t="s">
        <v>4205</v>
      </c>
      <c r="M3713" t="s">
        <v>2287</v>
      </c>
      <c r="N3713" t="s">
        <v>521</v>
      </c>
      <c r="O3713" t="s">
        <v>2527</v>
      </c>
      <c r="P3713" t="s">
        <v>584</v>
      </c>
      <c r="Q3713" t="s">
        <v>2319</v>
      </c>
      <c r="R3713" t="s">
        <v>2289</v>
      </c>
      <c r="S3713" t="s">
        <v>2528</v>
      </c>
      <c r="T3713" t="s">
        <v>1485</v>
      </c>
      <c r="U3713">
        <v>241100</v>
      </c>
      <c r="V3713" t="s">
        <v>2649</v>
      </c>
      <c r="W3713" t="s">
        <v>2529</v>
      </c>
      <c r="X3713" t="s">
        <v>10329</v>
      </c>
      <c r="Y3713" t="s">
        <v>4208</v>
      </c>
      <c r="Z3713" t="s">
        <v>4209</v>
      </c>
      <c r="AA3713" t="s">
        <v>4210</v>
      </c>
      <c r="AB3713" t="s">
        <v>10330</v>
      </c>
      <c r="AE3713">
        <v>-41.140838459999998</v>
      </c>
      <c r="AF3713">
        <v>174.8589461</v>
      </c>
      <c r="AG3713">
        <v>40</v>
      </c>
      <c r="AH3713">
        <v>9</v>
      </c>
      <c r="AI3713">
        <v>0</v>
      </c>
      <c r="AJ3713">
        <v>7</v>
      </c>
      <c r="AK3713">
        <v>3</v>
      </c>
      <c r="AL3713">
        <v>10</v>
      </c>
      <c r="AM3713">
        <v>8</v>
      </c>
      <c r="AN3713">
        <v>0</v>
      </c>
      <c r="AO3713">
        <v>28</v>
      </c>
      <c r="AP3713">
        <v>0</v>
      </c>
      <c r="AQ3713">
        <v>23</v>
      </c>
      <c r="AR3713">
        <v>5</v>
      </c>
      <c r="AS3713">
        <v>0</v>
      </c>
      <c r="AT3713">
        <v>0</v>
      </c>
    </row>
    <row r="3714" spans="1:46">
      <c r="A3714">
        <v>55348</v>
      </c>
      <c r="B3714" t="s">
        <v>20324</v>
      </c>
      <c r="C3714" t="s">
        <v>20325</v>
      </c>
      <c r="D3714" t="s">
        <v>20326</v>
      </c>
      <c r="E3714" t="s">
        <v>20327</v>
      </c>
      <c r="F3714" t="s">
        <v>13223</v>
      </c>
      <c r="G3714" t="s">
        <v>2289</v>
      </c>
      <c r="H3714" t="s">
        <v>3942</v>
      </c>
      <c r="J3714" t="s">
        <v>3962</v>
      </c>
      <c r="K3714" t="s">
        <v>519</v>
      </c>
      <c r="M3714" t="s">
        <v>2287</v>
      </c>
      <c r="N3714" t="s">
        <v>571</v>
      </c>
      <c r="O3714" t="s">
        <v>2536</v>
      </c>
      <c r="P3714" t="s">
        <v>654</v>
      </c>
      <c r="Q3714" t="s">
        <v>2319</v>
      </c>
      <c r="R3714" t="s">
        <v>2289</v>
      </c>
      <c r="S3714" t="s">
        <v>2553</v>
      </c>
      <c r="T3714" t="s">
        <v>2448</v>
      </c>
      <c r="U3714">
        <v>250100</v>
      </c>
      <c r="V3714" t="s">
        <v>13223</v>
      </c>
      <c r="W3714" t="s">
        <v>2561</v>
      </c>
      <c r="X3714" t="s">
        <v>20328</v>
      </c>
      <c r="Y3714" t="s">
        <v>20329</v>
      </c>
      <c r="Z3714" t="s">
        <v>2597</v>
      </c>
      <c r="AA3714" t="s">
        <v>12404</v>
      </c>
      <c r="AC3714">
        <v>99213</v>
      </c>
      <c r="AD3714" t="s">
        <v>20330</v>
      </c>
      <c r="AE3714">
        <v>-41.27146166</v>
      </c>
      <c r="AF3714">
        <v>174.75502510999999</v>
      </c>
      <c r="AG3714">
        <v>34</v>
      </c>
      <c r="AH3714">
        <v>0</v>
      </c>
      <c r="AI3714">
        <v>0</v>
      </c>
      <c r="AJ3714">
        <v>0</v>
      </c>
      <c r="AK3714">
        <v>16</v>
      </c>
      <c r="AL3714">
        <v>8</v>
      </c>
      <c r="AM3714">
        <v>15</v>
      </c>
      <c r="AN3714">
        <v>0</v>
      </c>
      <c r="AO3714">
        <v>39</v>
      </c>
      <c r="AP3714">
        <v>38</v>
      </c>
      <c r="AQ3714">
        <v>2</v>
      </c>
      <c r="AR3714">
        <v>1</v>
      </c>
      <c r="AS3714">
        <v>5</v>
      </c>
      <c r="AT3714">
        <v>1</v>
      </c>
    </row>
    <row r="3715" spans="1:46">
      <c r="A3715">
        <v>55349</v>
      </c>
      <c r="B3715" t="s">
        <v>20331</v>
      </c>
      <c r="C3715" t="s">
        <v>20332</v>
      </c>
      <c r="D3715" t="s">
        <v>20333</v>
      </c>
      <c r="E3715" t="s">
        <v>20334</v>
      </c>
      <c r="G3715" t="s">
        <v>20335</v>
      </c>
      <c r="H3715" t="s">
        <v>517</v>
      </c>
      <c r="J3715" t="s">
        <v>518</v>
      </c>
      <c r="K3715" t="s">
        <v>519</v>
      </c>
      <c r="M3715" t="s">
        <v>1297</v>
      </c>
      <c r="N3715" t="s">
        <v>571</v>
      </c>
      <c r="O3715" t="s">
        <v>2198</v>
      </c>
      <c r="P3715" t="s">
        <v>572</v>
      </c>
      <c r="Q3715" t="s">
        <v>2118</v>
      </c>
      <c r="R3715" t="s">
        <v>2084</v>
      </c>
      <c r="S3715" t="s">
        <v>2119</v>
      </c>
      <c r="T3715" t="s">
        <v>2085</v>
      </c>
      <c r="U3715">
        <v>208001</v>
      </c>
      <c r="V3715" t="s">
        <v>20062</v>
      </c>
      <c r="W3715" t="s">
        <v>19805</v>
      </c>
      <c r="X3715" t="s">
        <v>2088</v>
      </c>
      <c r="Y3715" t="s">
        <v>2089</v>
      </c>
      <c r="AA3715" t="s">
        <v>2090</v>
      </c>
      <c r="AB3715" t="s">
        <v>2091</v>
      </c>
      <c r="AE3715">
        <v>-39.208549920000003</v>
      </c>
      <c r="AF3715">
        <v>176.88051390999999</v>
      </c>
      <c r="AG3715">
        <v>25</v>
      </c>
      <c r="AH3715">
        <v>5</v>
      </c>
      <c r="AI3715">
        <v>0</v>
      </c>
      <c r="AJ3715">
        <v>4</v>
      </c>
      <c r="AK3715">
        <v>5</v>
      </c>
      <c r="AL3715">
        <v>4</v>
      </c>
      <c r="AM3715">
        <v>1</v>
      </c>
      <c r="AN3715">
        <v>1</v>
      </c>
      <c r="AO3715">
        <v>15</v>
      </c>
      <c r="AP3715">
        <v>13</v>
      </c>
      <c r="AQ3715">
        <v>8</v>
      </c>
      <c r="AR3715">
        <v>0</v>
      </c>
      <c r="AS3715">
        <v>2</v>
      </c>
      <c r="AT3715">
        <v>0</v>
      </c>
    </row>
    <row r="3716" spans="1:46">
      <c r="A3716">
        <v>55352</v>
      </c>
      <c r="B3716" t="s">
        <v>20336</v>
      </c>
      <c r="C3716" t="s">
        <v>20337</v>
      </c>
      <c r="D3716" t="s">
        <v>20338</v>
      </c>
      <c r="E3716" t="s">
        <v>20339</v>
      </c>
      <c r="G3716" t="s">
        <v>19902</v>
      </c>
      <c r="H3716" t="s">
        <v>3942</v>
      </c>
      <c r="J3716" t="s">
        <v>518</v>
      </c>
      <c r="K3716" t="s">
        <v>519</v>
      </c>
      <c r="M3716" t="s">
        <v>1297</v>
      </c>
      <c r="N3716" t="s">
        <v>571</v>
      </c>
      <c r="O3716" t="s">
        <v>2198</v>
      </c>
      <c r="P3716" t="s">
        <v>572</v>
      </c>
      <c r="Q3716" t="s">
        <v>2118</v>
      </c>
      <c r="R3716" t="s">
        <v>2084</v>
      </c>
      <c r="S3716" t="s">
        <v>2119</v>
      </c>
      <c r="T3716" t="s">
        <v>2085</v>
      </c>
      <c r="U3716">
        <v>208301</v>
      </c>
      <c r="V3716" t="s">
        <v>19903</v>
      </c>
      <c r="W3716" t="s">
        <v>19805</v>
      </c>
      <c r="X3716" t="s">
        <v>20340</v>
      </c>
      <c r="Y3716" t="s">
        <v>20341</v>
      </c>
      <c r="Z3716" t="s">
        <v>20342</v>
      </c>
      <c r="AA3716" t="s">
        <v>20343</v>
      </c>
      <c r="AB3716" t="s">
        <v>20344</v>
      </c>
      <c r="AC3716">
        <v>99217</v>
      </c>
      <c r="AD3716" t="s">
        <v>2141</v>
      </c>
      <c r="AE3716">
        <v>-39.50777566</v>
      </c>
      <c r="AF3716">
        <v>176.79136054</v>
      </c>
      <c r="AG3716">
        <v>27</v>
      </c>
      <c r="AH3716">
        <v>0</v>
      </c>
      <c r="AI3716">
        <v>0</v>
      </c>
      <c r="AJ3716">
        <v>0</v>
      </c>
      <c r="AK3716">
        <v>9</v>
      </c>
      <c r="AL3716">
        <v>10</v>
      </c>
      <c r="AM3716">
        <v>14</v>
      </c>
      <c r="AN3716">
        <v>0</v>
      </c>
      <c r="AO3716">
        <v>33</v>
      </c>
      <c r="AP3716">
        <v>32</v>
      </c>
      <c r="AQ3716">
        <v>7</v>
      </c>
      <c r="AR3716">
        <v>4</v>
      </c>
      <c r="AS3716">
        <v>0</v>
      </c>
      <c r="AT3716">
        <v>0</v>
      </c>
    </row>
    <row r="3717" spans="1:46">
      <c r="A3717">
        <v>55355</v>
      </c>
      <c r="B3717" t="s">
        <v>20345</v>
      </c>
      <c r="C3717" t="s">
        <v>20346</v>
      </c>
      <c r="D3717" t="s">
        <v>20347</v>
      </c>
      <c r="E3717" t="s">
        <v>20348</v>
      </c>
      <c r="G3717" t="s">
        <v>2317</v>
      </c>
      <c r="H3717" t="s">
        <v>3942</v>
      </c>
      <c r="J3717" t="s">
        <v>3962</v>
      </c>
      <c r="K3717" t="s">
        <v>519</v>
      </c>
      <c r="M3717" t="s">
        <v>2287</v>
      </c>
      <c r="N3717" t="s">
        <v>571</v>
      </c>
      <c r="O3717" t="s">
        <v>2318</v>
      </c>
      <c r="P3717" t="s">
        <v>1262</v>
      </c>
      <c r="Q3717" t="s">
        <v>2319</v>
      </c>
      <c r="R3717" t="s">
        <v>2289</v>
      </c>
      <c r="S3717" t="s">
        <v>2269</v>
      </c>
      <c r="T3717" t="s">
        <v>2085</v>
      </c>
      <c r="U3717">
        <v>256100</v>
      </c>
      <c r="V3717" t="s">
        <v>2327</v>
      </c>
      <c r="W3717" t="s">
        <v>2321</v>
      </c>
      <c r="X3717" t="s">
        <v>20349</v>
      </c>
      <c r="Y3717" t="s">
        <v>20348</v>
      </c>
      <c r="Z3717" t="s">
        <v>2317</v>
      </c>
      <c r="AA3717" t="s">
        <v>11932</v>
      </c>
      <c r="AB3717" t="s">
        <v>20346</v>
      </c>
      <c r="AC3717">
        <v>99204</v>
      </c>
      <c r="AD3717" t="s">
        <v>2322</v>
      </c>
      <c r="AE3717">
        <v>-40.947690690000002</v>
      </c>
      <c r="AF3717">
        <v>175.65067267000001</v>
      </c>
      <c r="AG3717">
        <v>24</v>
      </c>
      <c r="AH3717">
        <v>10</v>
      </c>
      <c r="AI3717">
        <v>3</v>
      </c>
      <c r="AJ3717">
        <v>4</v>
      </c>
      <c r="AK3717">
        <v>10</v>
      </c>
      <c r="AL3717">
        <v>8</v>
      </c>
      <c r="AM3717">
        <v>7</v>
      </c>
      <c r="AN3717">
        <v>0</v>
      </c>
      <c r="AO3717">
        <v>32</v>
      </c>
      <c r="AP3717">
        <v>30</v>
      </c>
      <c r="AQ3717">
        <v>6</v>
      </c>
      <c r="AR3717">
        <v>0</v>
      </c>
      <c r="AS3717">
        <v>0</v>
      </c>
      <c r="AT3717">
        <v>0</v>
      </c>
    </row>
    <row r="3718" spans="1:46">
      <c r="A3718">
        <v>55358</v>
      </c>
      <c r="B3718" t="s">
        <v>20350</v>
      </c>
      <c r="C3718" t="s">
        <v>20351</v>
      </c>
      <c r="D3718" t="s">
        <v>20352</v>
      </c>
      <c r="E3718" t="s">
        <v>20353</v>
      </c>
      <c r="F3718" t="s">
        <v>2223</v>
      </c>
      <c r="G3718" t="s">
        <v>2197</v>
      </c>
      <c r="H3718" t="s">
        <v>343</v>
      </c>
      <c r="J3718" t="s">
        <v>518</v>
      </c>
      <c r="K3718" t="s">
        <v>519</v>
      </c>
      <c r="L3718" t="s">
        <v>4205</v>
      </c>
      <c r="M3718" t="s">
        <v>1297</v>
      </c>
      <c r="N3718" t="s">
        <v>727</v>
      </c>
      <c r="O3718" t="s">
        <v>2198</v>
      </c>
      <c r="P3718" t="s">
        <v>584</v>
      </c>
      <c r="Q3718" t="s">
        <v>2118</v>
      </c>
      <c r="R3718" t="s">
        <v>2084</v>
      </c>
      <c r="S3718" t="s">
        <v>2199</v>
      </c>
      <c r="T3718" t="s">
        <v>2085</v>
      </c>
      <c r="U3718">
        <v>208800</v>
      </c>
      <c r="V3718" t="s">
        <v>12922</v>
      </c>
      <c r="W3718" t="s">
        <v>2225</v>
      </c>
      <c r="X3718" t="s">
        <v>8804</v>
      </c>
      <c r="Y3718" t="s">
        <v>4208</v>
      </c>
      <c r="Z3718" t="s">
        <v>4209</v>
      </c>
      <c r="AA3718" t="s">
        <v>4210</v>
      </c>
      <c r="AB3718" t="s">
        <v>8805</v>
      </c>
      <c r="AE3718">
        <v>-39.616549499999998</v>
      </c>
      <c r="AF3718">
        <v>176.77161380000001</v>
      </c>
      <c r="AG3718">
        <v>20</v>
      </c>
      <c r="AH3718">
        <v>8</v>
      </c>
      <c r="AI3718">
        <v>2</v>
      </c>
      <c r="AJ3718">
        <v>7</v>
      </c>
      <c r="AK3718">
        <v>5</v>
      </c>
      <c r="AL3718">
        <v>3</v>
      </c>
      <c r="AM3718">
        <v>3</v>
      </c>
      <c r="AN3718">
        <v>0</v>
      </c>
      <c r="AO3718">
        <v>20</v>
      </c>
      <c r="AP3718">
        <v>0</v>
      </c>
      <c r="AQ3718">
        <v>17</v>
      </c>
      <c r="AR3718">
        <v>3</v>
      </c>
      <c r="AS3718">
        <v>0</v>
      </c>
      <c r="AT3718">
        <v>0</v>
      </c>
    </row>
    <row r="3719" spans="1:46">
      <c r="A3719">
        <v>55359</v>
      </c>
      <c r="B3719" t="s">
        <v>20354</v>
      </c>
      <c r="C3719" t="s">
        <v>20355</v>
      </c>
      <c r="D3719" t="s">
        <v>20356</v>
      </c>
      <c r="E3719" t="s">
        <v>20357</v>
      </c>
      <c r="F3719" t="s">
        <v>20358</v>
      </c>
      <c r="G3719" t="s">
        <v>2289</v>
      </c>
      <c r="H3719" t="s">
        <v>298</v>
      </c>
      <c r="J3719" t="s">
        <v>518</v>
      </c>
      <c r="K3719" t="s">
        <v>519</v>
      </c>
      <c r="M3719" t="s">
        <v>2287</v>
      </c>
      <c r="N3719" t="s">
        <v>571</v>
      </c>
      <c r="O3719" t="s">
        <v>2536</v>
      </c>
      <c r="P3719" t="s">
        <v>654</v>
      </c>
      <c r="Q3719" t="s">
        <v>2319</v>
      </c>
      <c r="R3719" t="s">
        <v>2289</v>
      </c>
      <c r="S3719" t="s">
        <v>2537</v>
      </c>
      <c r="T3719" t="s">
        <v>2448</v>
      </c>
      <c r="U3719">
        <v>254700</v>
      </c>
      <c r="V3719" t="s">
        <v>20358</v>
      </c>
      <c r="W3719" t="s">
        <v>2591</v>
      </c>
      <c r="X3719" t="s">
        <v>20359</v>
      </c>
      <c r="Y3719" t="s">
        <v>5187</v>
      </c>
      <c r="AA3719" t="s">
        <v>5188</v>
      </c>
      <c r="AB3719" t="s">
        <v>20360</v>
      </c>
      <c r="AE3719">
        <v>-41.332805209999997</v>
      </c>
      <c r="AF3719">
        <v>174.78804409</v>
      </c>
      <c r="AG3719">
        <v>25</v>
      </c>
      <c r="AH3719">
        <v>15</v>
      </c>
      <c r="AI3719">
        <v>3</v>
      </c>
      <c r="AJ3719">
        <v>5</v>
      </c>
      <c r="AK3719">
        <v>8</v>
      </c>
      <c r="AL3719">
        <v>3</v>
      </c>
      <c r="AM3719">
        <v>7</v>
      </c>
      <c r="AN3719">
        <v>0</v>
      </c>
      <c r="AO3719">
        <v>26</v>
      </c>
      <c r="AP3719">
        <v>25</v>
      </c>
      <c r="AQ3719">
        <v>2</v>
      </c>
      <c r="AR3719">
        <v>0</v>
      </c>
      <c r="AS3719">
        <v>2</v>
      </c>
      <c r="AT3719">
        <v>0</v>
      </c>
    </row>
    <row r="3720" spans="1:46">
      <c r="A3720">
        <v>55360</v>
      </c>
      <c r="B3720" t="s">
        <v>20361</v>
      </c>
      <c r="C3720" t="s">
        <v>20362</v>
      </c>
      <c r="D3720" t="s">
        <v>20363</v>
      </c>
      <c r="E3720" t="s">
        <v>20364</v>
      </c>
      <c r="F3720" t="s">
        <v>2479</v>
      </c>
      <c r="G3720" t="s">
        <v>2427</v>
      </c>
      <c r="H3720" t="s">
        <v>3942</v>
      </c>
      <c r="I3720" t="s">
        <v>4113</v>
      </c>
      <c r="J3720" t="s">
        <v>518</v>
      </c>
      <c r="K3720" t="s">
        <v>519</v>
      </c>
      <c r="M3720" t="s">
        <v>2287</v>
      </c>
      <c r="N3720" t="s">
        <v>539</v>
      </c>
      <c r="O3720" t="s">
        <v>2428</v>
      </c>
      <c r="P3720" t="s">
        <v>654</v>
      </c>
      <c r="Q3720" t="s">
        <v>2319</v>
      </c>
      <c r="R3720" t="s">
        <v>2289</v>
      </c>
      <c r="S3720" t="s">
        <v>2373</v>
      </c>
      <c r="T3720" t="s">
        <v>2085</v>
      </c>
      <c r="U3720">
        <v>245400</v>
      </c>
      <c r="V3720" t="s">
        <v>2480</v>
      </c>
      <c r="W3720" t="s">
        <v>2455</v>
      </c>
      <c r="X3720" t="s">
        <v>20365</v>
      </c>
      <c r="Y3720" t="s">
        <v>20366</v>
      </c>
      <c r="Z3720" t="s">
        <v>2479</v>
      </c>
      <c r="AA3720" t="s">
        <v>20367</v>
      </c>
      <c r="AE3720">
        <v>-41.203848399999998</v>
      </c>
      <c r="AF3720">
        <v>174.94657921000001</v>
      </c>
      <c r="AG3720">
        <v>20</v>
      </c>
      <c r="AH3720">
        <v>5</v>
      </c>
      <c r="AI3720">
        <v>0</v>
      </c>
      <c r="AJ3720">
        <v>1</v>
      </c>
      <c r="AK3720">
        <v>6</v>
      </c>
      <c r="AL3720">
        <v>3</v>
      </c>
      <c r="AM3720">
        <v>5</v>
      </c>
      <c r="AN3720">
        <v>2</v>
      </c>
      <c r="AO3720">
        <v>17</v>
      </c>
      <c r="AP3720">
        <v>13</v>
      </c>
      <c r="AQ3720">
        <v>10</v>
      </c>
      <c r="AR3720">
        <v>3</v>
      </c>
      <c r="AS3720">
        <v>1</v>
      </c>
      <c r="AT3720">
        <v>0</v>
      </c>
    </row>
    <row r="3721" spans="1:46">
      <c r="A3721">
        <v>55362</v>
      </c>
      <c r="B3721" t="s">
        <v>20368</v>
      </c>
      <c r="C3721" t="s">
        <v>20369</v>
      </c>
      <c r="D3721" t="s">
        <v>20370</v>
      </c>
      <c r="E3721" t="s">
        <v>20371</v>
      </c>
      <c r="F3721" t="s">
        <v>2668</v>
      </c>
      <c r="G3721" t="s">
        <v>2289</v>
      </c>
      <c r="H3721" t="s">
        <v>3942</v>
      </c>
      <c r="I3721" t="s">
        <v>4165</v>
      </c>
      <c r="J3721" t="s">
        <v>518</v>
      </c>
      <c r="K3721" t="s">
        <v>519</v>
      </c>
      <c r="M3721" t="s">
        <v>2287</v>
      </c>
      <c r="N3721" t="s">
        <v>571</v>
      </c>
      <c r="O3721" t="s">
        <v>2536</v>
      </c>
      <c r="P3721" t="s">
        <v>654</v>
      </c>
      <c r="Q3721" t="s">
        <v>2319</v>
      </c>
      <c r="R3721" t="s">
        <v>2289</v>
      </c>
      <c r="S3721" t="s">
        <v>2537</v>
      </c>
      <c r="T3721" t="s">
        <v>2448</v>
      </c>
      <c r="U3721">
        <v>252900</v>
      </c>
      <c r="V3721" t="s">
        <v>2669</v>
      </c>
      <c r="W3721" t="s">
        <v>2538</v>
      </c>
      <c r="X3721" t="s">
        <v>20372</v>
      </c>
      <c r="Y3721" t="s">
        <v>20373</v>
      </c>
      <c r="Z3721" t="s">
        <v>2668</v>
      </c>
      <c r="AA3721" t="s">
        <v>20374</v>
      </c>
      <c r="AE3721">
        <v>-41.31153553</v>
      </c>
      <c r="AF3721">
        <v>174.78058103000001</v>
      </c>
      <c r="AG3721">
        <v>25</v>
      </c>
      <c r="AH3721">
        <v>5</v>
      </c>
      <c r="AI3721">
        <v>0</v>
      </c>
      <c r="AJ3721">
        <v>5</v>
      </c>
      <c r="AK3721">
        <v>9</v>
      </c>
      <c r="AL3721">
        <v>3</v>
      </c>
      <c r="AM3721">
        <v>5</v>
      </c>
      <c r="AN3721">
        <v>0</v>
      </c>
      <c r="AO3721">
        <v>22</v>
      </c>
      <c r="AP3721">
        <v>7</v>
      </c>
      <c r="AQ3721">
        <v>4</v>
      </c>
      <c r="AR3721">
        <v>19</v>
      </c>
      <c r="AS3721">
        <v>4</v>
      </c>
      <c r="AT3721">
        <v>0</v>
      </c>
    </row>
    <row r="3722" spans="1:46">
      <c r="A3722">
        <v>55363</v>
      </c>
      <c r="B3722" t="s">
        <v>20375</v>
      </c>
      <c r="C3722" t="s">
        <v>20376</v>
      </c>
      <c r="D3722" t="s">
        <v>20377</v>
      </c>
      <c r="E3722" t="s">
        <v>20378</v>
      </c>
      <c r="F3722" t="s">
        <v>9007</v>
      </c>
      <c r="G3722" t="s">
        <v>2081</v>
      </c>
      <c r="H3722" t="s">
        <v>3942</v>
      </c>
      <c r="J3722" t="s">
        <v>3962</v>
      </c>
      <c r="K3722" t="s">
        <v>519</v>
      </c>
      <c r="M3722" t="s">
        <v>1297</v>
      </c>
      <c r="N3722" t="s">
        <v>571</v>
      </c>
      <c r="O3722" t="s">
        <v>2082</v>
      </c>
      <c r="P3722" t="s">
        <v>584</v>
      </c>
      <c r="Q3722" t="s">
        <v>2083</v>
      </c>
      <c r="R3722" t="s">
        <v>2084</v>
      </c>
      <c r="S3722" t="s">
        <v>1473</v>
      </c>
      <c r="T3722" t="s">
        <v>2085</v>
      </c>
      <c r="U3722">
        <v>206400</v>
      </c>
      <c r="V3722" t="s">
        <v>15817</v>
      </c>
      <c r="W3722" t="s">
        <v>2087</v>
      </c>
      <c r="X3722" t="s">
        <v>20379</v>
      </c>
      <c r="Y3722" t="s">
        <v>9006</v>
      </c>
      <c r="Z3722" t="s">
        <v>16321</v>
      </c>
      <c r="AA3722" t="s">
        <v>2090</v>
      </c>
      <c r="AB3722" t="s">
        <v>20376</v>
      </c>
      <c r="AC3722">
        <v>99082</v>
      </c>
      <c r="AD3722" t="s">
        <v>2092</v>
      </c>
      <c r="AE3722">
        <v>-38.656196770000001</v>
      </c>
      <c r="AF3722">
        <v>178.01052179999999</v>
      </c>
      <c r="AG3722">
        <v>57</v>
      </c>
      <c r="AH3722">
        <v>15</v>
      </c>
      <c r="AI3722">
        <v>2</v>
      </c>
      <c r="AJ3722">
        <v>11</v>
      </c>
      <c r="AK3722">
        <v>19</v>
      </c>
      <c r="AL3722">
        <v>16</v>
      </c>
      <c r="AM3722">
        <v>16</v>
      </c>
      <c r="AN3722">
        <v>1</v>
      </c>
      <c r="AO3722">
        <v>65</v>
      </c>
      <c r="AP3722">
        <v>60</v>
      </c>
      <c r="AQ3722">
        <v>22</v>
      </c>
      <c r="AR3722">
        <v>2</v>
      </c>
      <c r="AS3722">
        <v>0</v>
      </c>
      <c r="AT3722">
        <v>2</v>
      </c>
    </row>
    <row r="3723" spans="1:46">
      <c r="A3723">
        <v>55364</v>
      </c>
      <c r="B3723" t="s">
        <v>20380</v>
      </c>
      <c r="C3723" t="s">
        <v>20381</v>
      </c>
      <c r="D3723" t="s">
        <v>20382</v>
      </c>
      <c r="E3723" t="s">
        <v>20383</v>
      </c>
      <c r="F3723" t="s">
        <v>19008</v>
      </c>
      <c r="G3723" t="s">
        <v>2289</v>
      </c>
      <c r="H3723" t="s">
        <v>3942</v>
      </c>
      <c r="J3723" t="s">
        <v>518</v>
      </c>
      <c r="K3723" t="s">
        <v>519</v>
      </c>
      <c r="M3723" t="s">
        <v>2287</v>
      </c>
      <c r="N3723" t="s">
        <v>571</v>
      </c>
      <c r="O3723" t="s">
        <v>2536</v>
      </c>
      <c r="P3723" t="s">
        <v>654</v>
      </c>
      <c r="Q3723" t="s">
        <v>2319</v>
      </c>
      <c r="R3723" t="s">
        <v>2289</v>
      </c>
      <c r="S3723" t="s">
        <v>2537</v>
      </c>
      <c r="T3723" t="s">
        <v>2448</v>
      </c>
      <c r="U3723">
        <v>254200</v>
      </c>
      <c r="V3723" t="s">
        <v>20384</v>
      </c>
      <c r="W3723" t="s">
        <v>2591</v>
      </c>
      <c r="X3723" t="s">
        <v>10434</v>
      </c>
      <c r="Y3723" t="s">
        <v>3944</v>
      </c>
      <c r="Z3723" t="s">
        <v>3945</v>
      </c>
      <c r="AA3723" t="s">
        <v>3946</v>
      </c>
      <c r="AC3723">
        <v>99141</v>
      </c>
      <c r="AD3723" t="s">
        <v>2592</v>
      </c>
      <c r="AE3723">
        <v>-41.319619359999997</v>
      </c>
      <c r="AF3723">
        <v>174.80269741000001</v>
      </c>
      <c r="AG3723">
        <v>29</v>
      </c>
      <c r="AH3723">
        <v>0</v>
      </c>
      <c r="AI3723">
        <v>0</v>
      </c>
      <c r="AJ3723">
        <v>0</v>
      </c>
      <c r="AK3723">
        <v>9</v>
      </c>
      <c r="AL3723">
        <v>8</v>
      </c>
      <c r="AM3723">
        <v>12</v>
      </c>
      <c r="AN3723">
        <v>0</v>
      </c>
      <c r="AO3723">
        <v>29</v>
      </c>
      <c r="AP3723">
        <v>11</v>
      </c>
      <c r="AQ3723">
        <v>7</v>
      </c>
      <c r="AR3723">
        <v>4</v>
      </c>
      <c r="AS3723">
        <v>8</v>
      </c>
      <c r="AT3723">
        <v>12</v>
      </c>
    </row>
    <row r="3724" spans="1:46">
      <c r="A3724">
        <v>55365</v>
      </c>
      <c r="B3724" t="s">
        <v>20385</v>
      </c>
      <c r="C3724" t="s">
        <v>20386</v>
      </c>
      <c r="D3724" t="s">
        <v>20387</v>
      </c>
      <c r="E3724" t="s">
        <v>20388</v>
      </c>
      <c r="F3724" t="s">
        <v>2203</v>
      </c>
      <c r="G3724" t="s">
        <v>2197</v>
      </c>
      <c r="H3724" t="s">
        <v>3942</v>
      </c>
      <c r="J3724" t="s">
        <v>3962</v>
      </c>
      <c r="K3724" t="s">
        <v>519</v>
      </c>
      <c r="M3724" t="s">
        <v>1297</v>
      </c>
      <c r="N3724" t="s">
        <v>539</v>
      </c>
      <c r="O3724" t="s">
        <v>2198</v>
      </c>
      <c r="P3724" t="s">
        <v>584</v>
      </c>
      <c r="Q3724" t="s">
        <v>2118</v>
      </c>
      <c r="R3724" t="s">
        <v>2084</v>
      </c>
      <c r="S3724" t="s">
        <v>2199</v>
      </c>
      <c r="T3724" t="s">
        <v>2085</v>
      </c>
      <c r="U3724">
        <v>210600</v>
      </c>
      <c r="V3724" t="s">
        <v>19870</v>
      </c>
      <c r="W3724" t="s">
        <v>2200</v>
      </c>
      <c r="X3724" t="s">
        <v>20389</v>
      </c>
      <c r="Y3724" t="s">
        <v>20390</v>
      </c>
      <c r="Z3724" t="s">
        <v>20391</v>
      </c>
      <c r="AA3724" t="s">
        <v>2204</v>
      </c>
      <c r="AB3724" t="s">
        <v>20392</v>
      </c>
      <c r="AE3724">
        <v>-39.635397810000001</v>
      </c>
      <c r="AF3724">
        <v>176.85398536</v>
      </c>
      <c r="AG3724">
        <v>35</v>
      </c>
      <c r="AH3724">
        <v>15</v>
      </c>
      <c r="AI3724">
        <v>2</v>
      </c>
      <c r="AJ3724">
        <v>11</v>
      </c>
      <c r="AK3724">
        <v>11</v>
      </c>
      <c r="AL3724">
        <v>1</v>
      </c>
      <c r="AM3724">
        <v>0</v>
      </c>
      <c r="AN3724">
        <v>0</v>
      </c>
      <c r="AO3724">
        <v>25</v>
      </c>
      <c r="AP3724">
        <v>6</v>
      </c>
      <c r="AQ3724">
        <v>24</v>
      </c>
      <c r="AR3724">
        <v>5</v>
      </c>
      <c r="AS3724">
        <v>0</v>
      </c>
      <c r="AT3724">
        <v>0</v>
      </c>
    </row>
    <row r="3725" spans="1:46">
      <c r="A3725">
        <v>55366</v>
      </c>
      <c r="B3725" t="s">
        <v>20393</v>
      </c>
      <c r="C3725" t="s">
        <v>20394</v>
      </c>
      <c r="D3725" t="s">
        <v>20395</v>
      </c>
      <c r="E3725" t="s">
        <v>20396</v>
      </c>
      <c r="G3725" t="s">
        <v>2286</v>
      </c>
      <c r="H3725" t="s">
        <v>3942</v>
      </c>
      <c r="J3725" t="s">
        <v>3962</v>
      </c>
      <c r="K3725" t="s">
        <v>519</v>
      </c>
      <c r="M3725" t="s">
        <v>2287</v>
      </c>
      <c r="N3725" t="s">
        <v>539</v>
      </c>
      <c r="O3725" t="s">
        <v>2288</v>
      </c>
      <c r="P3725" t="s">
        <v>523</v>
      </c>
      <c r="Q3725" t="s">
        <v>1636</v>
      </c>
      <c r="R3725" t="s">
        <v>2289</v>
      </c>
      <c r="S3725" t="s">
        <v>2269</v>
      </c>
      <c r="T3725" t="s">
        <v>2085</v>
      </c>
      <c r="U3725">
        <v>233300</v>
      </c>
      <c r="V3725" t="s">
        <v>2301</v>
      </c>
      <c r="W3725" t="s">
        <v>2291</v>
      </c>
      <c r="X3725" t="s">
        <v>20397</v>
      </c>
      <c r="Y3725" t="s">
        <v>20398</v>
      </c>
      <c r="AA3725" t="s">
        <v>20399</v>
      </c>
      <c r="AB3725" t="s">
        <v>20394</v>
      </c>
      <c r="AC3725">
        <v>99047</v>
      </c>
      <c r="AD3725" t="s">
        <v>2296</v>
      </c>
      <c r="AE3725">
        <v>-40.203904770000001</v>
      </c>
      <c r="AF3725">
        <v>176.10848670999999</v>
      </c>
      <c r="AG3725">
        <v>23</v>
      </c>
      <c r="AH3725">
        <v>10</v>
      </c>
      <c r="AI3725">
        <v>2</v>
      </c>
      <c r="AJ3725">
        <v>7</v>
      </c>
      <c r="AK3725">
        <v>6</v>
      </c>
      <c r="AL3725">
        <v>10</v>
      </c>
      <c r="AM3725">
        <v>2</v>
      </c>
      <c r="AN3725">
        <v>0</v>
      </c>
      <c r="AO3725">
        <v>27</v>
      </c>
      <c r="AP3725">
        <v>12</v>
      </c>
      <c r="AQ3725">
        <v>13</v>
      </c>
      <c r="AR3725">
        <v>3</v>
      </c>
      <c r="AS3725">
        <v>3</v>
      </c>
      <c r="AT3725">
        <v>6</v>
      </c>
    </row>
    <row r="3726" spans="1:46">
      <c r="A3726">
        <v>55367</v>
      </c>
      <c r="B3726" t="s">
        <v>20400</v>
      </c>
      <c r="C3726" t="s">
        <v>20401</v>
      </c>
      <c r="D3726" t="s">
        <v>20402</v>
      </c>
      <c r="E3726" t="s">
        <v>20403</v>
      </c>
      <c r="F3726" t="s">
        <v>2223</v>
      </c>
      <c r="G3726" t="s">
        <v>2197</v>
      </c>
      <c r="H3726" t="s">
        <v>343</v>
      </c>
      <c r="J3726" t="s">
        <v>518</v>
      </c>
      <c r="K3726" t="s">
        <v>519</v>
      </c>
      <c r="L3726" t="s">
        <v>4205</v>
      </c>
      <c r="M3726" t="s">
        <v>1297</v>
      </c>
      <c r="N3726" t="s">
        <v>727</v>
      </c>
      <c r="O3726" t="s">
        <v>2198</v>
      </c>
      <c r="P3726" t="s">
        <v>584</v>
      </c>
      <c r="Q3726" t="s">
        <v>2118</v>
      </c>
      <c r="R3726" t="s">
        <v>2084</v>
      </c>
      <c r="S3726" t="s">
        <v>2199</v>
      </c>
      <c r="T3726" t="s">
        <v>2085</v>
      </c>
      <c r="U3726">
        <v>208800</v>
      </c>
      <c r="V3726" t="s">
        <v>12922</v>
      </c>
      <c r="W3726" t="s">
        <v>2225</v>
      </c>
      <c r="X3726" t="s">
        <v>19889</v>
      </c>
      <c r="Y3726" t="s">
        <v>4208</v>
      </c>
      <c r="Z3726" t="s">
        <v>4209</v>
      </c>
      <c r="AA3726" t="s">
        <v>4210</v>
      </c>
      <c r="AB3726" t="s">
        <v>8805</v>
      </c>
      <c r="AE3726">
        <v>-39.61445621</v>
      </c>
      <c r="AF3726">
        <v>176.76916686999999</v>
      </c>
      <c r="AG3726">
        <v>18</v>
      </c>
      <c r="AH3726">
        <v>8</v>
      </c>
      <c r="AI3726">
        <v>0</v>
      </c>
      <c r="AJ3726">
        <v>5</v>
      </c>
      <c r="AK3726">
        <v>5</v>
      </c>
      <c r="AL3726">
        <v>5</v>
      </c>
      <c r="AM3726">
        <v>3</v>
      </c>
      <c r="AN3726">
        <v>0</v>
      </c>
      <c r="AO3726">
        <v>18</v>
      </c>
      <c r="AP3726">
        <v>0</v>
      </c>
      <c r="AQ3726">
        <v>13</v>
      </c>
      <c r="AR3726">
        <v>5</v>
      </c>
      <c r="AS3726">
        <v>0</v>
      </c>
      <c r="AT3726">
        <v>0</v>
      </c>
    </row>
    <row r="3727" spans="1:46">
      <c r="A3727">
        <v>55371</v>
      </c>
      <c r="B3727" t="s">
        <v>20404</v>
      </c>
      <c r="C3727" t="s">
        <v>20405</v>
      </c>
      <c r="D3727" t="s">
        <v>20406</v>
      </c>
      <c r="E3727" t="s">
        <v>20407</v>
      </c>
      <c r="G3727" t="s">
        <v>2317</v>
      </c>
      <c r="H3727" t="s">
        <v>3942</v>
      </c>
      <c r="J3727" t="s">
        <v>3962</v>
      </c>
      <c r="K3727" t="s">
        <v>519</v>
      </c>
      <c r="M3727" t="s">
        <v>2287</v>
      </c>
      <c r="N3727" t="s">
        <v>571</v>
      </c>
      <c r="O3727" t="s">
        <v>2318</v>
      </c>
      <c r="P3727" t="s">
        <v>1262</v>
      </c>
      <c r="Q3727" t="s">
        <v>2319</v>
      </c>
      <c r="R3727" t="s">
        <v>2289</v>
      </c>
      <c r="S3727" t="s">
        <v>2269</v>
      </c>
      <c r="T3727" t="s">
        <v>2085</v>
      </c>
      <c r="U3727">
        <v>255900</v>
      </c>
      <c r="V3727" t="s">
        <v>11982</v>
      </c>
      <c r="W3727" t="s">
        <v>2321</v>
      </c>
      <c r="X3727" t="s">
        <v>20408</v>
      </c>
      <c r="Y3727" t="s">
        <v>20409</v>
      </c>
      <c r="AA3727" t="s">
        <v>11932</v>
      </c>
      <c r="AB3727" t="s">
        <v>20410</v>
      </c>
      <c r="AC3727">
        <v>99204</v>
      </c>
      <c r="AD3727" t="s">
        <v>2322</v>
      </c>
      <c r="AE3727">
        <v>-40.942572570000003</v>
      </c>
      <c r="AF3727">
        <v>175.65777829999999</v>
      </c>
      <c r="AG3727">
        <v>33</v>
      </c>
      <c r="AH3727">
        <v>0</v>
      </c>
      <c r="AI3727">
        <v>0</v>
      </c>
      <c r="AJ3727">
        <v>0</v>
      </c>
      <c r="AK3727">
        <v>6</v>
      </c>
      <c r="AL3727">
        <v>18</v>
      </c>
      <c r="AM3727">
        <v>17</v>
      </c>
      <c r="AN3727">
        <v>1</v>
      </c>
      <c r="AO3727">
        <v>42</v>
      </c>
      <c r="AP3727">
        <v>33</v>
      </c>
      <c r="AQ3727">
        <v>9</v>
      </c>
      <c r="AR3727">
        <v>0</v>
      </c>
      <c r="AS3727">
        <v>9</v>
      </c>
      <c r="AT3727">
        <v>1</v>
      </c>
    </row>
    <row r="3728" spans="1:46">
      <c r="A3728">
        <v>55372</v>
      </c>
      <c r="B3728" t="s">
        <v>20411</v>
      </c>
      <c r="C3728" t="s">
        <v>20412</v>
      </c>
      <c r="D3728" t="s">
        <v>20413</v>
      </c>
      <c r="E3728" t="s">
        <v>20414</v>
      </c>
      <c r="F3728" t="s">
        <v>2441</v>
      </c>
      <c r="G3728" t="s">
        <v>2427</v>
      </c>
      <c r="H3728" t="s">
        <v>3942</v>
      </c>
      <c r="I3728" t="s">
        <v>4113</v>
      </c>
      <c r="J3728" t="s">
        <v>518</v>
      </c>
      <c r="K3728" t="s">
        <v>519</v>
      </c>
      <c r="M3728" t="s">
        <v>2287</v>
      </c>
      <c r="N3728" t="s">
        <v>571</v>
      </c>
      <c r="O3728" t="s">
        <v>2428</v>
      </c>
      <c r="P3728" t="s">
        <v>654</v>
      </c>
      <c r="Q3728" t="s">
        <v>2319</v>
      </c>
      <c r="R3728" t="s">
        <v>2289</v>
      </c>
      <c r="S3728" t="s">
        <v>2429</v>
      </c>
      <c r="T3728" t="s">
        <v>2448</v>
      </c>
      <c r="U3728">
        <v>245100</v>
      </c>
      <c r="V3728" t="s">
        <v>2449</v>
      </c>
      <c r="W3728" t="s">
        <v>2443</v>
      </c>
      <c r="X3728" t="s">
        <v>20415</v>
      </c>
      <c r="Y3728" t="s">
        <v>20414</v>
      </c>
      <c r="Z3728" t="s">
        <v>2427</v>
      </c>
      <c r="AA3728" t="s">
        <v>20416</v>
      </c>
      <c r="AB3728" t="s">
        <v>20417</v>
      </c>
      <c r="AE3728">
        <v>-41.206727659999999</v>
      </c>
      <c r="AF3728">
        <v>174.92760881000001</v>
      </c>
      <c r="AG3728">
        <v>5</v>
      </c>
      <c r="AH3728">
        <v>5</v>
      </c>
      <c r="AI3728">
        <v>0</v>
      </c>
      <c r="AJ3728">
        <v>2</v>
      </c>
      <c r="AK3728">
        <v>5</v>
      </c>
      <c r="AL3728">
        <v>15</v>
      </c>
      <c r="AM3728">
        <v>8</v>
      </c>
      <c r="AN3728">
        <v>0</v>
      </c>
      <c r="AO3728">
        <v>30</v>
      </c>
      <c r="AP3728">
        <v>23</v>
      </c>
      <c r="AQ3728">
        <v>3</v>
      </c>
      <c r="AR3728">
        <v>2</v>
      </c>
      <c r="AS3728">
        <v>9</v>
      </c>
      <c r="AT3728">
        <v>1</v>
      </c>
    </row>
    <row r="3729" spans="1:46">
      <c r="A3729">
        <v>55374</v>
      </c>
      <c r="B3729" t="s">
        <v>20418</v>
      </c>
      <c r="C3729" t="s">
        <v>20419</v>
      </c>
      <c r="D3729" t="s">
        <v>20420</v>
      </c>
      <c r="E3729" t="s">
        <v>20421</v>
      </c>
      <c r="F3729" t="s">
        <v>2767</v>
      </c>
      <c r="G3729" t="s">
        <v>2526</v>
      </c>
      <c r="H3729" t="s">
        <v>3942</v>
      </c>
      <c r="I3729" t="s">
        <v>4165</v>
      </c>
      <c r="J3729" t="s">
        <v>518</v>
      </c>
      <c r="K3729" t="s">
        <v>519</v>
      </c>
      <c r="M3729" t="s">
        <v>2287</v>
      </c>
      <c r="N3729" t="s">
        <v>539</v>
      </c>
      <c r="O3729" t="s">
        <v>2527</v>
      </c>
      <c r="P3729" t="s">
        <v>584</v>
      </c>
      <c r="Q3729" t="s">
        <v>2319</v>
      </c>
      <c r="R3729" t="s">
        <v>2289</v>
      </c>
      <c r="S3729" t="s">
        <v>2528</v>
      </c>
      <c r="T3729" t="s">
        <v>1485</v>
      </c>
      <c r="U3729">
        <v>240801</v>
      </c>
      <c r="V3729" t="s">
        <v>2768</v>
      </c>
      <c r="W3729" t="s">
        <v>2529</v>
      </c>
      <c r="X3729" t="s">
        <v>20422</v>
      </c>
      <c r="Y3729" t="s">
        <v>20423</v>
      </c>
      <c r="Z3729" t="s">
        <v>2767</v>
      </c>
      <c r="AA3729" t="s">
        <v>14111</v>
      </c>
      <c r="AB3729" t="s">
        <v>20424</v>
      </c>
      <c r="AC3729">
        <v>99074</v>
      </c>
      <c r="AD3729" t="s">
        <v>2632</v>
      </c>
      <c r="AE3729">
        <v>-41.12876859</v>
      </c>
      <c r="AF3729">
        <v>174.87610673</v>
      </c>
      <c r="AG3729">
        <v>72</v>
      </c>
      <c r="AH3729">
        <v>22</v>
      </c>
      <c r="AI3729">
        <v>1</v>
      </c>
      <c r="AJ3729">
        <v>9</v>
      </c>
      <c r="AK3729">
        <v>17</v>
      </c>
      <c r="AL3729">
        <v>10</v>
      </c>
      <c r="AM3729">
        <v>14</v>
      </c>
      <c r="AN3729">
        <v>0</v>
      </c>
      <c r="AO3729">
        <v>51</v>
      </c>
      <c r="AP3729">
        <v>10</v>
      </c>
      <c r="AQ3729">
        <v>2</v>
      </c>
      <c r="AR3729">
        <v>50</v>
      </c>
      <c r="AS3729">
        <v>1</v>
      </c>
      <c r="AT3729">
        <v>1</v>
      </c>
    </row>
    <row r="3730" spans="1:46">
      <c r="A3730">
        <v>55378</v>
      </c>
      <c r="B3730" t="s">
        <v>20425</v>
      </c>
      <c r="C3730" t="s">
        <v>20426</v>
      </c>
      <c r="D3730" t="s">
        <v>20427</v>
      </c>
      <c r="E3730" t="s">
        <v>20428</v>
      </c>
      <c r="G3730" t="s">
        <v>20429</v>
      </c>
      <c r="H3730" t="s">
        <v>343</v>
      </c>
      <c r="J3730" t="s">
        <v>518</v>
      </c>
      <c r="K3730" t="s">
        <v>519</v>
      </c>
      <c r="L3730" t="s">
        <v>4205</v>
      </c>
      <c r="M3730" t="s">
        <v>1297</v>
      </c>
      <c r="N3730" t="s">
        <v>727</v>
      </c>
      <c r="O3730" t="s">
        <v>2082</v>
      </c>
      <c r="P3730" t="s">
        <v>572</v>
      </c>
      <c r="Q3730" t="s">
        <v>2083</v>
      </c>
      <c r="R3730" t="s">
        <v>2084</v>
      </c>
      <c r="S3730" t="s">
        <v>1473</v>
      </c>
      <c r="T3730" t="s">
        <v>2085</v>
      </c>
      <c r="U3730">
        <v>204800</v>
      </c>
      <c r="V3730" t="s">
        <v>19712</v>
      </c>
      <c r="W3730" t="s">
        <v>2087</v>
      </c>
      <c r="X3730" t="s">
        <v>18128</v>
      </c>
      <c r="Y3730" t="s">
        <v>4208</v>
      </c>
      <c r="Z3730" t="s">
        <v>4209</v>
      </c>
      <c r="AA3730" t="s">
        <v>4210</v>
      </c>
      <c r="AB3730" t="s">
        <v>18129</v>
      </c>
      <c r="AE3730">
        <v>-38.383770200000001</v>
      </c>
      <c r="AF3730">
        <v>177.82759565000001</v>
      </c>
      <c r="AG3730">
        <v>15</v>
      </c>
      <c r="AH3730">
        <v>5</v>
      </c>
      <c r="AI3730">
        <v>0</v>
      </c>
      <c r="AJ3730">
        <v>1</v>
      </c>
      <c r="AK3730">
        <v>1</v>
      </c>
      <c r="AL3730">
        <v>1</v>
      </c>
      <c r="AM3730">
        <v>0</v>
      </c>
      <c r="AN3730">
        <v>0</v>
      </c>
      <c r="AO3730">
        <v>3</v>
      </c>
      <c r="AP3730">
        <v>0</v>
      </c>
      <c r="AQ3730">
        <v>3</v>
      </c>
      <c r="AR3730">
        <v>0</v>
      </c>
      <c r="AS3730">
        <v>0</v>
      </c>
      <c r="AT3730">
        <v>0</v>
      </c>
    </row>
    <row r="3731" spans="1:46">
      <c r="A3731">
        <v>55379</v>
      </c>
      <c r="B3731" t="s">
        <v>20430</v>
      </c>
      <c r="C3731" t="s">
        <v>20431</v>
      </c>
      <c r="D3731" t="s">
        <v>20432</v>
      </c>
      <c r="E3731" t="s">
        <v>20433</v>
      </c>
      <c r="G3731" t="s">
        <v>2357</v>
      </c>
      <c r="H3731" t="s">
        <v>3942</v>
      </c>
      <c r="J3731" t="s">
        <v>3962</v>
      </c>
      <c r="K3731" t="s">
        <v>519</v>
      </c>
      <c r="M3731" t="s">
        <v>2287</v>
      </c>
      <c r="N3731" t="s">
        <v>571</v>
      </c>
      <c r="O3731" t="s">
        <v>2358</v>
      </c>
      <c r="P3731" t="s">
        <v>523</v>
      </c>
      <c r="Q3731" t="s">
        <v>2319</v>
      </c>
      <c r="R3731" t="s">
        <v>2289</v>
      </c>
      <c r="S3731" t="s">
        <v>2269</v>
      </c>
      <c r="T3731" t="s">
        <v>2085</v>
      </c>
      <c r="U3731">
        <v>256900</v>
      </c>
      <c r="V3731" t="s">
        <v>13385</v>
      </c>
      <c r="W3731" t="s">
        <v>1652</v>
      </c>
      <c r="X3731" t="s">
        <v>20434</v>
      </c>
      <c r="Y3731" t="s">
        <v>11626</v>
      </c>
      <c r="AA3731" t="s">
        <v>20435</v>
      </c>
      <c r="AB3731" t="s">
        <v>20431</v>
      </c>
      <c r="AE3731">
        <v>-41.02497752</v>
      </c>
      <c r="AF3731">
        <v>175.52144494999999</v>
      </c>
      <c r="AG3731">
        <v>34</v>
      </c>
      <c r="AH3731">
        <v>10</v>
      </c>
      <c r="AI3731">
        <v>1</v>
      </c>
      <c r="AJ3731">
        <v>7</v>
      </c>
      <c r="AK3731">
        <v>11</v>
      </c>
      <c r="AL3731">
        <v>3</v>
      </c>
      <c r="AM3731">
        <v>13</v>
      </c>
      <c r="AN3731">
        <v>0</v>
      </c>
      <c r="AO3731">
        <v>35</v>
      </c>
      <c r="AP3731">
        <v>30</v>
      </c>
      <c r="AQ3731">
        <v>9</v>
      </c>
      <c r="AR3731">
        <v>1</v>
      </c>
      <c r="AS3731">
        <v>0</v>
      </c>
      <c r="AT3731">
        <v>2</v>
      </c>
    </row>
    <row r="3732" spans="1:46">
      <c r="A3732">
        <v>55382</v>
      </c>
      <c r="B3732" t="s">
        <v>20436</v>
      </c>
      <c r="C3732" t="s">
        <v>20437</v>
      </c>
      <c r="D3732" t="s">
        <v>20438</v>
      </c>
      <c r="E3732" t="s">
        <v>20439</v>
      </c>
      <c r="F3732" t="s">
        <v>2630</v>
      </c>
      <c r="G3732" t="s">
        <v>2526</v>
      </c>
      <c r="H3732" t="s">
        <v>3942</v>
      </c>
      <c r="J3732" t="s">
        <v>518</v>
      </c>
      <c r="K3732" t="s">
        <v>519</v>
      </c>
      <c r="M3732" t="s">
        <v>2287</v>
      </c>
      <c r="N3732" t="s">
        <v>521</v>
      </c>
      <c r="O3732" t="s">
        <v>2527</v>
      </c>
      <c r="P3732" t="s">
        <v>584</v>
      </c>
      <c r="Q3732" t="s">
        <v>2319</v>
      </c>
      <c r="R3732" t="s">
        <v>2289</v>
      </c>
      <c r="S3732" t="s">
        <v>2528</v>
      </c>
      <c r="T3732" t="s">
        <v>1485</v>
      </c>
      <c r="U3732">
        <v>240700</v>
      </c>
      <c r="V3732" t="s">
        <v>19069</v>
      </c>
      <c r="W3732" t="s">
        <v>2529</v>
      </c>
      <c r="X3732" t="s">
        <v>20440</v>
      </c>
      <c r="Y3732" t="s">
        <v>20441</v>
      </c>
      <c r="Z3732" t="s">
        <v>2630</v>
      </c>
      <c r="AA3732" t="s">
        <v>1891</v>
      </c>
      <c r="AB3732" t="s">
        <v>20437</v>
      </c>
      <c r="AC3732">
        <v>99074</v>
      </c>
      <c r="AD3732" t="s">
        <v>2632</v>
      </c>
      <c r="AE3732">
        <v>-41.142126990000001</v>
      </c>
      <c r="AF3732">
        <v>174.86297400000001</v>
      </c>
      <c r="AG3732">
        <v>65</v>
      </c>
      <c r="AH3732">
        <v>15</v>
      </c>
      <c r="AI3732">
        <v>1</v>
      </c>
      <c r="AJ3732">
        <v>6</v>
      </c>
      <c r="AK3732">
        <v>10</v>
      </c>
      <c r="AL3732">
        <v>11</v>
      </c>
      <c r="AM3732">
        <v>11</v>
      </c>
      <c r="AN3732">
        <v>1</v>
      </c>
      <c r="AO3732">
        <v>40</v>
      </c>
      <c r="AP3732">
        <v>7</v>
      </c>
      <c r="AQ3732">
        <v>21</v>
      </c>
      <c r="AR3732">
        <v>31</v>
      </c>
      <c r="AS3732">
        <v>3</v>
      </c>
      <c r="AT3732">
        <v>2</v>
      </c>
    </row>
    <row r="3733" spans="1:46">
      <c r="A3733">
        <v>55383</v>
      </c>
      <c r="B3733" t="s">
        <v>20442</v>
      </c>
      <c r="C3733" t="s">
        <v>20443</v>
      </c>
      <c r="D3733" t="s">
        <v>20444</v>
      </c>
      <c r="E3733" t="s">
        <v>20445</v>
      </c>
      <c r="F3733" t="s">
        <v>20446</v>
      </c>
      <c r="G3733" t="s">
        <v>2289</v>
      </c>
      <c r="H3733" t="s">
        <v>3942</v>
      </c>
      <c r="J3733" t="s">
        <v>518</v>
      </c>
      <c r="K3733" t="s">
        <v>519</v>
      </c>
      <c r="M3733" t="s">
        <v>2287</v>
      </c>
      <c r="N3733" t="s">
        <v>571</v>
      </c>
      <c r="O3733" t="s">
        <v>2536</v>
      </c>
      <c r="P3733" t="s">
        <v>654</v>
      </c>
      <c r="Q3733" t="s">
        <v>2319</v>
      </c>
      <c r="R3733" t="s">
        <v>2289</v>
      </c>
      <c r="S3733" t="s">
        <v>2553</v>
      </c>
      <c r="T3733" t="s">
        <v>2448</v>
      </c>
      <c r="U3733">
        <v>251602</v>
      </c>
      <c r="V3733" t="s">
        <v>20447</v>
      </c>
      <c r="W3733" t="s">
        <v>2573</v>
      </c>
      <c r="X3733" t="s">
        <v>10434</v>
      </c>
      <c r="Y3733" t="s">
        <v>3944</v>
      </c>
      <c r="Z3733" t="s">
        <v>3945</v>
      </c>
      <c r="AA3733" t="s">
        <v>3946</v>
      </c>
      <c r="AE3733">
        <v>-41.293202970000003</v>
      </c>
      <c r="AF3733">
        <v>174.77692665999999</v>
      </c>
      <c r="AG3733">
        <v>60</v>
      </c>
      <c r="AH3733">
        <v>26</v>
      </c>
      <c r="AI3733">
        <v>5</v>
      </c>
      <c r="AJ3733">
        <v>20</v>
      </c>
      <c r="AK3733">
        <v>16</v>
      </c>
      <c r="AL3733">
        <v>7</v>
      </c>
      <c r="AM3733">
        <v>12</v>
      </c>
      <c r="AN3733">
        <v>0</v>
      </c>
      <c r="AO3733">
        <v>60</v>
      </c>
      <c r="AP3733">
        <v>44</v>
      </c>
      <c r="AQ3733">
        <v>4</v>
      </c>
      <c r="AR3733">
        <v>1</v>
      </c>
      <c r="AS3733">
        <v>13</v>
      </c>
      <c r="AT3733">
        <v>10</v>
      </c>
    </row>
    <row r="3734" spans="1:46">
      <c r="A3734">
        <v>55384</v>
      </c>
      <c r="B3734" t="s">
        <v>20448</v>
      </c>
      <c r="C3734" t="s">
        <v>20449</v>
      </c>
      <c r="D3734" t="s">
        <v>20450</v>
      </c>
      <c r="E3734" t="s">
        <v>20451</v>
      </c>
      <c r="F3734" t="s">
        <v>526</v>
      </c>
      <c r="G3734" t="s">
        <v>2289</v>
      </c>
      <c r="H3734" t="s">
        <v>3942</v>
      </c>
      <c r="J3734" t="s">
        <v>3962</v>
      </c>
      <c r="K3734" t="s">
        <v>519</v>
      </c>
      <c r="M3734" t="s">
        <v>2287</v>
      </c>
      <c r="N3734" t="s">
        <v>571</v>
      </c>
      <c r="O3734" t="s">
        <v>2536</v>
      </c>
      <c r="P3734" t="s">
        <v>654</v>
      </c>
      <c r="Q3734" t="s">
        <v>2319</v>
      </c>
      <c r="R3734" t="s">
        <v>2289</v>
      </c>
      <c r="S3734" t="s">
        <v>2553</v>
      </c>
      <c r="T3734" t="s">
        <v>2448</v>
      </c>
      <c r="U3734">
        <v>250800</v>
      </c>
      <c r="V3734" t="s">
        <v>2689</v>
      </c>
      <c r="W3734" t="s">
        <v>2561</v>
      </c>
      <c r="X3734" t="s">
        <v>20328</v>
      </c>
      <c r="Y3734" t="s">
        <v>20329</v>
      </c>
      <c r="Z3734" t="s">
        <v>2597</v>
      </c>
      <c r="AA3734" t="s">
        <v>12404</v>
      </c>
      <c r="AC3734">
        <v>99213</v>
      </c>
      <c r="AD3734" t="s">
        <v>20330</v>
      </c>
      <c r="AE3734">
        <v>-41.278587260000002</v>
      </c>
      <c r="AF3734">
        <v>174.75978054999999</v>
      </c>
      <c r="AG3734">
        <v>30</v>
      </c>
      <c r="AH3734">
        <v>12</v>
      </c>
      <c r="AI3734">
        <v>0</v>
      </c>
      <c r="AJ3734">
        <v>7</v>
      </c>
      <c r="AK3734">
        <v>7</v>
      </c>
      <c r="AL3734">
        <v>4</v>
      </c>
      <c r="AM3734">
        <v>10</v>
      </c>
      <c r="AN3734">
        <v>0</v>
      </c>
      <c r="AO3734">
        <v>28</v>
      </c>
      <c r="AP3734">
        <v>24</v>
      </c>
      <c r="AQ3734">
        <v>3</v>
      </c>
      <c r="AR3734">
        <v>0</v>
      </c>
      <c r="AS3734">
        <v>7</v>
      </c>
      <c r="AT3734">
        <v>2</v>
      </c>
    </row>
    <row r="3735" spans="1:46">
      <c r="A3735">
        <v>55389</v>
      </c>
      <c r="B3735" t="s">
        <v>20452</v>
      </c>
      <c r="C3735" t="s">
        <v>20453</v>
      </c>
      <c r="E3735" t="s">
        <v>20454</v>
      </c>
      <c r="G3735" t="s">
        <v>11859</v>
      </c>
      <c r="H3735" t="s">
        <v>3942</v>
      </c>
      <c r="I3735" t="s">
        <v>3971</v>
      </c>
      <c r="J3735" t="s">
        <v>3962</v>
      </c>
      <c r="K3735" t="s">
        <v>519</v>
      </c>
      <c r="M3735" t="s">
        <v>1297</v>
      </c>
      <c r="N3735" t="s">
        <v>571</v>
      </c>
      <c r="O3735" t="s">
        <v>2198</v>
      </c>
      <c r="P3735" t="s">
        <v>523</v>
      </c>
      <c r="Q3735" t="s">
        <v>2118</v>
      </c>
      <c r="R3735" t="s">
        <v>2084</v>
      </c>
      <c r="S3735" t="s">
        <v>2199</v>
      </c>
      <c r="T3735" t="s">
        <v>2085</v>
      </c>
      <c r="U3735">
        <v>209601</v>
      </c>
      <c r="V3735" t="s">
        <v>11859</v>
      </c>
      <c r="W3735" t="s">
        <v>11860</v>
      </c>
      <c r="X3735" t="s">
        <v>20455</v>
      </c>
      <c r="Y3735" t="s">
        <v>20456</v>
      </c>
      <c r="AA3735" t="s">
        <v>14747</v>
      </c>
      <c r="AB3735" t="s">
        <v>20457</v>
      </c>
      <c r="AE3735">
        <v>-39.580413190000002</v>
      </c>
      <c r="AF3735">
        <v>176.91932588</v>
      </c>
      <c r="AG3735">
        <v>27</v>
      </c>
      <c r="AH3735">
        <v>4</v>
      </c>
      <c r="AI3735">
        <v>0</v>
      </c>
      <c r="AJ3735">
        <v>4</v>
      </c>
      <c r="AK3735">
        <v>10</v>
      </c>
      <c r="AL3735">
        <v>5</v>
      </c>
      <c r="AM3735">
        <v>8</v>
      </c>
      <c r="AN3735">
        <v>0</v>
      </c>
      <c r="AO3735">
        <v>27</v>
      </c>
      <c r="AP3735">
        <v>23</v>
      </c>
      <c r="AQ3735">
        <v>8</v>
      </c>
      <c r="AR3735">
        <v>1</v>
      </c>
      <c r="AS3735">
        <v>1</v>
      </c>
      <c r="AT3735">
        <v>0</v>
      </c>
    </row>
    <row r="3736" spans="1:46">
      <c r="A3736">
        <v>55390</v>
      </c>
      <c r="B3736" t="s">
        <v>20458</v>
      </c>
      <c r="C3736" t="s">
        <v>20459</v>
      </c>
      <c r="E3736" t="s">
        <v>20460</v>
      </c>
      <c r="G3736" t="s">
        <v>2067</v>
      </c>
      <c r="H3736" t="s">
        <v>3942</v>
      </c>
      <c r="J3736" t="s">
        <v>3962</v>
      </c>
      <c r="K3736" t="s">
        <v>519</v>
      </c>
      <c r="M3736" t="s">
        <v>2287</v>
      </c>
      <c r="N3736" t="s">
        <v>521</v>
      </c>
      <c r="O3736" t="s">
        <v>2675</v>
      </c>
      <c r="P3736" t="s">
        <v>523</v>
      </c>
      <c r="Q3736" t="s">
        <v>2319</v>
      </c>
      <c r="R3736" t="s">
        <v>2289</v>
      </c>
      <c r="S3736" t="s">
        <v>2067</v>
      </c>
      <c r="T3736" t="s">
        <v>1485</v>
      </c>
      <c r="U3736">
        <v>236500</v>
      </c>
      <c r="V3736" t="s">
        <v>2067</v>
      </c>
      <c r="W3736" t="s">
        <v>2698</v>
      </c>
      <c r="X3736" t="s">
        <v>10292</v>
      </c>
      <c r="Y3736" t="s">
        <v>10293</v>
      </c>
      <c r="AA3736" t="s">
        <v>10294</v>
      </c>
      <c r="AB3736" t="s">
        <v>10295</v>
      </c>
      <c r="AE3736">
        <v>-40.756082659999997</v>
      </c>
      <c r="AF3736">
        <v>175.14784842</v>
      </c>
      <c r="AG3736">
        <v>38</v>
      </c>
      <c r="AH3736">
        <v>15</v>
      </c>
      <c r="AI3736">
        <v>2</v>
      </c>
      <c r="AJ3736">
        <v>7</v>
      </c>
      <c r="AK3736">
        <v>14</v>
      </c>
      <c r="AL3736">
        <v>10</v>
      </c>
      <c r="AM3736">
        <v>17</v>
      </c>
      <c r="AN3736">
        <v>0</v>
      </c>
      <c r="AO3736">
        <v>50</v>
      </c>
      <c r="AP3736">
        <v>46</v>
      </c>
      <c r="AQ3736">
        <v>23</v>
      </c>
      <c r="AR3736">
        <v>4</v>
      </c>
      <c r="AS3736">
        <v>1</v>
      </c>
      <c r="AT3736">
        <v>0</v>
      </c>
    </row>
    <row r="3737" spans="1:46">
      <c r="A3737">
        <v>55391</v>
      </c>
      <c r="B3737" t="s">
        <v>20461</v>
      </c>
      <c r="C3737" t="s">
        <v>20462</v>
      </c>
      <c r="D3737" t="s">
        <v>20463</v>
      </c>
      <c r="E3737" t="s">
        <v>20464</v>
      </c>
      <c r="F3737" t="s">
        <v>2479</v>
      </c>
      <c r="G3737" t="s">
        <v>2427</v>
      </c>
      <c r="H3737" t="s">
        <v>3942</v>
      </c>
      <c r="J3737" t="s">
        <v>518</v>
      </c>
      <c r="K3737" t="s">
        <v>519</v>
      </c>
      <c r="M3737" t="s">
        <v>2287</v>
      </c>
      <c r="N3737" t="s">
        <v>571</v>
      </c>
      <c r="O3737" t="s">
        <v>2428</v>
      </c>
      <c r="P3737" t="s">
        <v>654</v>
      </c>
      <c r="Q3737" t="s">
        <v>2319</v>
      </c>
      <c r="R3737" t="s">
        <v>2289</v>
      </c>
      <c r="S3737" t="s">
        <v>2373</v>
      </c>
      <c r="T3737" t="s">
        <v>2085</v>
      </c>
      <c r="U3737">
        <v>246200</v>
      </c>
      <c r="V3737" t="s">
        <v>14422</v>
      </c>
      <c r="W3737" t="s">
        <v>2455</v>
      </c>
      <c r="X3737" t="s">
        <v>20465</v>
      </c>
      <c r="Y3737" t="s">
        <v>20466</v>
      </c>
      <c r="Z3737" t="s">
        <v>2479</v>
      </c>
      <c r="AA3737" t="s">
        <v>20467</v>
      </c>
      <c r="AE3737">
        <v>-41.201920860000001</v>
      </c>
      <c r="AF3737">
        <v>174.96188042</v>
      </c>
      <c r="AG3737">
        <v>120</v>
      </c>
      <c r="AH3737">
        <v>0</v>
      </c>
      <c r="AI3737">
        <v>0</v>
      </c>
      <c r="AJ3737">
        <v>0</v>
      </c>
      <c r="AK3737">
        <v>0</v>
      </c>
      <c r="AL3737">
        <v>33</v>
      </c>
      <c r="AM3737">
        <v>27</v>
      </c>
      <c r="AN3737">
        <v>37</v>
      </c>
      <c r="AO3737">
        <v>97</v>
      </c>
      <c r="AP3737">
        <v>60</v>
      </c>
      <c r="AQ3737">
        <v>10</v>
      </c>
      <c r="AR3737">
        <v>4</v>
      </c>
      <c r="AS3737">
        <v>41</v>
      </c>
      <c r="AT3737">
        <v>9</v>
      </c>
    </row>
    <row r="3738" spans="1:46">
      <c r="A3738">
        <v>55397</v>
      </c>
      <c r="B3738" t="s">
        <v>20468</v>
      </c>
      <c r="C3738" t="s">
        <v>20469</v>
      </c>
      <c r="E3738" t="s">
        <v>20470</v>
      </c>
      <c r="G3738" t="s">
        <v>2216</v>
      </c>
      <c r="H3738" t="s">
        <v>3942</v>
      </c>
      <c r="J3738" t="s">
        <v>3962</v>
      </c>
      <c r="K3738" t="s">
        <v>519</v>
      </c>
      <c r="M3738" t="s">
        <v>1297</v>
      </c>
      <c r="N3738" t="s">
        <v>571</v>
      </c>
      <c r="O3738" t="s">
        <v>2198</v>
      </c>
      <c r="P3738" t="s">
        <v>1262</v>
      </c>
      <c r="Q3738" t="s">
        <v>2118</v>
      </c>
      <c r="R3738" t="s">
        <v>2084</v>
      </c>
      <c r="S3738" t="s">
        <v>2199</v>
      </c>
      <c r="T3738" t="s">
        <v>2085</v>
      </c>
      <c r="U3738">
        <v>211900</v>
      </c>
      <c r="V3738" t="s">
        <v>11758</v>
      </c>
      <c r="W3738" t="s">
        <v>2200</v>
      </c>
      <c r="X3738" t="s">
        <v>14157</v>
      </c>
      <c r="Y3738" t="s">
        <v>8723</v>
      </c>
      <c r="Z3738" t="s">
        <v>2216</v>
      </c>
      <c r="AA3738" t="s">
        <v>8724</v>
      </c>
      <c r="AB3738" t="s">
        <v>14158</v>
      </c>
      <c r="AE3738">
        <v>-39.670545300000001</v>
      </c>
      <c r="AF3738">
        <v>176.88554060000001</v>
      </c>
      <c r="AG3738">
        <v>25</v>
      </c>
      <c r="AH3738">
        <v>10</v>
      </c>
      <c r="AI3738">
        <v>0</v>
      </c>
      <c r="AJ3738">
        <v>0</v>
      </c>
      <c r="AK3738">
        <v>10</v>
      </c>
      <c r="AL3738">
        <v>12</v>
      </c>
      <c r="AM3738">
        <v>6</v>
      </c>
      <c r="AN3738">
        <v>0</v>
      </c>
      <c r="AO3738">
        <v>28</v>
      </c>
      <c r="AP3738">
        <v>27</v>
      </c>
      <c r="AQ3738">
        <v>3</v>
      </c>
      <c r="AR3738">
        <v>1</v>
      </c>
      <c r="AS3738">
        <v>1</v>
      </c>
      <c r="AT3738">
        <v>4</v>
      </c>
    </row>
    <row r="3739" spans="1:46">
      <c r="A3739">
        <v>55405</v>
      </c>
      <c r="B3739" t="s">
        <v>20471</v>
      </c>
      <c r="C3739" t="s">
        <v>20472</v>
      </c>
      <c r="E3739" t="s">
        <v>20473</v>
      </c>
      <c r="F3739" t="s">
        <v>2544</v>
      </c>
      <c r="G3739" t="s">
        <v>2289</v>
      </c>
      <c r="H3739" t="s">
        <v>3942</v>
      </c>
      <c r="J3739" t="s">
        <v>3962</v>
      </c>
      <c r="K3739" t="s">
        <v>519</v>
      </c>
      <c r="M3739" t="s">
        <v>2287</v>
      </c>
      <c r="N3739" t="s">
        <v>571</v>
      </c>
      <c r="O3739" t="s">
        <v>2536</v>
      </c>
      <c r="P3739" t="s">
        <v>654</v>
      </c>
      <c r="Q3739" t="s">
        <v>2319</v>
      </c>
      <c r="R3739" t="s">
        <v>2289</v>
      </c>
      <c r="S3739" t="s">
        <v>2528</v>
      </c>
      <c r="T3739" t="s">
        <v>1485</v>
      </c>
      <c r="U3739">
        <v>247700</v>
      </c>
      <c r="V3739" t="s">
        <v>2789</v>
      </c>
      <c r="W3739" t="s">
        <v>2547</v>
      </c>
      <c r="X3739" t="s">
        <v>20474</v>
      </c>
      <c r="Y3739" t="s">
        <v>20475</v>
      </c>
      <c r="Z3739" t="s">
        <v>2552</v>
      </c>
      <c r="AA3739" t="s">
        <v>20374</v>
      </c>
      <c r="AB3739" t="s">
        <v>20476</v>
      </c>
      <c r="AE3739">
        <v>-41.160768920000002</v>
      </c>
      <c r="AF3739">
        <v>174.83190848000001</v>
      </c>
      <c r="AG3739">
        <v>24</v>
      </c>
      <c r="AH3739">
        <v>0</v>
      </c>
      <c r="AI3739">
        <v>1</v>
      </c>
      <c r="AJ3739">
        <v>0</v>
      </c>
      <c r="AK3739">
        <v>0</v>
      </c>
      <c r="AL3739">
        <v>12</v>
      </c>
      <c r="AM3739">
        <v>10</v>
      </c>
      <c r="AN3739">
        <v>5</v>
      </c>
      <c r="AO3739">
        <v>28</v>
      </c>
      <c r="AP3739">
        <v>16</v>
      </c>
      <c r="AQ3739">
        <v>2</v>
      </c>
      <c r="AR3739">
        <v>2</v>
      </c>
      <c r="AS3739">
        <v>14</v>
      </c>
      <c r="AT3739">
        <v>2</v>
      </c>
    </row>
    <row r="3740" spans="1:46">
      <c r="A3740">
        <v>55407</v>
      </c>
      <c r="B3740" t="s">
        <v>20477</v>
      </c>
      <c r="C3740" t="s">
        <v>20478</v>
      </c>
      <c r="D3740" t="s">
        <v>20479</v>
      </c>
      <c r="E3740" t="s">
        <v>20480</v>
      </c>
      <c r="G3740" t="s">
        <v>20481</v>
      </c>
      <c r="H3740" t="s">
        <v>3942</v>
      </c>
      <c r="J3740" t="s">
        <v>3962</v>
      </c>
      <c r="K3740" t="s">
        <v>519</v>
      </c>
      <c r="M3740" t="s">
        <v>2287</v>
      </c>
      <c r="N3740" t="s">
        <v>571</v>
      </c>
      <c r="O3740" t="s">
        <v>2675</v>
      </c>
      <c r="P3740" t="s">
        <v>1262</v>
      </c>
      <c r="Q3740" t="s">
        <v>2319</v>
      </c>
      <c r="R3740" t="s">
        <v>2289</v>
      </c>
      <c r="S3740" t="s">
        <v>2528</v>
      </c>
      <c r="T3740" t="s">
        <v>1485</v>
      </c>
      <c r="U3740">
        <v>238500</v>
      </c>
      <c r="V3740" t="s">
        <v>16385</v>
      </c>
      <c r="W3740" t="s">
        <v>2751</v>
      </c>
      <c r="X3740" t="s">
        <v>19181</v>
      </c>
      <c r="Y3740" t="s">
        <v>19182</v>
      </c>
      <c r="AA3740" t="s">
        <v>19183</v>
      </c>
      <c r="AB3740" t="s">
        <v>19184</v>
      </c>
      <c r="AE3740">
        <v>-40.927274820000001</v>
      </c>
      <c r="AF3740">
        <v>174.99794083</v>
      </c>
      <c r="AG3740">
        <v>90</v>
      </c>
      <c r="AH3740">
        <v>27</v>
      </c>
      <c r="AI3740">
        <v>7</v>
      </c>
      <c r="AJ3740">
        <v>20</v>
      </c>
      <c r="AK3740">
        <v>19</v>
      </c>
      <c r="AL3740">
        <v>23</v>
      </c>
      <c r="AM3740">
        <v>14</v>
      </c>
      <c r="AN3740">
        <v>1</v>
      </c>
      <c r="AO3740">
        <v>84</v>
      </c>
      <c r="AP3740">
        <v>74</v>
      </c>
      <c r="AQ3740">
        <v>13</v>
      </c>
      <c r="AR3740">
        <v>6</v>
      </c>
      <c r="AS3740">
        <v>9</v>
      </c>
      <c r="AT3740">
        <v>1</v>
      </c>
    </row>
    <row r="3741" spans="1:46">
      <c r="A3741">
        <v>55410</v>
      </c>
      <c r="B3741" t="s">
        <v>20482</v>
      </c>
      <c r="C3741" t="s">
        <v>20483</v>
      </c>
      <c r="D3741" t="s">
        <v>20484</v>
      </c>
      <c r="E3741" t="s">
        <v>20485</v>
      </c>
      <c r="G3741" t="s">
        <v>12233</v>
      </c>
      <c r="H3741" t="s">
        <v>343</v>
      </c>
      <c r="J3741" t="s">
        <v>518</v>
      </c>
      <c r="K3741" t="s">
        <v>519</v>
      </c>
      <c r="L3741" t="s">
        <v>4205</v>
      </c>
      <c r="M3741" t="s">
        <v>1297</v>
      </c>
      <c r="N3741" t="s">
        <v>539</v>
      </c>
      <c r="O3741" t="s">
        <v>2268</v>
      </c>
      <c r="P3741" t="s">
        <v>540</v>
      </c>
      <c r="Q3741" t="s">
        <v>2118</v>
      </c>
      <c r="R3741" t="s">
        <v>2084</v>
      </c>
      <c r="S3741" t="s">
        <v>2269</v>
      </c>
      <c r="T3741" t="s">
        <v>2085</v>
      </c>
      <c r="U3741">
        <v>215600</v>
      </c>
      <c r="V3741" t="s">
        <v>12234</v>
      </c>
      <c r="W3741" t="s">
        <v>12235</v>
      </c>
      <c r="X3741" t="s">
        <v>8804</v>
      </c>
      <c r="Y3741" t="s">
        <v>4208</v>
      </c>
      <c r="Z3741" t="s">
        <v>4209</v>
      </c>
      <c r="AA3741" t="s">
        <v>4210</v>
      </c>
      <c r="AB3741" t="s">
        <v>8805</v>
      </c>
      <c r="AE3741">
        <v>-40.025324939999997</v>
      </c>
      <c r="AF3741">
        <v>176.34909662000001</v>
      </c>
      <c r="AG3741">
        <v>30</v>
      </c>
      <c r="AH3741">
        <v>10</v>
      </c>
      <c r="AI3741">
        <v>2</v>
      </c>
      <c r="AJ3741">
        <v>3</v>
      </c>
      <c r="AK3741">
        <v>4</v>
      </c>
      <c r="AL3741">
        <v>5</v>
      </c>
      <c r="AM3741">
        <v>3</v>
      </c>
      <c r="AN3741">
        <v>0</v>
      </c>
      <c r="AO3741">
        <v>17</v>
      </c>
      <c r="AP3741">
        <v>0</v>
      </c>
      <c r="AQ3741">
        <v>16</v>
      </c>
      <c r="AR3741">
        <v>0</v>
      </c>
      <c r="AS3741">
        <v>0</v>
      </c>
      <c r="AT3741">
        <v>1</v>
      </c>
    </row>
    <row r="3742" spans="1:46">
      <c r="A3742">
        <v>55412</v>
      </c>
      <c r="B3742" t="s">
        <v>20486</v>
      </c>
      <c r="C3742" t="s">
        <v>20487</v>
      </c>
      <c r="D3742" t="s">
        <v>20488</v>
      </c>
      <c r="E3742" t="s">
        <v>20489</v>
      </c>
      <c r="F3742" t="s">
        <v>2370</v>
      </c>
      <c r="G3742" t="s">
        <v>2371</v>
      </c>
      <c r="H3742" t="s">
        <v>3942</v>
      </c>
      <c r="J3742" t="s">
        <v>3962</v>
      </c>
      <c r="K3742" t="s">
        <v>519</v>
      </c>
      <c r="M3742" t="s">
        <v>2287</v>
      </c>
      <c r="N3742" t="s">
        <v>571</v>
      </c>
      <c r="O3742" t="s">
        <v>2372</v>
      </c>
      <c r="P3742" t="s">
        <v>584</v>
      </c>
      <c r="Q3742" t="s">
        <v>2319</v>
      </c>
      <c r="R3742" t="s">
        <v>2289</v>
      </c>
      <c r="S3742" t="s">
        <v>2373</v>
      </c>
      <c r="T3742" t="s">
        <v>2085</v>
      </c>
      <c r="U3742">
        <v>243000</v>
      </c>
      <c r="V3742" t="s">
        <v>11534</v>
      </c>
      <c r="W3742" t="s">
        <v>1652</v>
      </c>
      <c r="X3742" t="s">
        <v>20490</v>
      </c>
      <c r="Y3742" t="s">
        <v>20491</v>
      </c>
      <c r="Z3742" t="s">
        <v>2371</v>
      </c>
      <c r="AA3742" t="s">
        <v>18622</v>
      </c>
      <c r="AB3742" t="s">
        <v>20492</v>
      </c>
      <c r="AE3742">
        <v>-41.129514700000001</v>
      </c>
      <c r="AF3742">
        <v>175.06689133</v>
      </c>
      <c r="AG3742">
        <v>75</v>
      </c>
      <c r="AH3742">
        <v>30</v>
      </c>
      <c r="AI3742">
        <v>5</v>
      </c>
      <c r="AJ3742">
        <v>12</v>
      </c>
      <c r="AK3742">
        <v>13</v>
      </c>
      <c r="AL3742">
        <v>31</v>
      </c>
      <c r="AM3742">
        <v>24</v>
      </c>
      <c r="AN3742">
        <v>0</v>
      </c>
      <c r="AO3742">
        <v>85</v>
      </c>
      <c r="AP3742">
        <v>46</v>
      </c>
      <c r="AQ3742">
        <v>17</v>
      </c>
      <c r="AR3742">
        <v>7</v>
      </c>
      <c r="AS3742">
        <v>35</v>
      </c>
      <c r="AT3742">
        <v>1</v>
      </c>
    </row>
    <row r="3743" spans="1:46">
      <c r="A3743">
        <v>55413</v>
      </c>
      <c r="B3743" t="s">
        <v>20493</v>
      </c>
      <c r="C3743" t="s">
        <v>20494</v>
      </c>
      <c r="D3743" t="s">
        <v>20495</v>
      </c>
      <c r="E3743" t="s">
        <v>20496</v>
      </c>
      <c r="F3743" t="s">
        <v>2789</v>
      </c>
      <c r="G3743" t="s">
        <v>2289</v>
      </c>
      <c r="H3743" t="s">
        <v>3942</v>
      </c>
      <c r="J3743" t="s">
        <v>3962</v>
      </c>
      <c r="K3743" t="s">
        <v>519</v>
      </c>
      <c r="M3743" t="s">
        <v>2287</v>
      </c>
      <c r="N3743" t="s">
        <v>727</v>
      </c>
      <c r="O3743" t="s">
        <v>2675</v>
      </c>
      <c r="P3743" t="s">
        <v>1262</v>
      </c>
      <c r="Q3743" t="s">
        <v>2319</v>
      </c>
      <c r="R3743" t="s">
        <v>2289</v>
      </c>
      <c r="S3743" t="s">
        <v>2067</v>
      </c>
      <c r="T3743" t="s">
        <v>1485</v>
      </c>
      <c r="U3743">
        <v>237600</v>
      </c>
      <c r="V3743" t="s">
        <v>2800</v>
      </c>
      <c r="W3743" t="s">
        <v>2801</v>
      </c>
      <c r="X3743" t="s">
        <v>20497</v>
      </c>
      <c r="Y3743" t="s">
        <v>20498</v>
      </c>
      <c r="Z3743" t="s">
        <v>2371</v>
      </c>
      <c r="AA3743" t="s">
        <v>20499</v>
      </c>
      <c r="AE3743">
        <v>-41.160144610000003</v>
      </c>
      <c r="AF3743">
        <v>174.83592535</v>
      </c>
      <c r="AG3743">
        <v>39</v>
      </c>
      <c r="AH3743">
        <v>32</v>
      </c>
      <c r="AI3743">
        <v>6</v>
      </c>
      <c r="AJ3743">
        <v>7</v>
      </c>
      <c r="AK3743">
        <v>7</v>
      </c>
      <c r="AL3743">
        <v>7</v>
      </c>
      <c r="AM3743">
        <v>0</v>
      </c>
      <c r="AN3743">
        <v>0</v>
      </c>
      <c r="AO3743">
        <v>27</v>
      </c>
      <c r="AP3743">
        <v>12</v>
      </c>
      <c r="AQ3743">
        <v>19</v>
      </c>
      <c r="AR3743">
        <v>8</v>
      </c>
      <c r="AS3743">
        <v>1</v>
      </c>
      <c r="AT3743">
        <v>3</v>
      </c>
    </row>
    <row r="3744" spans="1:46">
      <c r="A3744">
        <v>55417</v>
      </c>
      <c r="B3744" t="s">
        <v>20500</v>
      </c>
      <c r="C3744" t="s">
        <v>20501</v>
      </c>
      <c r="E3744" t="s">
        <v>20502</v>
      </c>
      <c r="F3744" t="s">
        <v>20503</v>
      </c>
      <c r="G3744" t="s">
        <v>2427</v>
      </c>
      <c r="H3744" t="s">
        <v>3942</v>
      </c>
      <c r="J3744" t="s">
        <v>3962</v>
      </c>
      <c r="K3744" t="s">
        <v>519</v>
      </c>
      <c r="M3744" t="s">
        <v>2287</v>
      </c>
      <c r="N3744" t="s">
        <v>521</v>
      </c>
      <c r="O3744" t="s">
        <v>2428</v>
      </c>
      <c r="P3744" t="s">
        <v>654</v>
      </c>
      <c r="Q3744" t="s">
        <v>2319</v>
      </c>
      <c r="R3744" t="s">
        <v>2289</v>
      </c>
      <c r="S3744" t="s">
        <v>2373</v>
      </c>
      <c r="T3744" t="s">
        <v>2085</v>
      </c>
      <c r="U3744">
        <v>245200</v>
      </c>
      <c r="V3744" t="s">
        <v>2442</v>
      </c>
      <c r="W3744" t="s">
        <v>2443</v>
      </c>
      <c r="X3744" t="s">
        <v>17903</v>
      </c>
      <c r="Y3744" t="s">
        <v>20504</v>
      </c>
      <c r="Z3744" t="s">
        <v>2395</v>
      </c>
      <c r="AA3744" t="s">
        <v>4742</v>
      </c>
      <c r="AB3744" t="s">
        <v>18623</v>
      </c>
      <c r="AE3744">
        <v>-41.190185450000001</v>
      </c>
      <c r="AF3744">
        <v>174.95278292</v>
      </c>
      <c r="AG3744">
        <v>30</v>
      </c>
      <c r="AH3744">
        <v>0</v>
      </c>
      <c r="AI3744">
        <v>0</v>
      </c>
      <c r="AJ3744">
        <v>0</v>
      </c>
      <c r="AK3744">
        <v>4</v>
      </c>
      <c r="AL3744">
        <v>9</v>
      </c>
      <c r="AM3744">
        <v>18</v>
      </c>
      <c r="AN3744">
        <v>0</v>
      </c>
      <c r="AO3744">
        <v>31</v>
      </c>
      <c r="AP3744">
        <v>4</v>
      </c>
      <c r="AQ3744">
        <v>4</v>
      </c>
      <c r="AR3744">
        <v>7</v>
      </c>
      <c r="AS3744">
        <v>20</v>
      </c>
      <c r="AT3744">
        <v>1</v>
      </c>
    </row>
    <row r="3745" spans="1:46">
      <c r="A3745">
        <v>55419</v>
      </c>
      <c r="B3745" t="s">
        <v>20505</v>
      </c>
      <c r="C3745" t="s">
        <v>20506</v>
      </c>
      <c r="D3745" t="s">
        <v>20507</v>
      </c>
      <c r="E3745" t="s">
        <v>20508</v>
      </c>
      <c r="F3745" t="s">
        <v>2370</v>
      </c>
      <c r="G3745" t="s">
        <v>2371</v>
      </c>
      <c r="H3745" t="s">
        <v>3942</v>
      </c>
      <c r="J3745" t="s">
        <v>518</v>
      </c>
      <c r="K3745" t="s">
        <v>519</v>
      </c>
      <c r="M3745" t="s">
        <v>2287</v>
      </c>
      <c r="N3745" t="s">
        <v>727</v>
      </c>
      <c r="O3745" t="s">
        <v>2372</v>
      </c>
      <c r="P3745" t="s">
        <v>584</v>
      </c>
      <c r="Q3745" t="s">
        <v>2319</v>
      </c>
      <c r="R3745" t="s">
        <v>2289</v>
      </c>
      <c r="S3745" t="s">
        <v>2373</v>
      </c>
      <c r="T3745" t="s">
        <v>2085</v>
      </c>
      <c r="U3745">
        <v>242000</v>
      </c>
      <c r="V3745" t="s">
        <v>2417</v>
      </c>
      <c r="W3745" t="s">
        <v>1652</v>
      </c>
      <c r="X3745" t="s">
        <v>2432</v>
      </c>
      <c r="Y3745" t="s">
        <v>2433</v>
      </c>
      <c r="AA3745" t="s">
        <v>2434</v>
      </c>
      <c r="AB3745" t="s">
        <v>2435</v>
      </c>
      <c r="AE3745">
        <v>-41.131313560000002</v>
      </c>
      <c r="AF3745">
        <v>175.05272732</v>
      </c>
      <c r="AG3745">
        <v>30</v>
      </c>
      <c r="AH3745">
        <v>20</v>
      </c>
      <c r="AI3745">
        <v>0</v>
      </c>
      <c r="AJ3745">
        <v>8</v>
      </c>
      <c r="AK3745">
        <v>4</v>
      </c>
      <c r="AL3745">
        <v>5</v>
      </c>
      <c r="AM3745">
        <v>0</v>
      </c>
      <c r="AN3745">
        <v>0</v>
      </c>
      <c r="AO3745">
        <v>17</v>
      </c>
      <c r="AP3745">
        <v>9</v>
      </c>
      <c r="AQ3745">
        <v>7</v>
      </c>
      <c r="AR3745">
        <v>3</v>
      </c>
      <c r="AS3745">
        <v>3</v>
      </c>
      <c r="AT3745">
        <v>2</v>
      </c>
    </row>
    <row r="3746" spans="1:46">
      <c r="A3746">
        <v>55420</v>
      </c>
      <c r="B3746" t="s">
        <v>20509</v>
      </c>
      <c r="C3746" t="s">
        <v>20510</v>
      </c>
      <c r="D3746" t="s">
        <v>20511</v>
      </c>
      <c r="E3746" t="s">
        <v>20512</v>
      </c>
      <c r="F3746" t="s">
        <v>2479</v>
      </c>
      <c r="G3746" t="s">
        <v>2427</v>
      </c>
      <c r="H3746" t="s">
        <v>343</v>
      </c>
      <c r="J3746" t="s">
        <v>518</v>
      </c>
      <c r="K3746" t="s">
        <v>519</v>
      </c>
      <c r="L3746" t="s">
        <v>4205</v>
      </c>
      <c r="M3746" t="s">
        <v>2287</v>
      </c>
      <c r="N3746" t="s">
        <v>521</v>
      </c>
      <c r="O3746" t="s">
        <v>2428</v>
      </c>
      <c r="P3746" t="s">
        <v>654</v>
      </c>
      <c r="Q3746" t="s">
        <v>2319</v>
      </c>
      <c r="R3746" t="s">
        <v>2289</v>
      </c>
      <c r="S3746" t="s">
        <v>2373</v>
      </c>
      <c r="T3746" t="s">
        <v>2085</v>
      </c>
      <c r="U3746">
        <v>245200</v>
      </c>
      <c r="V3746" t="s">
        <v>2442</v>
      </c>
      <c r="W3746" t="s">
        <v>2443</v>
      </c>
      <c r="X3746" t="s">
        <v>10329</v>
      </c>
      <c r="Y3746" t="s">
        <v>4208</v>
      </c>
      <c r="Z3746" t="s">
        <v>4209</v>
      </c>
      <c r="AA3746" t="s">
        <v>4210</v>
      </c>
      <c r="AB3746" t="s">
        <v>10330</v>
      </c>
      <c r="AE3746">
        <v>-41.198973260000002</v>
      </c>
      <c r="AF3746">
        <v>174.94044384</v>
      </c>
      <c r="AG3746">
        <v>62</v>
      </c>
      <c r="AH3746">
        <v>20</v>
      </c>
      <c r="AI3746">
        <v>4</v>
      </c>
      <c r="AJ3746">
        <v>9</v>
      </c>
      <c r="AK3746">
        <v>17</v>
      </c>
      <c r="AL3746">
        <v>15</v>
      </c>
      <c r="AM3746">
        <v>10</v>
      </c>
      <c r="AN3746">
        <v>0</v>
      </c>
      <c r="AO3746">
        <v>55</v>
      </c>
      <c r="AP3746">
        <v>0</v>
      </c>
      <c r="AQ3746">
        <v>51</v>
      </c>
      <c r="AR3746">
        <v>3</v>
      </c>
      <c r="AS3746">
        <v>0</v>
      </c>
      <c r="AT3746">
        <v>1</v>
      </c>
    </row>
    <row r="3747" spans="1:46">
      <c r="A3747">
        <v>55421</v>
      </c>
      <c r="B3747" t="s">
        <v>20513</v>
      </c>
      <c r="C3747" t="s">
        <v>20514</v>
      </c>
      <c r="D3747" t="s">
        <v>20515</v>
      </c>
      <c r="E3747" t="s">
        <v>20516</v>
      </c>
      <c r="F3747" t="s">
        <v>2122</v>
      </c>
      <c r="G3747" t="s">
        <v>2119</v>
      </c>
      <c r="H3747" t="s">
        <v>3942</v>
      </c>
      <c r="I3747" t="s">
        <v>4165</v>
      </c>
      <c r="J3747" t="s">
        <v>518</v>
      </c>
      <c r="K3747" t="s">
        <v>519</v>
      </c>
      <c r="M3747" t="s">
        <v>1297</v>
      </c>
      <c r="N3747" t="s">
        <v>727</v>
      </c>
      <c r="O3747" t="s">
        <v>2131</v>
      </c>
      <c r="P3747" t="s">
        <v>584</v>
      </c>
      <c r="Q3747" t="s">
        <v>2118</v>
      </c>
      <c r="R3747" t="s">
        <v>2084</v>
      </c>
      <c r="S3747" t="s">
        <v>2119</v>
      </c>
      <c r="T3747" t="s">
        <v>2085</v>
      </c>
      <c r="U3747">
        <v>214800</v>
      </c>
      <c r="V3747" t="s">
        <v>2157</v>
      </c>
      <c r="W3747" t="s">
        <v>2132</v>
      </c>
      <c r="X3747" t="s">
        <v>20517</v>
      </c>
      <c r="Y3747" t="s">
        <v>20518</v>
      </c>
      <c r="Z3747" t="s">
        <v>2119</v>
      </c>
      <c r="AA3747" t="s">
        <v>20519</v>
      </c>
      <c r="AB3747" t="s">
        <v>20520</v>
      </c>
      <c r="AE3747">
        <v>-39.508263229999997</v>
      </c>
      <c r="AF3747">
        <v>176.90000745</v>
      </c>
      <c r="AG3747">
        <v>20</v>
      </c>
      <c r="AH3747">
        <v>8</v>
      </c>
      <c r="AI3747">
        <v>3</v>
      </c>
      <c r="AJ3747">
        <v>2</v>
      </c>
      <c r="AK3747">
        <v>1</v>
      </c>
      <c r="AL3747">
        <v>4</v>
      </c>
      <c r="AM3747">
        <v>1</v>
      </c>
      <c r="AN3747">
        <v>2</v>
      </c>
      <c r="AO3747">
        <v>13</v>
      </c>
      <c r="AP3747">
        <v>1</v>
      </c>
      <c r="AQ3747">
        <v>0</v>
      </c>
      <c r="AR3747">
        <v>13</v>
      </c>
      <c r="AS3747">
        <v>0</v>
      </c>
      <c r="AT3747">
        <v>0</v>
      </c>
    </row>
    <row r="3748" spans="1:46">
      <c r="A3748">
        <v>55422</v>
      </c>
      <c r="B3748" t="s">
        <v>20521</v>
      </c>
      <c r="C3748" t="s">
        <v>20522</v>
      </c>
      <c r="D3748" t="s">
        <v>20523</v>
      </c>
      <c r="E3748" t="s">
        <v>20524</v>
      </c>
      <c r="F3748" t="s">
        <v>2589</v>
      </c>
      <c r="G3748" t="s">
        <v>2289</v>
      </c>
      <c r="H3748" t="s">
        <v>3942</v>
      </c>
      <c r="J3748" t="s">
        <v>3962</v>
      </c>
      <c r="K3748" t="s">
        <v>519</v>
      </c>
      <c r="M3748" t="s">
        <v>2287</v>
      </c>
      <c r="N3748" t="s">
        <v>571</v>
      </c>
      <c r="O3748" t="s">
        <v>2536</v>
      </c>
      <c r="P3748" t="s">
        <v>654</v>
      </c>
      <c r="Q3748" t="s">
        <v>2319</v>
      </c>
      <c r="R3748" t="s">
        <v>2289</v>
      </c>
      <c r="S3748" t="s">
        <v>2537</v>
      </c>
      <c r="T3748" t="s">
        <v>2448</v>
      </c>
      <c r="U3748">
        <v>253102</v>
      </c>
      <c r="V3748" t="s">
        <v>20525</v>
      </c>
      <c r="W3748" t="s">
        <v>2591</v>
      </c>
      <c r="X3748" t="s">
        <v>20526</v>
      </c>
      <c r="Y3748" t="s">
        <v>20527</v>
      </c>
      <c r="Z3748" t="s">
        <v>20528</v>
      </c>
      <c r="AA3748" t="s">
        <v>20467</v>
      </c>
      <c r="AB3748" t="s">
        <v>20529</v>
      </c>
      <c r="AC3748">
        <v>99141</v>
      </c>
      <c r="AD3748" t="s">
        <v>2592</v>
      </c>
      <c r="AE3748">
        <v>-41.301770660000003</v>
      </c>
      <c r="AF3748">
        <v>174.80449811</v>
      </c>
      <c r="AG3748">
        <v>55</v>
      </c>
      <c r="AH3748">
        <v>20</v>
      </c>
      <c r="AI3748">
        <v>0</v>
      </c>
      <c r="AJ3748">
        <v>13</v>
      </c>
      <c r="AK3748">
        <v>13</v>
      </c>
      <c r="AL3748">
        <v>16</v>
      </c>
      <c r="AM3748">
        <v>9</v>
      </c>
      <c r="AN3748">
        <v>0</v>
      </c>
      <c r="AO3748">
        <v>51</v>
      </c>
      <c r="AP3748">
        <v>41</v>
      </c>
      <c r="AQ3748">
        <v>3</v>
      </c>
      <c r="AR3748">
        <v>7</v>
      </c>
      <c r="AS3748">
        <v>5</v>
      </c>
      <c r="AT3748">
        <v>4</v>
      </c>
    </row>
    <row r="3749" spans="1:46">
      <c r="A3749">
        <v>55428</v>
      </c>
      <c r="B3749" t="s">
        <v>20530</v>
      </c>
      <c r="C3749" t="s">
        <v>20531</v>
      </c>
      <c r="D3749" t="s">
        <v>20532</v>
      </c>
      <c r="E3749" t="s">
        <v>20533</v>
      </c>
      <c r="F3749" t="s">
        <v>20528</v>
      </c>
      <c r="G3749" t="s">
        <v>2427</v>
      </c>
      <c r="H3749" t="s">
        <v>298</v>
      </c>
      <c r="J3749" t="s">
        <v>518</v>
      </c>
      <c r="K3749" t="s">
        <v>519</v>
      </c>
      <c r="M3749" t="s">
        <v>2287</v>
      </c>
      <c r="N3749" t="s">
        <v>571</v>
      </c>
      <c r="O3749" t="s">
        <v>2428</v>
      </c>
      <c r="P3749" t="s">
        <v>654</v>
      </c>
      <c r="Q3749" t="s">
        <v>2319</v>
      </c>
      <c r="R3749" t="s">
        <v>2289</v>
      </c>
      <c r="S3749" t="s">
        <v>2429</v>
      </c>
      <c r="T3749" t="s">
        <v>2448</v>
      </c>
      <c r="U3749">
        <v>245500</v>
      </c>
      <c r="V3749" t="s">
        <v>2520</v>
      </c>
      <c r="W3749" t="s">
        <v>2455</v>
      </c>
      <c r="X3749" t="s">
        <v>20359</v>
      </c>
      <c r="Y3749" t="s">
        <v>5187</v>
      </c>
      <c r="AA3749" t="s">
        <v>5188</v>
      </c>
      <c r="AB3749" t="s">
        <v>20360</v>
      </c>
      <c r="AE3749">
        <v>-41.216361339999999</v>
      </c>
      <c r="AF3749">
        <v>174.92335667</v>
      </c>
      <c r="AG3749">
        <v>25</v>
      </c>
      <c r="AH3749">
        <v>20</v>
      </c>
      <c r="AI3749">
        <v>32</v>
      </c>
      <c r="AJ3749">
        <v>9</v>
      </c>
      <c r="AK3749">
        <v>16</v>
      </c>
      <c r="AL3749">
        <v>12</v>
      </c>
      <c r="AM3749">
        <v>5</v>
      </c>
      <c r="AN3749">
        <v>1</v>
      </c>
      <c r="AO3749">
        <v>75</v>
      </c>
      <c r="AP3749">
        <v>64</v>
      </c>
      <c r="AQ3749">
        <v>8</v>
      </c>
      <c r="AR3749">
        <v>2</v>
      </c>
      <c r="AS3749">
        <v>14</v>
      </c>
      <c r="AT3749">
        <v>2</v>
      </c>
    </row>
    <row r="3750" spans="1:46">
      <c r="A3750">
        <v>55430</v>
      </c>
      <c r="B3750" t="s">
        <v>20534</v>
      </c>
      <c r="C3750" t="s">
        <v>20535</v>
      </c>
      <c r="D3750" t="s">
        <v>20536</v>
      </c>
      <c r="E3750" t="s">
        <v>20537</v>
      </c>
      <c r="F3750" t="s">
        <v>2156</v>
      </c>
      <c r="G3750" t="s">
        <v>2119</v>
      </c>
      <c r="H3750" t="s">
        <v>3942</v>
      </c>
      <c r="J3750" t="s">
        <v>3962</v>
      </c>
      <c r="K3750" t="s">
        <v>519</v>
      </c>
      <c r="M3750" t="s">
        <v>1297</v>
      </c>
      <c r="N3750" t="s">
        <v>557</v>
      </c>
      <c r="O3750" t="s">
        <v>2131</v>
      </c>
      <c r="P3750" t="s">
        <v>584</v>
      </c>
      <c r="Q3750" t="s">
        <v>2118</v>
      </c>
      <c r="R3750" t="s">
        <v>2084</v>
      </c>
      <c r="S3750" t="s">
        <v>2119</v>
      </c>
      <c r="T3750" t="s">
        <v>2085</v>
      </c>
      <c r="U3750">
        <v>214100</v>
      </c>
      <c r="V3750" t="s">
        <v>2162</v>
      </c>
      <c r="W3750" t="s">
        <v>2163</v>
      </c>
      <c r="X3750" t="s">
        <v>20538</v>
      </c>
      <c r="Y3750" t="s">
        <v>20539</v>
      </c>
      <c r="Z3750" t="s">
        <v>2175</v>
      </c>
      <c r="AA3750" t="s">
        <v>16572</v>
      </c>
      <c r="AB3750" t="s">
        <v>20540</v>
      </c>
      <c r="AE3750">
        <v>-39.507400220000001</v>
      </c>
      <c r="AF3750">
        <v>176.89117917999999</v>
      </c>
      <c r="AG3750">
        <v>40</v>
      </c>
      <c r="AH3750">
        <v>10</v>
      </c>
      <c r="AI3750">
        <v>2</v>
      </c>
      <c r="AJ3750">
        <v>4</v>
      </c>
      <c r="AK3750">
        <v>11</v>
      </c>
      <c r="AL3750">
        <v>14</v>
      </c>
      <c r="AM3750">
        <v>12</v>
      </c>
      <c r="AN3750">
        <v>0</v>
      </c>
      <c r="AO3750">
        <v>43</v>
      </c>
      <c r="AP3750">
        <v>41</v>
      </c>
      <c r="AQ3750">
        <v>10</v>
      </c>
      <c r="AR3750">
        <v>3</v>
      </c>
      <c r="AS3750">
        <v>3</v>
      </c>
      <c r="AT3750">
        <v>0</v>
      </c>
    </row>
    <row r="3751" spans="1:46">
      <c r="A3751">
        <v>55431</v>
      </c>
      <c r="B3751" t="s">
        <v>20541</v>
      </c>
      <c r="C3751" t="s">
        <v>20542</v>
      </c>
      <c r="D3751" t="s">
        <v>20543</v>
      </c>
      <c r="E3751" t="s">
        <v>20544</v>
      </c>
      <c r="F3751" t="s">
        <v>2733</v>
      </c>
      <c r="G3751" t="s">
        <v>2427</v>
      </c>
      <c r="H3751" t="s">
        <v>343</v>
      </c>
      <c r="J3751" t="s">
        <v>518</v>
      </c>
      <c r="K3751" t="s">
        <v>519</v>
      </c>
      <c r="L3751" t="s">
        <v>4205</v>
      </c>
      <c r="M3751" t="s">
        <v>2287</v>
      </c>
      <c r="N3751" t="s">
        <v>571</v>
      </c>
      <c r="O3751" t="s">
        <v>2428</v>
      </c>
      <c r="P3751" t="s">
        <v>654</v>
      </c>
      <c r="Q3751" t="s">
        <v>2319</v>
      </c>
      <c r="R3751" t="s">
        <v>2289</v>
      </c>
      <c r="S3751" t="s">
        <v>2429</v>
      </c>
      <c r="T3751" t="s">
        <v>2448</v>
      </c>
      <c r="U3751">
        <v>244700</v>
      </c>
      <c r="V3751" t="s">
        <v>2734</v>
      </c>
      <c r="W3751" t="s">
        <v>2491</v>
      </c>
      <c r="X3751" t="s">
        <v>10329</v>
      </c>
      <c r="Y3751" t="s">
        <v>4208</v>
      </c>
      <c r="Z3751" t="s">
        <v>4209</v>
      </c>
      <c r="AA3751" t="s">
        <v>4210</v>
      </c>
      <c r="AB3751" t="s">
        <v>10330</v>
      </c>
      <c r="AE3751">
        <v>-41.225448739999997</v>
      </c>
      <c r="AF3751">
        <v>174.88211652000001</v>
      </c>
      <c r="AG3751">
        <v>25</v>
      </c>
      <c r="AH3751">
        <v>5</v>
      </c>
      <c r="AI3751">
        <v>0</v>
      </c>
      <c r="AJ3751">
        <v>4</v>
      </c>
      <c r="AK3751">
        <v>3</v>
      </c>
      <c r="AL3751">
        <v>3</v>
      </c>
      <c r="AM3751">
        <v>5</v>
      </c>
      <c r="AN3751">
        <v>0</v>
      </c>
      <c r="AO3751">
        <v>15</v>
      </c>
      <c r="AP3751">
        <v>0</v>
      </c>
      <c r="AQ3751">
        <v>13</v>
      </c>
      <c r="AR3751">
        <v>2</v>
      </c>
      <c r="AS3751">
        <v>0</v>
      </c>
      <c r="AT3751">
        <v>0</v>
      </c>
    </row>
    <row r="3752" spans="1:46">
      <c r="A3752">
        <v>55432</v>
      </c>
      <c r="B3752" t="s">
        <v>20545</v>
      </c>
      <c r="C3752" t="s">
        <v>20546</v>
      </c>
      <c r="D3752" t="s">
        <v>20547</v>
      </c>
      <c r="E3752" t="s">
        <v>20548</v>
      </c>
      <c r="F3752" t="s">
        <v>2130</v>
      </c>
      <c r="G3752" t="s">
        <v>2119</v>
      </c>
      <c r="H3752" t="s">
        <v>343</v>
      </c>
      <c r="J3752" t="s">
        <v>518</v>
      </c>
      <c r="K3752" t="s">
        <v>519</v>
      </c>
      <c r="L3752" t="s">
        <v>4205</v>
      </c>
      <c r="M3752" t="s">
        <v>1297</v>
      </c>
      <c r="N3752" t="s">
        <v>727</v>
      </c>
      <c r="O3752" t="s">
        <v>2131</v>
      </c>
      <c r="P3752" t="s">
        <v>584</v>
      </c>
      <c r="Q3752" t="s">
        <v>2118</v>
      </c>
      <c r="R3752" t="s">
        <v>2084</v>
      </c>
      <c r="S3752" t="s">
        <v>2119</v>
      </c>
      <c r="T3752" t="s">
        <v>2085</v>
      </c>
      <c r="U3752">
        <v>215300</v>
      </c>
      <c r="V3752" t="s">
        <v>2130</v>
      </c>
      <c r="W3752" t="s">
        <v>2132</v>
      </c>
      <c r="X3752" t="s">
        <v>8804</v>
      </c>
      <c r="Y3752" t="s">
        <v>4208</v>
      </c>
      <c r="Z3752" t="s">
        <v>4209</v>
      </c>
      <c r="AA3752" t="s">
        <v>4210</v>
      </c>
      <c r="AB3752" t="s">
        <v>8805</v>
      </c>
      <c r="AE3752">
        <v>-39.518224889999999</v>
      </c>
      <c r="AF3752">
        <v>176.90905515</v>
      </c>
      <c r="AG3752">
        <v>10</v>
      </c>
      <c r="AH3752">
        <v>5</v>
      </c>
      <c r="AI3752">
        <v>1</v>
      </c>
      <c r="AJ3752">
        <v>1</v>
      </c>
      <c r="AK3752">
        <v>1</v>
      </c>
      <c r="AL3752">
        <v>1</v>
      </c>
      <c r="AM3752">
        <v>1</v>
      </c>
      <c r="AN3752">
        <v>0</v>
      </c>
      <c r="AO3752">
        <v>5</v>
      </c>
      <c r="AP3752">
        <v>0</v>
      </c>
      <c r="AQ3752">
        <v>5</v>
      </c>
      <c r="AR3752">
        <v>0</v>
      </c>
      <c r="AS3752">
        <v>0</v>
      </c>
      <c r="AT3752">
        <v>0</v>
      </c>
    </row>
    <row r="3753" spans="1:46">
      <c r="A3753">
        <v>55433</v>
      </c>
      <c r="B3753" t="s">
        <v>20549</v>
      </c>
      <c r="C3753" t="s">
        <v>20550</v>
      </c>
      <c r="D3753" t="s">
        <v>20551</v>
      </c>
      <c r="E3753" t="s">
        <v>20552</v>
      </c>
      <c r="F3753" t="s">
        <v>8787</v>
      </c>
      <c r="G3753" t="s">
        <v>2197</v>
      </c>
      <c r="H3753" t="s">
        <v>3942</v>
      </c>
      <c r="J3753" t="s">
        <v>3962</v>
      </c>
      <c r="K3753" t="s">
        <v>519</v>
      </c>
      <c r="M3753" t="s">
        <v>1297</v>
      </c>
      <c r="N3753" t="s">
        <v>557</v>
      </c>
      <c r="O3753" t="s">
        <v>2198</v>
      </c>
      <c r="P3753" t="s">
        <v>584</v>
      </c>
      <c r="Q3753" t="s">
        <v>2118</v>
      </c>
      <c r="R3753" t="s">
        <v>2084</v>
      </c>
      <c r="S3753" t="s">
        <v>2199</v>
      </c>
      <c r="T3753" t="s">
        <v>2085</v>
      </c>
      <c r="U3753">
        <v>209700</v>
      </c>
      <c r="V3753" t="s">
        <v>8788</v>
      </c>
      <c r="W3753" t="s">
        <v>2200</v>
      </c>
      <c r="X3753" t="s">
        <v>20553</v>
      </c>
      <c r="Y3753" t="s">
        <v>20554</v>
      </c>
      <c r="AA3753" t="s">
        <v>11862</v>
      </c>
      <c r="AB3753" t="s">
        <v>20555</v>
      </c>
      <c r="AE3753">
        <v>-39.632454639999999</v>
      </c>
      <c r="AF3753">
        <v>176.83448197999999</v>
      </c>
      <c r="AG3753">
        <v>30</v>
      </c>
      <c r="AH3753">
        <v>10</v>
      </c>
      <c r="AI3753">
        <v>1</v>
      </c>
      <c r="AJ3753">
        <v>6</v>
      </c>
      <c r="AK3753">
        <v>6</v>
      </c>
      <c r="AL3753">
        <v>10</v>
      </c>
      <c r="AM3753">
        <v>6</v>
      </c>
      <c r="AN3753">
        <v>0</v>
      </c>
      <c r="AO3753">
        <v>29</v>
      </c>
      <c r="AP3753">
        <v>24</v>
      </c>
      <c r="AQ3753">
        <v>12</v>
      </c>
      <c r="AR3753">
        <v>0</v>
      </c>
      <c r="AS3753">
        <v>1</v>
      </c>
      <c r="AT3753">
        <v>0</v>
      </c>
    </row>
    <row r="3754" spans="1:46">
      <c r="A3754">
        <v>55434</v>
      </c>
      <c r="B3754" t="s">
        <v>20556</v>
      </c>
      <c r="C3754" t="s">
        <v>20557</v>
      </c>
      <c r="E3754" t="s">
        <v>20558</v>
      </c>
      <c r="F3754" t="s">
        <v>2122</v>
      </c>
      <c r="G3754" t="s">
        <v>2119</v>
      </c>
      <c r="H3754" t="s">
        <v>3942</v>
      </c>
      <c r="J3754" t="s">
        <v>518</v>
      </c>
      <c r="K3754" t="s">
        <v>519</v>
      </c>
      <c r="M3754" t="s">
        <v>1297</v>
      </c>
      <c r="N3754" t="s">
        <v>727</v>
      </c>
      <c r="O3754" t="s">
        <v>2131</v>
      </c>
      <c r="P3754" t="s">
        <v>584</v>
      </c>
      <c r="Q3754" t="s">
        <v>2118</v>
      </c>
      <c r="R3754" t="s">
        <v>2084</v>
      </c>
      <c r="S3754" t="s">
        <v>2119</v>
      </c>
      <c r="T3754" t="s">
        <v>2085</v>
      </c>
      <c r="U3754">
        <v>214800</v>
      </c>
      <c r="V3754" t="s">
        <v>2157</v>
      </c>
      <c r="W3754" t="s">
        <v>2132</v>
      </c>
      <c r="X3754" t="s">
        <v>14056</v>
      </c>
      <c r="Y3754" t="s">
        <v>14057</v>
      </c>
      <c r="Z3754" t="s">
        <v>2138</v>
      </c>
      <c r="AA3754" t="s">
        <v>14058</v>
      </c>
      <c r="AB3754" t="s">
        <v>14059</v>
      </c>
      <c r="AC3754">
        <v>99002</v>
      </c>
      <c r="AD3754" t="s">
        <v>2133</v>
      </c>
      <c r="AE3754">
        <v>-39.506037229999997</v>
      </c>
      <c r="AF3754">
        <v>176.89569058000001</v>
      </c>
      <c r="AG3754">
        <v>38</v>
      </c>
      <c r="AH3754">
        <v>30</v>
      </c>
      <c r="AI3754">
        <v>0</v>
      </c>
      <c r="AJ3754">
        <v>4</v>
      </c>
      <c r="AK3754">
        <v>2</v>
      </c>
      <c r="AL3754">
        <v>3</v>
      </c>
      <c r="AM3754">
        <v>0</v>
      </c>
      <c r="AN3754">
        <v>0</v>
      </c>
      <c r="AO3754">
        <v>9</v>
      </c>
      <c r="AP3754">
        <v>5</v>
      </c>
      <c r="AQ3754">
        <v>8</v>
      </c>
      <c r="AR3754">
        <v>0</v>
      </c>
      <c r="AS3754">
        <v>0</v>
      </c>
      <c r="AT3754">
        <v>0</v>
      </c>
    </row>
    <row r="3755" spans="1:46">
      <c r="A3755">
        <v>55436</v>
      </c>
      <c r="B3755" t="s">
        <v>20559</v>
      </c>
      <c r="C3755" t="s">
        <v>20560</v>
      </c>
      <c r="E3755" t="s">
        <v>20561</v>
      </c>
      <c r="F3755" t="s">
        <v>2466</v>
      </c>
      <c r="G3755" t="s">
        <v>2427</v>
      </c>
      <c r="H3755" t="s">
        <v>3942</v>
      </c>
      <c r="J3755" t="s">
        <v>3962</v>
      </c>
      <c r="K3755" t="s">
        <v>519</v>
      </c>
      <c r="M3755" t="s">
        <v>2287</v>
      </c>
      <c r="N3755" t="s">
        <v>571</v>
      </c>
      <c r="O3755" t="s">
        <v>2428</v>
      </c>
      <c r="P3755" t="s">
        <v>654</v>
      </c>
      <c r="Q3755" t="s">
        <v>2319</v>
      </c>
      <c r="R3755" t="s">
        <v>2289</v>
      </c>
      <c r="S3755" t="s">
        <v>2373</v>
      </c>
      <c r="T3755" t="s">
        <v>2085</v>
      </c>
      <c r="U3755">
        <v>246300</v>
      </c>
      <c r="V3755" t="s">
        <v>2467</v>
      </c>
      <c r="W3755" t="s">
        <v>2468</v>
      </c>
      <c r="X3755" t="s">
        <v>20562</v>
      </c>
      <c r="Y3755" t="s">
        <v>14755</v>
      </c>
      <c r="Z3755" t="s">
        <v>5104</v>
      </c>
      <c r="AA3755" t="s">
        <v>5000</v>
      </c>
      <c r="AE3755">
        <v>-41.179162210000001</v>
      </c>
      <c r="AF3755">
        <v>174.98282497</v>
      </c>
      <c r="AG3755">
        <v>40</v>
      </c>
      <c r="AH3755">
        <v>10</v>
      </c>
      <c r="AI3755">
        <v>2</v>
      </c>
      <c r="AJ3755">
        <v>7</v>
      </c>
      <c r="AK3755">
        <v>5</v>
      </c>
      <c r="AL3755">
        <v>12</v>
      </c>
      <c r="AM3755">
        <v>13</v>
      </c>
      <c r="AN3755">
        <v>0</v>
      </c>
      <c r="AO3755">
        <v>39</v>
      </c>
      <c r="AP3755">
        <v>23</v>
      </c>
      <c r="AQ3755">
        <v>5</v>
      </c>
      <c r="AR3755">
        <v>7</v>
      </c>
      <c r="AS3755">
        <v>12</v>
      </c>
      <c r="AT3755">
        <v>0</v>
      </c>
    </row>
    <row r="3756" spans="1:46">
      <c r="A3756">
        <v>55438</v>
      </c>
      <c r="B3756" t="s">
        <v>20563</v>
      </c>
      <c r="C3756" t="s">
        <v>20564</v>
      </c>
      <c r="D3756" t="s">
        <v>20565</v>
      </c>
      <c r="E3756" t="s">
        <v>20566</v>
      </c>
      <c r="G3756" t="s">
        <v>14441</v>
      </c>
      <c r="H3756" t="s">
        <v>517</v>
      </c>
      <c r="J3756" t="s">
        <v>518</v>
      </c>
      <c r="K3756" t="s">
        <v>519</v>
      </c>
      <c r="M3756" t="s">
        <v>2287</v>
      </c>
      <c r="N3756" t="s">
        <v>571</v>
      </c>
      <c r="O3756" t="s">
        <v>2333</v>
      </c>
      <c r="P3756" t="s">
        <v>523</v>
      </c>
      <c r="Q3756" t="s">
        <v>2319</v>
      </c>
      <c r="R3756" t="s">
        <v>2289</v>
      </c>
      <c r="S3756" t="s">
        <v>2269</v>
      </c>
      <c r="T3756" t="s">
        <v>2085</v>
      </c>
      <c r="U3756">
        <v>257901</v>
      </c>
      <c r="V3756" t="s">
        <v>14441</v>
      </c>
      <c r="W3756" t="s">
        <v>14442</v>
      </c>
      <c r="X3756" t="s">
        <v>1889</v>
      </c>
      <c r="Y3756" t="s">
        <v>1890</v>
      </c>
      <c r="AA3756" t="s">
        <v>1891</v>
      </c>
      <c r="AB3756" t="s">
        <v>1892</v>
      </c>
      <c r="AC3756">
        <v>99109</v>
      </c>
      <c r="AD3756" t="s">
        <v>2335</v>
      </c>
      <c r="AE3756">
        <v>-41.218306079999998</v>
      </c>
      <c r="AF3756">
        <v>175.45212975000001</v>
      </c>
      <c r="AG3756">
        <v>42</v>
      </c>
      <c r="AH3756">
        <v>0</v>
      </c>
      <c r="AI3756">
        <v>0</v>
      </c>
      <c r="AJ3756">
        <v>0</v>
      </c>
      <c r="AK3756">
        <v>15</v>
      </c>
      <c r="AL3756">
        <v>19</v>
      </c>
      <c r="AM3756">
        <v>17</v>
      </c>
      <c r="AN3756">
        <v>0</v>
      </c>
      <c r="AO3756">
        <v>51</v>
      </c>
      <c r="AP3756">
        <v>45</v>
      </c>
      <c r="AQ3756">
        <v>15</v>
      </c>
      <c r="AR3756">
        <v>0</v>
      </c>
      <c r="AS3756">
        <v>0</v>
      </c>
      <c r="AT3756">
        <v>0</v>
      </c>
    </row>
    <row r="3757" spans="1:46">
      <c r="A3757">
        <v>55439</v>
      </c>
      <c r="B3757" t="s">
        <v>20567</v>
      </c>
      <c r="C3757" t="s">
        <v>20568</v>
      </c>
      <c r="D3757" t="s">
        <v>20569</v>
      </c>
      <c r="E3757" t="s">
        <v>20570</v>
      </c>
      <c r="F3757" t="s">
        <v>2683</v>
      </c>
      <c r="G3757" t="s">
        <v>2289</v>
      </c>
      <c r="H3757" t="s">
        <v>3942</v>
      </c>
      <c r="J3757" t="s">
        <v>3962</v>
      </c>
      <c r="K3757" t="s">
        <v>519</v>
      </c>
      <c r="M3757" t="s">
        <v>2287</v>
      </c>
      <c r="N3757" t="s">
        <v>571</v>
      </c>
      <c r="O3757" t="s">
        <v>2536</v>
      </c>
      <c r="P3757" t="s">
        <v>654</v>
      </c>
      <c r="Q3757" t="s">
        <v>2319</v>
      </c>
      <c r="R3757" t="s">
        <v>2289</v>
      </c>
      <c r="S3757" t="s">
        <v>2545</v>
      </c>
      <c r="T3757" t="s">
        <v>2448</v>
      </c>
      <c r="U3757">
        <v>249600</v>
      </c>
      <c r="V3757" t="s">
        <v>2684</v>
      </c>
      <c r="W3757" t="s">
        <v>2561</v>
      </c>
      <c r="X3757" t="s">
        <v>20328</v>
      </c>
      <c r="Y3757" t="s">
        <v>20329</v>
      </c>
      <c r="Z3757" t="s">
        <v>2597</v>
      </c>
      <c r="AA3757" t="s">
        <v>12404</v>
      </c>
      <c r="AE3757">
        <v>-41.247236430000001</v>
      </c>
      <c r="AF3757">
        <v>174.77827889</v>
      </c>
      <c r="AG3757">
        <v>61</v>
      </c>
      <c r="AH3757">
        <v>25</v>
      </c>
      <c r="AI3757">
        <v>2</v>
      </c>
      <c r="AJ3757">
        <v>14</v>
      </c>
      <c r="AK3757">
        <v>16</v>
      </c>
      <c r="AL3757">
        <v>17</v>
      </c>
      <c r="AM3757">
        <v>17</v>
      </c>
      <c r="AN3757">
        <v>0</v>
      </c>
      <c r="AO3757">
        <v>66</v>
      </c>
      <c r="AP3757">
        <v>57</v>
      </c>
      <c r="AQ3757">
        <v>2</v>
      </c>
      <c r="AR3757">
        <v>2</v>
      </c>
      <c r="AS3757">
        <v>13</v>
      </c>
      <c r="AT3757">
        <v>5</v>
      </c>
    </row>
    <row r="3758" spans="1:46">
      <c r="A3758">
        <v>55442</v>
      </c>
      <c r="B3758" t="s">
        <v>20571</v>
      </c>
      <c r="C3758" t="s">
        <v>8399</v>
      </c>
      <c r="D3758" t="s">
        <v>20572</v>
      </c>
      <c r="E3758" t="s">
        <v>20573</v>
      </c>
      <c r="F3758" t="s">
        <v>2578</v>
      </c>
      <c r="G3758" t="s">
        <v>2526</v>
      </c>
      <c r="H3758" t="s">
        <v>4716</v>
      </c>
      <c r="J3758" t="s">
        <v>3962</v>
      </c>
      <c r="K3758" t="s">
        <v>519</v>
      </c>
      <c r="M3758" t="s">
        <v>2287</v>
      </c>
      <c r="N3758" t="s">
        <v>4519</v>
      </c>
      <c r="O3758" t="s">
        <v>2527</v>
      </c>
      <c r="P3758" t="s">
        <v>584</v>
      </c>
      <c r="Q3758" t="s">
        <v>2319</v>
      </c>
      <c r="R3758" t="s">
        <v>2289</v>
      </c>
      <c r="S3758" t="s">
        <v>2528</v>
      </c>
      <c r="T3758" t="s">
        <v>1485</v>
      </c>
      <c r="U3758">
        <v>240201</v>
      </c>
      <c r="V3758" t="s">
        <v>20574</v>
      </c>
      <c r="W3758" t="s">
        <v>2579</v>
      </c>
      <c r="X3758" t="s">
        <v>20575</v>
      </c>
      <c r="Y3758" t="s">
        <v>8401</v>
      </c>
      <c r="AA3758" t="s">
        <v>8404</v>
      </c>
      <c r="AE3758">
        <v>-41.109754330000001</v>
      </c>
      <c r="AF3758">
        <v>174.88259232999999</v>
      </c>
      <c r="AG3758">
        <v>80</v>
      </c>
      <c r="AH3758">
        <v>80</v>
      </c>
      <c r="AI3758">
        <v>1</v>
      </c>
      <c r="AJ3758">
        <v>9</v>
      </c>
      <c r="AK3758">
        <v>12</v>
      </c>
      <c r="AL3758">
        <v>16</v>
      </c>
      <c r="AM3758">
        <v>11</v>
      </c>
      <c r="AN3758">
        <v>0</v>
      </c>
      <c r="AO3758">
        <v>49</v>
      </c>
      <c r="AP3758">
        <v>36</v>
      </c>
      <c r="AQ3758">
        <v>18</v>
      </c>
      <c r="AR3758">
        <v>4</v>
      </c>
      <c r="AS3758">
        <v>2</v>
      </c>
      <c r="AT3758">
        <v>6</v>
      </c>
    </row>
    <row r="3759" spans="1:46">
      <c r="A3759">
        <v>55443</v>
      </c>
      <c r="B3759" t="s">
        <v>20576</v>
      </c>
      <c r="C3759" t="s">
        <v>20577</v>
      </c>
      <c r="D3759" t="s">
        <v>20578</v>
      </c>
      <c r="E3759" t="s">
        <v>20579</v>
      </c>
      <c r="F3759" t="s">
        <v>2426</v>
      </c>
      <c r="G3759" t="s">
        <v>2427</v>
      </c>
      <c r="H3759" t="s">
        <v>3942</v>
      </c>
      <c r="J3759" t="s">
        <v>518</v>
      </c>
      <c r="K3759" t="s">
        <v>519</v>
      </c>
      <c r="M3759" t="s">
        <v>2287</v>
      </c>
      <c r="N3759" t="s">
        <v>539</v>
      </c>
      <c r="O3759" t="s">
        <v>2428</v>
      </c>
      <c r="P3759" t="s">
        <v>654</v>
      </c>
      <c r="Q3759" t="s">
        <v>2319</v>
      </c>
      <c r="R3759" t="s">
        <v>2289</v>
      </c>
      <c r="S3759" t="s">
        <v>2429</v>
      </c>
      <c r="T3759" t="s">
        <v>2085</v>
      </c>
      <c r="U3759">
        <v>247100</v>
      </c>
      <c r="V3759" t="s">
        <v>13336</v>
      </c>
      <c r="W3759" t="s">
        <v>2431</v>
      </c>
      <c r="X3759" t="s">
        <v>20580</v>
      </c>
      <c r="Y3759" t="s">
        <v>6369</v>
      </c>
      <c r="Z3759" t="s">
        <v>4555</v>
      </c>
      <c r="AA3759" t="s">
        <v>4556</v>
      </c>
      <c r="AC3759">
        <v>99090</v>
      </c>
      <c r="AD3759" t="s">
        <v>2436</v>
      </c>
      <c r="AE3759">
        <v>-41.259330970000001</v>
      </c>
      <c r="AF3759">
        <v>174.93615428000001</v>
      </c>
      <c r="AG3759">
        <v>30</v>
      </c>
      <c r="AH3759">
        <v>5</v>
      </c>
      <c r="AI3759">
        <v>0</v>
      </c>
      <c r="AJ3759">
        <v>6</v>
      </c>
      <c r="AK3759">
        <v>3</v>
      </c>
      <c r="AL3759">
        <v>11</v>
      </c>
      <c r="AM3759">
        <v>13</v>
      </c>
      <c r="AN3759">
        <v>0</v>
      </c>
      <c r="AO3759">
        <v>33</v>
      </c>
      <c r="AP3759">
        <v>20</v>
      </c>
      <c r="AQ3759">
        <v>8</v>
      </c>
      <c r="AR3759">
        <v>2</v>
      </c>
      <c r="AS3759">
        <v>11</v>
      </c>
      <c r="AT3759">
        <v>0</v>
      </c>
    </row>
    <row r="3760" spans="1:46">
      <c r="A3760">
        <v>55446</v>
      </c>
      <c r="B3760" t="s">
        <v>20581</v>
      </c>
      <c r="C3760" t="s">
        <v>20582</v>
      </c>
      <c r="D3760" t="s">
        <v>20583</v>
      </c>
      <c r="E3760" t="s">
        <v>20584</v>
      </c>
      <c r="G3760" t="s">
        <v>2216</v>
      </c>
      <c r="H3760" t="s">
        <v>3942</v>
      </c>
      <c r="J3760" t="s">
        <v>518</v>
      </c>
      <c r="K3760" t="s">
        <v>519</v>
      </c>
      <c r="M3760" t="s">
        <v>1297</v>
      </c>
      <c r="N3760" t="s">
        <v>571</v>
      </c>
      <c r="O3760" t="s">
        <v>2198</v>
      </c>
      <c r="P3760" t="s">
        <v>1262</v>
      </c>
      <c r="Q3760" t="s">
        <v>2118</v>
      </c>
      <c r="R3760" t="s">
        <v>2084</v>
      </c>
      <c r="S3760" t="s">
        <v>2199</v>
      </c>
      <c r="T3760" t="s">
        <v>2085</v>
      </c>
      <c r="U3760">
        <v>211600</v>
      </c>
      <c r="V3760" t="s">
        <v>8721</v>
      </c>
      <c r="W3760" t="s">
        <v>2200</v>
      </c>
      <c r="X3760" t="s">
        <v>8899</v>
      </c>
      <c r="Y3760" t="s">
        <v>3944</v>
      </c>
      <c r="Z3760" t="s">
        <v>3945</v>
      </c>
      <c r="AA3760" t="s">
        <v>3946</v>
      </c>
      <c r="AB3760" t="s">
        <v>8900</v>
      </c>
      <c r="AC3760">
        <v>99022</v>
      </c>
      <c r="AD3760" t="s">
        <v>2218</v>
      </c>
      <c r="AE3760">
        <v>-39.670368449999998</v>
      </c>
      <c r="AF3760">
        <v>176.87494027</v>
      </c>
      <c r="AG3760">
        <v>25</v>
      </c>
      <c r="AH3760">
        <v>0</v>
      </c>
      <c r="AI3760">
        <v>0</v>
      </c>
      <c r="AJ3760">
        <v>0</v>
      </c>
      <c r="AK3760">
        <v>5</v>
      </c>
      <c r="AL3760">
        <v>11</v>
      </c>
      <c r="AM3760">
        <v>10</v>
      </c>
      <c r="AN3760">
        <v>0</v>
      </c>
      <c r="AO3760">
        <v>26</v>
      </c>
      <c r="AP3760">
        <v>13</v>
      </c>
      <c r="AQ3760">
        <v>7</v>
      </c>
      <c r="AR3760">
        <v>0</v>
      </c>
      <c r="AS3760">
        <v>7</v>
      </c>
      <c r="AT3760">
        <v>4</v>
      </c>
    </row>
    <row r="3761" spans="1:46">
      <c r="A3761">
        <v>55456</v>
      </c>
      <c r="B3761" t="s">
        <v>20585</v>
      </c>
      <c r="C3761" t="s">
        <v>20586</v>
      </c>
      <c r="D3761" t="s">
        <v>20587</v>
      </c>
      <c r="E3761" t="s">
        <v>20588</v>
      </c>
      <c r="F3761" t="s">
        <v>8698</v>
      </c>
      <c r="G3761" t="s">
        <v>2197</v>
      </c>
      <c r="H3761" t="s">
        <v>3942</v>
      </c>
      <c r="J3761" t="s">
        <v>518</v>
      </c>
      <c r="K3761" t="s">
        <v>519</v>
      </c>
      <c r="M3761" t="s">
        <v>1297</v>
      </c>
      <c r="N3761" t="s">
        <v>539</v>
      </c>
      <c r="O3761" t="s">
        <v>2198</v>
      </c>
      <c r="P3761" t="s">
        <v>584</v>
      </c>
      <c r="Q3761" t="s">
        <v>2118</v>
      </c>
      <c r="R3761" t="s">
        <v>2084</v>
      </c>
      <c r="S3761" t="s">
        <v>2199</v>
      </c>
      <c r="T3761" t="s">
        <v>2085</v>
      </c>
      <c r="U3761">
        <v>209401</v>
      </c>
      <c r="V3761" t="s">
        <v>8698</v>
      </c>
      <c r="W3761" t="s">
        <v>2200</v>
      </c>
      <c r="X3761" t="s">
        <v>8899</v>
      </c>
      <c r="Y3761" t="s">
        <v>3944</v>
      </c>
      <c r="Z3761" t="s">
        <v>3945</v>
      </c>
      <c r="AA3761" t="s">
        <v>3946</v>
      </c>
      <c r="AB3761" t="s">
        <v>8900</v>
      </c>
      <c r="AC3761">
        <v>99159</v>
      </c>
      <c r="AD3761" t="s">
        <v>2206</v>
      </c>
      <c r="AE3761">
        <v>-39.62670327</v>
      </c>
      <c r="AF3761">
        <v>176.82633199</v>
      </c>
      <c r="AG3761">
        <v>115</v>
      </c>
      <c r="AH3761">
        <v>35</v>
      </c>
      <c r="AI3761">
        <v>8</v>
      </c>
      <c r="AJ3761">
        <v>23</v>
      </c>
      <c r="AK3761">
        <v>20</v>
      </c>
      <c r="AL3761">
        <v>24</v>
      </c>
      <c r="AM3761">
        <v>30</v>
      </c>
      <c r="AN3761">
        <v>0</v>
      </c>
      <c r="AO3761">
        <v>105</v>
      </c>
      <c r="AP3761">
        <v>36</v>
      </c>
      <c r="AQ3761">
        <v>56</v>
      </c>
      <c r="AR3761">
        <v>10</v>
      </c>
      <c r="AS3761">
        <v>14</v>
      </c>
      <c r="AT3761">
        <v>20</v>
      </c>
    </row>
    <row r="3762" spans="1:46">
      <c r="A3762">
        <v>55459</v>
      </c>
      <c r="B3762" t="s">
        <v>20589</v>
      </c>
      <c r="C3762" t="s">
        <v>8931</v>
      </c>
      <c r="D3762" t="s">
        <v>20590</v>
      </c>
      <c r="E3762" t="s">
        <v>20591</v>
      </c>
      <c r="F3762" t="s">
        <v>2156</v>
      </c>
      <c r="G3762" t="s">
        <v>2119</v>
      </c>
      <c r="H3762" t="s">
        <v>4716</v>
      </c>
      <c r="J3762" t="s">
        <v>3962</v>
      </c>
      <c r="K3762" t="s">
        <v>519</v>
      </c>
      <c r="M3762" t="s">
        <v>1297</v>
      </c>
      <c r="N3762" t="s">
        <v>539</v>
      </c>
      <c r="O3762" t="s">
        <v>2131</v>
      </c>
      <c r="P3762" t="s">
        <v>584</v>
      </c>
      <c r="Q3762" t="s">
        <v>2118</v>
      </c>
      <c r="R3762" t="s">
        <v>2084</v>
      </c>
      <c r="S3762" t="s">
        <v>2119</v>
      </c>
      <c r="T3762" t="s">
        <v>2085</v>
      </c>
      <c r="U3762">
        <v>214100</v>
      </c>
      <c r="V3762" t="s">
        <v>2162</v>
      </c>
      <c r="W3762" t="s">
        <v>2163</v>
      </c>
      <c r="X3762" t="s">
        <v>20592</v>
      </c>
      <c r="Y3762" t="s">
        <v>8935</v>
      </c>
      <c r="Z3762" t="s">
        <v>2267</v>
      </c>
      <c r="AA3762" t="s">
        <v>8936</v>
      </c>
      <c r="AB3762" t="s">
        <v>8931</v>
      </c>
      <c r="AE3762">
        <v>-39.506968180000001</v>
      </c>
      <c r="AF3762">
        <v>176.88550126000001</v>
      </c>
      <c r="AG3762">
        <v>80</v>
      </c>
      <c r="AH3762">
        <v>80</v>
      </c>
      <c r="AI3762">
        <v>15</v>
      </c>
      <c r="AJ3762">
        <v>17</v>
      </c>
      <c r="AK3762">
        <v>29</v>
      </c>
      <c r="AL3762">
        <v>11</v>
      </c>
      <c r="AM3762">
        <v>8</v>
      </c>
      <c r="AN3762">
        <v>1</v>
      </c>
      <c r="AO3762">
        <v>81</v>
      </c>
      <c r="AP3762">
        <v>60</v>
      </c>
      <c r="AQ3762">
        <v>23</v>
      </c>
      <c r="AR3762">
        <v>5</v>
      </c>
      <c r="AS3762">
        <v>3</v>
      </c>
      <c r="AT3762">
        <v>1</v>
      </c>
    </row>
    <row r="3763" spans="1:46">
      <c r="A3763">
        <v>55460</v>
      </c>
      <c r="B3763" t="s">
        <v>20593</v>
      </c>
      <c r="C3763" t="s">
        <v>20594</v>
      </c>
      <c r="D3763" t="s">
        <v>20595</v>
      </c>
      <c r="E3763" t="s">
        <v>20596</v>
      </c>
      <c r="F3763" t="s">
        <v>16321</v>
      </c>
      <c r="G3763" t="s">
        <v>2081</v>
      </c>
      <c r="H3763" t="s">
        <v>3942</v>
      </c>
      <c r="J3763" t="s">
        <v>518</v>
      </c>
      <c r="K3763" t="s">
        <v>519</v>
      </c>
      <c r="M3763" t="s">
        <v>1297</v>
      </c>
      <c r="N3763" t="s">
        <v>557</v>
      </c>
      <c r="O3763" t="s">
        <v>2082</v>
      </c>
      <c r="P3763" t="s">
        <v>584</v>
      </c>
      <c r="Q3763" t="s">
        <v>2083</v>
      </c>
      <c r="R3763" t="s">
        <v>2084</v>
      </c>
      <c r="S3763" t="s">
        <v>1473</v>
      </c>
      <c r="T3763" t="s">
        <v>2085</v>
      </c>
      <c r="U3763">
        <v>206801</v>
      </c>
      <c r="V3763" t="s">
        <v>16321</v>
      </c>
      <c r="W3763" t="s">
        <v>2087</v>
      </c>
      <c r="X3763" t="s">
        <v>20597</v>
      </c>
      <c r="Y3763" t="s">
        <v>20598</v>
      </c>
      <c r="Z3763" t="s">
        <v>2081</v>
      </c>
      <c r="AA3763" t="s">
        <v>2090</v>
      </c>
      <c r="AB3763" t="s">
        <v>20599</v>
      </c>
      <c r="AC3763">
        <v>99082</v>
      </c>
      <c r="AD3763" t="s">
        <v>2092</v>
      </c>
      <c r="AE3763">
        <v>-38.66088894</v>
      </c>
      <c r="AF3763">
        <v>178.01269736</v>
      </c>
      <c r="AG3763">
        <v>35</v>
      </c>
      <c r="AH3763">
        <v>10</v>
      </c>
      <c r="AI3763">
        <v>2</v>
      </c>
      <c r="AJ3763">
        <v>5</v>
      </c>
      <c r="AK3763">
        <v>12</v>
      </c>
      <c r="AL3763">
        <v>9</v>
      </c>
      <c r="AM3763">
        <v>4</v>
      </c>
      <c r="AN3763">
        <v>2</v>
      </c>
      <c r="AO3763">
        <v>34</v>
      </c>
      <c r="AP3763">
        <v>19</v>
      </c>
      <c r="AQ3763">
        <v>19</v>
      </c>
      <c r="AR3763">
        <v>2</v>
      </c>
      <c r="AS3763">
        <v>6</v>
      </c>
      <c r="AT3763">
        <v>2</v>
      </c>
    </row>
    <row r="3764" spans="1:46">
      <c r="A3764">
        <v>55462</v>
      </c>
      <c r="B3764" t="s">
        <v>20600</v>
      </c>
      <c r="C3764" t="s">
        <v>20601</v>
      </c>
      <c r="D3764" t="s">
        <v>20602</v>
      </c>
      <c r="E3764" t="s">
        <v>20603</v>
      </c>
      <c r="F3764" t="s">
        <v>2097</v>
      </c>
      <c r="G3764" t="s">
        <v>2081</v>
      </c>
      <c r="H3764" t="s">
        <v>343</v>
      </c>
      <c r="J3764" t="s">
        <v>518</v>
      </c>
      <c r="K3764" t="s">
        <v>519</v>
      </c>
      <c r="L3764" t="s">
        <v>4205</v>
      </c>
      <c r="M3764" t="s">
        <v>1297</v>
      </c>
      <c r="N3764" t="s">
        <v>539</v>
      </c>
      <c r="O3764" t="s">
        <v>2082</v>
      </c>
      <c r="P3764" t="s">
        <v>584</v>
      </c>
      <c r="Q3764" t="s">
        <v>2083</v>
      </c>
      <c r="R3764" t="s">
        <v>2084</v>
      </c>
      <c r="S3764" t="s">
        <v>1473</v>
      </c>
      <c r="T3764" t="s">
        <v>2085</v>
      </c>
      <c r="U3764">
        <v>205900</v>
      </c>
      <c r="V3764" t="s">
        <v>18127</v>
      </c>
      <c r="W3764" t="s">
        <v>2087</v>
      </c>
      <c r="X3764" t="s">
        <v>18128</v>
      </c>
      <c r="Y3764" t="s">
        <v>4208</v>
      </c>
      <c r="Z3764" t="s">
        <v>4209</v>
      </c>
      <c r="AA3764" t="s">
        <v>4210</v>
      </c>
      <c r="AB3764" t="s">
        <v>18129</v>
      </c>
      <c r="AE3764">
        <v>-38.640270729999997</v>
      </c>
      <c r="AF3764">
        <v>178.00780526</v>
      </c>
      <c r="AG3764">
        <v>30</v>
      </c>
      <c r="AH3764">
        <v>10</v>
      </c>
      <c r="AI3764">
        <v>1</v>
      </c>
      <c r="AJ3764">
        <v>5</v>
      </c>
      <c r="AK3764">
        <v>4</v>
      </c>
      <c r="AL3764">
        <v>10</v>
      </c>
      <c r="AM3764">
        <v>7</v>
      </c>
      <c r="AN3764">
        <v>0</v>
      </c>
      <c r="AO3764">
        <v>27</v>
      </c>
      <c r="AP3764">
        <v>0</v>
      </c>
      <c r="AQ3764">
        <v>27</v>
      </c>
      <c r="AR3764">
        <v>0</v>
      </c>
      <c r="AS3764">
        <v>0</v>
      </c>
      <c r="AT3764">
        <v>0</v>
      </c>
    </row>
    <row r="3765" spans="1:46">
      <c r="A3765">
        <v>55471</v>
      </c>
      <c r="B3765" t="s">
        <v>20604</v>
      </c>
      <c r="C3765" t="s">
        <v>13287</v>
      </c>
      <c r="D3765" t="s">
        <v>20605</v>
      </c>
      <c r="E3765" t="s">
        <v>20606</v>
      </c>
      <c r="F3765" t="s">
        <v>2138</v>
      </c>
      <c r="G3765" t="s">
        <v>2119</v>
      </c>
      <c r="H3765" t="s">
        <v>3942</v>
      </c>
      <c r="J3765" t="s">
        <v>3962</v>
      </c>
      <c r="K3765" t="s">
        <v>519</v>
      </c>
      <c r="M3765" t="s">
        <v>1297</v>
      </c>
      <c r="N3765" t="s">
        <v>571</v>
      </c>
      <c r="O3765" t="s">
        <v>2131</v>
      </c>
      <c r="P3765" t="s">
        <v>584</v>
      </c>
      <c r="Q3765" t="s">
        <v>2118</v>
      </c>
      <c r="R3765" t="s">
        <v>2084</v>
      </c>
      <c r="S3765" t="s">
        <v>2119</v>
      </c>
      <c r="T3765" t="s">
        <v>2085</v>
      </c>
      <c r="U3765">
        <v>214400</v>
      </c>
      <c r="V3765" t="s">
        <v>8898</v>
      </c>
      <c r="W3765" t="s">
        <v>2140</v>
      </c>
      <c r="X3765" t="s">
        <v>13286</v>
      </c>
      <c r="Y3765" t="s">
        <v>4658</v>
      </c>
      <c r="Z3765" t="s">
        <v>958</v>
      </c>
      <c r="AA3765" t="s">
        <v>4659</v>
      </c>
      <c r="AB3765" t="s">
        <v>13287</v>
      </c>
      <c r="AC3765">
        <v>99217</v>
      </c>
      <c r="AD3765" t="s">
        <v>2141</v>
      </c>
      <c r="AE3765">
        <v>-39.527664010000002</v>
      </c>
      <c r="AF3765">
        <v>176.86155596</v>
      </c>
      <c r="AG3765">
        <v>40</v>
      </c>
      <c r="AH3765">
        <v>10</v>
      </c>
      <c r="AI3765">
        <v>3</v>
      </c>
      <c r="AJ3765">
        <v>7</v>
      </c>
      <c r="AK3765">
        <v>10</v>
      </c>
      <c r="AL3765">
        <v>6</v>
      </c>
      <c r="AM3765">
        <v>13</v>
      </c>
      <c r="AN3765">
        <v>0</v>
      </c>
      <c r="AO3765">
        <v>39</v>
      </c>
      <c r="AP3765">
        <v>30</v>
      </c>
      <c r="AQ3765">
        <v>21</v>
      </c>
      <c r="AR3765">
        <v>2</v>
      </c>
      <c r="AS3765">
        <v>4</v>
      </c>
      <c r="AT3765">
        <v>1</v>
      </c>
    </row>
    <row r="3766" spans="1:46">
      <c r="A3766">
        <v>55474</v>
      </c>
      <c r="B3766" t="s">
        <v>20607</v>
      </c>
      <c r="C3766" t="s">
        <v>20608</v>
      </c>
      <c r="D3766" t="s">
        <v>20609</v>
      </c>
      <c r="E3766" t="s">
        <v>20610</v>
      </c>
      <c r="F3766" t="s">
        <v>2252</v>
      </c>
      <c r="G3766" t="s">
        <v>2197</v>
      </c>
      <c r="H3766" t="s">
        <v>3942</v>
      </c>
      <c r="J3766" t="s">
        <v>3962</v>
      </c>
      <c r="K3766" t="s">
        <v>519</v>
      </c>
      <c r="M3766" t="s">
        <v>1297</v>
      </c>
      <c r="N3766" t="s">
        <v>539</v>
      </c>
      <c r="O3766" t="s">
        <v>2198</v>
      </c>
      <c r="P3766" t="s">
        <v>584</v>
      </c>
      <c r="Q3766" t="s">
        <v>2118</v>
      </c>
      <c r="R3766" t="s">
        <v>2084</v>
      </c>
      <c r="S3766" t="s">
        <v>2199</v>
      </c>
      <c r="T3766" t="s">
        <v>2085</v>
      </c>
      <c r="U3766">
        <v>210800</v>
      </c>
      <c r="V3766" t="s">
        <v>20611</v>
      </c>
      <c r="W3766" t="s">
        <v>2200</v>
      </c>
      <c r="X3766" t="s">
        <v>20612</v>
      </c>
      <c r="Y3766" t="s">
        <v>20610</v>
      </c>
      <c r="AA3766" t="s">
        <v>11650</v>
      </c>
      <c r="AB3766" t="s">
        <v>20613</v>
      </c>
      <c r="AE3766">
        <v>-39.645687209999998</v>
      </c>
      <c r="AF3766">
        <v>176.85311572000001</v>
      </c>
      <c r="AG3766">
        <v>40</v>
      </c>
      <c r="AH3766">
        <v>10</v>
      </c>
      <c r="AI3766">
        <v>3</v>
      </c>
      <c r="AJ3766">
        <v>10</v>
      </c>
      <c r="AK3766">
        <v>12</v>
      </c>
      <c r="AL3766">
        <v>9</v>
      </c>
      <c r="AM3766">
        <v>10</v>
      </c>
      <c r="AN3766">
        <v>0</v>
      </c>
      <c r="AO3766">
        <v>44</v>
      </c>
      <c r="AP3766">
        <v>42</v>
      </c>
      <c r="AQ3766">
        <v>13</v>
      </c>
      <c r="AR3766">
        <v>3</v>
      </c>
      <c r="AS3766">
        <v>1</v>
      </c>
      <c r="AT3766">
        <v>0</v>
      </c>
    </row>
    <row r="3767" spans="1:46">
      <c r="A3767">
        <v>55475</v>
      </c>
      <c r="B3767" t="s">
        <v>20614</v>
      </c>
      <c r="C3767" t="s">
        <v>20615</v>
      </c>
      <c r="D3767" t="s">
        <v>20616</v>
      </c>
      <c r="E3767" t="s">
        <v>20617</v>
      </c>
      <c r="F3767" t="s">
        <v>2175</v>
      </c>
      <c r="G3767" t="s">
        <v>2119</v>
      </c>
      <c r="H3767" t="s">
        <v>3942</v>
      </c>
      <c r="J3767" t="s">
        <v>518</v>
      </c>
      <c r="K3767" t="s">
        <v>519</v>
      </c>
      <c r="M3767" t="s">
        <v>1297</v>
      </c>
      <c r="N3767" t="s">
        <v>571</v>
      </c>
      <c r="O3767" t="s">
        <v>2131</v>
      </c>
      <c r="P3767" t="s">
        <v>584</v>
      </c>
      <c r="Q3767" t="s">
        <v>2118</v>
      </c>
      <c r="R3767" t="s">
        <v>2084</v>
      </c>
      <c r="S3767" t="s">
        <v>2119</v>
      </c>
      <c r="T3767" t="s">
        <v>2085</v>
      </c>
      <c r="U3767">
        <v>214600</v>
      </c>
      <c r="V3767" t="s">
        <v>19822</v>
      </c>
      <c r="W3767" t="s">
        <v>2140</v>
      </c>
      <c r="X3767" t="s">
        <v>8899</v>
      </c>
      <c r="Y3767" t="s">
        <v>3944</v>
      </c>
      <c r="Z3767" t="s">
        <v>3945</v>
      </c>
      <c r="AA3767" t="s">
        <v>3946</v>
      </c>
      <c r="AB3767" t="s">
        <v>8900</v>
      </c>
      <c r="AC3767">
        <v>99217</v>
      </c>
      <c r="AD3767" t="s">
        <v>2141</v>
      </c>
      <c r="AE3767">
        <v>-39.534668770000003</v>
      </c>
      <c r="AF3767">
        <v>176.8528057</v>
      </c>
      <c r="AG3767">
        <v>67</v>
      </c>
      <c r="AH3767">
        <v>20</v>
      </c>
      <c r="AI3767">
        <v>1</v>
      </c>
      <c r="AJ3767">
        <v>18</v>
      </c>
      <c r="AK3767">
        <v>17</v>
      </c>
      <c r="AL3767">
        <v>23</v>
      </c>
      <c r="AM3767">
        <v>17</v>
      </c>
      <c r="AN3767">
        <v>0</v>
      </c>
      <c r="AO3767">
        <v>76</v>
      </c>
      <c r="AP3767">
        <v>69</v>
      </c>
      <c r="AQ3767">
        <v>12</v>
      </c>
      <c r="AR3767">
        <v>0</v>
      </c>
      <c r="AS3767">
        <v>9</v>
      </c>
      <c r="AT3767">
        <v>5</v>
      </c>
    </row>
    <row r="3768" spans="1:46">
      <c r="A3768">
        <v>55476</v>
      </c>
      <c r="B3768" t="s">
        <v>20618</v>
      </c>
      <c r="C3768" t="s">
        <v>20619</v>
      </c>
      <c r="E3768" t="s">
        <v>20620</v>
      </c>
      <c r="F3768" t="s">
        <v>2138</v>
      </c>
      <c r="G3768" t="s">
        <v>2119</v>
      </c>
      <c r="H3768" t="s">
        <v>3942</v>
      </c>
      <c r="J3768" t="s">
        <v>3962</v>
      </c>
      <c r="K3768" t="s">
        <v>519</v>
      </c>
      <c r="M3768" t="s">
        <v>1297</v>
      </c>
      <c r="N3768" t="s">
        <v>571</v>
      </c>
      <c r="O3768" t="s">
        <v>2131</v>
      </c>
      <c r="P3768" t="s">
        <v>584</v>
      </c>
      <c r="Q3768" t="s">
        <v>2118</v>
      </c>
      <c r="R3768" t="s">
        <v>2084</v>
      </c>
      <c r="S3768" t="s">
        <v>2119</v>
      </c>
      <c r="T3768" t="s">
        <v>2085</v>
      </c>
      <c r="U3768">
        <v>214400</v>
      </c>
      <c r="V3768" t="s">
        <v>8898</v>
      </c>
      <c r="W3768" t="s">
        <v>2140</v>
      </c>
      <c r="X3768" t="s">
        <v>18782</v>
      </c>
      <c r="Y3768" t="s">
        <v>19874</v>
      </c>
      <c r="Z3768" t="s">
        <v>2175</v>
      </c>
      <c r="AA3768" t="s">
        <v>16572</v>
      </c>
      <c r="AB3768" t="s">
        <v>18784</v>
      </c>
      <c r="AC3768">
        <v>99217</v>
      </c>
      <c r="AD3768" t="s">
        <v>2141</v>
      </c>
      <c r="AE3768">
        <v>-39.530355290000003</v>
      </c>
      <c r="AF3768">
        <v>176.86165828</v>
      </c>
      <c r="AG3768">
        <v>40</v>
      </c>
      <c r="AH3768">
        <v>0</v>
      </c>
      <c r="AI3768">
        <v>0</v>
      </c>
      <c r="AJ3768">
        <v>0</v>
      </c>
      <c r="AK3768">
        <v>4</v>
      </c>
      <c r="AL3768">
        <v>21</v>
      </c>
      <c r="AM3768">
        <v>20</v>
      </c>
      <c r="AN3768">
        <v>0</v>
      </c>
      <c r="AO3768">
        <v>45</v>
      </c>
      <c r="AP3768">
        <v>34</v>
      </c>
      <c r="AQ3768">
        <v>10</v>
      </c>
      <c r="AR3768">
        <v>2</v>
      </c>
      <c r="AS3768">
        <v>6</v>
      </c>
      <c r="AT3768">
        <v>4</v>
      </c>
    </row>
    <row r="3769" spans="1:46">
      <c r="A3769">
        <v>55481</v>
      </c>
      <c r="B3769" t="s">
        <v>20621</v>
      </c>
      <c r="C3769" t="s">
        <v>20622</v>
      </c>
      <c r="E3769" t="s">
        <v>20623</v>
      </c>
      <c r="G3769" t="s">
        <v>2267</v>
      </c>
      <c r="H3769" t="s">
        <v>4716</v>
      </c>
      <c r="J3769" t="s">
        <v>518</v>
      </c>
      <c r="K3769" t="s">
        <v>519</v>
      </c>
      <c r="M3769" t="s">
        <v>1297</v>
      </c>
      <c r="N3769" t="s">
        <v>539</v>
      </c>
      <c r="O3769" t="s">
        <v>2268</v>
      </c>
      <c r="P3769" t="s">
        <v>523</v>
      </c>
      <c r="Q3769" t="s">
        <v>2118</v>
      </c>
      <c r="R3769" t="s">
        <v>2084</v>
      </c>
      <c r="S3769" t="s">
        <v>2269</v>
      </c>
      <c r="T3769" t="s">
        <v>2085</v>
      </c>
      <c r="U3769">
        <v>215801</v>
      </c>
      <c r="V3769" t="s">
        <v>2270</v>
      </c>
      <c r="W3769" t="s">
        <v>2271</v>
      </c>
      <c r="X3769" t="s">
        <v>13596</v>
      </c>
      <c r="Y3769" t="s">
        <v>13597</v>
      </c>
      <c r="Z3769" t="s">
        <v>2156</v>
      </c>
      <c r="AA3769" t="s">
        <v>13598</v>
      </c>
      <c r="AB3769" t="s">
        <v>13599</v>
      </c>
      <c r="AE3769">
        <v>-39.992803969999997</v>
      </c>
      <c r="AF3769">
        <v>176.55501172999999</v>
      </c>
      <c r="AG3769">
        <v>80</v>
      </c>
      <c r="AH3769">
        <v>80</v>
      </c>
      <c r="AI3769">
        <v>2</v>
      </c>
      <c r="AJ3769">
        <v>3</v>
      </c>
      <c r="AK3769">
        <v>2</v>
      </c>
      <c r="AL3769">
        <v>11</v>
      </c>
      <c r="AM3769">
        <v>1</v>
      </c>
      <c r="AN3769">
        <v>0</v>
      </c>
      <c r="AO3769">
        <v>19</v>
      </c>
      <c r="AP3769">
        <v>14</v>
      </c>
      <c r="AQ3769">
        <v>5</v>
      </c>
      <c r="AR3769">
        <v>2</v>
      </c>
      <c r="AS3769">
        <v>3</v>
      </c>
      <c r="AT3769">
        <v>1</v>
      </c>
    </row>
    <row r="3770" spans="1:46">
      <c r="A3770">
        <v>55485</v>
      </c>
      <c r="B3770" t="s">
        <v>20624</v>
      </c>
      <c r="C3770" t="s">
        <v>20625</v>
      </c>
      <c r="D3770" t="s">
        <v>20626</v>
      </c>
      <c r="E3770" t="s">
        <v>20627</v>
      </c>
      <c r="F3770" t="s">
        <v>19775</v>
      </c>
      <c r="G3770" t="s">
        <v>2197</v>
      </c>
      <c r="H3770" t="s">
        <v>3942</v>
      </c>
      <c r="I3770" t="s">
        <v>4575</v>
      </c>
      <c r="J3770" t="s">
        <v>518</v>
      </c>
      <c r="K3770" t="s">
        <v>519</v>
      </c>
      <c r="M3770" t="s">
        <v>1297</v>
      </c>
      <c r="N3770" t="s">
        <v>521</v>
      </c>
      <c r="O3770" t="s">
        <v>2198</v>
      </c>
      <c r="P3770" t="s">
        <v>584</v>
      </c>
      <c r="Q3770" t="s">
        <v>2118</v>
      </c>
      <c r="R3770" t="s">
        <v>2084</v>
      </c>
      <c r="S3770" t="s">
        <v>2199</v>
      </c>
      <c r="T3770" t="s">
        <v>2085</v>
      </c>
      <c r="U3770">
        <v>210300</v>
      </c>
      <c r="V3770" t="s">
        <v>16877</v>
      </c>
      <c r="W3770" t="s">
        <v>2200</v>
      </c>
      <c r="X3770" t="s">
        <v>20628</v>
      </c>
      <c r="Y3770" t="s">
        <v>20629</v>
      </c>
      <c r="Z3770" t="s">
        <v>2197</v>
      </c>
      <c r="AA3770" t="s">
        <v>8798</v>
      </c>
      <c r="AB3770" t="s">
        <v>20625</v>
      </c>
      <c r="AE3770">
        <v>-39.649373240000003</v>
      </c>
      <c r="AF3770">
        <v>176.82953721000001</v>
      </c>
      <c r="AG3770">
        <v>58</v>
      </c>
      <c r="AH3770">
        <v>15</v>
      </c>
      <c r="AI3770">
        <v>0</v>
      </c>
      <c r="AJ3770">
        <v>6</v>
      </c>
      <c r="AK3770">
        <v>6</v>
      </c>
      <c r="AL3770">
        <v>6</v>
      </c>
      <c r="AM3770">
        <v>7</v>
      </c>
      <c r="AN3770">
        <v>0</v>
      </c>
      <c r="AO3770">
        <v>25</v>
      </c>
      <c r="AP3770">
        <v>8</v>
      </c>
      <c r="AQ3770">
        <v>13</v>
      </c>
      <c r="AR3770">
        <v>12</v>
      </c>
      <c r="AS3770">
        <v>4</v>
      </c>
      <c r="AT3770">
        <v>0</v>
      </c>
    </row>
    <row r="3771" spans="1:46">
      <c r="A3771">
        <v>55490</v>
      </c>
      <c r="B3771" t="s">
        <v>20630</v>
      </c>
      <c r="C3771" t="s">
        <v>20631</v>
      </c>
      <c r="D3771" t="s">
        <v>13644</v>
      </c>
      <c r="E3771" t="s">
        <v>20632</v>
      </c>
      <c r="F3771" t="s">
        <v>2244</v>
      </c>
      <c r="G3771" t="s">
        <v>2197</v>
      </c>
      <c r="H3771" t="s">
        <v>3942</v>
      </c>
      <c r="J3771" t="s">
        <v>3962</v>
      </c>
      <c r="K3771" t="s">
        <v>519</v>
      </c>
      <c r="M3771" t="s">
        <v>1297</v>
      </c>
      <c r="N3771" t="s">
        <v>539</v>
      </c>
      <c r="O3771" t="s">
        <v>2198</v>
      </c>
      <c r="P3771" t="s">
        <v>584</v>
      </c>
      <c r="Q3771" t="s">
        <v>2118</v>
      </c>
      <c r="R3771" t="s">
        <v>2084</v>
      </c>
      <c r="S3771" t="s">
        <v>2199</v>
      </c>
      <c r="T3771" t="s">
        <v>2085</v>
      </c>
      <c r="U3771">
        <v>209800</v>
      </c>
      <c r="V3771" t="s">
        <v>2244</v>
      </c>
      <c r="W3771" t="s">
        <v>2200</v>
      </c>
      <c r="X3771" t="s">
        <v>13646</v>
      </c>
      <c r="Y3771" t="s">
        <v>13647</v>
      </c>
      <c r="AA3771" t="s">
        <v>13648</v>
      </c>
      <c r="AB3771" t="s">
        <v>13649</v>
      </c>
      <c r="AE3771">
        <v>-39.624466290000001</v>
      </c>
      <c r="AF3771">
        <v>176.84718642000001</v>
      </c>
      <c r="AG3771">
        <v>54</v>
      </c>
      <c r="AH3771">
        <v>0</v>
      </c>
      <c r="AI3771">
        <v>0</v>
      </c>
      <c r="AJ3771">
        <v>0</v>
      </c>
      <c r="AK3771">
        <v>4</v>
      </c>
      <c r="AL3771">
        <v>15</v>
      </c>
      <c r="AM3771">
        <v>10</v>
      </c>
      <c r="AN3771">
        <v>0</v>
      </c>
      <c r="AO3771">
        <v>29</v>
      </c>
      <c r="AP3771">
        <v>16</v>
      </c>
      <c r="AQ3771">
        <v>6</v>
      </c>
      <c r="AR3771">
        <v>4</v>
      </c>
      <c r="AS3771">
        <v>8</v>
      </c>
      <c r="AT3771">
        <v>0</v>
      </c>
    </row>
    <row r="3772" spans="1:46">
      <c r="A3772">
        <v>55492</v>
      </c>
      <c r="B3772" t="s">
        <v>20633</v>
      </c>
      <c r="C3772" t="s">
        <v>20634</v>
      </c>
      <c r="D3772" t="s">
        <v>20387</v>
      </c>
      <c r="E3772" t="s">
        <v>20635</v>
      </c>
      <c r="F3772" t="s">
        <v>19775</v>
      </c>
      <c r="G3772" t="s">
        <v>2197</v>
      </c>
      <c r="H3772" t="s">
        <v>3942</v>
      </c>
      <c r="J3772" t="s">
        <v>3962</v>
      </c>
      <c r="K3772" t="s">
        <v>519</v>
      </c>
      <c r="M3772" t="s">
        <v>1297</v>
      </c>
      <c r="N3772" t="s">
        <v>557</v>
      </c>
      <c r="O3772" t="s">
        <v>2198</v>
      </c>
      <c r="P3772" t="s">
        <v>584</v>
      </c>
      <c r="Q3772" t="s">
        <v>2118</v>
      </c>
      <c r="R3772" t="s">
        <v>2084</v>
      </c>
      <c r="S3772" t="s">
        <v>2199</v>
      </c>
      <c r="T3772" t="s">
        <v>2085</v>
      </c>
      <c r="U3772">
        <v>210700</v>
      </c>
      <c r="V3772" t="s">
        <v>2210</v>
      </c>
      <c r="W3772" t="s">
        <v>2200</v>
      </c>
      <c r="X3772" t="s">
        <v>20389</v>
      </c>
      <c r="Y3772" t="s">
        <v>20390</v>
      </c>
      <c r="Z3772" t="s">
        <v>20391</v>
      </c>
      <c r="AA3772" t="s">
        <v>2204</v>
      </c>
      <c r="AB3772" t="s">
        <v>20392</v>
      </c>
      <c r="AE3772">
        <v>-39.647719590000001</v>
      </c>
      <c r="AF3772">
        <v>176.84435321999999</v>
      </c>
      <c r="AG3772">
        <v>40</v>
      </c>
      <c r="AH3772">
        <v>0</v>
      </c>
      <c r="AI3772">
        <v>0</v>
      </c>
      <c r="AJ3772">
        <v>0</v>
      </c>
      <c r="AK3772">
        <v>2</v>
      </c>
      <c r="AL3772">
        <v>10</v>
      </c>
      <c r="AM3772">
        <v>7</v>
      </c>
      <c r="AN3772">
        <v>0</v>
      </c>
      <c r="AO3772">
        <v>19</v>
      </c>
      <c r="AP3772">
        <v>7</v>
      </c>
      <c r="AQ3772">
        <v>16</v>
      </c>
      <c r="AR3772">
        <v>9</v>
      </c>
      <c r="AS3772">
        <v>0</v>
      </c>
      <c r="AT3772">
        <v>0</v>
      </c>
    </row>
    <row r="3773" spans="1:46">
      <c r="A3773">
        <v>55494</v>
      </c>
      <c r="B3773" t="s">
        <v>20636</v>
      </c>
      <c r="C3773" t="s">
        <v>20637</v>
      </c>
      <c r="D3773" t="s">
        <v>20638</v>
      </c>
      <c r="E3773" t="s">
        <v>20639</v>
      </c>
      <c r="F3773" t="s">
        <v>2104</v>
      </c>
      <c r="G3773" t="s">
        <v>2081</v>
      </c>
      <c r="H3773" t="s">
        <v>3942</v>
      </c>
      <c r="J3773" t="s">
        <v>518</v>
      </c>
      <c r="K3773" t="s">
        <v>519</v>
      </c>
      <c r="M3773" t="s">
        <v>1297</v>
      </c>
      <c r="N3773" t="s">
        <v>521</v>
      </c>
      <c r="O3773" t="s">
        <v>2082</v>
      </c>
      <c r="P3773" t="s">
        <v>584</v>
      </c>
      <c r="Q3773" t="s">
        <v>2083</v>
      </c>
      <c r="R3773" t="s">
        <v>2084</v>
      </c>
      <c r="S3773" t="s">
        <v>1473</v>
      </c>
      <c r="T3773" t="s">
        <v>2085</v>
      </c>
      <c r="U3773">
        <v>207000</v>
      </c>
      <c r="V3773" t="s">
        <v>3847</v>
      </c>
      <c r="W3773" t="s">
        <v>2087</v>
      </c>
      <c r="X3773" t="s">
        <v>20597</v>
      </c>
      <c r="Y3773" t="s">
        <v>20598</v>
      </c>
      <c r="Z3773" t="s">
        <v>2081</v>
      </c>
      <c r="AA3773" t="s">
        <v>2090</v>
      </c>
      <c r="AB3773" t="s">
        <v>20599</v>
      </c>
      <c r="AC3773">
        <v>99050</v>
      </c>
      <c r="AD3773" t="s">
        <v>2106</v>
      </c>
      <c r="AE3773">
        <v>-38.673850659999999</v>
      </c>
      <c r="AF3773">
        <v>178.04233765000001</v>
      </c>
      <c r="AG3773">
        <v>120</v>
      </c>
      <c r="AH3773">
        <v>25</v>
      </c>
      <c r="AI3773">
        <v>1</v>
      </c>
      <c r="AJ3773">
        <v>14</v>
      </c>
      <c r="AK3773">
        <v>10</v>
      </c>
      <c r="AL3773">
        <v>21</v>
      </c>
      <c r="AM3773">
        <v>19</v>
      </c>
      <c r="AN3773">
        <v>0</v>
      </c>
      <c r="AO3773">
        <v>65</v>
      </c>
      <c r="AP3773">
        <v>10</v>
      </c>
      <c r="AQ3773">
        <v>60</v>
      </c>
      <c r="AR3773">
        <v>5</v>
      </c>
      <c r="AS3773">
        <v>2</v>
      </c>
      <c r="AT3773">
        <v>3</v>
      </c>
    </row>
    <row r="3774" spans="1:46">
      <c r="A3774">
        <v>55509</v>
      </c>
      <c r="B3774" t="s">
        <v>20640</v>
      </c>
      <c r="C3774" t="s">
        <v>20641</v>
      </c>
      <c r="D3774" t="s">
        <v>20642</v>
      </c>
      <c r="E3774" t="s">
        <v>20643</v>
      </c>
      <c r="F3774" t="s">
        <v>2252</v>
      </c>
      <c r="G3774" t="s">
        <v>2197</v>
      </c>
      <c r="H3774" t="s">
        <v>3942</v>
      </c>
      <c r="J3774" t="s">
        <v>518</v>
      </c>
      <c r="K3774" t="s">
        <v>519</v>
      </c>
      <c r="M3774" t="s">
        <v>1297</v>
      </c>
      <c r="N3774" t="s">
        <v>557</v>
      </c>
      <c r="O3774" t="s">
        <v>2198</v>
      </c>
      <c r="P3774" t="s">
        <v>584</v>
      </c>
      <c r="Q3774" t="s">
        <v>2118</v>
      </c>
      <c r="R3774" t="s">
        <v>2084</v>
      </c>
      <c r="S3774" t="s">
        <v>2199</v>
      </c>
      <c r="T3774" t="s">
        <v>2085</v>
      </c>
      <c r="U3774">
        <v>210800</v>
      </c>
      <c r="V3774" t="s">
        <v>20611</v>
      </c>
      <c r="W3774" t="s">
        <v>2200</v>
      </c>
      <c r="X3774" t="s">
        <v>8899</v>
      </c>
      <c r="Y3774" t="s">
        <v>3944</v>
      </c>
      <c r="Z3774" t="s">
        <v>3945</v>
      </c>
      <c r="AA3774" t="s">
        <v>3946</v>
      </c>
      <c r="AB3774" t="s">
        <v>8900</v>
      </c>
      <c r="AE3774">
        <v>-39.645989520000001</v>
      </c>
      <c r="AF3774">
        <v>176.84896853999999</v>
      </c>
      <c r="AG3774">
        <v>72</v>
      </c>
      <c r="AH3774">
        <v>22</v>
      </c>
      <c r="AI3774">
        <v>2</v>
      </c>
      <c r="AJ3774">
        <v>18</v>
      </c>
      <c r="AK3774">
        <v>19</v>
      </c>
      <c r="AL3774">
        <v>19</v>
      </c>
      <c r="AM3774">
        <v>10</v>
      </c>
      <c r="AN3774">
        <v>1</v>
      </c>
      <c r="AO3774">
        <v>69</v>
      </c>
      <c r="AP3774">
        <v>20</v>
      </c>
      <c r="AQ3774">
        <v>33</v>
      </c>
      <c r="AR3774">
        <v>11</v>
      </c>
      <c r="AS3774">
        <v>17</v>
      </c>
      <c r="AT3774">
        <v>3</v>
      </c>
    </row>
    <row r="3775" spans="1:46">
      <c r="A3775">
        <v>55513</v>
      </c>
      <c r="B3775" t="s">
        <v>20644</v>
      </c>
      <c r="C3775" t="s">
        <v>20645</v>
      </c>
      <c r="D3775" t="s">
        <v>20646</v>
      </c>
      <c r="E3775" t="s">
        <v>20647</v>
      </c>
      <c r="G3775" t="s">
        <v>2216</v>
      </c>
      <c r="H3775" t="s">
        <v>3942</v>
      </c>
      <c r="J3775" t="s">
        <v>3962</v>
      </c>
      <c r="K3775" t="s">
        <v>519</v>
      </c>
      <c r="M3775" t="s">
        <v>1297</v>
      </c>
      <c r="N3775" t="s">
        <v>571</v>
      </c>
      <c r="O3775" t="s">
        <v>2198</v>
      </c>
      <c r="P3775" t="s">
        <v>1262</v>
      </c>
      <c r="Q3775" t="s">
        <v>2118</v>
      </c>
      <c r="R3775" t="s">
        <v>2084</v>
      </c>
      <c r="S3775" t="s">
        <v>2199</v>
      </c>
      <c r="T3775" t="s">
        <v>2085</v>
      </c>
      <c r="U3775">
        <v>211701</v>
      </c>
      <c r="V3775" t="s">
        <v>20648</v>
      </c>
      <c r="W3775" t="s">
        <v>2200</v>
      </c>
      <c r="X3775" t="s">
        <v>20649</v>
      </c>
      <c r="Y3775" t="s">
        <v>3981</v>
      </c>
      <c r="AA3775" t="s">
        <v>3982</v>
      </c>
      <c r="AB3775" t="s">
        <v>20645</v>
      </c>
      <c r="AE3775">
        <v>-39.656346450000001</v>
      </c>
      <c r="AF3775">
        <v>176.88774839999999</v>
      </c>
      <c r="AG3775">
        <v>55</v>
      </c>
      <c r="AH3775">
        <v>15</v>
      </c>
      <c r="AI3775">
        <v>2</v>
      </c>
      <c r="AJ3775">
        <v>8</v>
      </c>
      <c r="AK3775">
        <v>10</v>
      </c>
      <c r="AL3775">
        <v>15</v>
      </c>
      <c r="AM3775">
        <v>10</v>
      </c>
      <c r="AN3775">
        <v>0</v>
      </c>
      <c r="AO3775">
        <v>45</v>
      </c>
      <c r="AP3775">
        <v>34</v>
      </c>
      <c r="AQ3775">
        <v>14</v>
      </c>
      <c r="AR3775">
        <v>2</v>
      </c>
      <c r="AS3775">
        <v>3</v>
      </c>
      <c r="AT3775">
        <v>3</v>
      </c>
    </row>
    <row r="3776" spans="1:46">
      <c r="A3776">
        <v>55514</v>
      </c>
      <c r="B3776" t="s">
        <v>20650</v>
      </c>
      <c r="C3776" t="s">
        <v>19660</v>
      </c>
      <c r="D3776" t="s">
        <v>20651</v>
      </c>
      <c r="E3776" t="s">
        <v>20652</v>
      </c>
      <c r="G3776" t="s">
        <v>2116</v>
      </c>
      <c r="H3776" t="s">
        <v>3942</v>
      </c>
      <c r="I3776" t="s">
        <v>856</v>
      </c>
      <c r="J3776" t="s">
        <v>518</v>
      </c>
      <c r="K3776" t="s">
        <v>519</v>
      </c>
      <c r="M3776" t="s">
        <v>1297</v>
      </c>
      <c r="N3776" t="s">
        <v>557</v>
      </c>
      <c r="O3776" t="s">
        <v>2117</v>
      </c>
      <c r="P3776" t="s">
        <v>523</v>
      </c>
      <c r="Q3776" t="s">
        <v>2118</v>
      </c>
      <c r="R3776" t="s">
        <v>2084</v>
      </c>
      <c r="S3776" t="s">
        <v>2119</v>
      </c>
      <c r="T3776" t="s">
        <v>2085</v>
      </c>
      <c r="U3776">
        <v>207800</v>
      </c>
      <c r="V3776" t="s">
        <v>2116</v>
      </c>
      <c r="W3776" t="s">
        <v>565</v>
      </c>
      <c r="X3776" t="s">
        <v>19658</v>
      </c>
      <c r="Y3776" t="s">
        <v>19657</v>
      </c>
      <c r="Z3776" t="s">
        <v>2116</v>
      </c>
      <c r="AA3776" t="s">
        <v>19659</v>
      </c>
      <c r="AB3776" t="s">
        <v>19660</v>
      </c>
      <c r="AC3776">
        <v>99091</v>
      </c>
      <c r="AD3776" t="s">
        <v>2125</v>
      </c>
      <c r="AE3776">
        <v>-39.034491240000001</v>
      </c>
      <c r="AF3776">
        <v>177.42533613000001</v>
      </c>
      <c r="AG3776">
        <v>35</v>
      </c>
      <c r="AH3776">
        <v>20</v>
      </c>
      <c r="AI3776">
        <v>2</v>
      </c>
      <c r="AJ3776">
        <v>13</v>
      </c>
      <c r="AK3776">
        <v>14</v>
      </c>
      <c r="AL3776">
        <v>0</v>
      </c>
      <c r="AM3776">
        <v>0</v>
      </c>
      <c r="AN3776">
        <v>0</v>
      </c>
      <c r="AO3776">
        <v>29</v>
      </c>
      <c r="AP3776">
        <v>14</v>
      </c>
      <c r="AQ3776">
        <v>21</v>
      </c>
      <c r="AR3776">
        <v>2</v>
      </c>
      <c r="AS3776">
        <v>0</v>
      </c>
      <c r="AT3776">
        <v>0</v>
      </c>
    </row>
    <row r="3777" spans="1:46">
      <c r="A3777">
        <v>55518</v>
      </c>
      <c r="B3777" t="s">
        <v>20653</v>
      </c>
      <c r="C3777" t="s">
        <v>20654</v>
      </c>
      <c r="D3777" t="s">
        <v>20655</v>
      </c>
      <c r="E3777" t="s">
        <v>20656</v>
      </c>
      <c r="F3777" t="s">
        <v>2175</v>
      </c>
      <c r="G3777" t="s">
        <v>2119</v>
      </c>
      <c r="H3777" t="s">
        <v>3942</v>
      </c>
      <c r="I3777" t="s">
        <v>4065</v>
      </c>
      <c r="J3777" t="s">
        <v>518</v>
      </c>
      <c r="K3777" t="s">
        <v>519</v>
      </c>
      <c r="M3777" t="s">
        <v>1297</v>
      </c>
      <c r="N3777" t="s">
        <v>571</v>
      </c>
      <c r="O3777" t="s">
        <v>2131</v>
      </c>
      <c r="P3777" t="s">
        <v>584</v>
      </c>
      <c r="Q3777" t="s">
        <v>2118</v>
      </c>
      <c r="R3777" t="s">
        <v>2084</v>
      </c>
      <c r="S3777" t="s">
        <v>2119</v>
      </c>
      <c r="T3777" t="s">
        <v>2085</v>
      </c>
      <c r="U3777">
        <v>214000</v>
      </c>
      <c r="V3777" t="s">
        <v>2139</v>
      </c>
      <c r="W3777" t="s">
        <v>2140</v>
      </c>
      <c r="X3777" t="s">
        <v>8899</v>
      </c>
      <c r="Y3777" t="s">
        <v>3944</v>
      </c>
      <c r="Z3777" t="s">
        <v>3945</v>
      </c>
      <c r="AA3777" t="s">
        <v>3946</v>
      </c>
      <c r="AB3777" t="s">
        <v>8900</v>
      </c>
      <c r="AC3777">
        <v>99217</v>
      </c>
      <c r="AD3777" t="s">
        <v>2141</v>
      </c>
      <c r="AE3777">
        <v>-39.52749927</v>
      </c>
      <c r="AF3777">
        <v>176.85868973000001</v>
      </c>
      <c r="AG3777">
        <v>65</v>
      </c>
      <c r="AH3777">
        <v>10</v>
      </c>
      <c r="AI3777">
        <v>0</v>
      </c>
      <c r="AJ3777">
        <v>14</v>
      </c>
      <c r="AK3777">
        <v>20</v>
      </c>
      <c r="AL3777">
        <v>29</v>
      </c>
      <c r="AM3777">
        <v>25</v>
      </c>
      <c r="AN3777">
        <v>0</v>
      </c>
      <c r="AO3777">
        <v>88</v>
      </c>
      <c r="AP3777">
        <v>49</v>
      </c>
      <c r="AQ3777">
        <v>11</v>
      </c>
      <c r="AR3777">
        <v>1</v>
      </c>
      <c r="AS3777">
        <v>29</v>
      </c>
      <c r="AT3777">
        <v>21</v>
      </c>
    </row>
    <row r="3778" spans="1:46">
      <c r="A3778">
        <v>60000</v>
      </c>
      <c r="B3778" t="s">
        <v>20657</v>
      </c>
      <c r="C3778" t="s">
        <v>20658</v>
      </c>
      <c r="D3778" t="s">
        <v>20659</v>
      </c>
      <c r="E3778" t="s">
        <v>20660</v>
      </c>
      <c r="F3778" t="s">
        <v>20528</v>
      </c>
      <c r="G3778" t="s">
        <v>2427</v>
      </c>
      <c r="H3778" t="s">
        <v>3942</v>
      </c>
      <c r="J3778" t="s">
        <v>3962</v>
      </c>
      <c r="K3778" t="s">
        <v>519</v>
      </c>
      <c r="M3778" t="s">
        <v>2287</v>
      </c>
      <c r="N3778" t="s">
        <v>571</v>
      </c>
      <c r="O3778" t="s">
        <v>2428</v>
      </c>
      <c r="P3778" t="s">
        <v>654</v>
      </c>
      <c r="Q3778" t="s">
        <v>2319</v>
      </c>
      <c r="R3778" t="s">
        <v>2289</v>
      </c>
      <c r="S3778" t="s">
        <v>2429</v>
      </c>
      <c r="T3778" t="s">
        <v>2448</v>
      </c>
      <c r="U3778">
        <v>245500</v>
      </c>
      <c r="V3778" t="s">
        <v>2520</v>
      </c>
      <c r="W3778" t="s">
        <v>2443</v>
      </c>
      <c r="X3778" t="s">
        <v>11535</v>
      </c>
      <c r="Y3778" t="s">
        <v>11536</v>
      </c>
      <c r="AA3778" t="s">
        <v>4659</v>
      </c>
      <c r="AB3778" t="s">
        <v>11537</v>
      </c>
      <c r="AE3778">
        <v>-41.212687440000003</v>
      </c>
      <c r="AF3778">
        <v>174.92049634</v>
      </c>
      <c r="AG3778">
        <v>36</v>
      </c>
      <c r="AH3778">
        <v>12</v>
      </c>
      <c r="AI3778">
        <v>3</v>
      </c>
      <c r="AJ3778">
        <v>9</v>
      </c>
      <c r="AK3778">
        <v>10</v>
      </c>
      <c r="AL3778">
        <v>9</v>
      </c>
      <c r="AM3778">
        <v>4</v>
      </c>
      <c r="AN3778">
        <v>0</v>
      </c>
      <c r="AO3778">
        <v>35</v>
      </c>
      <c r="AP3778">
        <v>22</v>
      </c>
      <c r="AQ3778">
        <v>7</v>
      </c>
      <c r="AR3778">
        <v>2</v>
      </c>
      <c r="AS3778">
        <v>11</v>
      </c>
      <c r="AT3778">
        <v>2</v>
      </c>
    </row>
    <row r="3779" spans="1:46">
      <c r="A3779">
        <v>60001</v>
      </c>
      <c r="B3779" t="s">
        <v>20661</v>
      </c>
      <c r="C3779" t="s">
        <v>20662</v>
      </c>
      <c r="D3779" t="s">
        <v>20663</v>
      </c>
      <c r="E3779" t="s">
        <v>20664</v>
      </c>
      <c r="G3779" t="s">
        <v>2357</v>
      </c>
      <c r="H3779" t="s">
        <v>298</v>
      </c>
      <c r="J3779" t="s">
        <v>518</v>
      </c>
      <c r="K3779" t="s">
        <v>519</v>
      </c>
      <c r="M3779" t="s">
        <v>2287</v>
      </c>
      <c r="N3779" t="s">
        <v>571</v>
      </c>
      <c r="O3779" t="s">
        <v>2358</v>
      </c>
      <c r="P3779" t="s">
        <v>523</v>
      </c>
      <c r="Q3779" t="s">
        <v>2319</v>
      </c>
      <c r="R3779" t="s">
        <v>2289</v>
      </c>
      <c r="S3779" t="s">
        <v>2269</v>
      </c>
      <c r="T3779" t="s">
        <v>2085</v>
      </c>
      <c r="U3779">
        <v>256900</v>
      </c>
      <c r="V3779" t="s">
        <v>13385</v>
      </c>
      <c r="W3779" t="s">
        <v>1652</v>
      </c>
      <c r="X3779" t="s">
        <v>20359</v>
      </c>
      <c r="Y3779" t="s">
        <v>5187</v>
      </c>
      <c r="AA3779" t="s">
        <v>5188</v>
      </c>
      <c r="AB3779" t="s">
        <v>20360</v>
      </c>
      <c r="AE3779">
        <v>-41.019560400000003</v>
      </c>
      <c r="AF3779">
        <v>175.52334640000001</v>
      </c>
      <c r="AG3779">
        <v>30</v>
      </c>
      <c r="AH3779">
        <v>20</v>
      </c>
      <c r="AI3779">
        <v>5</v>
      </c>
      <c r="AJ3779">
        <v>6</v>
      </c>
      <c r="AK3779">
        <v>2</v>
      </c>
      <c r="AL3779">
        <v>8</v>
      </c>
      <c r="AM3779">
        <v>4</v>
      </c>
      <c r="AN3779">
        <v>0</v>
      </c>
      <c r="AO3779">
        <v>25</v>
      </c>
      <c r="AP3779">
        <v>25</v>
      </c>
      <c r="AQ3779">
        <v>2</v>
      </c>
      <c r="AR3779">
        <v>0</v>
      </c>
      <c r="AS3779">
        <v>1</v>
      </c>
      <c r="AT3779">
        <v>0</v>
      </c>
    </row>
    <row r="3780" spans="1:46">
      <c r="A3780">
        <v>60007</v>
      </c>
      <c r="B3780" t="s">
        <v>20665</v>
      </c>
      <c r="C3780" t="s">
        <v>20666</v>
      </c>
      <c r="D3780" t="s">
        <v>20667</v>
      </c>
      <c r="E3780" t="s">
        <v>20668</v>
      </c>
      <c r="G3780" t="s">
        <v>14441</v>
      </c>
      <c r="H3780" t="s">
        <v>298</v>
      </c>
      <c r="J3780" t="s">
        <v>518</v>
      </c>
      <c r="K3780" t="s">
        <v>519</v>
      </c>
      <c r="M3780" t="s">
        <v>2287</v>
      </c>
      <c r="N3780" t="s">
        <v>571</v>
      </c>
      <c r="O3780" t="s">
        <v>2333</v>
      </c>
      <c r="P3780" t="s">
        <v>523</v>
      </c>
      <c r="Q3780" t="s">
        <v>2319</v>
      </c>
      <c r="R3780" t="s">
        <v>2289</v>
      </c>
      <c r="S3780" t="s">
        <v>2269</v>
      </c>
      <c r="T3780" t="s">
        <v>2085</v>
      </c>
      <c r="U3780">
        <v>257901</v>
      </c>
      <c r="V3780" t="s">
        <v>14441</v>
      </c>
      <c r="W3780" t="s">
        <v>14442</v>
      </c>
      <c r="X3780" t="s">
        <v>20359</v>
      </c>
      <c r="Y3780" t="s">
        <v>5187</v>
      </c>
      <c r="AA3780" t="s">
        <v>5188</v>
      </c>
      <c r="AB3780" t="s">
        <v>20360</v>
      </c>
      <c r="AE3780">
        <v>-41.219480109999999</v>
      </c>
      <c r="AF3780">
        <v>175.45628631</v>
      </c>
      <c r="AG3780">
        <v>30</v>
      </c>
      <c r="AH3780">
        <v>15</v>
      </c>
      <c r="AI3780">
        <v>3</v>
      </c>
      <c r="AJ3780">
        <v>7</v>
      </c>
      <c r="AK3780">
        <v>5</v>
      </c>
      <c r="AL3780">
        <v>4</v>
      </c>
      <c r="AM3780">
        <v>6</v>
      </c>
      <c r="AN3780">
        <v>0</v>
      </c>
      <c r="AO3780">
        <v>25</v>
      </c>
      <c r="AP3780">
        <v>24</v>
      </c>
      <c r="AQ3780">
        <v>3</v>
      </c>
      <c r="AR3780">
        <v>0</v>
      </c>
      <c r="AS3780">
        <v>1</v>
      </c>
      <c r="AT3780">
        <v>0</v>
      </c>
    </row>
    <row r="3781" spans="1:46">
      <c r="A3781">
        <v>60010</v>
      </c>
      <c r="B3781" t="s">
        <v>20669</v>
      </c>
      <c r="C3781" t="s">
        <v>20670</v>
      </c>
      <c r="D3781" t="s">
        <v>20671</v>
      </c>
      <c r="E3781" t="s">
        <v>20672</v>
      </c>
      <c r="G3781" t="s">
        <v>2317</v>
      </c>
      <c r="H3781" t="s">
        <v>298</v>
      </c>
      <c r="J3781" t="s">
        <v>518</v>
      </c>
      <c r="K3781" t="s">
        <v>519</v>
      </c>
      <c r="M3781" t="s">
        <v>2287</v>
      </c>
      <c r="N3781" t="s">
        <v>571</v>
      </c>
      <c r="O3781" t="s">
        <v>2318</v>
      </c>
      <c r="P3781" t="s">
        <v>1262</v>
      </c>
      <c r="Q3781" t="s">
        <v>2319</v>
      </c>
      <c r="R3781" t="s">
        <v>2289</v>
      </c>
      <c r="S3781" t="s">
        <v>2269</v>
      </c>
      <c r="T3781" t="s">
        <v>2085</v>
      </c>
      <c r="U3781">
        <v>256000</v>
      </c>
      <c r="V3781" t="s">
        <v>2340</v>
      </c>
      <c r="W3781" t="s">
        <v>2321</v>
      </c>
      <c r="X3781" t="s">
        <v>20359</v>
      </c>
      <c r="Y3781" t="s">
        <v>5187</v>
      </c>
      <c r="AA3781" t="s">
        <v>5188</v>
      </c>
      <c r="AB3781" t="s">
        <v>20360</v>
      </c>
      <c r="AC3781">
        <v>99204</v>
      </c>
      <c r="AD3781" t="s">
        <v>2322</v>
      </c>
      <c r="AE3781">
        <v>-40.946699340000002</v>
      </c>
      <c r="AF3781">
        <v>175.63737227999999</v>
      </c>
      <c r="AG3781">
        <v>30</v>
      </c>
      <c r="AH3781">
        <v>20</v>
      </c>
      <c r="AI3781">
        <v>23</v>
      </c>
      <c r="AJ3781">
        <v>4</v>
      </c>
      <c r="AK3781">
        <v>15</v>
      </c>
      <c r="AL3781">
        <v>3</v>
      </c>
      <c r="AM3781">
        <v>8</v>
      </c>
      <c r="AN3781">
        <v>0</v>
      </c>
      <c r="AO3781">
        <v>53</v>
      </c>
      <c r="AP3781">
        <v>52</v>
      </c>
      <c r="AQ3781">
        <v>10</v>
      </c>
      <c r="AR3781">
        <v>0</v>
      </c>
      <c r="AS3781">
        <v>2</v>
      </c>
      <c r="AT3781">
        <v>1</v>
      </c>
    </row>
    <row r="3782" spans="1:46">
      <c r="A3782">
        <v>60011</v>
      </c>
      <c r="B3782" t="s">
        <v>20673</v>
      </c>
      <c r="C3782" t="s">
        <v>20674</v>
      </c>
      <c r="D3782" t="s">
        <v>20675</v>
      </c>
      <c r="E3782" t="s">
        <v>20676</v>
      </c>
      <c r="F3782" t="s">
        <v>2441</v>
      </c>
      <c r="G3782" t="s">
        <v>2427</v>
      </c>
      <c r="H3782" t="s">
        <v>298</v>
      </c>
      <c r="J3782" t="s">
        <v>518</v>
      </c>
      <c r="K3782" t="s">
        <v>519</v>
      </c>
      <c r="M3782" t="s">
        <v>2287</v>
      </c>
      <c r="N3782" t="s">
        <v>571</v>
      </c>
      <c r="O3782" t="s">
        <v>2428</v>
      </c>
      <c r="P3782" t="s">
        <v>654</v>
      </c>
      <c r="Q3782" t="s">
        <v>2319</v>
      </c>
      <c r="R3782" t="s">
        <v>2289</v>
      </c>
      <c r="S3782" t="s">
        <v>2429</v>
      </c>
      <c r="T3782" t="s">
        <v>2448</v>
      </c>
      <c r="U3782">
        <v>244000</v>
      </c>
      <c r="V3782" t="s">
        <v>12295</v>
      </c>
      <c r="W3782" t="s">
        <v>2461</v>
      </c>
      <c r="X3782" t="s">
        <v>20359</v>
      </c>
      <c r="Y3782" t="s">
        <v>5187</v>
      </c>
      <c r="AA3782" t="s">
        <v>5188</v>
      </c>
      <c r="AB3782" t="s">
        <v>20360</v>
      </c>
      <c r="AE3782">
        <v>-41.213547769999998</v>
      </c>
      <c r="AF3782">
        <v>174.89518312999999</v>
      </c>
      <c r="AG3782">
        <v>30</v>
      </c>
      <c r="AH3782">
        <v>20</v>
      </c>
      <c r="AI3782">
        <v>25</v>
      </c>
      <c r="AJ3782">
        <v>6</v>
      </c>
      <c r="AK3782">
        <v>13</v>
      </c>
      <c r="AL3782">
        <v>8</v>
      </c>
      <c r="AM3782">
        <v>4</v>
      </c>
      <c r="AN3782">
        <v>0</v>
      </c>
      <c r="AO3782">
        <v>56</v>
      </c>
      <c r="AP3782">
        <v>53</v>
      </c>
      <c r="AQ3782">
        <v>6</v>
      </c>
      <c r="AR3782">
        <v>1</v>
      </c>
      <c r="AS3782">
        <v>0</v>
      </c>
      <c r="AT3782">
        <v>2</v>
      </c>
    </row>
    <row r="3783" spans="1:46">
      <c r="A3783">
        <v>60013</v>
      </c>
      <c r="B3783" t="s">
        <v>20677</v>
      </c>
      <c r="C3783" t="s">
        <v>20678</v>
      </c>
      <c r="D3783" t="s">
        <v>20679</v>
      </c>
      <c r="E3783" t="s">
        <v>2180</v>
      </c>
      <c r="F3783" t="s">
        <v>5992</v>
      </c>
      <c r="G3783" t="s">
        <v>2427</v>
      </c>
      <c r="H3783" t="s">
        <v>298</v>
      </c>
      <c r="J3783" t="s">
        <v>518</v>
      </c>
      <c r="K3783" t="s">
        <v>519</v>
      </c>
      <c r="M3783" t="s">
        <v>2287</v>
      </c>
      <c r="N3783" t="s">
        <v>571</v>
      </c>
      <c r="O3783" t="s">
        <v>2428</v>
      </c>
      <c r="P3783" t="s">
        <v>654</v>
      </c>
      <c r="Q3783" t="s">
        <v>2319</v>
      </c>
      <c r="R3783" t="s">
        <v>2289</v>
      </c>
      <c r="S3783" t="s">
        <v>2373</v>
      </c>
      <c r="T3783" t="s">
        <v>2085</v>
      </c>
      <c r="U3783">
        <v>243600</v>
      </c>
      <c r="V3783" t="s">
        <v>20680</v>
      </c>
      <c r="W3783" t="s">
        <v>2461</v>
      </c>
      <c r="X3783" t="s">
        <v>20359</v>
      </c>
      <c r="Y3783" t="s">
        <v>5187</v>
      </c>
      <c r="AA3783" t="s">
        <v>5188</v>
      </c>
      <c r="AB3783" t="s">
        <v>20360</v>
      </c>
      <c r="AE3783">
        <v>-41.189521409999998</v>
      </c>
      <c r="AF3783">
        <v>174.93209879</v>
      </c>
      <c r="AG3783">
        <v>30</v>
      </c>
      <c r="AH3783">
        <v>20</v>
      </c>
      <c r="AI3783">
        <v>6</v>
      </c>
      <c r="AJ3783">
        <v>7</v>
      </c>
      <c r="AK3783">
        <v>7</v>
      </c>
      <c r="AL3783">
        <v>11</v>
      </c>
      <c r="AM3783">
        <v>5</v>
      </c>
      <c r="AN3783">
        <v>0</v>
      </c>
      <c r="AO3783">
        <v>36</v>
      </c>
      <c r="AP3783">
        <v>35</v>
      </c>
      <c r="AQ3783">
        <v>2</v>
      </c>
      <c r="AR3783">
        <v>4</v>
      </c>
      <c r="AS3783">
        <v>1</v>
      </c>
      <c r="AT3783">
        <v>2</v>
      </c>
    </row>
    <row r="3784" spans="1:46">
      <c r="A3784">
        <v>60014</v>
      </c>
      <c r="B3784" t="s">
        <v>20681</v>
      </c>
      <c r="C3784" t="s">
        <v>20682</v>
      </c>
      <c r="D3784" t="s">
        <v>20683</v>
      </c>
      <c r="E3784" t="s">
        <v>20684</v>
      </c>
      <c r="F3784" t="s">
        <v>20685</v>
      </c>
      <c r="G3784" t="s">
        <v>2427</v>
      </c>
      <c r="H3784" t="s">
        <v>298</v>
      </c>
      <c r="J3784" t="s">
        <v>518</v>
      </c>
      <c r="K3784" t="s">
        <v>519</v>
      </c>
      <c r="M3784" t="s">
        <v>2287</v>
      </c>
      <c r="N3784" t="s">
        <v>571</v>
      </c>
      <c r="O3784" t="s">
        <v>2428</v>
      </c>
      <c r="P3784" t="s">
        <v>654</v>
      </c>
      <c r="Q3784" t="s">
        <v>2319</v>
      </c>
      <c r="R3784" t="s">
        <v>2289</v>
      </c>
      <c r="S3784" t="s">
        <v>2429</v>
      </c>
      <c r="T3784" t="s">
        <v>2448</v>
      </c>
      <c r="U3784">
        <v>246700</v>
      </c>
      <c r="V3784" t="s">
        <v>20686</v>
      </c>
      <c r="W3784" t="s">
        <v>2491</v>
      </c>
      <c r="X3784" t="s">
        <v>20359</v>
      </c>
      <c r="Y3784" t="s">
        <v>5187</v>
      </c>
      <c r="AA3784" t="s">
        <v>5188</v>
      </c>
      <c r="AB3784" t="s">
        <v>20360</v>
      </c>
      <c r="AE3784">
        <v>-41.278498560000003</v>
      </c>
      <c r="AF3784">
        <v>174.90822777</v>
      </c>
      <c r="AG3784">
        <v>24</v>
      </c>
      <c r="AH3784">
        <v>15</v>
      </c>
      <c r="AI3784">
        <v>6</v>
      </c>
      <c r="AJ3784">
        <v>3</v>
      </c>
      <c r="AK3784">
        <v>4</v>
      </c>
      <c r="AL3784">
        <v>5</v>
      </c>
      <c r="AM3784">
        <v>1</v>
      </c>
      <c r="AN3784">
        <v>0</v>
      </c>
      <c r="AO3784">
        <v>19</v>
      </c>
      <c r="AP3784">
        <v>19</v>
      </c>
      <c r="AQ3784">
        <v>3</v>
      </c>
      <c r="AR3784">
        <v>0</v>
      </c>
      <c r="AS3784">
        <v>0</v>
      </c>
      <c r="AT3784">
        <v>0</v>
      </c>
    </row>
    <row r="3785" spans="1:46">
      <c r="A3785">
        <v>60016</v>
      </c>
      <c r="B3785" t="s">
        <v>20687</v>
      </c>
      <c r="C3785" t="s">
        <v>20688</v>
      </c>
      <c r="D3785" t="s">
        <v>20689</v>
      </c>
      <c r="E3785" t="s">
        <v>20690</v>
      </c>
      <c r="F3785" t="s">
        <v>2441</v>
      </c>
      <c r="G3785" t="s">
        <v>2427</v>
      </c>
      <c r="H3785" t="s">
        <v>298</v>
      </c>
      <c r="J3785" t="s">
        <v>518</v>
      </c>
      <c r="K3785" t="s">
        <v>519</v>
      </c>
      <c r="M3785" t="s">
        <v>2287</v>
      </c>
      <c r="N3785" t="s">
        <v>571</v>
      </c>
      <c r="O3785" t="s">
        <v>2428</v>
      </c>
      <c r="P3785" t="s">
        <v>654</v>
      </c>
      <c r="Q3785" t="s">
        <v>2319</v>
      </c>
      <c r="R3785" t="s">
        <v>2289</v>
      </c>
      <c r="S3785" t="s">
        <v>2429</v>
      </c>
      <c r="T3785" t="s">
        <v>2448</v>
      </c>
      <c r="U3785">
        <v>244300</v>
      </c>
      <c r="V3785" t="s">
        <v>9027</v>
      </c>
      <c r="W3785" t="s">
        <v>2443</v>
      </c>
      <c r="X3785" t="s">
        <v>20359</v>
      </c>
      <c r="Y3785" t="s">
        <v>5187</v>
      </c>
      <c r="AA3785" t="s">
        <v>5188</v>
      </c>
      <c r="AB3785" t="s">
        <v>20360</v>
      </c>
      <c r="AE3785">
        <v>-41.214456210000002</v>
      </c>
      <c r="AF3785">
        <v>174.89951755999999</v>
      </c>
      <c r="AG3785">
        <v>27</v>
      </c>
      <c r="AH3785">
        <v>20</v>
      </c>
      <c r="AI3785">
        <v>27</v>
      </c>
      <c r="AJ3785">
        <v>6</v>
      </c>
      <c r="AK3785">
        <v>12</v>
      </c>
      <c r="AL3785">
        <v>6</v>
      </c>
      <c r="AM3785">
        <v>7</v>
      </c>
      <c r="AN3785">
        <v>0</v>
      </c>
      <c r="AO3785">
        <v>58</v>
      </c>
      <c r="AP3785">
        <v>50</v>
      </c>
      <c r="AQ3785">
        <v>8</v>
      </c>
      <c r="AR3785">
        <v>3</v>
      </c>
      <c r="AS3785">
        <v>8</v>
      </c>
      <c r="AT3785">
        <v>0</v>
      </c>
    </row>
    <row r="3786" spans="1:46">
      <c r="A3786">
        <v>60018</v>
      </c>
      <c r="B3786" t="s">
        <v>20691</v>
      </c>
      <c r="C3786" t="s">
        <v>20692</v>
      </c>
      <c r="D3786" t="s">
        <v>20693</v>
      </c>
      <c r="E3786" t="s">
        <v>20694</v>
      </c>
      <c r="F3786" t="s">
        <v>2474</v>
      </c>
      <c r="G3786" t="s">
        <v>2427</v>
      </c>
      <c r="H3786" t="s">
        <v>298</v>
      </c>
      <c r="J3786" t="s">
        <v>518</v>
      </c>
      <c r="K3786" t="s">
        <v>519</v>
      </c>
      <c r="M3786" t="s">
        <v>2287</v>
      </c>
      <c r="N3786" t="s">
        <v>571</v>
      </c>
      <c r="O3786" t="s">
        <v>2428</v>
      </c>
      <c r="P3786" t="s">
        <v>654</v>
      </c>
      <c r="Q3786" t="s">
        <v>2319</v>
      </c>
      <c r="R3786" t="s">
        <v>2289</v>
      </c>
      <c r="S3786" t="s">
        <v>2429</v>
      </c>
      <c r="T3786" t="s">
        <v>2085</v>
      </c>
      <c r="U3786">
        <v>243200</v>
      </c>
      <c r="V3786" t="s">
        <v>2474</v>
      </c>
      <c r="W3786" t="s">
        <v>2461</v>
      </c>
      <c r="X3786" t="s">
        <v>20359</v>
      </c>
      <c r="Y3786" t="s">
        <v>5187</v>
      </c>
      <c r="AA3786" t="s">
        <v>5188</v>
      </c>
      <c r="AB3786" t="s">
        <v>20360</v>
      </c>
      <c r="AE3786">
        <v>-41.208964000000002</v>
      </c>
      <c r="AF3786">
        <v>174.8797715</v>
      </c>
      <c r="AG3786">
        <v>29</v>
      </c>
      <c r="AH3786">
        <v>15</v>
      </c>
      <c r="AI3786">
        <v>20</v>
      </c>
      <c r="AJ3786">
        <v>2</v>
      </c>
      <c r="AK3786">
        <v>6</v>
      </c>
      <c r="AL3786">
        <v>2</v>
      </c>
      <c r="AM3786">
        <v>3</v>
      </c>
      <c r="AN3786">
        <v>0</v>
      </c>
      <c r="AO3786">
        <v>33</v>
      </c>
      <c r="AP3786">
        <v>30</v>
      </c>
      <c r="AQ3786">
        <v>3</v>
      </c>
      <c r="AR3786">
        <v>3</v>
      </c>
      <c r="AS3786">
        <v>7</v>
      </c>
      <c r="AT3786">
        <v>0</v>
      </c>
    </row>
    <row r="3787" spans="1:46">
      <c r="A3787">
        <v>60019</v>
      </c>
      <c r="B3787" t="s">
        <v>20695</v>
      </c>
      <c r="C3787" t="s">
        <v>20696</v>
      </c>
      <c r="D3787" t="s">
        <v>20697</v>
      </c>
      <c r="E3787" t="s">
        <v>20698</v>
      </c>
      <c r="F3787" t="s">
        <v>2479</v>
      </c>
      <c r="G3787" t="s">
        <v>2427</v>
      </c>
      <c r="H3787" t="s">
        <v>298</v>
      </c>
      <c r="J3787" t="s">
        <v>518</v>
      </c>
      <c r="K3787" t="s">
        <v>519</v>
      </c>
      <c r="M3787" t="s">
        <v>2287</v>
      </c>
      <c r="N3787" t="s">
        <v>539</v>
      </c>
      <c r="O3787" t="s">
        <v>2428</v>
      </c>
      <c r="P3787" t="s">
        <v>654</v>
      </c>
      <c r="Q3787" t="s">
        <v>2319</v>
      </c>
      <c r="R3787" t="s">
        <v>2289</v>
      </c>
      <c r="S3787" t="s">
        <v>2373</v>
      </c>
      <c r="T3787" t="s">
        <v>2085</v>
      </c>
      <c r="U3787">
        <v>246200</v>
      </c>
      <c r="V3787" t="s">
        <v>14422</v>
      </c>
      <c r="W3787" t="s">
        <v>2455</v>
      </c>
      <c r="X3787" t="s">
        <v>20359</v>
      </c>
      <c r="Y3787" t="s">
        <v>5187</v>
      </c>
      <c r="AA3787" t="s">
        <v>5188</v>
      </c>
      <c r="AB3787" t="s">
        <v>20360</v>
      </c>
      <c r="AE3787">
        <v>-41.198952439999999</v>
      </c>
      <c r="AF3787">
        <v>174.95581397000001</v>
      </c>
      <c r="AG3787">
        <v>30</v>
      </c>
      <c r="AH3787">
        <v>15</v>
      </c>
      <c r="AI3787">
        <v>3</v>
      </c>
      <c r="AJ3787">
        <v>10</v>
      </c>
      <c r="AK3787">
        <v>7</v>
      </c>
      <c r="AL3787">
        <v>4</v>
      </c>
      <c r="AM3787">
        <v>2</v>
      </c>
      <c r="AN3787">
        <v>0</v>
      </c>
      <c r="AO3787">
        <v>26</v>
      </c>
      <c r="AP3787">
        <v>21</v>
      </c>
      <c r="AQ3787">
        <v>5</v>
      </c>
      <c r="AR3787">
        <v>0</v>
      </c>
      <c r="AS3787">
        <v>4</v>
      </c>
      <c r="AT3787">
        <v>3</v>
      </c>
    </row>
    <row r="3788" spans="1:46">
      <c r="A3788">
        <v>60020</v>
      </c>
      <c r="B3788" t="s">
        <v>20699</v>
      </c>
      <c r="C3788" t="s">
        <v>20700</v>
      </c>
      <c r="D3788" t="s">
        <v>20701</v>
      </c>
      <c r="E3788" t="s">
        <v>20702</v>
      </c>
      <c r="F3788" t="s">
        <v>20703</v>
      </c>
      <c r="G3788" t="s">
        <v>2427</v>
      </c>
      <c r="H3788" t="s">
        <v>298</v>
      </c>
      <c r="J3788" t="s">
        <v>518</v>
      </c>
      <c r="K3788" t="s">
        <v>519</v>
      </c>
      <c r="M3788" t="s">
        <v>2287</v>
      </c>
      <c r="N3788" t="s">
        <v>571</v>
      </c>
      <c r="O3788" t="s">
        <v>2428</v>
      </c>
      <c r="P3788" t="s">
        <v>654</v>
      </c>
      <c r="Q3788" t="s">
        <v>2319</v>
      </c>
      <c r="R3788" t="s">
        <v>2289</v>
      </c>
      <c r="S3788" t="s">
        <v>2429</v>
      </c>
      <c r="T3788" t="s">
        <v>2085</v>
      </c>
      <c r="U3788">
        <v>243500</v>
      </c>
      <c r="V3788" t="s">
        <v>20703</v>
      </c>
      <c r="W3788" t="s">
        <v>2461</v>
      </c>
      <c r="X3788" t="s">
        <v>20359</v>
      </c>
      <c r="Y3788" t="s">
        <v>5187</v>
      </c>
      <c r="AA3788" t="s">
        <v>5188</v>
      </c>
      <c r="AB3788" t="s">
        <v>20360</v>
      </c>
      <c r="AE3788">
        <v>-41.200161360000003</v>
      </c>
      <c r="AF3788">
        <v>174.89149982000001</v>
      </c>
      <c r="AG3788">
        <v>30</v>
      </c>
      <c r="AH3788">
        <v>15</v>
      </c>
      <c r="AI3788">
        <v>1</v>
      </c>
      <c r="AJ3788">
        <v>4</v>
      </c>
      <c r="AK3788">
        <v>1</v>
      </c>
      <c r="AL3788">
        <v>3</v>
      </c>
      <c r="AM3788">
        <v>3</v>
      </c>
      <c r="AN3788">
        <v>0</v>
      </c>
      <c r="AO3788">
        <v>12</v>
      </c>
      <c r="AP3788">
        <v>12</v>
      </c>
      <c r="AQ3788">
        <v>0</v>
      </c>
      <c r="AR3788">
        <v>0</v>
      </c>
      <c r="AS3788">
        <v>0</v>
      </c>
      <c r="AT3788">
        <v>0</v>
      </c>
    </row>
    <row r="3789" spans="1:46">
      <c r="A3789">
        <v>60021</v>
      </c>
      <c r="B3789" t="s">
        <v>20704</v>
      </c>
      <c r="C3789" t="s">
        <v>20705</v>
      </c>
      <c r="D3789" t="s">
        <v>20706</v>
      </c>
      <c r="E3789" t="s">
        <v>20707</v>
      </c>
      <c r="F3789" t="s">
        <v>20708</v>
      </c>
      <c r="G3789" t="s">
        <v>2371</v>
      </c>
      <c r="H3789" t="s">
        <v>298</v>
      </c>
      <c r="J3789" t="s">
        <v>518</v>
      </c>
      <c r="K3789" t="s">
        <v>519</v>
      </c>
      <c r="M3789" t="s">
        <v>2287</v>
      </c>
      <c r="N3789" t="s">
        <v>571</v>
      </c>
      <c r="O3789" t="s">
        <v>2372</v>
      </c>
      <c r="P3789" t="s">
        <v>584</v>
      </c>
      <c r="Q3789" t="s">
        <v>2319</v>
      </c>
      <c r="R3789" t="s">
        <v>2289</v>
      </c>
      <c r="S3789" t="s">
        <v>2373</v>
      </c>
      <c r="T3789" t="s">
        <v>2085</v>
      </c>
      <c r="U3789">
        <v>242800</v>
      </c>
      <c r="V3789" t="s">
        <v>20708</v>
      </c>
      <c r="W3789" t="s">
        <v>1652</v>
      </c>
      <c r="X3789" t="s">
        <v>20359</v>
      </c>
      <c r="Y3789" t="s">
        <v>5187</v>
      </c>
      <c r="AA3789" t="s">
        <v>5188</v>
      </c>
      <c r="AB3789" t="s">
        <v>20360</v>
      </c>
      <c r="AE3789">
        <v>-41.160539980000003</v>
      </c>
      <c r="AF3789">
        <v>175.01574471000001</v>
      </c>
      <c r="AG3789">
        <v>28</v>
      </c>
      <c r="AH3789">
        <v>15</v>
      </c>
      <c r="AI3789">
        <v>4</v>
      </c>
      <c r="AJ3789">
        <v>15</v>
      </c>
      <c r="AK3789">
        <v>15</v>
      </c>
      <c r="AL3789">
        <v>14</v>
      </c>
      <c r="AM3789">
        <v>5</v>
      </c>
      <c r="AN3789">
        <v>0</v>
      </c>
      <c r="AO3789">
        <v>53</v>
      </c>
      <c r="AP3789">
        <v>43</v>
      </c>
      <c r="AQ3789">
        <v>7</v>
      </c>
      <c r="AR3789">
        <v>6</v>
      </c>
      <c r="AS3789">
        <v>8</v>
      </c>
      <c r="AT3789">
        <v>6</v>
      </c>
    </row>
    <row r="3790" spans="1:46">
      <c r="A3790">
        <v>60022</v>
      </c>
      <c r="B3790" t="s">
        <v>20709</v>
      </c>
      <c r="D3790" t="s">
        <v>20710</v>
      </c>
      <c r="E3790" t="s">
        <v>20711</v>
      </c>
      <c r="F3790" t="s">
        <v>20712</v>
      </c>
      <c r="G3790" t="s">
        <v>2427</v>
      </c>
      <c r="H3790" t="s">
        <v>298</v>
      </c>
      <c r="J3790" t="s">
        <v>518</v>
      </c>
      <c r="K3790" t="s">
        <v>519</v>
      </c>
      <c r="M3790" t="s">
        <v>2287</v>
      </c>
      <c r="N3790" t="s">
        <v>571</v>
      </c>
      <c r="O3790" t="s">
        <v>2428</v>
      </c>
      <c r="P3790" t="s">
        <v>654</v>
      </c>
      <c r="Q3790" t="s">
        <v>2319</v>
      </c>
      <c r="R3790" t="s">
        <v>2289</v>
      </c>
      <c r="S3790" t="s">
        <v>2429</v>
      </c>
      <c r="T3790" t="s">
        <v>2448</v>
      </c>
      <c r="U3790">
        <v>246700</v>
      </c>
      <c r="V3790" t="s">
        <v>20686</v>
      </c>
      <c r="W3790" t="s">
        <v>2491</v>
      </c>
      <c r="X3790" t="s">
        <v>20359</v>
      </c>
      <c r="Y3790" t="s">
        <v>5187</v>
      </c>
      <c r="AA3790" t="s">
        <v>5188</v>
      </c>
      <c r="AB3790" t="s">
        <v>20360</v>
      </c>
      <c r="AE3790">
        <v>-41.25170876</v>
      </c>
      <c r="AF3790">
        <v>174.91099733999999</v>
      </c>
      <c r="AG3790">
        <v>20</v>
      </c>
      <c r="AH3790">
        <v>15</v>
      </c>
      <c r="AI3790">
        <v>1</v>
      </c>
      <c r="AJ3790">
        <v>2</v>
      </c>
      <c r="AK3790">
        <v>2</v>
      </c>
      <c r="AL3790">
        <v>1</v>
      </c>
      <c r="AM3790">
        <v>3</v>
      </c>
      <c r="AN3790">
        <v>1</v>
      </c>
      <c r="AO3790">
        <v>10</v>
      </c>
      <c r="AP3790">
        <v>10</v>
      </c>
      <c r="AQ3790">
        <v>2</v>
      </c>
      <c r="AR3790">
        <v>0</v>
      </c>
      <c r="AS3790">
        <v>0</v>
      </c>
      <c r="AT3790">
        <v>2</v>
      </c>
    </row>
    <row r="3791" spans="1:46">
      <c r="A3791">
        <v>60023</v>
      </c>
      <c r="B3791" t="s">
        <v>20713</v>
      </c>
      <c r="C3791" t="s">
        <v>20714</v>
      </c>
      <c r="D3791" t="s">
        <v>20715</v>
      </c>
      <c r="E3791" t="s">
        <v>20716</v>
      </c>
      <c r="F3791" t="s">
        <v>2466</v>
      </c>
      <c r="G3791" t="s">
        <v>2427</v>
      </c>
      <c r="H3791" t="s">
        <v>298</v>
      </c>
      <c r="J3791" t="s">
        <v>518</v>
      </c>
      <c r="K3791" t="s">
        <v>519</v>
      </c>
      <c r="M3791" t="s">
        <v>2287</v>
      </c>
      <c r="N3791" t="s">
        <v>571</v>
      </c>
      <c r="O3791" t="s">
        <v>2428</v>
      </c>
      <c r="P3791" t="s">
        <v>654</v>
      </c>
      <c r="Q3791" t="s">
        <v>2319</v>
      </c>
      <c r="R3791" t="s">
        <v>2289</v>
      </c>
      <c r="S3791" t="s">
        <v>2373</v>
      </c>
      <c r="T3791" t="s">
        <v>2085</v>
      </c>
      <c r="U3791">
        <v>244900</v>
      </c>
      <c r="V3791" t="s">
        <v>20717</v>
      </c>
      <c r="W3791" t="s">
        <v>2468</v>
      </c>
      <c r="X3791" t="s">
        <v>20359</v>
      </c>
      <c r="Y3791" t="s">
        <v>5187</v>
      </c>
      <c r="AA3791" t="s">
        <v>5188</v>
      </c>
      <c r="AB3791" t="s">
        <v>20360</v>
      </c>
      <c r="AC3791">
        <v>99111</v>
      </c>
      <c r="AD3791" t="s">
        <v>2469</v>
      </c>
      <c r="AE3791">
        <v>-41.171326350000001</v>
      </c>
      <c r="AF3791">
        <v>174.98390671000001</v>
      </c>
      <c r="AG3791">
        <v>30</v>
      </c>
      <c r="AH3791">
        <v>20</v>
      </c>
      <c r="AI3791">
        <v>7</v>
      </c>
      <c r="AJ3791">
        <v>7</v>
      </c>
      <c r="AK3791">
        <v>10</v>
      </c>
      <c r="AL3791">
        <v>1</v>
      </c>
      <c r="AM3791">
        <v>1</v>
      </c>
      <c r="AN3791">
        <v>0</v>
      </c>
      <c r="AO3791">
        <v>26</v>
      </c>
      <c r="AP3791">
        <v>22</v>
      </c>
      <c r="AQ3791">
        <v>6</v>
      </c>
      <c r="AR3791">
        <v>2</v>
      </c>
      <c r="AS3791">
        <v>4</v>
      </c>
      <c r="AT3791">
        <v>1</v>
      </c>
    </row>
    <row r="3792" spans="1:46">
      <c r="A3792">
        <v>60024</v>
      </c>
      <c r="B3792" t="s">
        <v>20718</v>
      </c>
      <c r="C3792" t="s">
        <v>20719</v>
      </c>
      <c r="D3792" t="s">
        <v>20720</v>
      </c>
      <c r="E3792" t="s">
        <v>20721</v>
      </c>
      <c r="F3792" t="s">
        <v>20722</v>
      </c>
      <c r="G3792" t="s">
        <v>2371</v>
      </c>
      <c r="H3792" t="s">
        <v>298</v>
      </c>
      <c r="J3792" t="s">
        <v>518</v>
      </c>
      <c r="K3792" t="s">
        <v>519</v>
      </c>
      <c r="M3792" t="s">
        <v>2287</v>
      </c>
      <c r="N3792" t="s">
        <v>571</v>
      </c>
      <c r="O3792" t="s">
        <v>2372</v>
      </c>
      <c r="P3792" t="s">
        <v>584</v>
      </c>
      <c r="Q3792" t="s">
        <v>2319</v>
      </c>
      <c r="R3792" t="s">
        <v>2289</v>
      </c>
      <c r="S3792" t="s">
        <v>2373</v>
      </c>
      <c r="T3792" t="s">
        <v>2085</v>
      </c>
      <c r="U3792">
        <v>241500</v>
      </c>
      <c r="V3792" t="s">
        <v>2374</v>
      </c>
      <c r="W3792" t="s">
        <v>1652</v>
      </c>
      <c r="X3792" t="s">
        <v>20359</v>
      </c>
      <c r="Y3792" t="s">
        <v>5187</v>
      </c>
      <c r="AA3792" t="s">
        <v>5188</v>
      </c>
      <c r="AB3792" t="s">
        <v>20360</v>
      </c>
      <c r="AE3792">
        <v>-41.096335000000003</v>
      </c>
      <c r="AF3792">
        <v>175.10952380000001</v>
      </c>
      <c r="AG3792">
        <v>25</v>
      </c>
      <c r="AH3792">
        <v>15</v>
      </c>
      <c r="AI3792">
        <v>24</v>
      </c>
      <c r="AJ3792">
        <v>6</v>
      </c>
      <c r="AK3792">
        <v>9</v>
      </c>
      <c r="AL3792">
        <v>5</v>
      </c>
      <c r="AM3792">
        <v>1</v>
      </c>
      <c r="AN3792">
        <v>0</v>
      </c>
      <c r="AO3792">
        <v>45</v>
      </c>
      <c r="AP3792">
        <v>44</v>
      </c>
      <c r="AQ3792">
        <v>4</v>
      </c>
      <c r="AR3792">
        <v>1</v>
      </c>
      <c r="AS3792">
        <v>3</v>
      </c>
      <c r="AT3792">
        <v>0</v>
      </c>
    </row>
    <row r="3793" spans="1:46">
      <c r="A3793">
        <v>60025</v>
      </c>
      <c r="B3793" t="s">
        <v>20723</v>
      </c>
      <c r="C3793" t="s">
        <v>20724</v>
      </c>
      <c r="D3793" t="s">
        <v>20725</v>
      </c>
      <c r="E3793" t="s">
        <v>20726</v>
      </c>
      <c r="F3793" t="s">
        <v>2370</v>
      </c>
      <c r="G3793" t="s">
        <v>2371</v>
      </c>
      <c r="H3793" t="s">
        <v>298</v>
      </c>
      <c r="J3793" t="s">
        <v>518</v>
      </c>
      <c r="K3793" t="s">
        <v>519</v>
      </c>
      <c r="M3793" t="s">
        <v>2287</v>
      </c>
      <c r="N3793" t="s">
        <v>571</v>
      </c>
      <c r="O3793" t="s">
        <v>2372</v>
      </c>
      <c r="P3793" t="s">
        <v>584</v>
      </c>
      <c r="Q3793" t="s">
        <v>2319</v>
      </c>
      <c r="R3793" t="s">
        <v>2289</v>
      </c>
      <c r="S3793" t="s">
        <v>2373</v>
      </c>
      <c r="T3793" t="s">
        <v>2085</v>
      </c>
      <c r="U3793">
        <v>242100</v>
      </c>
      <c r="V3793" t="s">
        <v>2411</v>
      </c>
      <c r="W3793" t="s">
        <v>1652</v>
      </c>
      <c r="X3793" t="s">
        <v>20359</v>
      </c>
      <c r="Y3793" t="s">
        <v>5187</v>
      </c>
      <c r="AA3793" t="s">
        <v>5188</v>
      </c>
      <c r="AB3793" t="s">
        <v>20360</v>
      </c>
      <c r="AE3793">
        <v>-41.106032999999996</v>
      </c>
      <c r="AF3793">
        <v>175.08886649999999</v>
      </c>
      <c r="AG3793">
        <v>30</v>
      </c>
      <c r="AH3793">
        <v>15</v>
      </c>
      <c r="AI3793">
        <v>3</v>
      </c>
      <c r="AJ3793">
        <v>8</v>
      </c>
      <c r="AK3793">
        <v>6</v>
      </c>
      <c r="AL3793">
        <v>7</v>
      </c>
      <c r="AM3793">
        <v>3</v>
      </c>
      <c r="AN3793">
        <v>1</v>
      </c>
      <c r="AO3793">
        <v>28</v>
      </c>
      <c r="AP3793">
        <v>27</v>
      </c>
      <c r="AQ3793">
        <v>9</v>
      </c>
      <c r="AR3793">
        <v>0</v>
      </c>
      <c r="AS3793">
        <v>0</v>
      </c>
      <c r="AT3793">
        <v>0</v>
      </c>
    </row>
    <row r="3794" spans="1:46">
      <c r="A3794">
        <v>60026</v>
      </c>
      <c r="B3794" t="s">
        <v>20727</v>
      </c>
      <c r="C3794" t="s">
        <v>20728</v>
      </c>
      <c r="D3794" t="s">
        <v>20729</v>
      </c>
      <c r="E3794" t="s">
        <v>20730</v>
      </c>
      <c r="F3794" t="s">
        <v>2426</v>
      </c>
      <c r="G3794" t="s">
        <v>2427</v>
      </c>
      <c r="H3794" t="s">
        <v>298</v>
      </c>
      <c r="J3794" t="s">
        <v>518</v>
      </c>
      <c r="K3794" t="s">
        <v>519</v>
      </c>
      <c r="M3794" t="s">
        <v>2287</v>
      </c>
      <c r="N3794" t="s">
        <v>539</v>
      </c>
      <c r="O3794" t="s">
        <v>2428</v>
      </c>
      <c r="P3794" t="s">
        <v>654</v>
      </c>
      <c r="Q3794" t="s">
        <v>2319</v>
      </c>
      <c r="R3794" t="s">
        <v>2289</v>
      </c>
      <c r="S3794" t="s">
        <v>2429</v>
      </c>
      <c r="T3794" t="s">
        <v>2085</v>
      </c>
      <c r="U3794">
        <v>247100</v>
      </c>
      <c r="V3794" t="s">
        <v>13336</v>
      </c>
      <c r="W3794" t="s">
        <v>2431</v>
      </c>
      <c r="X3794" t="s">
        <v>20359</v>
      </c>
      <c r="Y3794" t="s">
        <v>5187</v>
      </c>
      <c r="AA3794" t="s">
        <v>5188</v>
      </c>
      <c r="AB3794" t="s">
        <v>20360</v>
      </c>
      <c r="AC3794">
        <v>99090</v>
      </c>
      <c r="AD3794" t="s">
        <v>2436</v>
      </c>
      <c r="AE3794">
        <v>-41.264264939999997</v>
      </c>
      <c r="AF3794">
        <v>174.93900834999999</v>
      </c>
      <c r="AG3794">
        <v>30</v>
      </c>
      <c r="AH3794">
        <v>15</v>
      </c>
      <c r="AI3794">
        <v>1</v>
      </c>
      <c r="AJ3794">
        <v>5</v>
      </c>
      <c r="AK3794">
        <v>1</v>
      </c>
      <c r="AL3794">
        <v>3</v>
      </c>
      <c r="AM3794">
        <v>0</v>
      </c>
      <c r="AN3794">
        <v>0</v>
      </c>
      <c r="AO3794">
        <v>10</v>
      </c>
      <c r="AP3794">
        <v>4</v>
      </c>
      <c r="AQ3794">
        <v>5</v>
      </c>
      <c r="AR3794">
        <v>1</v>
      </c>
      <c r="AS3794">
        <v>3</v>
      </c>
      <c r="AT3794">
        <v>1</v>
      </c>
    </row>
    <row r="3795" spans="1:46">
      <c r="A3795">
        <v>60027</v>
      </c>
      <c r="B3795" t="s">
        <v>20731</v>
      </c>
      <c r="C3795" t="s">
        <v>20732</v>
      </c>
      <c r="D3795" t="s">
        <v>20733</v>
      </c>
      <c r="E3795" t="s">
        <v>20734</v>
      </c>
      <c r="F3795" t="s">
        <v>2370</v>
      </c>
      <c r="G3795" t="s">
        <v>2371</v>
      </c>
      <c r="H3795" t="s">
        <v>298</v>
      </c>
      <c r="J3795" t="s">
        <v>518</v>
      </c>
      <c r="K3795" t="s">
        <v>519</v>
      </c>
      <c r="M3795" t="s">
        <v>2287</v>
      </c>
      <c r="N3795" t="s">
        <v>571</v>
      </c>
      <c r="O3795" t="s">
        <v>2372</v>
      </c>
      <c r="P3795" t="s">
        <v>584</v>
      </c>
      <c r="Q3795" t="s">
        <v>2319</v>
      </c>
      <c r="R3795" t="s">
        <v>2289</v>
      </c>
      <c r="S3795" t="s">
        <v>2373</v>
      </c>
      <c r="T3795" t="s">
        <v>2085</v>
      </c>
      <c r="U3795">
        <v>242000</v>
      </c>
      <c r="V3795" t="s">
        <v>2417</v>
      </c>
      <c r="W3795" t="s">
        <v>1652</v>
      </c>
      <c r="X3795" t="s">
        <v>20359</v>
      </c>
      <c r="Y3795" t="s">
        <v>5187</v>
      </c>
      <c r="AA3795" t="s">
        <v>5188</v>
      </c>
      <c r="AB3795" t="s">
        <v>20360</v>
      </c>
      <c r="AE3795">
        <v>-41.130554629999999</v>
      </c>
      <c r="AF3795">
        <v>175.05663627000001</v>
      </c>
      <c r="AG3795">
        <v>30</v>
      </c>
      <c r="AH3795">
        <v>20</v>
      </c>
      <c r="AI3795">
        <v>16</v>
      </c>
      <c r="AJ3795">
        <v>6</v>
      </c>
      <c r="AK3795">
        <v>3</v>
      </c>
      <c r="AL3795">
        <v>3</v>
      </c>
      <c r="AM3795">
        <v>0</v>
      </c>
      <c r="AN3795">
        <v>0</v>
      </c>
      <c r="AO3795">
        <v>28</v>
      </c>
      <c r="AP3795">
        <v>26</v>
      </c>
      <c r="AQ3795">
        <v>6</v>
      </c>
      <c r="AR3795">
        <v>2</v>
      </c>
      <c r="AS3795">
        <v>5</v>
      </c>
      <c r="AT3795">
        <v>0</v>
      </c>
    </row>
    <row r="3796" spans="1:46">
      <c r="A3796">
        <v>60029</v>
      </c>
      <c r="B3796" t="s">
        <v>20735</v>
      </c>
      <c r="C3796" t="s">
        <v>20736</v>
      </c>
      <c r="D3796" t="s">
        <v>20737</v>
      </c>
      <c r="E3796" t="s">
        <v>20738</v>
      </c>
      <c r="F3796" t="s">
        <v>2426</v>
      </c>
      <c r="G3796" t="s">
        <v>2427</v>
      </c>
      <c r="H3796" t="s">
        <v>298</v>
      </c>
      <c r="J3796" t="s">
        <v>518</v>
      </c>
      <c r="K3796" t="s">
        <v>519</v>
      </c>
      <c r="M3796" t="s">
        <v>2287</v>
      </c>
      <c r="N3796" t="s">
        <v>557</v>
      </c>
      <c r="O3796" t="s">
        <v>2428</v>
      </c>
      <c r="P3796" t="s">
        <v>654</v>
      </c>
      <c r="Q3796" t="s">
        <v>2319</v>
      </c>
      <c r="R3796" t="s">
        <v>2289</v>
      </c>
      <c r="S3796" t="s">
        <v>2429</v>
      </c>
      <c r="T3796" t="s">
        <v>2085</v>
      </c>
      <c r="U3796">
        <v>247400</v>
      </c>
      <c r="V3796" t="s">
        <v>20739</v>
      </c>
      <c r="W3796" t="s">
        <v>2431</v>
      </c>
      <c r="X3796" t="s">
        <v>20359</v>
      </c>
      <c r="Y3796" t="s">
        <v>5187</v>
      </c>
      <c r="AA3796" t="s">
        <v>5188</v>
      </c>
      <c r="AB3796" t="s">
        <v>20360</v>
      </c>
      <c r="AC3796">
        <v>99090</v>
      </c>
      <c r="AD3796" t="s">
        <v>2436</v>
      </c>
      <c r="AE3796">
        <v>-41.28069077</v>
      </c>
      <c r="AF3796">
        <v>174.94877092999999</v>
      </c>
      <c r="AG3796">
        <v>26</v>
      </c>
      <c r="AH3796">
        <v>15</v>
      </c>
      <c r="AI3796">
        <v>9</v>
      </c>
      <c r="AJ3796">
        <v>3</v>
      </c>
      <c r="AK3796">
        <v>5</v>
      </c>
      <c r="AL3796">
        <v>3</v>
      </c>
      <c r="AM3796">
        <v>5</v>
      </c>
      <c r="AN3796">
        <v>1</v>
      </c>
      <c r="AO3796">
        <v>26</v>
      </c>
      <c r="AP3796">
        <v>26</v>
      </c>
      <c r="AQ3796">
        <v>3</v>
      </c>
      <c r="AR3796">
        <v>6</v>
      </c>
      <c r="AS3796">
        <v>3</v>
      </c>
      <c r="AT3796">
        <v>0</v>
      </c>
    </row>
    <row r="3797" spans="1:46">
      <c r="A3797">
        <v>60031</v>
      </c>
      <c r="B3797" t="s">
        <v>20740</v>
      </c>
      <c r="C3797" t="s">
        <v>20741</v>
      </c>
      <c r="D3797" t="s">
        <v>20742</v>
      </c>
      <c r="E3797" t="s">
        <v>20743</v>
      </c>
      <c r="F3797" t="s">
        <v>2552</v>
      </c>
      <c r="G3797" t="s">
        <v>2289</v>
      </c>
      <c r="H3797" t="s">
        <v>298</v>
      </c>
      <c r="J3797" t="s">
        <v>518</v>
      </c>
      <c r="K3797" t="s">
        <v>519</v>
      </c>
      <c r="M3797" t="s">
        <v>2287</v>
      </c>
      <c r="N3797" t="s">
        <v>571</v>
      </c>
      <c r="O3797" t="s">
        <v>2536</v>
      </c>
      <c r="P3797" t="s">
        <v>654</v>
      </c>
      <c r="Q3797" t="s">
        <v>2319</v>
      </c>
      <c r="R3797" t="s">
        <v>2289</v>
      </c>
      <c r="S3797" t="s">
        <v>2553</v>
      </c>
      <c r="T3797" t="s">
        <v>2448</v>
      </c>
      <c r="U3797">
        <v>251900</v>
      </c>
      <c r="V3797" t="s">
        <v>12781</v>
      </c>
      <c r="W3797" t="s">
        <v>2538</v>
      </c>
      <c r="X3797" t="s">
        <v>20359</v>
      </c>
      <c r="Y3797" t="s">
        <v>5187</v>
      </c>
      <c r="AA3797" t="s">
        <v>5188</v>
      </c>
      <c r="AB3797" t="s">
        <v>20360</v>
      </c>
      <c r="AE3797">
        <v>-41.305997390000002</v>
      </c>
      <c r="AF3797">
        <v>174.76500408999999</v>
      </c>
      <c r="AG3797">
        <v>24</v>
      </c>
      <c r="AH3797">
        <v>18</v>
      </c>
      <c r="AI3797">
        <v>24</v>
      </c>
      <c r="AJ3797">
        <v>6</v>
      </c>
      <c r="AK3797">
        <v>8</v>
      </c>
      <c r="AL3797">
        <v>6</v>
      </c>
      <c r="AM3797">
        <v>7</v>
      </c>
      <c r="AN3797">
        <v>0</v>
      </c>
      <c r="AO3797">
        <v>51</v>
      </c>
      <c r="AP3797">
        <v>50</v>
      </c>
      <c r="AQ3797">
        <v>1</v>
      </c>
      <c r="AR3797">
        <v>0</v>
      </c>
      <c r="AS3797">
        <v>4</v>
      </c>
      <c r="AT3797">
        <v>2</v>
      </c>
    </row>
    <row r="3798" spans="1:46">
      <c r="A3798">
        <v>60032</v>
      </c>
      <c r="B3798" t="s">
        <v>20744</v>
      </c>
      <c r="C3798" t="s">
        <v>20745</v>
      </c>
      <c r="D3798" t="s">
        <v>20746</v>
      </c>
      <c r="E3798" t="s">
        <v>20747</v>
      </c>
      <c r="F3798" t="s">
        <v>2589</v>
      </c>
      <c r="G3798" t="s">
        <v>2289</v>
      </c>
      <c r="H3798" t="s">
        <v>298</v>
      </c>
      <c r="J3798" t="s">
        <v>518</v>
      </c>
      <c r="K3798" t="s">
        <v>519</v>
      </c>
      <c r="M3798" t="s">
        <v>2287</v>
      </c>
      <c r="N3798" t="s">
        <v>571</v>
      </c>
      <c r="O3798" t="s">
        <v>2536</v>
      </c>
      <c r="P3798" t="s">
        <v>654</v>
      </c>
      <c r="Q3798" t="s">
        <v>2319</v>
      </c>
      <c r="R3798" t="s">
        <v>2289</v>
      </c>
      <c r="S3798" t="s">
        <v>2537</v>
      </c>
      <c r="T3798" t="s">
        <v>2448</v>
      </c>
      <c r="U3798">
        <v>253400</v>
      </c>
      <c r="V3798" t="s">
        <v>20748</v>
      </c>
      <c r="W3798" t="s">
        <v>2591</v>
      </c>
      <c r="X3798" t="s">
        <v>20359</v>
      </c>
      <c r="Y3798" t="s">
        <v>5187</v>
      </c>
      <c r="AA3798" t="s">
        <v>5188</v>
      </c>
      <c r="AB3798" t="s">
        <v>20360</v>
      </c>
      <c r="AC3798">
        <v>99141</v>
      </c>
      <c r="AD3798" t="s">
        <v>2592</v>
      </c>
      <c r="AE3798">
        <v>-41.308393240000001</v>
      </c>
      <c r="AF3798">
        <v>174.79392597</v>
      </c>
      <c r="AG3798">
        <v>30</v>
      </c>
      <c r="AH3798">
        <v>18</v>
      </c>
      <c r="AI3798">
        <v>22</v>
      </c>
      <c r="AJ3798">
        <v>2</v>
      </c>
      <c r="AK3798">
        <v>2</v>
      </c>
      <c r="AL3798">
        <v>2</v>
      </c>
      <c r="AM3798">
        <v>3</v>
      </c>
      <c r="AN3798">
        <v>1</v>
      </c>
      <c r="AO3798">
        <v>32</v>
      </c>
      <c r="AP3798">
        <v>30</v>
      </c>
      <c r="AQ3798">
        <v>1</v>
      </c>
      <c r="AR3798">
        <v>2</v>
      </c>
      <c r="AS3798">
        <v>5</v>
      </c>
      <c r="AT3798">
        <v>1</v>
      </c>
    </row>
    <row r="3799" spans="1:46">
      <c r="A3799">
        <v>60034</v>
      </c>
      <c r="B3799" t="s">
        <v>20749</v>
      </c>
      <c r="C3799" t="s">
        <v>20750</v>
      </c>
      <c r="D3799" t="s">
        <v>20751</v>
      </c>
      <c r="E3799" t="s">
        <v>20752</v>
      </c>
      <c r="F3799" t="s">
        <v>12393</v>
      </c>
      <c r="G3799" t="s">
        <v>2289</v>
      </c>
      <c r="H3799" t="s">
        <v>298</v>
      </c>
      <c r="J3799" t="s">
        <v>518</v>
      </c>
      <c r="K3799" t="s">
        <v>519</v>
      </c>
      <c r="M3799" t="s">
        <v>2287</v>
      </c>
      <c r="N3799" t="s">
        <v>571</v>
      </c>
      <c r="O3799" t="s">
        <v>2536</v>
      </c>
      <c r="P3799" t="s">
        <v>654</v>
      </c>
      <c r="Q3799" t="s">
        <v>2319</v>
      </c>
      <c r="R3799" t="s">
        <v>2289</v>
      </c>
      <c r="S3799" t="s">
        <v>2537</v>
      </c>
      <c r="T3799" t="s">
        <v>2448</v>
      </c>
      <c r="U3799">
        <v>253800</v>
      </c>
      <c r="V3799" t="s">
        <v>12394</v>
      </c>
      <c r="W3799" t="s">
        <v>2538</v>
      </c>
      <c r="X3799" t="s">
        <v>20359</v>
      </c>
      <c r="Y3799" t="s">
        <v>5187</v>
      </c>
      <c r="AA3799" t="s">
        <v>5188</v>
      </c>
      <c r="AB3799" t="s">
        <v>20360</v>
      </c>
      <c r="AE3799">
        <v>-41.335730120000001</v>
      </c>
      <c r="AF3799">
        <v>174.77285612</v>
      </c>
      <c r="AG3799">
        <v>29</v>
      </c>
      <c r="AH3799">
        <v>18</v>
      </c>
      <c r="AI3799">
        <v>4</v>
      </c>
      <c r="AJ3799">
        <v>9</v>
      </c>
      <c r="AK3799">
        <v>10</v>
      </c>
      <c r="AL3799">
        <v>8</v>
      </c>
      <c r="AM3799">
        <v>3</v>
      </c>
      <c r="AN3799">
        <v>2</v>
      </c>
      <c r="AO3799">
        <v>36</v>
      </c>
      <c r="AP3799">
        <v>34</v>
      </c>
      <c r="AQ3799">
        <v>3</v>
      </c>
      <c r="AR3799">
        <v>0</v>
      </c>
      <c r="AS3799">
        <v>5</v>
      </c>
      <c r="AT3799">
        <v>4</v>
      </c>
    </row>
    <row r="3800" spans="1:46">
      <c r="A3800">
        <v>60035</v>
      </c>
      <c r="B3800" t="s">
        <v>20753</v>
      </c>
      <c r="C3800" t="s">
        <v>20754</v>
      </c>
      <c r="D3800" t="s">
        <v>20755</v>
      </c>
      <c r="E3800" t="s">
        <v>20756</v>
      </c>
      <c r="F3800" t="s">
        <v>2597</v>
      </c>
      <c r="G3800" t="s">
        <v>2289</v>
      </c>
      <c r="H3800" t="s">
        <v>298</v>
      </c>
      <c r="J3800" t="s">
        <v>518</v>
      </c>
      <c r="K3800" t="s">
        <v>519</v>
      </c>
      <c r="M3800" t="s">
        <v>2287</v>
      </c>
      <c r="N3800" t="s">
        <v>571</v>
      </c>
      <c r="O3800" t="s">
        <v>2536</v>
      </c>
      <c r="P3800" t="s">
        <v>654</v>
      </c>
      <c r="Q3800" t="s">
        <v>2319</v>
      </c>
      <c r="R3800" t="s">
        <v>2289</v>
      </c>
      <c r="S3800" t="s">
        <v>2545</v>
      </c>
      <c r="T3800" t="s">
        <v>2448</v>
      </c>
      <c r="U3800">
        <v>248600</v>
      </c>
      <c r="V3800" t="s">
        <v>16887</v>
      </c>
      <c r="W3800" t="s">
        <v>2547</v>
      </c>
      <c r="X3800" t="s">
        <v>20359</v>
      </c>
      <c r="Y3800" t="s">
        <v>5187</v>
      </c>
      <c r="AA3800" t="s">
        <v>5188</v>
      </c>
      <c r="AB3800" t="s">
        <v>20360</v>
      </c>
      <c r="AE3800">
        <v>-41.219677490000002</v>
      </c>
      <c r="AF3800">
        <v>174.80412236000001</v>
      </c>
      <c r="AG3800">
        <v>30</v>
      </c>
      <c r="AH3800">
        <v>20</v>
      </c>
      <c r="AI3800">
        <v>24</v>
      </c>
      <c r="AJ3800">
        <v>10</v>
      </c>
      <c r="AK3800">
        <v>9</v>
      </c>
      <c r="AL3800">
        <v>6</v>
      </c>
      <c r="AM3800">
        <v>5</v>
      </c>
      <c r="AN3800">
        <v>1</v>
      </c>
      <c r="AO3800">
        <v>55</v>
      </c>
      <c r="AP3800">
        <v>50</v>
      </c>
      <c r="AQ3800">
        <v>6</v>
      </c>
      <c r="AR3800">
        <v>2</v>
      </c>
      <c r="AS3800">
        <v>9</v>
      </c>
      <c r="AT3800">
        <v>1</v>
      </c>
    </row>
    <row r="3801" spans="1:46">
      <c r="A3801">
        <v>60036</v>
      </c>
      <c r="B3801" t="s">
        <v>20757</v>
      </c>
      <c r="C3801" t="s">
        <v>20758</v>
      </c>
      <c r="D3801" t="s">
        <v>20759</v>
      </c>
      <c r="E3801" t="s">
        <v>20760</v>
      </c>
      <c r="F3801" t="s">
        <v>2559</v>
      </c>
      <c r="G3801" t="s">
        <v>2289</v>
      </c>
      <c r="H3801" t="s">
        <v>298</v>
      </c>
      <c r="J3801" t="s">
        <v>518</v>
      </c>
      <c r="K3801" t="s">
        <v>519</v>
      </c>
      <c r="M3801" t="s">
        <v>2287</v>
      </c>
      <c r="N3801" t="s">
        <v>571</v>
      </c>
      <c r="O3801" t="s">
        <v>2536</v>
      </c>
      <c r="P3801" t="s">
        <v>654</v>
      </c>
      <c r="Q3801" t="s">
        <v>2319</v>
      </c>
      <c r="R3801" t="s">
        <v>2289</v>
      </c>
      <c r="S3801" t="s">
        <v>2553</v>
      </c>
      <c r="T3801" t="s">
        <v>2448</v>
      </c>
      <c r="U3801">
        <v>250401</v>
      </c>
      <c r="V3801" t="s">
        <v>20761</v>
      </c>
      <c r="W3801" t="s">
        <v>2561</v>
      </c>
      <c r="X3801" t="s">
        <v>20359</v>
      </c>
      <c r="Y3801" t="s">
        <v>5187</v>
      </c>
      <c r="AA3801" t="s">
        <v>5188</v>
      </c>
      <c r="AB3801" t="s">
        <v>20360</v>
      </c>
      <c r="AE3801">
        <v>-41.288300810000003</v>
      </c>
      <c r="AF3801">
        <v>174.74081758</v>
      </c>
      <c r="AG3801">
        <v>30</v>
      </c>
      <c r="AH3801">
        <v>18</v>
      </c>
      <c r="AI3801">
        <v>3</v>
      </c>
      <c r="AJ3801">
        <v>5</v>
      </c>
      <c r="AK3801">
        <v>6</v>
      </c>
      <c r="AL3801">
        <v>6</v>
      </c>
      <c r="AM3801">
        <v>9</v>
      </c>
      <c r="AN3801">
        <v>0</v>
      </c>
      <c r="AO3801">
        <v>29</v>
      </c>
      <c r="AP3801">
        <v>27</v>
      </c>
      <c r="AQ3801">
        <v>3</v>
      </c>
      <c r="AR3801">
        <v>0</v>
      </c>
      <c r="AS3801">
        <v>6</v>
      </c>
      <c r="AT3801">
        <v>0</v>
      </c>
    </row>
    <row r="3802" spans="1:46">
      <c r="A3802">
        <v>60037</v>
      </c>
      <c r="B3802" t="s">
        <v>20762</v>
      </c>
      <c r="C3802" t="s">
        <v>20763</v>
      </c>
      <c r="D3802" t="s">
        <v>20764</v>
      </c>
      <c r="E3802" t="s">
        <v>20765</v>
      </c>
      <c r="F3802" t="s">
        <v>14817</v>
      </c>
      <c r="G3802" t="s">
        <v>2289</v>
      </c>
      <c r="H3802" t="s">
        <v>298</v>
      </c>
      <c r="J3802" t="s">
        <v>518</v>
      </c>
      <c r="K3802" t="s">
        <v>519</v>
      </c>
      <c r="M3802" t="s">
        <v>2287</v>
      </c>
      <c r="N3802" t="s">
        <v>571</v>
      </c>
      <c r="O3802" t="s">
        <v>2536</v>
      </c>
      <c r="P3802" t="s">
        <v>654</v>
      </c>
      <c r="Q3802" t="s">
        <v>2319</v>
      </c>
      <c r="R3802" t="s">
        <v>2289</v>
      </c>
      <c r="S3802" t="s">
        <v>2553</v>
      </c>
      <c r="T3802" t="s">
        <v>2448</v>
      </c>
      <c r="U3802">
        <v>251100</v>
      </c>
      <c r="V3802" t="s">
        <v>14817</v>
      </c>
      <c r="W3802" t="s">
        <v>2573</v>
      </c>
      <c r="X3802" t="s">
        <v>20359</v>
      </c>
      <c r="Y3802" t="s">
        <v>5187</v>
      </c>
      <c r="AA3802" t="s">
        <v>5188</v>
      </c>
      <c r="AB3802" t="s">
        <v>20360</v>
      </c>
      <c r="AE3802">
        <v>-41.287335380000002</v>
      </c>
      <c r="AF3802">
        <v>174.76225839</v>
      </c>
      <c r="AG3802">
        <v>30</v>
      </c>
      <c r="AH3802">
        <v>20</v>
      </c>
      <c r="AI3802">
        <v>28</v>
      </c>
      <c r="AJ3802">
        <v>8</v>
      </c>
      <c r="AK3802">
        <v>4</v>
      </c>
      <c r="AL3802">
        <v>9</v>
      </c>
      <c r="AM3802">
        <v>7</v>
      </c>
      <c r="AN3802">
        <v>1</v>
      </c>
      <c r="AO3802">
        <v>57</v>
      </c>
      <c r="AP3802">
        <v>52</v>
      </c>
      <c r="AQ3802">
        <v>6</v>
      </c>
      <c r="AR3802">
        <v>1</v>
      </c>
      <c r="AS3802">
        <v>3</v>
      </c>
      <c r="AT3802">
        <v>1</v>
      </c>
    </row>
    <row r="3803" spans="1:46">
      <c r="A3803">
        <v>60040</v>
      </c>
      <c r="B3803" t="s">
        <v>20766</v>
      </c>
      <c r="C3803" t="s">
        <v>20767</v>
      </c>
      <c r="D3803" t="s">
        <v>20768</v>
      </c>
      <c r="E3803" t="s">
        <v>20769</v>
      </c>
      <c r="F3803" t="s">
        <v>2637</v>
      </c>
      <c r="G3803" t="s">
        <v>2289</v>
      </c>
      <c r="H3803" t="s">
        <v>298</v>
      </c>
      <c r="J3803" t="s">
        <v>518</v>
      </c>
      <c r="K3803" t="s">
        <v>519</v>
      </c>
      <c r="M3803" t="s">
        <v>2287</v>
      </c>
      <c r="N3803" t="s">
        <v>571</v>
      </c>
      <c r="O3803" t="s">
        <v>2536</v>
      </c>
      <c r="P3803" t="s">
        <v>654</v>
      </c>
      <c r="Q3803" t="s">
        <v>2319</v>
      </c>
      <c r="R3803" t="s">
        <v>2289</v>
      </c>
      <c r="S3803" t="s">
        <v>2537</v>
      </c>
      <c r="T3803" t="s">
        <v>2448</v>
      </c>
      <c r="U3803">
        <v>254900</v>
      </c>
      <c r="V3803" t="s">
        <v>14288</v>
      </c>
      <c r="W3803" t="s">
        <v>2591</v>
      </c>
      <c r="X3803" t="s">
        <v>20359</v>
      </c>
      <c r="Y3803" t="s">
        <v>5187</v>
      </c>
      <c r="AA3803" t="s">
        <v>5188</v>
      </c>
      <c r="AB3803" t="s">
        <v>20360</v>
      </c>
      <c r="AC3803">
        <v>99141</v>
      </c>
      <c r="AD3803" t="s">
        <v>2592</v>
      </c>
      <c r="AE3803">
        <v>-41.324009089999997</v>
      </c>
      <c r="AF3803">
        <v>174.81605256</v>
      </c>
      <c r="AG3803">
        <v>30</v>
      </c>
      <c r="AH3803">
        <v>20</v>
      </c>
      <c r="AI3803">
        <v>13</v>
      </c>
      <c r="AJ3803">
        <v>4</v>
      </c>
      <c r="AK3803">
        <v>8</v>
      </c>
      <c r="AL3803">
        <v>2</v>
      </c>
      <c r="AM3803">
        <v>1</v>
      </c>
      <c r="AN3803">
        <v>0</v>
      </c>
      <c r="AO3803">
        <v>28</v>
      </c>
      <c r="AP3803">
        <v>28</v>
      </c>
      <c r="AQ3803">
        <v>4</v>
      </c>
      <c r="AR3803">
        <v>0</v>
      </c>
      <c r="AS3803">
        <v>2</v>
      </c>
      <c r="AT3803">
        <v>0</v>
      </c>
    </row>
    <row r="3804" spans="1:46">
      <c r="A3804">
        <v>60041</v>
      </c>
      <c r="B3804" t="s">
        <v>20770</v>
      </c>
      <c r="C3804" t="s">
        <v>20771</v>
      </c>
      <c r="D3804" t="s">
        <v>20772</v>
      </c>
      <c r="E3804" t="s">
        <v>20773</v>
      </c>
      <c r="F3804" t="s">
        <v>2657</v>
      </c>
      <c r="G3804" t="s">
        <v>2289</v>
      </c>
      <c r="H3804" t="s">
        <v>298</v>
      </c>
      <c r="J3804" t="s">
        <v>518</v>
      </c>
      <c r="K3804" t="s">
        <v>519</v>
      </c>
      <c r="M3804" t="s">
        <v>2287</v>
      </c>
      <c r="N3804" t="s">
        <v>571</v>
      </c>
      <c r="O3804" t="s">
        <v>2536</v>
      </c>
      <c r="P3804" t="s">
        <v>654</v>
      </c>
      <c r="Q3804" t="s">
        <v>2319</v>
      </c>
      <c r="R3804" t="s">
        <v>2289</v>
      </c>
      <c r="S3804" t="s">
        <v>2545</v>
      </c>
      <c r="T3804" t="s">
        <v>2448</v>
      </c>
      <c r="U3804">
        <v>249701</v>
      </c>
      <c r="V3804" t="s">
        <v>20774</v>
      </c>
      <c r="W3804" t="s">
        <v>2547</v>
      </c>
      <c r="X3804" t="s">
        <v>20359</v>
      </c>
      <c r="Y3804" t="s">
        <v>5187</v>
      </c>
      <c r="AA3804" t="s">
        <v>5188</v>
      </c>
      <c r="AB3804" t="s">
        <v>20360</v>
      </c>
      <c r="AE3804">
        <v>-41.227713979999997</v>
      </c>
      <c r="AF3804">
        <v>174.81974054</v>
      </c>
      <c r="AG3804">
        <v>30</v>
      </c>
      <c r="AH3804">
        <v>20</v>
      </c>
      <c r="AI3804">
        <v>44</v>
      </c>
      <c r="AJ3804">
        <v>3</v>
      </c>
      <c r="AK3804">
        <v>7</v>
      </c>
      <c r="AL3804">
        <v>3</v>
      </c>
      <c r="AM3804">
        <v>2</v>
      </c>
      <c r="AN3804">
        <v>1</v>
      </c>
      <c r="AO3804">
        <v>60</v>
      </c>
      <c r="AP3804">
        <v>51</v>
      </c>
      <c r="AQ3804">
        <v>4</v>
      </c>
      <c r="AR3804">
        <v>2</v>
      </c>
      <c r="AS3804">
        <v>20</v>
      </c>
      <c r="AT3804">
        <v>0</v>
      </c>
    </row>
    <row r="3805" spans="1:46">
      <c r="A3805">
        <v>60042</v>
      </c>
      <c r="B3805" t="s">
        <v>20775</v>
      </c>
      <c r="C3805" t="s">
        <v>20776</v>
      </c>
      <c r="D3805" t="s">
        <v>20777</v>
      </c>
      <c r="E3805" t="s">
        <v>20778</v>
      </c>
      <c r="F3805" t="s">
        <v>2668</v>
      </c>
      <c r="G3805" t="s">
        <v>2289</v>
      </c>
      <c r="H3805" t="s">
        <v>298</v>
      </c>
      <c r="J3805" t="s">
        <v>518</v>
      </c>
      <c r="K3805" t="s">
        <v>519</v>
      </c>
      <c r="M3805" t="s">
        <v>2287</v>
      </c>
      <c r="N3805" t="s">
        <v>571</v>
      </c>
      <c r="O3805" t="s">
        <v>2536</v>
      </c>
      <c r="P3805" t="s">
        <v>654</v>
      </c>
      <c r="Q3805" t="s">
        <v>2319</v>
      </c>
      <c r="R3805" t="s">
        <v>2289</v>
      </c>
      <c r="S3805" t="s">
        <v>2537</v>
      </c>
      <c r="T3805" t="s">
        <v>2448</v>
      </c>
      <c r="U3805">
        <v>253600</v>
      </c>
      <c r="V3805" t="s">
        <v>2811</v>
      </c>
      <c r="W3805" t="s">
        <v>2538</v>
      </c>
      <c r="X3805" t="s">
        <v>20359</v>
      </c>
      <c r="Y3805" t="s">
        <v>5187</v>
      </c>
      <c r="AA3805" t="s">
        <v>5188</v>
      </c>
      <c r="AB3805" t="s">
        <v>20360</v>
      </c>
      <c r="AC3805">
        <v>99171</v>
      </c>
      <c r="AD3805" t="s">
        <v>2539</v>
      </c>
      <c r="AE3805">
        <v>-41.314567859999997</v>
      </c>
      <c r="AF3805">
        <v>174.7834387</v>
      </c>
      <c r="AG3805">
        <v>24</v>
      </c>
      <c r="AH3805">
        <v>20</v>
      </c>
      <c r="AI3805">
        <v>1</v>
      </c>
      <c r="AJ3805">
        <v>7</v>
      </c>
      <c r="AK3805">
        <v>7</v>
      </c>
      <c r="AL3805">
        <v>5</v>
      </c>
      <c r="AM3805">
        <v>4</v>
      </c>
      <c r="AN3805">
        <v>0</v>
      </c>
      <c r="AO3805">
        <v>24</v>
      </c>
      <c r="AP3805">
        <v>24</v>
      </c>
      <c r="AQ3805">
        <v>0</v>
      </c>
      <c r="AR3805">
        <v>0</v>
      </c>
      <c r="AS3805">
        <v>1</v>
      </c>
      <c r="AT3805">
        <v>0</v>
      </c>
    </row>
    <row r="3806" spans="1:46">
      <c r="A3806">
        <v>60043</v>
      </c>
      <c r="B3806" t="s">
        <v>20779</v>
      </c>
      <c r="C3806" t="s">
        <v>20780</v>
      </c>
      <c r="D3806" t="s">
        <v>20781</v>
      </c>
      <c r="E3806" t="s">
        <v>20782</v>
      </c>
      <c r="F3806" t="s">
        <v>20783</v>
      </c>
      <c r="G3806" t="s">
        <v>2289</v>
      </c>
      <c r="H3806" t="s">
        <v>298</v>
      </c>
      <c r="J3806" t="s">
        <v>518</v>
      </c>
      <c r="K3806" t="s">
        <v>519</v>
      </c>
      <c r="M3806" t="s">
        <v>2287</v>
      </c>
      <c r="N3806" t="s">
        <v>571</v>
      </c>
      <c r="O3806" t="s">
        <v>2536</v>
      </c>
      <c r="P3806" t="s">
        <v>654</v>
      </c>
      <c r="Q3806" t="s">
        <v>2319</v>
      </c>
      <c r="R3806" t="s">
        <v>2289</v>
      </c>
      <c r="S3806" t="s">
        <v>2545</v>
      </c>
      <c r="T3806" t="s">
        <v>2448</v>
      </c>
      <c r="U3806">
        <v>249101</v>
      </c>
      <c r="V3806" t="s">
        <v>20783</v>
      </c>
      <c r="W3806" t="s">
        <v>2561</v>
      </c>
      <c r="X3806" t="s">
        <v>20359</v>
      </c>
      <c r="Y3806" t="s">
        <v>5187</v>
      </c>
      <c r="AA3806" t="s">
        <v>5188</v>
      </c>
      <c r="AB3806" t="s">
        <v>20360</v>
      </c>
      <c r="AE3806">
        <v>-41.253211030000003</v>
      </c>
      <c r="AF3806">
        <v>174.76220651</v>
      </c>
      <c r="AG3806">
        <v>30</v>
      </c>
      <c r="AH3806">
        <v>18</v>
      </c>
      <c r="AI3806">
        <v>1</v>
      </c>
      <c r="AJ3806">
        <v>2</v>
      </c>
      <c r="AK3806">
        <v>4</v>
      </c>
      <c r="AL3806">
        <v>0</v>
      </c>
      <c r="AM3806">
        <v>4</v>
      </c>
      <c r="AN3806">
        <v>1</v>
      </c>
      <c r="AO3806">
        <v>12</v>
      </c>
      <c r="AP3806">
        <v>12</v>
      </c>
      <c r="AQ3806">
        <v>0</v>
      </c>
      <c r="AR3806">
        <v>0</v>
      </c>
      <c r="AS3806">
        <v>0</v>
      </c>
      <c r="AT3806">
        <v>0</v>
      </c>
    </row>
    <row r="3807" spans="1:46">
      <c r="A3807">
        <v>60044</v>
      </c>
      <c r="B3807" t="s">
        <v>20784</v>
      </c>
      <c r="C3807" t="s">
        <v>20785</v>
      </c>
      <c r="D3807" t="s">
        <v>20786</v>
      </c>
      <c r="E3807" t="s">
        <v>20787</v>
      </c>
      <c r="F3807" t="s">
        <v>2783</v>
      </c>
      <c r="G3807" t="s">
        <v>2526</v>
      </c>
      <c r="H3807" t="s">
        <v>298</v>
      </c>
      <c r="J3807" t="s">
        <v>518</v>
      </c>
      <c r="K3807" t="s">
        <v>519</v>
      </c>
      <c r="M3807" t="s">
        <v>2287</v>
      </c>
      <c r="N3807" t="s">
        <v>557</v>
      </c>
      <c r="O3807" t="s">
        <v>2527</v>
      </c>
      <c r="P3807" t="s">
        <v>584</v>
      </c>
      <c r="Q3807" t="s">
        <v>2319</v>
      </c>
      <c r="R3807" t="s">
        <v>2289</v>
      </c>
      <c r="S3807" t="s">
        <v>2528</v>
      </c>
      <c r="T3807" t="s">
        <v>1485</v>
      </c>
      <c r="U3807">
        <v>239200</v>
      </c>
      <c r="V3807" t="s">
        <v>20788</v>
      </c>
      <c r="W3807" t="s">
        <v>2529</v>
      </c>
      <c r="X3807" t="s">
        <v>20359</v>
      </c>
      <c r="Y3807" t="s">
        <v>5187</v>
      </c>
      <c r="AA3807" t="s">
        <v>5188</v>
      </c>
      <c r="AB3807" t="s">
        <v>20360</v>
      </c>
      <c r="AC3807">
        <v>99094</v>
      </c>
      <c r="AD3807" t="s">
        <v>2615</v>
      </c>
      <c r="AE3807">
        <v>-41.112341899999997</v>
      </c>
      <c r="AF3807">
        <v>174.84047494999999</v>
      </c>
      <c r="AG3807">
        <v>30</v>
      </c>
      <c r="AH3807">
        <v>18</v>
      </c>
      <c r="AI3807">
        <v>21</v>
      </c>
      <c r="AJ3807">
        <v>6</v>
      </c>
      <c r="AK3807">
        <v>5</v>
      </c>
      <c r="AL3807">
        <v>3</v>
      </c>
      <c r="AM3807">
        <v>2</v>
      </c>
      <c r="AN3807">
        <v>0</v>
      </c>
      <c r="AO3807">
        <v>37</v>
      </c>
      <c r="AP3807">
        <v>34</v>
      </c>
      <c r="AQ3807">
        <v>2</v>
      </c>
      <c r="AR3807">
        <v>6</v>
      </c>
      <c r="AS3807">
        <v>3</v>
      </c>
      <c r="AT3807">
        <v>5</v>
      </c>
    </row>
    <row r="3808" spans="1:46">
      <c r="A3808">
        <v>60045</v>
      </c>
      <c r="B3808" t="s">
        <v>20789</v>
      </c>
      <c r="C3808" t="s">
        <v>20790</v>
      </c>
      <c r="D3808" t="s">
        <v>20791</v>
      </c>
      <c r="E3808" t="s">
        <v>20792</v>
      </c>
      <c r="G3808" t="s">
        <v>2067</v>
      </c>
      <c r="H3808" t="s">
        <v>298</v>
      </c>
      <c r="J3808" t="s">
        <v>518</v>
      </c>
      <c r="K3808" t="s">
        <v>519</v>
      </c>
      <c r="M3808" t="s">
        <v>2287</v>
      </c>
      <c r="N3808" t="s">
        <v>557</v>
      </c>
      <c r="O3808" t="s">
        <v>2675</v>
      </c>
      <c r="P3808" t="s">
        <v>523</v>
      </c>
      <c r="Q3808" t="s">
        <v>2319</v>
      </c>
      <c r="R3808" t="s">
        <v>2289</v>
      </c>
      <c r="S3808" t="s">
        <v>2067</v>
      </c>
      <c r="T3808" t="s">
        <v>1485</v>
      </c>
      <c r="U3808">
        <v>236500</v>
      </c>
      <c r="V3808" t="s">
        <v>2067</v>
      </c>
      <c r="W3808" t="s">
        <v>2698</v>
      </c>
      <c r="X3808" t="s">
        <v>20359</v>
      </c>
      <c r="Y3808" t="s">
        <v>5187</v>
      </c>
      <c r="AA3808" t="s">
        <v>5188</v>
      </c>
      <c r="AB3808" t="s">
        <v>20360</v>
      </c>
      <c r="AE3808">
        <v>-40.756115119999997</v>
      </c>
      <c r="AF3808">
        <v>175.14666621000001</v>
      </c>
      <c r="AG3808">
        <v>30</v>
      </c>
      <c r="AH3808">
        <v>18</v>
      </c>
      <c r="AI3808">
        <v>2</v>
      </c>
      <c r="AJ3808">
        <v>6</v>
      </c>
      <c r="AK3808">
        <v>4</v>
      </c>
      <c r="AL3808">
        <v>4</v>
      </c>
      <c r="AM3808">
        <v>2</v>
      </c>
      <c r="AN3808">
        <v>0</v>
      </c>
      <c r="AO3808">
        <v>18</v>
      </c>
      <c r="AP3808">
        <v>17</v>
      </c>
      <c r="AQ3808">
        <v>3</v>
      </c>
      <c r="AR3808">
        <v>0</v>
      </c>
      <c r="AS3808">
        <v>0</v>
      </c>
      <c r="AT3808">
        <v>2</v>
      </c>
    </row>
    <row r="3809" spans="1:46">
      <c r="A3809">
        <v>60047</v>
      </c>
      <c r="B3809" t="s">
        <v>20793</v>
      </c>
      <c r="C3809" t="s">
        <v>20794</v>
      </c>
      <c r="D3809" t="s">
        <v>20795</v>
      </c>
      <c r="E3809" t="s">
        <v>20796</v>
      </c>
      <c r="G3809" t="s">
        <v>10267</v>
      </c>
      <c r="H3809" t="s">
        <v>298</v>
      </c>
      <c r="J3809" t="s">
        <v>518</v>
      </c>
      <c r="K3809" t="s">
        <v>519</v>
      </c>
      <c r="M3809" t="s">
        <v>2287</v>
      </c>
      <c r="N3809" t="s">
        <v>571</v>
      </c>
      <c r="O3809" t="s">
        <v>2675</v>
      </c>
      <c r="P3809" t="s">
        <v>523</v>
      </c>
      <c r="Q3809" t="s">
        <v>2319</v>
      </c>
      <c r="R3809" t="s">
        <v>2289</v>
      </c>
      <c r="S3809" t="s">
        <v>2528</v>
      </c>
      <c r="T3809" t="s">
        <v>1485</v>
      </c>
      <c r="U3809">
        <v>238600</v>
      </c>
      <c r="V3809" t="s">
        <v>20797</v>
      </c>
      <c r="W3809" t="s">
        <v>2751</v>
      </c>
      <c r="X3809" t="s">
        <v>20359</v>
      </c>
      <c r="Y3809" t="s">
        <v>5187</v>
      </c>
      <c r="AA3809" t="s">
        <v>5188</v>
      </c>
      <c r="AB3809" t="s">
        <v>20360</v>
      </c>
      <c r="AE3809">
        <v>-40.986734239999997</v>
      </c>
      <c r="AF3809">
        <v>174.95272451</v>
      </c>
      <c r="AG3809">
        <v>27</v>
      </c>
      <c r="AH3809">
        <v>18</v>
      </c>
      <c r="AI3809">
        <v>9</v>
      </c>
      <c r="AJ3809">
        <v>7</v>
      </c>
      <c r="AK3809">
        <v>5</v>
      </c>
      <c r="AL3809">
        <v>4</v>
      </c>
      <c r="AM3809">
        <v>2</v>
      </c>
      <c r="AN3809">
        <v>0</v>
      </c>
      <c r="AO3809">
        <v>27</v>
      </c>
      <c r="AP3809">
        <v>26</v>
      </c>
      <c r="AQ3809">
        <v>5</v>
      </c>
      <c r="AR3809">
        <v>1</v>
      </c>
      <c r="AS3809">
        <v>2</v>
      </c>
      <c r="AT3809">
        <v>0</v>
      </c>
    </row>
    <row r="3810" spans="1:46">
      <c r="A3810">
        <v>60048</v>
      </c>
      <c r="B3810" t="s">
        <v>20798</v>
      </c>
      <c r="C3810" t="s">
        <v>20799</v>
      </c>
      <c r="D3810" t="s">
        <v>20800</v>
      </c>
      <c r="E3810" t="s">
        <v>20801</v>
      </c>
      <c r="G3810" t="s">
        <v>2674</v>
      </c>
      <c r="H3810" t="s">
        <v>298</v>
      </c>
      <c r="J3810" t="s">
        <v>518</v>
      </c>
      <c r="K3810" t="s">
        <v>519</v>
      </c>
      <c r="M3810" t="s">
        <v>2287</v>
      </c>
      <c r="N3810" t="s">
        <v>571</v>
      </c>
      <c r="O3810" t="s">
        <v>2675</v>
      </c>
      <c r="P3810" t="s">
        <v>1262</v>
      </c>
      <c r="Q3810" t="s">
        <v>2319</v>
      </c>
      <c r="R3810" t="s">
        <v>2289</v>
      </c>
      <c r="S3810" t="s">
        <v>2528</v>
      </c>
      <c r="T3810" t="s">
        <v>1485</v>
      </c>
      <c r="U3810">
        <v>238400</v>
      </c>
      <c r="V3810" t="s">
        <v>10899</v>
      </c>
      <c r="W3810" t="s">
        <v>2677</v>
      </c>
      <c r="X3810" t="s">
        <v>20359</v>
      </c>
      <c r="Y3810" t="s">
        <v>5187</v>
      </c>
      <c r="AA3810" t="s">
        <v>5188</v>
      </c>
      <c r="AB3810" t="s">
        <v>20360</v>
      </c>
      <c r="AE3810">
        <v>-40.916382779999999</v>
      </c>
      <c r="AF3810">
        <v>175.008645</v>
      </c>
      <c r="AG3810">
        <v>30</v>
      </c>
      <c r="AH3810">
        <v>18</v>
      </c>
      <c r="AI3810">
        <v>9</v>
      </c>
      <c r="AJ3810">
        <v>10</v>
      </c>
      <c r="AK3810">
        <v>5</v>
      </c>
      <c r="AL3810">
        <v>3</v>
      </c>
      <c r="AM3810">
        <v>4</v>
      </c>
      <c r="AN3810">
        <v>0</v>
      </c>
      <c r="AO3810">
        <v>31</v>
      </c>
      <c r="AP3810">
        <v>28</v>
      </c>
      <c r="AQ3810">
        <v>4</v>
      </c>
      <c r="AR3810">
        <v>0</v>
      </c>
      <c r="AS3810">
        <v>1</v>
      </c>
      <c r="AT3810">
        <v>4</v>
      </c>
    </row>
    <row r="3811" spans="1:46">
      <c r="A3811">
        <v>60049</v>
      </c>
      <c r="B3811" t="s">
        <v>20802</v>
      </c>
      <c r="C3811" t="s">
        <v>20803</v>
      </c>
      <c r="D3811" t="s">
        <v>20804</v>
      </c>
      <c r="E3811" t="s">
        <v>20805</v>
      </c>
      <c r="F3811" t="s">
        <v>2720</v>
      </c>
      <c r="G3811" t="s">
        <v>2526</v>
      </c>
      <c r="H3811" t="s">
        <v>298</v>
      </c>
      <c r="J3811" t="s">
        <v>518</v>
      </c>
      <c r="K3811" t="s">
        <v>519</v>
      </c>
      <c r="M3811" t="s">
        <v>2287</v>
      </c>
      <c r="N3811" t="s">
        <v>571</v>
      </c>
      <c r="O3811" t="s">
        <v>2527</v>
      </c>
      <c r="P3811" t="s">
        <v>584</v>
      </c>
      <c r="Q3811" t="s">
        <v>2319</v>
      </c>
      <c r="R3811" t="s">
        <v>2289</v>
      </c>
      <c r="S3811" t="s">
        <v>2528</v>
      </c>
      <c r="T3811" t="s">
        <v>1485</v>
      </c>
      <c r="U3811">
        <v>239801</v>
      </c>
      <c r="V3811" t="s">
        <v>2720</v>
      </c>
      <c r="W3811" t="s">
        <v>2579</v>
      </c>
      <c r="X3811" t="s">
        <v>20359</v>
      </c>
      <c r="Y3811" t="s">
        <v>5187</v>
      </c>
      <c r="AA3811" t="s">
        <v>5188</v>
      </c>
      <c r="AB3811" t="s">
        <v>20360</v>
      </c>
      <c r="AC3811">
        <v>99068</v>
      </c>
      <c r="AD3811" t="s">
        <v>2530</v>
      </c>
      <c r="AE3811">
        <v>-41.094174070000001</v>
      </c>
      <c r="AF3811">
        <v>174.86761614</v>
      </c>
      <c r="AG3811">
        <v>30</v>
      </c>
      <c r="AH3811">
        <v>20</v>
      </c>
      <c r="AI3811">
        <v>22</v>
      </c>
      <c r="AJ3811">
        <v>13</v>
      </c>
      <c r="AK3811">
        <v>8</v>
      </c>
      <c r="AL3811">
        <v>4</v>
      </c>
      <c r="AM3811">
        <v>5</v>
      </c>
      <c r="AN3811">
        <v>1</v>
      </c>
      <c r="AO3811">
        <v>53</v>
      </c>
      <c r="AP3811">
        <v>47</v>
      </c>
      <c r="AQ3811">
        <v>10</v>
      </c>
      <c r="AR3811">
        <v>0</v>
      </c>
      <c r="AS3811">
        <v>4</v>
      </c>
      <c r="AT3811">
        <v>1</v>
      </c>
    </row>
    <row r="3812" spans="1:46">
      <c r="A3812">
        <v>60051</v>
      </c>
      <c r="B3812" t="s">
        <v>20806</v>
      </c>
      <c r="C3812" t="s">
        <v>20807</v>
      </c>
      <c r="D3812" t="s">
        <v>20808</v>
      </c>
      <c r="E3812" t="s">
        <v>20809</v>
      </c>
      <c r="F3812" t="s">
        <v>2789</v>
      </c>
      <c r="G3812" t="s">
        <v>2289</v>
      </c>
      <c r="H3812" t="s">
        <v>298</v>
      </c>
      <c r="J3812" t="s">
        <v>518</v>
      </c>
      <c r="K3812" t="s">
        <v>519</v>
      </c>
      <c r="M3812" t="s">
        <v>2287</v>
      </c>
      <c r="N3812" t="s">
        <v>571</v>
      </c>
      <c r="O3812" t="s">
        <v>2536</v>
      </c>
      <c r="P3812" t="s">
        <v>654</v>
      </c>
      <c r="Q3812" t="s">
        <v>2319</v>
      </c>
      <c r="R3812" t="s">
        <v>2289</v>
      </c>
      <c r="S3812" t="s">
        <v>2528</v>
      </c>
      <c r="T3812" t="s">
        <v>1485</v>
      </c>
      <c r="U3812">
        <v>247700</v>
      </c>
      <c r="V3812" t="s">
        <v>2789</v>
      </c>
      <c r="W3812" t="s">
        <v>2547</v>
      </c>
      <c r="X3812" t="s">
        <v>20359</v>
      </c>
      <c r="Y3812" t="s">
        <v>5187</v>
      </c>
      <c r="AA3812" t="s">
        <v>5188</v>
      </c>
      <c r="AB3812" t="s">
        <v>20360</v>
      </c>
      <c r="AE3812">
        <v>-41.163602019999999</v>
      </c>
      <c r="AF3812">
        <v>174.83297465999999</v>
      </c>
      <c r="AG3812">
        <v>30</v>
      </c>
      <c r="AH3812">
        <v>20</v>
      </c>
      <c r="AI3812">
        <v>10</v>
      </c>
      <c r="AJ3812">
        <v>4</v>
      </c>
      <c r="AK3812">
        <v>6</v>
      </c>
      <c r="AL3812">
        <v>5</v>
      </c>
      <c r="AM3812">
        <v>9</v>
      </c>
      <c r="AN3812">
        <v>0</v>
      </c>
      <c r="AO3812">
        <v>34</v>
      </c>
      <c r="AP3812">
        <v>32</v>
      </c>
      <c r="AQ3812">
        <v>5</v>
      </c>
      <c r="AR3812">
        <v>3</v>
      </c>
      <c r="AS3812">
        <v>5</v>
      </c>
      <c r="AT3812">
        <v>0</v>
      </c>
    </row>
    <row r="3813" spans="1:46">
      <c r="A3813">
        <v>60053</v>
      </c>
      <c r="B3813" t="s">
        <v>20810</v>
      </c>
      <c r="C3813" t="s">
        <v>20811</v>
      </c>
      <c r="D3813" t="s">
        <v>20812</v>
      </c>
      <c r="E3813" t="s">
        <v>20813</v>
      </c>
      <c r="G3813" t="s">
        <v>2799</v>
      </c>
      <c r="H3813" t="s">
        <v>298</v>
      </c>
      <c r="J3813" t="s">
        <v>518</v>
      </c>
      <c r="K3813" t="s">
        <v>519</v>
      </c>
      <c r="M3813" t="s">
        <v>2287</v>
      </c>
      <c r="N3813" t="s">
        <v>571</v>
      </c>
      <c r="O3813" t="s">
        <v>2675</v>
      </c>
      <c r="P3813" t="s">
        <v>1262</v>
      </c>
      <c r="Q3813" t="s">
        <v>2319</v>
      </c>
      <c r="R3813" t="s">
        <v>2289</v>
      </c>
      <c r="S3813" t="s">
        <v>2067</v>
      </c>
      <c r="T3813" t="s">
        <v>1485</v>
      </c>
      <c r="U3813">
        <v>238100</v>
      </c>
      <c r="V3813" t="s">
        <v>20814</v>
      </c>
      <c r="W3813" t="s">
        <v>2801</v>
      </c>
      <c r="X3813" t="s">
        <v>20359</v>
      </c>
      <c r="Y3813" t="s">
        <v>5187</v>
      </c>
      <c r="AA3813" t="s">
        <v>5188</v>
      </c>
      <c r="AB3813" t="s">
        <v>20360</v>
      </c>
      <c r="AE3813">
        <v>-40.876255739999998</v>
      </c>
      <c r="AF3813">
        <v>175.07161957</v>
      </c>
      <c r="AG3813">
        <v>30</v>
      </c>
      <c r="AH3813">
        <v>20</v>
      </c>
      <c r="AI3813">
        <v>22</v>
      </c>
      <c r="AJ3813">
        <v>7</v>
      </c>
      <c r="AK3813">
        <v>11</v>
      </c>
      <c r="AL3813">
        <v>6</v>
      </c>
      <c r="AM3813">
        <v>11</v>
      </c>
      <c r="AN3813">
        <v>0</v>
      </c>
      <c r="AO3813">
        <v>57</v>
      </c>
      <c r="AP3813">
        <v>55</v>
      </c>
      <c r="AQ3813">
        <v>3</v>
      </c>
      <c r="AR3813">
        <v>0</v>
      </c>
      <c r="AS3813">
        <v>5</v>
      </c>
      <c r="AT3813">
        <v>1</v>
      </c>
    </row>
    <row r="3814" spans="1:46">
      <c r="A3814">
        <v>60054</v>
      </c>
      <c r="B3814" t="s">
        <v>20815</v>
      </c>
      <c r="C3814" t="s">
        <v>20816</v>
      </c>
      <c r="D3814" t="s">
        <v>20817</v>
      </c>
      <c r="E3814" t="s">
        <v>20818</v>
      </c>
      <c r="F3814" t="s">
        <v>13223</v>
      </c>
      <c r="G3814" t="s">
        <v>2289</v>
      </c>
      <c r="H3814" t="s">
        <v>298</v>
      </c>
      <c r="J3814" t="s">
        <v>518</v>
      </c>
      <c r="K3814" t="s">
        <v>519</v>
      </c>
      <c r="M3814" t="s">
        <v>2287</v>
      </c>
      <c r="N3814" t="s">
        <v>571</v>
      </c>
      <c r="O3814" t="s">
        <v>2536</v>
      </c>
      <c r="P3814" t="s">
        <v>654</v>
      </c>
      <c r="Q3814" t="s">
        <v>2319</v>
      </c>
      <c r="R3814" t="s">
        <v>2289</v>
      </c>
      <c r="S3814" t="s">
        <v>2553</v>
      </c>
      <c r="T3814" t="s">
        <v>2448</v>
      </c>
      <c r="U3814">
        <v>250100</v>
      </c>
      <c r="V3814" t="s">
        <v>13223</v>
      </c>
      <c r="W3814" t="s">
        <v>2561</v>
      </c>
      <c r="X3814" t="s">
        <v>20359</v>
      </c>
      <c r="Y3814" t="s">
        <v>5187</v>
      </c>
      <c r="AA3814" t="s">
        <v>5188</v>
      </c>
      <c r="AB3814" t="s">
        <v>20360</v>
      </c>
      <c r="AE3814">
        <v>-41.268989140000002</v>
      </c>
      <c r="AF3814">
        <v>174.75881236999999</v>
      </c>
      <c r="AG3814">
        <v>30</v>
      </c>
      <c r="AH3814">
        <v>20</v>
      </c>
      <c r="AI3814">
        <v>6</v>
      </c>
      <c r="AJ3814">
        <v>12</v>
      </c>
      <c r="AK3814">
        <v>4</v>
      </c>
      <c r="AL3814">
        <v>3</v>
      </c>
      <c r="AM3814">
        <v>2</v>
      </c>
      <c r="AN3814">
        <v>1</v>
      </c>
      <c r="AO3814">
        <v>28</v>
      </c>
      <c r="AP3814">
        <v>23</v>
      </c>
      <c r="AQ3814">
        <v>6</v>
      </c>
      <c r="AR3814">
        <v>0</v>
      </c>
      <c r="AS3814">
        <v>6</v>
      </c>
      <c r="AT3814">
        <v>1</v>
      </c>
    </row>
    <row r="3815" spans="1:46">
      <c r="A3815">
        <v>60055</v>
      </c>
      <c r="B3815" t="s">
        <v>20819</v>
      </c>
      <c r="C3815" t="s">
        <v>20820</v>
      </c>
      <c r="D3815" t="s">
        <v>20821</v>
      </c>
      <c r="E3815" t="s">
        <v>20822</v>
      </c>
      <c r="F3815" t="s">
        <v>20823</v>
      </c>
      <c r="G3815" t="s">
        <v>2427</v>
      </c>
      <c r="H3815" t="s">
        <v>298</v>
      </c>
      <c r="J3815" t="s">
        <v>518</v>
      </c>
      <c r="K3815" t="s">
        <v>519</v>
      </c>
      <c r="M3815" t="s">
        <v>2287</v>
      </c>
      <c r="N3815" t="s">
        <v>571</v>
      </c>
      <c r="O3815" t="s">
        <v>2428</v>
      </c>
      <c r="P3815" t="s">
        <v>654</v>
      </c>
      <c r="Q3815" t="s">
        <v>2319</v>
      </c>
      <c r="R3815" t="s">
        <v>2289</v>
      </c>
      <c r="S3815" t="s">
        <v>2429</v>
      </c>
      <c r="T3815" t="s">
        <v>2448</v>
      </c>
      <c r="U3815">
        <v>243300</v>
      </c>
      <c r="V3815" t="s">
        <v>20823</v>
      </c>
      <c r="W3815" t="s">
        <v>2491</v>
      </c>
      <c r="X3815" t="s">
        <v>20359</v>
      </c>
      <c r="Y3815" t="s">
        <v>5187</v>
      </c>
      <c r="AA3815" t="s">
        <v>5188</v>
      </c>
      <c r="AB3815" t="s">
        <v>20360</v>
      </c>
      <c r="AE3815">
        <v>-41.216166639999997</v>
      </c>
      <c r="AF3815">
        <v>174.86829800999999</v>
      </c>
      <c r="AG3815">
        <v>30</v>
      </c>
      <c r="AH3815">
        <v>15</v>
      </c>
      <c r="AI3815">
        <v>1</v>
      </c>
      <c r="AJ3815">
        <v>3</v>
      </c>
      <c r="AK3815">
        <v>5</v>
      </c>
      <c r="AL3815">
        <v>6</v>
      </c>
      <c r="AM3815">
        <v>2</v>
      </c>
      <c r="AN3815">
        <v>0</v>
      </c>
      <c r="AO3815">
        <v>17</v>
      </c>
      <c r="AP3815">
        <v>14</v>
      </c>
      <c r="AQ3815">
        <v>0</v>
      </c>
      <c r="AR3815">
        <v>1</v>
      </c>
      <c r="AS3815">
        <v>3</v>
      </c>
      <c r="AT3815">
        <v>1</v>
      </c>
    </row>
    <row r="3816" spans="1:46">
      <c r="A3816">
        <v>60064</v>
      </c>
      <c r="B3816" t="s">
        <v>20824</v>
      </c>
      <c r="C3816" t="s">
        <v>20825</v>
      </c>
      <c r="D3816" t="s">
        <v>20826</v>
      </c>
      <c r="E3816" t="s">
        <v>20827</v>
      </c>
      <c r="F3816" t="s">
        <v>2739</v>
      </c>
      <c r="G3816" t="s">
        <v>2526</v>
      </c>
      <c r="H3816" t="s">
        <v>3942</v>
      </c>
      <c r="J3816" t="s">
        <v>3962</v>
      </c>
      <c r="K3816" t="s">
        <v>519</v>
      </c>
      <c r="M3816" t="s">
        <v>2287</v>
      </c>
      <c r="N3816" t="s">
        <v>571</v>
      </c>
      <c r="O3816" t="s">
        <v>2527</v>
      </c>
      <c r="P3816" t="s">
        <v>584</v>
      </c>
      <c r="Q3816" t="s">
        <v>2319</v>
      </c>
      <c r="R3816" t="s">
        <v>2289</v>
      </c>
      <c r="S3816" t="s">
        <v>2528</v>
      </c>
      <c r="T3816" t="s">
        <v>1485</v>
      </c>
      <c r="U3816">
        <v>239000</v>
      </c>
      <c r="V3816" t="s">
        <v>2739</v>
      </c>
      <c r="W3816" t="s">
        <v>2579</v>
      </c>
      <c r="X3816" t="s">
        <v>20828</v>
      </c>
      <c r="Y3816" t="s">
        <v>20829</v>
      </c>
      <c r="Z3816" t="s">
        <v>2528</v>
      </c>
      <c r="AA3816" t="s">
        <v>20830</v>
      </c>
      <c r="AB3816" t="s">
        <v>20831</v>
      </c>
      <c r="AC3816">
        <v>99068</v>
      </c>
      <c r="AD3816" t="s">
        <v>2530</v>
      </c>
      <c r="AE3816">
        <v>-41.077543239999997</v>
      </c>
      <c r="AF3816">
        <v>174.87094519999999</v>
      </c>
      <c r="AG3816">
        <v>95</v>
      </c>
      <c r="AH3816">
        <v>25</v>
      </c>
      <c r="AI3816">
        <v>2</v>
      </c>
      <c r="AJ3816">
        <v>18</v>
      </c>
      <c r="AK3816">
        <v>21</v>
      </c>
      <c r="AL3816">
        <v>27</v>
      </c>
      <c r="AM3816">
        <v>22</v>
      </c>
      <c r="AN3816">
        <v>0</v>
      </c>
      <c r="AO3816">
        <v>90</v>
      </c>
      <c r="AP3816">
        <v>87</v>
      </c>
      <c r="AQ3816">
        <v>17</v>
      </c>
      <c r="AR3816">
        <v>9</v>
      </c>
      <c r="AS3816">
        <v>9</v>
      </c>
      <c r="AT3816">
        <v>0</v>
      </c>
    </row>
    <row r="3817" spans="1:46">
      <c r="A3817">
        <v>60066</v>
      </c>
      <c r="B3817" t="s">
        <v>20832</v>
      </c>
      <c r="C3817" t="s">
        <v>20833</v>
      </c>
      <c r="D3817" t="s">
        <v>20834</v>
      </c>
      <c r="E3817" t="s">
        <v>20835</v>
      </c>
      <c r="F3817" t="s">
        <v>14817</v>
      </c>
      <c r="G3817" t="s">
        <v>2289</v>
      </c>
      <c r="H3817" t="s">
        <v>3942</v>
      </c>
      <c r="J3817" t="s">
        <v>3962</v>
      </c>
      <c r="K3817" t="s">
        <v>519</v>
      </c>
      <c r="M3817" t="s">
        <v>2287</v>
      </c>
      <c r="N3817" t="s">
        <v>4519</v>
      </c>
      <c r="O3817" t="s">
        <v>2536</v>
      </c>
      <c r="P3817" t="s">
        <v>654</v>
      </c>
      <c r="Q3817" t="s">
        <v>2319</v>
      </c>
      <c r="R3817" t="s">
        <v>2289</v>
      </c>
      <c r="S3817" t="s">
        <v>2553</v>
      </c>
      <c r="T3817" t="s">
        <v>2448</v>
      </c>
      <c r="U3817">
        <v>251100</v>
      </c>
      <c r="V3817" t="s">
        <v>14817</v>
      </c>
      <c r="W3817" t="s">
        <v>2573</v>
      </c>
      <c r="X3817" t="s">
        <v>20836</v>
      </c>
      <c r="Y3817" t="s">
        <v>20837</v>
      </c>
      <c r="Z3817" t="s">
        <v>2620</v>
      </c>
      <c r="AA3817" t="s">
        <v>20838</v>
      </c>
      <c r="AB3817" t="s">
        <v>20833</v>
      </c>
      <c r="AE3817">
        <v>-41.28619965</v>
      </c>
      <c r="AF3817">
        <v>174.76485946</v>
      </c>
      <c r="AG3817">
        <v>53</v>
      </c>
      <c r="AH3817">
        <v>16</v>
      </c>
      <c r="AI3817">
        <v>2</v>
      </c>
      <c r="AJ3817">
        <v>18</v>
      </c>
      <c r="AK3817">
        <v>10</v>
      </c>
      <c r="AL3817">
        <v>13</v>
      </c>
      <c r="AM3817">
        <v>11</v>
      </c>
      <c r="AN3817">
        <v>0</v>
      </c>
      <c r="AO3817">
        <v>54</v>
      </c>
      <c r="AP3817">
        <v>41</v>
      </c>
      <c r="AQ3817">
        <v>3</v>
      </c>
      <c r="AR3817">
        <v>3</v>
      </c>
      <c r="AS3817">
        <v>14</v>
      </c>
      <c r="AT3817">
        <v>4</v>
      </c>
    </row>
    <row r="3818" spans="1:46">
      <c r="A3818">
        <v>60067</v>
      </c>
      <c r="B3818" t="s">
        <v>20839</v>
      </c>
      <c r="C3818" t="s">
        <v>20840</v>
      </c>
      <c r="D3818" t="s">
        <v>20841</v>
      </c>
      <c r="E3818" t="s">
        <v>20842</v>
      </c>
      <c r="F3818" t="s">
        <v>2559</v>
      </c>
      <c r="G3818" t="s">
        <v>2289</v>
      </c>
      <c r="H3818" t="s">
        <v>3942</v>
      </c>
      <c r="J3818" t="s">
        <v>3962</v>
      </c>
      <c r="K3818" t="s">
        <v>519</v>
      </c>
      <c r="M3818" t="s">
        <v>2287</v>
      </c>
      <c r="N3818" t="s">
        <v>571</v>
      </c>
      <c r="O3818" t="s">
        <v>2536</v>
      </c>
      <c r="P3818" t="s">
        <v>654</v>
      </c>
      <c r="Q3818" t="s">
        <v>2319</v>
      </c>
      <c r="R3818" t="s">
        <v>2289</v>
      </c>
      <c r="S3818" t="s">
        <v>2553</v>
      </c>
      <c r="T3818" t="s">
        <v>2448</v>
      </c>
      <c r="U3818">
        <v>250600</v>
      </c>
      <c r="V3818" t="s">
        <v>2560</v>
      </c>
      <c r="W3818" t="s">
        <v>2561</v>
      </c>
      <c r="X3818" t="s">
        <v>20843</v>
      </c>
      <c r="Y3818" t="s">
        <v>20842</v>
      </c>
      <c r="Z3818" t="s">
        <v>2559</v>
      </c>
      <c r="AA3818" t="s">
        <v>13225</v>
      </c>
      <c r="AB3818" t="s">
        <v>20840</v>
      </c>
      <c r="AE3818">
        <v>-41.285990990000002</v>
      </c>
      <c r="AF3818">
        <v>174.74329958000001</v>
      </c>
      <c r="AG3818">
        <v>22</v>
      </c>
      <c r="AH3818">
        <v>0</v>
      </c>
      <c r="AI3818">
        <v>0</v>
      </c>
      <c r="AJ3818">
        <v>0</v>
      </c>
      <c r="AK3818">
        <v>7</v>
      </c>
      <c r="AL3818">
        <v>7</v>
      </c>
      <c r="AM3818">
        <v>9</v>
      </c>
      <c r="AN3818">
        <v>0</v>
      </c>
      <c r="AO3818">
        <v>23</v>
      </c>
      <c r="AP3818">
        <v>21</v>
      </c>
      <c r="AQ3818">
        <v>0</v>
      </c>
      <c r="AR3818">
        <v>2</v>
      </c>
      <c r="AS3818">
        <v>5</v>
      </c>
      <c r="AT3818">
        <v>1</v>
      </c>
    </row>
    <row r="3819" spans="1:46">
      <c r="A3819">
        <v>60068</v>
      </c>
      <c r="B3819" t="s">
        <v>20844</v>
      </c>
      <c r="C3819" t="s">
        <v>20845</v>
      </c>
      <c r="D3819" t="s">
        <v>20846</v>
      </c>
      <c r="E3819" t="s">
        <v>20847</v>
      </c>
      <c r="F3819" t="s">
        <v>2405</v>
      </c>
      <c r="G3819" t="s">
        <v>2371</v>
      </c>
      <c r="H3819" t="s">
        <v>3942</v>
      </c>
      <c r="J3819" t="s">
        <v>3962</v>
      </c>
      <c r="K3819" t="s">
        <v>519</v>
      </c>
      <c r="M3819" t="s">
        <v>2287</v>
      </c>
      <c r="N3819" t="s">
        <v>571</v>
      </c>
      <c r="O3819" t="s">
        <v>2372</v>
      </c>
      <c r="P3819" t="s">
        <v>584</v>
      </c>
      <c r="Q3819" t="s">
        <v>2319</v>
      </c>
      <c r="R3819" t="s">
        <v>2289</v>
      </c>
      <c r="S3819" t="s">
        <v>2373</v>
      </c>
      <c r="T3819" t="s">
        <v>2085</v>
      </c>
      <c r="U3819">
        <v>241400</v>
      </c>
      <c r="V3819" t="s">
        <v>2395</v>
      </c>
      <c r="W3819" t="s">
        <v>1652</v>
      </c>
      <c r="X3819" t="s">
        <v>20848</v>
      </c>
      <c r="Y3819" t="s">
        <v>20847</v>
      </c>
      <c r="Z3819" t="s">
        <v>2405</v>
      </c>
      <c r="AA3819" t="s">
        <v>18622</v>
      </c>
      <c r="AE3819">
        <v>-41.142915010000003</v>
      </c>
      <c r="AF3819">
        <v>175.01469144999999</v>
      </c>
      <c r="AG3819">
        <v>23</v>
      </c>
      <c r="AH3819">
        <v>0</v>
      </c>
      <c r="AI3819">
        <v>0</v>
      </c>
      <c r="AJ3819">
        <v>0</v>
      </c>
      <c r="AK3819">
        <v>3</v>
      </c>
      <c r="AL3819">
        <v>8</v>
      </c>
      <c r="AM3819">
        <v>12</v>
      </c>
      <c r="AN3819">
        <v>0</v>
      </c>
      <c r="AO3819">
        <v>23</v>
      </c>
      <c r="AP3819">
        <v>19</v>
      </c>
      <c r="AQ3819">
        <v>5</v>
      </c>
      <c r="AR3819">
        <v>0</v>
      </c>
      <c r="AS3819">
        <v>5</v>
      </c>
      <c r="AT3819">
        <v>1</v>
      </c>
    </row>
    <row r="3820" spans="1:46">
      <c r="A3820">
        <v>60069</v>
      </c>
      <c r="B3820" t="s">
        <v>20849</v>
      </c>
      <c r="C3820" t="s">
        <v>20850</v>
      </c>
      <c r="D3820" t="s">
        <v>20851</v>
      </c>
      <c r="E3820" t="s">
        <v>20852</v>
      </c>
      <c r="F3820" t="s">
        <v>20853</v>
      </c>
      <c r="G3820" t="s">
        <v>2427</v>
      </c>
      <c r="H3820" t="s">
        <v>3942</v>
      </c>
      <c r="J3820" t="s">
        <v>518</v>
      </c>
      <c r="K3820" t="s">
        <v>519</v>
      </c>
      <c r="M3820" t="s">
        <v>2287</v>
      </c>
      <c r="N3820" t="s">
        <v>4519</v>
      </c>
      <c r="O3820" t="s">
        <v>2428</v>
      </c>
      <c r="P3820" t="s">
        <v>654</v>
      </c>
      <c r="Q3820" t="s">
        <v>2319</v>
      </c>
      <c r="R3820" t="s">
        <v>2289</v>
      </c>
      <c r="S3820" t="s">
        <v>2429</v>
      </c>
      <c r="T3820" t="s">
        <v>2448</v>
      </c>
      <c r="U3820">
        <v>244000</v>
      </c>
      <c r="V3820" t="s">
        <v>12295</v>
      </c>
      <c r="W3820" t="s">
        <v>2461</v>
      </c>
      <c r="X3820" t="s">
        <v>20854</v>
      </c>
      <c r="Y3820" t="s">
        <v>20852</v>
      </c>
      <c r="Z3820" t="s">
        <v>20853</v>
      </c>
      <c r="AA3820" t="s">
        <v>9029</v>
      </c>
      <c r="AC3820">
        <v>99110</v>
      </c>
      <c r="AD3820" t="s">
        <v>4237</v>
      </c>
      <c r="AE3820">
        <v>-41.211020939999997</v>
      </c>
      <c r="AF3820">
        <v>174.89383139</v>
      </c>
      <c r="AG3820">
        <v>18</v>
      </c>
      <c r="AH3820">
        <v>0</v>
      </c>
      <c r="AI3820">
        <v>0</v>
      </c>
      <c r="AJ3820">
        <v>0</v>
      </c>
      <c r="AK3820">
        <v>13</v>
      </c>
      <c r="AL3820">
        <v>11</v>
      </c>
      <c r="AM3820">
        <v>4</v>
      </c>
      <c r="AN3820">
        <v>0</v>
      </c>
      <c r="AO3820">
        <v>28</v>
      </c>
      <c r="AP3820">
        <v>25</v>
      </c>
      <c r="AQ3820">
        <v>3</v>
      </c>
      <c r="AR3820">
        <v>1</v>
      </c>
      <c r="AS3820">
        <v>4</v>
      </c>
      <c r="AT3820">
        <v>2</v>
      </c>
    </row>
    <row r="3821" spans="1:46">
      <c r="A3821">
        <v>60072</v>
      </c>
      <c r="B3821" t="s">
        <v>20855</v>
      </c>
      <c r="C3821" t="s">
        <v>20856</v>
      </c>
      <c r="E3821" t="s">
        <v>20857</v>
      </c>
      <c r="F3821" t="s">
        <v>2466</v>
      </c>
      <c r="G3821" t="s">
        <v>2427</v>
      </c>
      <c r="H3821" t="s">
        <v>343</v>
      </c>
      <c r="J3821" t="s">
        <v>518</v>
      </c>
      <c r="K3821" t="s">
        <v>519</v>
      </c>
      <c r="L3821" t="s">
        <v>4205</v>
      </c>
      <c r="M3821" t="s">
        <v>2287</v>
      </c>
      <c r="N3821" t="s">
        <v>539</v>
      </c>
      <c r="O3821" t="s">
        <v>2428</v>
      </c>
      <c r="P3821" t="s">
        <v>654</v>
      </c>
      <c r="Q3821" t="s">
        <v>2319</v>
      </c>
      <c r="R3821" t="s">
        <v>2289</v>
      </c>
      <c r="S3821" t="s">
        <v>2373</v>
      </c>
      <c r="T3821" t="s">
        <v>2085</v>
      </c>
      <c r="U3821">
        <v>244500</v>
      </c>
      <c r="V3821" t="s">
        <v>2496</v>
      </c>
      <c r="W3821" t="s">
        <v>2468</v>
      </c>
      <c r="X3821" t="s">
        <v>20858</v>
      </c>
      <c r="Y3821" t="s">
        <v>4208</v>
      </c>
      <c r="Z3821" t="s">
        <v>4209</v>
      </c>
      <c r="AA3821" t="s">
        <v>4210</v>
      </c>
      <c r="AB3821" t="s">
        <v>20859</v>
      </c>
      <c r="AE3821">
        <v>-41.170555780000001</v>
      </c>
      <c r="AF3821">
        <v>174.98226911</v>
      </c>
      <c r="AG3821">
        <v>30</v>
      </c>
      <c r="AH3821">
        <v>10</v>
      </c>
      <c r="AI3821">
        <v>1</v>
      </c>
      <c r="AJ3821">
        <v>2</v>
      </c>
      <c r="AK3821">
        <v>4</v>
      </c>
      <c r="AL3821">
        <v>11</v>
      </c>
      <c r="AM3821">
        <v>4</v>
      </c>
      <c r="AN3821">
        <v>0</v>
      </c>
      <c r="AO3821">
        <v>22</v>
      </c>
      <c r="AP3821">
        <v>0</v>
      </c>
      <c r="AQ3821">
        <v>21</v>
      </c>
      <c r="AR3821">
        <v>0</v>
      </c>
      <c r="AS3821">
        <v>0</v>
      </c>
      <c r="AT3821">
        <v>1</v>
      </c>
    </row>
    <row r="3822" spans="1:46">
      <c r="A3822">
        <v>60073</v>
      </c>
      <c r="B3822" t="s">
        <v>20860</v>
      </c>
      <c r="C3822" t="s">
        <v>20861</v>
      </c>
      <c r="D3822" t="s">
        <v>20862</v>
      </c>
      <c r="E3822" t="s">
        <v>20863</v>
      </c>
      <c r="F3822" t="s">
        <v>19008</v>
      </c>
      <c r="G3822" t="s">
        <v>2289</v>
      </c>
      <c r="H3822" t="s">
        <v>343</v>
      </c>
      <c r="J3822" t="s">
        <v>518</v>
      </c>
      <c r="K3822" t="s">
        <v>519</v>
      </c>
      <c r="L3822" t="s">
        <v>4205</v>
      </c>
      <c r="M3822" t="s">
        <v>2287</v>
      </c>
      <c r="N3822" t="s">
        <v>571</v>
      </c>
      <c r="O3822" t="s">
        <v>2536</v>
      </c>
      <c r="P3822" t="s">
        <v>654</v>
      </c>
      <c r="Q3822" t="s">
        <v>2319</v>
      </c>
      <c r="R3822" t="s">
        <v>2289</v>
      </c>
      <c r="S3822" t="s">
        <v>2537</v>
      </c>
      <c r="T3822" t="s">
        <v>2448</v>
      </c>
      <c r="U3822">
        <v>254200</v>
      </c>
      <c r="V3822" t="s">
        <v>20384</v>
      </c>
      <c r="W3822" t="s">
        <v>2591</v>
      </c>
      <c r="X3822" t="s">
        <v>10329</v>
      </c>
      <c r="Y3822" t="s">
        <v>4208</v>
      </c>
      <c r="Z3822" t="s">
        <v>4209</v>
      </c>
      <c r="AA3822" t="s">
        <v>4210</v>
      </c>
      <c r="AB3822" t="s">
        <v>10330</v>
      </c>
      <c r="AE3822">
        <v>-41.32154912</v>
      </c>
      <c r="AF3822">
        <v>174.80137457000001</v>
      </c>
      <c r="AG3822">
        <v>20</v>
      </c>
      <c r="AH3822">
        <v>10</v>
      </c>
      <c r="AI3822">
        <v>1</v>
      </c>
      <c r="AJ3822">
        <v>4</v>
      </c>
      <c r="AK3822">
        <v>4</v>
      </c>
      <c r="AL3822">
        <v>5</v>
      </c>
      <c r="AM3822">
        <v>4</v>
      </c>
      <c r="AN3822">
        <v>0</v>
      </c>
      <c r="AO3822">
        <v>18</v>
      </c>
      <c r="AP3822">
        <v>0</v>
      </c>
      <c r="AQ3822">
        <v>16</v>
      </c>
      <c r="AR3822">
        <v>0</v>
      </c>
      <c r="AS3822">
        <v>0</v>
      </c>
      <c r="AT3822">
        <v>2</v>
      </c>
    </row>
    <row r="3823" spans="1:46">
      <c r="A3823">
        <v>60078</v>
      </c>
      <c r="B3823" t="s">
        <v>20864</v>
      </c>
      <c r="C3823" t="s">
        <v>20865</v>
      </c>
      <c r="D3823" t="s">
        <v>20866</v>
      </c>
      <c r="E3823" t="s">
        <v>20867</v>
      </c>
      <c r="F3823" t="s">
        <v>2395</v>
      </c>
      <c r="G3823" t="s">
        <v>2371</v>
      </c>
      <c r="H3823" t="s">
        <v>3942</v>
      </c>
      <c r="J3823" t="s">
        <v>3962</v>
      </c>
      <c r="K3823" t="s">
        <v>519</v>
      </c>
      <c r="M3823" t="s">
        <v>2287</v>
      </c>
      <c r="N3823" t="s">
        <v>571</v>
      </c>
      <c r="O3823" t="s">
        <v>2372</v>
      </c>
      <c r="P3823" t="s">
        <v>584</v>
      </c>
      <c r="Q3823" t="s">
        <v>2319</v>
      </c>
      <c r="R3823" t="s">
        <v>2289</v>
      </c>
      <c r="S3823" t="s">
        <v>2373</v>
      </c>
      <c r="T3823" t="s">
        <v>2085</v>
      </c>
      <c r="U3823">
        <v>241400</v>
      </c>
      <c r="V3823" t="s">
        <v>2395</v>
      </c>
      <c r="W3823" t="s">
        <v>1652</v>
      </c>
      <c r="X3823" t="s">
        <v>20868</v>
      </c>
      <c r="Y3823" t="s">
        <v>20867</v>
      </c>
      <c r="Z3823" t="s">
        <v>2371</v>
      </c>
      <c r="AA3823" t="s">
        <v>18622</v>
      </c>
      <c r="AB3823" t="s">
        <v>20869</v>
      </c>
      <c r="AE3823">
        <v>-41.141410819999997</v>
      </c>
      <c r="AF3823">
        <v>175.01588618</v>
      </c>
      <c r="AG3823">
        <v>50</v>
      </c>
      <c r="AH3823">
        <v>20</v>
      </c>
      <c r="AI3823">
        <v>3</v>
      </c>
      <c r="AJ3823">
        <v>9</v>
      </c>
      <c r="AK3823">
        <v>16</v>
      </c>
      <c r="AL3823">
        <v>9</v>
      </c>
      <c r="AM3823">
        <v>7</v>
      </c>
      <c r="AN3823">
        <v>0</v>
      </c>
      <c r="AO3823">
        <v>44</v>
      </c>
      <c r="AP3823">
        <v>36</v>
      </c>
      <c r="AQ3823">
        <v>8</v>
      </c>
      <c r="AR3823">
        <v>1</v>
      </c>
      <c r="AS3823">
        <v>4</v>
      </c>
      <c r="AT3823">
        <v>2</v>
      </c>
    </row>
    <row r="3824" spans="1:46">
      <c r="A3824">
        <v>60079</v>
      </c>
      <c r="B3824" t="s">
        <v>20870</v>
      </c>
      <c r="C3824" t="s">
        <v>20871</v>
      </c>
      <c r="D3824" t="s">
        <v>13720</v>
      </c>
      <c r="E3824" t="s">
        <v>20872</v>
      </c>
      <c r="G3824" t="s">
        <v>2799</v>
      </c>
      <c r="H3824" t="s">
        <v>3942</v>
      </c>
      <c r="J3824" t="s">
        <v>3962</v>
      </c>
      <c r="K3824" t="s">
        <v>519</v>
      </c>
      <c r="M3824" t="s">
        <v>2287</v>
      </c>
      <c r="N3824" t="s">
        <v>571</v>
      </c>
      <c r="O3824" t="s">
        <v>2675</v>
      </c>
      <c r="P3824" t="s">
        <v>1262</v>
      </c>
      <c r="Q3824" t="s">
        <v>2319</v>
      </c>
      <c r="R3824" t="s">
        <v>2289</v>
      </c>
      <c r="S3824" t="s">
        <v>2067</v>
      </c>
      <c r="T3824" t="s">
        <v>1485</v>
      </c>
      <c r="U3824">
        <v>237200</v>
      </c>
      <c r="V3824" t="s">
        <v>20873</v>
      </c>
      <c r="W3824" t="s">
        <v>2801</v>
      </c>
      <c r="X3824" t="s">
        <v>20874</v>
      </c>
      <c r="Y3824" t="s">
        <v>13721</v>
      </c>
      <c r="Z3824" t="s">
        <v>2613</v>
      </c>
      <c r="AA3824" t="s">
        <v>14111</v>
      </c>
      <c r="AB3824" t="s">
        <v>20875</v>
      </c>
      <c r="AE3824">
        <v>-40.878518999999997</v>
      </c>
      <c r="AF3824">
        <v>175.04714011999999</v>
      </c>
      <c r="AG3824">
        <v>35</v>
      </c>
      <c r="AH3824">
        <v>10</v>
      </c>
      <c r="AI3824">
        <v>2</v>
      </c>
      <c r="AJ3824">
        <v>5</v>
      </c>
      <c r="AK3824">
        <v>15</v>
      </c>
      <c r="AL3824">
        <v>8</v>
      </c>
      <c r="AM3824">
        <v>8</v>
      </c>
      <c r="AN3824">
        <v>1</v>
      </c>
      <c r="AO3824">
        <v>39</v>
      </c>
      <c r="AP3824">
        <v>36</v>
      </c>
      <c r="AQ3824">
        <v>6</v>
      </c>
      <c r="AR3824">
        <v>2</v>
      </c>
      <c r="AS3824">
        <v>3</v>
      </c>
      <c r="AT3824">
        <v>0</v>
      </c>
    </row>
    <row r="3825" spans="1:46">
      <c r="A3825">
        <v>60081</v>
      </c>
      <c r="B3825" t="s">
        <v>20876</v>
      </c>
      <c r="C3825" t="s">
        <v>20877</v>
      </c>
      <c r="D3825" t="s">
        <v>20878</v>
      </c>
      <c r="E3825" t="s">
        <v>20879</v>
      </c>
      <c r="F3825" t="s">
        <v>2460</v>
      </c>
      <c r="G3825" t="s">
        <v>2427</v>
      </c>
      <c r="H3825" t="s">
        <v>3942</v>
      </c>
      <c r="J3825" t="s">
        <v>518</v>
      </c>
      <c r="K3825" t="s">
        <v>519</v>
      </c>
      <c r="M3825" t="s">
        <v>2287</v>
      </c>
      <c r="N3825" t="s">
        <v>571</v>
      </c>
      <c r="O3825" t="s">
        <v>2428</v>
      </c>
      <c r="P3825" t="s">
        <v>654</v>
      </c>
      <c r="Q3825" t="s">
        <v>2319</v>
      </c>
      <c r="R3825" t="s">
        <v>2289</v>
      </c>
      <c r="S3825" t="s">
        <v>2429</v>
      </c>
      <c r="T3825" t="s">
        <v>2085</v>
      </c>
      <c r="U3825">
        <v>243400</v>
      </c>
      <c r="V3825" t="s">
        <v>2460</v>
      </c>
      <c r="W3825" t="s">
        <v>2461</v>
      </c>
      <c r="X3825" t="s">
        <v>20880</v>
      </c>
      <c r="Y3825" t="s">
        <v>20879</v>
      </c>
      <c r="Z3825" t="s">
        <v>2460</v>
      </c>
      <c r="AA3825" t="s">
        <v>9029</v>
      </c>
      <c r="AB3825" t="s">
        <v>20877</v>
      </c>
      <c r="AC3825">
        <v>99164</v>
      </c>
      <c r="AD3825" t="s">
        <v>17952</v>
      </c>
      <c r="AE3825">
        <v>-41.178278460000001</v>
      </c>
      <c r="AF3825">
        <v>174.93460539</v>
      </c>
      <c r="AG3825">
        <v>36</v>
      </c>
      <c r="AH3825">
        <v>0</v>
      </c>
      <c r="AI3825">
        <v>0</v>
      </c>
      <c r="AJ3825">
        <v>0</v>
      </c>
      <c r="AK3825">
        <v>8</v>
      </c>
      <c r="AL3825">
        <v>19</v>
      </c>
      <c r="AM3825">
        <v>17</v>
      </c>
      <c r="AN3825">
        <v>0</v>
      </c>
      <c r="AO3825">
        <v>44</v>
      </c>
      <c r="AP3825">
        <v>30</v>
      </c>
      <c r="AQ3825">
        <v>4</v>
      </c>
      <c r="AR3825">
        <v>3</v>
      </c>
      <c r="AS3825">
        <v>12</v>
      </c>
      <c r="AT3825">
        <v>3</v>
      </c>
    </row>
    <row r="3826" spans="1:46">
      <c r="A3826">
        <v>60083</v>
      </c>
      <c r="B3826" t="s">
        <v>20881</v>
      </c>
      <c r="C3826" t="s">
        <v>20882</v>
      </c>
      <c r="D3826" t="s">
        <v>20883</v>
      </c>
      <c r="E3826" t="s">
        <v>20884</v>
      </c>
      <c r="F3826" t="s">
        <v>20503</v>
      </c>
      <c r="G3826" t="s">
        <v>2427</v>
      </c>
      <c r="H3826" t="s">
        <v>3942</v>
      </c>
      <c r="J3826" t="s">
        <v>518</v>
      </c>
      <c r="K3826" t="s">
        <v>519</v>
      </c>
      <c r="M3826" t="s">
        <v>2287</v>
      </c>
      <c r="N3826" t="s">
        <v>571</v>
      </c>
      <c r="O3826" t="s">
        <v>2428</v>
      </c>
      <c r="P3826" t="s">
        <v>654</v>
      </c>
      <c r="Q3826" t="s">
        <v>2319</v>
      </c>
      <c r="R3826" t="s">
        <v>2289</v>
      </c>
      <c r="S3826" t="s">
        <v>2373</v>
      </c>
      <c r="T3826" t="s">
        <v>2085</v>
      </c>
      <c r="U3826">
        <v>245200</v>
      </c>
      <c r="V3826" t="s">
        <v>2442</v>
      </c>
      <c r="W3826" t="s">
        <v>2443</v>
      </c>
      <c r="X3826" t="s">
        <v>20885</v>
      </c>
      <c r="Y3826" t="s">
        <v>20886</v>
      </c>
      <c r="Z3826" t="s">
        <v>5992</v>
      </c>
      <c r="AA3826" t="s">
        <v>9029</v>
      </c>
      <c r="AB3826" t="s">
        <v>20887</v>
      </c>
      <c r="AE3826">
        <v>-41.19760866</v>
      </c>
      <c r="AF3826">
        <v>174.93795335999999</v>
      </c>
      <c r="AG3826">
        <v>21</v>
      </c>
      <c r="AH3826">
        <v>21</v>
      </c>
      <c r="AI3826">
        <v>2</v>
      </c>
      <c r="AJ3826">
        <v>18</v>
      </c>
      <c r="AK3826">
        <v>2</v>
      </c>
      <c r="AL3826">
        <v>0</v>
      </c>
      <c r="AM3826">
        <v>0</v>
      </c>
      <c r="AN3826">
        <v>0</v>
      </c>
      <c r="AO3826">
        <v>22</v>
      </c>
      <c r="AP3826">
        <v>13</v>
      </c>
      <c r="AQ3826">
        <v>2</v>
      </c>
      <c r="AR3826">
        <v>3</v>
      </c>
      <c r="AS3826">
        <v>7</v>
      </c>
      <c r="AT3826">
        <v>1</v>
      </c>
    </row>
    <row r="3827" spans="1:46">
      <c r="A3827">
        <v>60085</v>
      </c>
      <c r="B3827" t="s">
        <v>20888</v>
      </c>
      <c r="C3827" t="s">
        <v>20889</v>
      </c>
      <c r="D3827" t="s">
        <v>20890</v>
      </c>
      <c r="E3827" t="s">
        <v>20891</v>
      </c>
      <c r="F3827" t="s">
        <v>2578</v>
      </c>
      <c r="G3827" t="s">
        <v>2526</v>
      </c>
      <c r="H3827" t="s">
        <v>3942</v>
      </c>
      <c r="J3827" t="s">
        <v>3962</v>
      </c>
      <c r="K3827" t="s">
        <v>519</v>
      </c>
      <c r="M3827" t="s">
        <v>2287</v>
      </c>
      <c r="N3827" t="s">
        <v>571</v>
      </c>
      <c r="O3827" t="s">
        <v>2527</v>
      </c>
      <c r="P3827" t="s">
        <v>584</v>
      </c>
      <c r="Q3827" t="s">
        <v>2319</v>
      </c>
      <c r="R3827" t="s">
        <v>2289</v>
      </c>
      <c r="S3827" t="s">
        <v>2528</v>
      </c>
      <c r="T3827" t="s">
        <v>1485</v>
      </c>
      <c r="U3827">
        <v>240401</v>
      </c>
      <c r="V3827" t="s">
        <v>2578</v>
      </c>
      <c r="W3827" t="s">
        <v>2579</v>
      </c>
      <c r="X3827" t="s">
        <v>20892</v>
      </c>
      <c r="Y3827" t="s">
        <v>3981</v>
      </c>
      <c r="AA3827" t="s">
        <v>3982</v>
      </c>
      <c r="AB3827" t="s">
        <v>20893</v>
      </c>
      <c r="AC3827">
        <v>99068</v>
      </c>
      <c r="AD3827" t="s">
        <v>2530</v>
      </c>
      <c r="AE3827">
        <v>-41.108921600000002</v>
      </c>
      <c r="AF3827">
        <v>174.8899548</v>
      </c>
      <c r="AG3827">
        <v>72</v>
      </c>
      <c r="AH3827">
        <v>19</v>
      </c>
      <c r="AI3827">
        <v>4</v>
      </c>
      <c r="AJ3827">
        <v>15</v>
      </c>
      <c r="AK3827">
        <v>24</v>
      </c>
      <c r="AL3827">
        <v>21</v>
      </c>
      <c r="AM3827">
        <v>20</v>
      </c>
      <c r="AN3827">
        <v>0</v>
      </c>
      <c r="AO3827">
        <v>84</v>
      </c>
      <c r="AP3827">
        <v>72</v>
      </c>
      <c r="AQ3827">
        <v>12</v>
      </c>
      <c r="AR3827">
        <v>12</v>
      </c>
      <c r="AS3827">
        <v>10</v>
      </c>
      <c r="AT3827">
        <v>0</v>
      </c>
    </row>
    <row r="3828" spans="1:46">
      <c r="A3828">
        <v>60086</v>
      </c>
      <c r="B3828" t="s">
        <v>20894</v>
      </c>
      <c r="C3828" t="s">
        <v>13448</v>
      </c>
      <c r="D3828" t="s">
        <v>20572</v>
      </c>
      <c r="E3828" t="s">
        <v>20573</v>
      </c>
      <c r="F3828" t="s">
        <v>2578</v>
      </c>
      <c r="G3828" t="s">
        <v>2526</v>
      </c>
      <c r="H3828" t="s">
        <v>4716</v>
      </c>
      <c r="J3828" t="s">
        <v>3962</v>
      </c>
      <c r="K3828" t="s">
        <v>519</v>
      </c>
      <c r="M3828" t="s">
        <v>2287</v>
      </c>
      <c r="N3828" t="s">
        <v>4519</v>
      </c>
      <c r="O3828" t="s">
        <v>2527</v>
      </c>
      <c r="P3828" t="s">
        <v>584</v>
      </c>
      <c r="Q3828" t="s">
        <v>2319</v>
      </c>
      <c r="R3828" t="s">
        <v>2289</v>
      </c>
      <c r="S3828" t="s">
        <v>2528</v>
      </c>
      <c r="T3828" t="s">
        <v>1485</v>
      </c>
      <c r="U3828">
        <v>240201</v>
      </c>
      <c r="V3828" t="s">
        <v>20574</v>
      </c>
      <c r="W3828" t="s">
        <v>2579</v>
      </c>
      <c r="X3828" t="s">
        <v>20575</v>
      </c>
      <c r="Y3828" t="s">
        <v>8401</v>
      </c>
      <c r="AA3828" t="s">
        <v>8404</v>
      </c>
      <c r="AE3828">
        <v>-41.109791880000003</v>
      </c>
      <c r="AF3828">
        <v>174.88259772000001</v>
      </c>
      <c r="AG3828">
        <v>50</v>
      </c>
      <c r="AH3828">
        <v>50</v>
      </c>
      <c r="AI3828">
        <v>2</v>
      </c>
      <c r="AJ3828">
        <v>12</v>
      </c>
      <c r="AK3828">
        <v>11</v>
      </c>
      <c r="AL3828">
        <v>8</v>
      </c>
      <c r="AM3828">
        <v>7</v>
      </c>
      <c r="AN3828">
        <v>0</v>
      </c>
      <c r="AO3828">
        <v>40</v>
      </c>
      <c r="AP3828">
        <v>32</v>
      </c>
      <c r="AQ3828">
        <v>8</v>
      </c>
      <c r="AR3828">
        <v>2</v>
      </c>
      <c r="AS3828">
        <v>5</v>
      </c>
      <c r="AT3828">
        <v>4</v>
      </c>
    </row>
    <row r="3829" spans="1:46">
      <c r="A3829">
        <v>60087</v>
      </c>
      <c r="B3829" t="s">
        <v>20895</v>
      </c>
      <c r="C3829" t="s">
        <v>20896</v>
      </c>
      <c r="D3829" t="s">
        <v>20897</v>
      </c>
      <c r="E3829" t="s">
        <v>20898</v>
      </c>
      <c r="F3829" t="s">
        <v>12393</v>
      </c>
      <c r="G3829" t="s">
        <v>2289</v>
      </c>
      <c r="H3829" t="s">
        <v>517</v>
      </c>
      <c r="J3829" t="s">
        <v>518</v>
      </c>
      <c r="K3829" t="s">
        <v>519</v>
      </c>
      <c r="M3829" t="s">
        <v>2287</v>
      </c>
      <c r="N3829" t="s">
        <v>571</v>
      </c>
      <c r="O3829" t="s">
        <v>2536</v>
      </c>
      <c r="P3829" t="s">
        <v>654</v>
      </c>
      <c r="Q3829" t="s">
        <v>2319</v>
      </c>
      <c r="R3829" t="s">
        <v>2289</v>
      </c>
      <c r="S3829" t="s">
        <v>2537</v>
      </c>
      <c r="T3829" t="s">
        <v>2448</v>
      </c>
      <c r="U3829">
        <v>254000</v>
      </c>
      <c r="V3829" t="s">
        <v>20899</v>
      </c>
      <c r="W3829" t="s">
        <v>2538</v>
      </c>
      <c r="X3829" t="s">
        <v>1889</v>
      </c>
      <c r="Y3829" t="s">
        <v>1890</v>
      </c>
      <c r="AA3829" t="s">
        <v>1891</v>
      </c>
      <c r="AB3829" t="s">
        <v>1892</v>
      </c>
      <c r="AC3829">
        <v>99171</v>
      </c>
      <c r="AD3829" t="s">
        <v>2539</v>
      </c>
      <c r="AE3829">
        <v>-41.334635110000001</v>
      </c>
      <c r="AF3829">
        <v>174.77607707000001</v>
      </c>
      <c r="AG3829">
        <v>60</v>
      </c>
      <c r="AH3829">
        <v>10</v>
      </c>
      <c r="AI3829">
        <v>0</v>
      </c>
      <c r="AJ3829">
        <v>0</v>
      </c>
      <c r="AK3829">
        <v>12</v>
      </c>
      <c r="AL3829">
        <v>22</v>
      </c>
      <c r="AM3829">
        <v>27</v>
      </c>
      <c r="AN3829">
        <v>0</v>
      </c>
      <c r="AO3829">
        <v>61</v>
      </c>
      <c r="AP3829">
        <v>51</v>
      </c>
      <c r="AQ3829">
        <v>5</v>
      </c>
      <c r="AR3829">
        <v>2</v>
      </c>
      <c r="AS3829">
        <v>14</v>
      </c>
      <c r="AT3829">
        <v>3</v>
      </c>
    </row>
    <row r="3830" spans="1:46">
      <c r="A3830">
        <v>60088</v>
      </c>
      <c r="B3830" t="s">
        <v>20900</v>
      </c>
      <c r="C3830" t="s">
        <v>20901</v>
      </c>
      <c r="D3830" t="s">
        <v>20902</v>
      </c>
      <c r="E3830" t="s">
        <v>20903</v>
      </c>
      <c r="F3830" t="s">
        <v>2571</v>
      </c>
      <c r="G3830" t="s">
        <v>2289</v>
      </c>
      <c r="H3830" t="s">
        <v>3942</v>
      </c>
      <c r="J3830" t="s">
        <v>3962</v>
      </c>
      <c r="K3830" t="s">
        <v>519</v>
      </c>
      <c r="M3830" t="s">
        <v>2287</v>
      </c>
      <c r="N3830" t="s">
        <v>4519</v>
      </c>
      <c r="O3830" t="s">
        <v>2536</v>
      </c>
      <c r="P3830" t="s">
        <v>654</v>
      </c>
      <c r="Q3830" t="s">
        <v>2319</v>
      </c>
      <c r="R3830" t="s">
        <v>2289</v>
      </c>
      <c r="S3830" t="s">
        <v>2553</v>
      </c>
      <c r="T3830" t="s">
        <v>2448</v>
      </c>
      <c r="U3830">
        <v>252100</v>
      </c>
      <c r="V3830" t="s">
        <v>18403</v>
      </c>
      <c r="W3830" t="s">
        <v>2573</v>
      </c>
      <c r="X3830" t="s">
        <v>11535</v>
      </c>
      <c r="Y3830" t="s">
        <v>14119</v>
      </c>
      <c r="Z3830" t="s">
        <v>821</v>
      </c>
      <c r="AA3830" t="s">
        <v>4069</v>
      </c>
      <c r="AB3830" t="s">
        <v>11537</v>
      </c>
      <c r="AE3830">
        <v>-41.29905256</v>
      </c>
      <c r="AF3830">
        <v>174.78143710000001</v>
      </c>
      <c r="AG3830">
        <v>46</v>
      </c>
      <c r="AH3830">
        <v>25</v>
      </c>
      <c r="AI3830">
        <v>4</v>
      </c>
      <c r="AJ3830">
        <v>15</v>
      </c>
      <c r="AK3830">
        <v>9</v>
      </c>
      <c r="AL3830">
        <v>14</v>
      </c>
      <c r="AM3830">
        <v>5</v>
      </c>
      <c r="AN3830">
        <v>0</v>
      </c>
      <c r="AO3830">
        <v>47</v>
      </c>
      <c r="AP3830">
        <v>28</v>
      </c>
      <c r="AQ3830">
        <v>5</v>
      </c>
      <c r="AR3830">
        <v>6</v>
      </c>
      <c r="AS3830">
        <v>13</v>
      </c>
      <c r="AT3830">
        <v>2</v>
      </c>
    </row>
    <row r="3831" spans="1:46">
      <c r="A3831">
        <v>60090</v>
      </c>
      <c r="B3831" t="s">
        <v>20904</v>
      </c>
      <c r="C3831" t="s">
        <v>20905</v>
      </c>
      <c r="E3831" t="s">
        <v>20906</v>
      </c>
      <c r="F3831" t="s">
        <v>20907</v>
      </c>
      <c r="G3831" t="s">
        <v>2289</v>
      </c>
      <c r="H3831" t="s">
        <v>3942</v>
      </c>
      <c r="J3831" t="s">
        <v>3962</v>
      </c>
      <c r="K3831" t="s">
        <v>519</v>
      </c>
      <c r="M3831" t="s">
        <v>2287</v>
      </c>
      <c r="N3831" t="s">
        <v>571</v>
      </c>
      <c r="O3831" t="s">
        <v>2536</v>
      </c>
      <c r="P3831" t="s">
        <v>654</v>
      </c>
      <c r="Q3831" t="s">
        <v>2319</v>
      </c>
      <c r="R3831" t="s">
        <v>2289</v>
      </c>
      <c r="S3831" t="s">
        <v>2537</v>
      </c>
      <c r="T3831" t="s">
        <v>2448</v>
      </c>
      <c r="U3831">
        <v>253200</v>
      </c>
      <c r="V3831" t="s">
        <v>20908</v>
      </c>
      <c r="W3831" t="s">
        <v>2591</v>
      </c>
      <c r="X3831" t="s">
        <v>20909</v>
      </c>
      <c r="Y3831" t="s">
        <v>4658</v>
      </c>
      <c r="Z3831" t="s">
        <v>958</v>
      </c>
      <c r="AA3831" t="s">
        <v>4659</v>
      </c>
      <c r="AB3831" t="s">
        <v>20905</v>
      </c>
      <c r="AE3831">
        <v>-41.302384529999998</v>
      </c>
      <c r="AF3831">
        <v>174.80374699999999</v>
      </c>
      <c r="AG3831">
        <v>50</v>
      </c>
      <c r="AH3831">
        <v>20</v>
      </c>
      <c r="AI3831">
        <v>3</v>
      </c>
      <c r="AJ3831">
        <v>12</v>
      </c>
      <c r="AK3831">
        <v>11</v>
      </c>
      <c r="AL3831">
        <v>11</v>
      </c>
      <c r="AM3831">
        <v>9</v>
      </c>
      <c r="AN3831">
        <v>0</v>
      </c>
      <c r="AO3831">
        <v>46</v>
      </c>
      <c r="AP3831">
        <v>41</v>
      </c>
      <c r="AQ3831">
        <v>4</v>
      </c>
      <c r="AR3831">
        <v>0</v>
      </c>
      <c r="AS3831">
        <v>8</v>
      </c>
      <c r="AT3831">
        <v>4</v>
      </c>
    </row>
    <row r="3832" spans="1:46">
      <c r="A3832">
        <v>60092</v>
      </c>
      <c r="B3832" t="s">
        <v>20910</v>
      </c>
      <c r="C3832" t="s">
        <v>20911</v>
      </c>
      <c r="D3832" t="s">
        <v>20912</v>
      </c>
      <c r="E3832" t="s">
        <v>20913</v>
      </c>
      <c r="F3832" t="s">
        <v>2511</v>
      </c>
      <c r="G3832" t="s">
        <v>2427</v>
      </c>
      <c r="H3832" t="s">
        <v>3942</v>
      </c>
      <c r="J3832" t="s">
        <v>3962</v>
      </c>
      <c r="K3832" t="s">
        <v>519</v>
      </c>
      <c r="M3832" t="s">
        <v>2287</v>
      </c>
      <c r="N3832" t="s">
        <v>571</v>
      </c>
      <c r="O3832" t="s">
        <v>2428</v>
      </c>
      <c r="P3832" t="s">
        <v>654</v>
      </c>
      <c r="Q3832" t="s">
        <v>2319</v>
      </c>
      <c r="R3832" t="s">
        <v>2289</v>
      </c>
      <c r="S3832" t="s">
        <v>2429</v>
      </c>
      <c r="T3832" t="s">
        <v>2448</v>
      </c>
      <c r="U3832">
        <v>244200</v>
      </c>
      <c r="V3832" t="s">
        <v>2511</v>
      </c>
      <c r="W3832" t="s">
        <v>2443</v>
      </c>
      <c r="X3832" t="s">
        <v>12341</v>
      </c>
      <c r="Y3832" t="s">
        <v>4097</v>
      </c>
      <c r="Z3832" t="s">
        <v>4098</v>
      </c>
      <c r="AA3832" t="s">
        <v>4099</v>
      </c>
      <c r="AE3832">
        <v>-41.203464150000002</v>
      </c>
      <c r="AF3832">
        <v>174.91210301999999</v>
      </c>
      <c r="AG3832">
        <v>70</v>
      </c>
      <c r="AH3832">
        <v>25</v>
      </c>
      <c r="AI3832">
        <v>5</v>
      </c>
      <c r="AJ3832">
        <v>19</v>
      </c>
      <c r="AK3832">
        <v>16</v>
      </c>
      <c r="AL3832">
        <v>24</v>
      </c>
      <c r="AM3832">
        <v>22</v>
      </c>
      <c r="AN3832">
        <v>1</v>
      </c>
      <c r="AO3832">
        <v>87</v>
      </c>
      <c r="AP3832">
        <v>70</v>
      </c>
      <c r="AQ3832">
        <v>13</v>
      </c>
      <c r="AR3832">
        <v>4</v>
      </c>
      <c r="AS3832">
        <v>21</v>
      </c>
      <c r="AT3832">
        <v>1</v>
      </c>
    </row>
    <row r="3833" spans="1:46">
      <c r="A3833">
        <v>60096</v>
      </c>
      <c r="B3833" t="s">
        <v>20914</v>
      </c>
      <c r="C3833" t="s">
        <v>20915</v>
      </c>
      <c r="D3833" t="s">
        <v>20916</v>
      </c>
      <c r="E3833" t="s">
        <v>20917</v>
      </c>
      <c r="F3833" t="s">
        <v>2466</v>
      </c>
      <c r="G3833" t="s">
        <v>2427</v>
      </c>
      <c r="H3833" t="s">
        <v>3942</v>
      </c>
      <c r="J3833" t="s">
        <v>518</v>
      </c>
      <c r="K3833" t="s">
        <v>519</v>
      </c>
      <c r="M3833" t="s">
        <v>2287</v>
      </c>
      <c r="N3833" t="s">
        <v>571</v>
      </c>
      <c r="O3833" t="s">
        <v>2428</v>
      </c>
      <c r="P3833" t="s">
        <v>654</v>
      </c>
      <c r="Q3833" t="s">
        <v>2319</v>
      </c>
      <c r="R3833" t="s">
        <v>2289</v>
      </c>
      <c r="S3833" t="s">
        <v>2373</v>
      </c>
      <c r="T3833" t="s">
        <v>2085</v>
      </c>
      <c r="U3833">
        <v>245900</v>
      </c>
      <c r="V3833" t="s">
        <v>20918</v>
      </c>
      <c r="W3833" t="s">
        <v>2468</v>
      </c>
      <c r="X3833" t="s">
        <v>10434</v>
      </c>
      <c r="Y3833" t="s">
        <v>3944</v>
      </c>
      <c r="Z3833" t="s">
        <v>3945</v>
      </c>
      <c r="AA3833" t="s">
        <v>3946</v>
      </c>
      <c r="AE3833">
        <v>-41.175224299999996</v>
      </c>
      <c r="AF3833">
        <v>174.98004854999999</v>
      </c>
      <c r="AG3833">
        <v>61</v>
      </c>
      <c r="AH3833">
        <v>20</v>
      </c>
      <c r="AI3833">
        <v>4</v>
      </c>
      <c r="AJ3833">
        <v>9</v>
      </c>
      <c r="AK3833">
        <v>16</v>
      </c>
      <c r="AL3833">
        <v>19</v>
      </c>
      <c r="AM3833">
        <v>18</v>
      </c>
      <c r="AN3833">
        <v>0</v>
      </c>
      <c r="AO3833">
        <v>66</v>
      </c>
      <c r="AP3833">
        <v>29</v>
      </c>
      <c r="AQ3833">
        <v>11</v>
      </c>
      <c r="AR3833">
        <v>8</v>
      </c>
      <c r="AS3833">
        <v>27</v>
      </c>
      <c r="AT3833">
        <v>5</v>
      </c>
    </row>
    <row r="3834" spans="1:46">
      <c r="A3834">
        <v>60101</v>
      </c>
      <c r="B3834" t="s">
        <v>20919</v>
      </c>
      <c r="C3834" t="s">
        <v>20920</v>
      </c>
      <c r="D3834" t="s">
        <v>20921</v>
      </c>
      <c r="E3834" t="s">
        <v>20922</v>
      </c>
      <c r="G3834" t="s">
        <v>2317</v>
      </c>
      <c r="H3834" t="s">
        <v>3942</v>
      </c>
      <c r="J3834" t="s">
        <v>518</v>
      </c>
      <c r="K3834" t="s">
        <v>519</v>
      </c>
      <c r="M3834" t="s">
        <v>2287</v>
      </c>
      <c r="N3834" t="s">
        <v>727</v>
      </c>
      <c r="O3834" t="s">
        <v>2318</v>
      </c>
      <c r="P3834" t="s">
        <v>1262</v>
      </c>
      <c r="Q3834" t="s">
        <v>2319</v>
      </c>
      <c r="R3834" t="s">
        <v>2289</v>
      </c>
      <c r="S3834" t="s">
        <v>2269</v>
      </c>
      <c r="T3834" t="s">
        <v>2085</v>
      </c>
      <c r="U3834">
        <v>256700</v>
      </c>
      <c r="V3834" t="s">
        <v>20923</v>
      </c>
      <c r="W3834" t="s">
        <v>2321</v>
      </c>
      <c r="X3834" t="s">
        <v>20924</v>
      </c>
      <c r="Y3834" t="s">
        <v>20925</v>
      </c>
      <c r="AA3834" t="s">
        <v>20926</v>
      </c>
      <c r="AC3834">
        <v>99204</v>
      </c>
      <c r="AD3834" t="s">
        <v>2322</v>
      </c>
      <c r="AE3834">
        <v>-40.960675100000003</v>
      </c>
      <c r="AF3834">
        <v>175.66734751000001</v>
      </c>
      <c r="AG3834">
        <v>30</v>
      </c>
      <c r="AH3834">
        <v>8</v>
      </c>
      <c r="AI3834">
        <v>0</v>
      </c>
      <c r="AJ3834">
        <v>2</v>
      </c>
      <c r="AK3834">
        <v>8</v>
      </c>
      <c r="AL3834">
        <v>12</v>
      </c>
      <c r="AM3834">
        <v>8</v>
      </c>
      <c r="AN3834">
        <v>1</v>
      </c>
      <c r="AO3834">
        <v>31</v>
      </c>
      <c r="AP3834">
        <v>15</v>
      </c>
      <c r="AQ3834">
        <v>26</v>
      </c>
      <c r="AR3834">
        <v>4</v>
      </c>
      <c r="AS3834">
        <v>2</v>
      </c>
      <c r="AT3834">
        <v>1</v>
      </c>
    </row>
    <row r="3835" spans="1:46">
      <c r="A3835">
        <v>60103</v>
      </c>
      <c r="B3835" t="s">
        <v>20927</v>
      </c>
      <c r="C3835" t="s">
        <v>6380</v>
      </c>
      <c r="D3835" t="s">
        <v>20928</v>
      </c>
      <c r="E3835" t="s">
        <v>20929</v>
      </c>
      <c r="F3835" t="s">
        <v>2537</v>
      </c>
      <c r="G3835" t="s">
        <v>2289</v>
      </c>
      <c r="H3835" t="s">
        <v>3942</v>
      </c>
      <c r="J3835" t="s">
        <v>3962</v>
      </c>
      <c r="K3835" t="s">
        <v>519</v>
      </c>
      <c r="M3835" t="s">
        <v>2287</v>
      </c>
      <c r="N3835" t="s">
        <v>571</v>
      </c>
      <c r="O3835" t="s">
        <v>2536</v>
      </c>
      <c r="P3835" t="s">
        <v>654</v>
      </c>
      <c r="Q3835" t="s">
        <v>2319</v>
      </c>
      <c r="R3835" t="s">
        <v>2289</v>
      </c>
      <c r="S3835" t="s">
        <v>2537</v>
      </c>
      <c r="T3835" t="s">
        <v>2448</v>
      </c>
      <c r="U3835">
        <v>254200</v>
      </c>
      <c r="V3835" t="s">
        <v>20384</v>
      </c>
      <c r="W3835" t="s">
        <v>2591</v>
      </c>
      <c r="X3835" t="s">
        <v>12341</v>
      </c>
      <c r="Y3835" t="s">
        <v>4097</v>
      </c>
      <c r="Z3835" t="s">
        <v>4098</v>
      </c>
      <c r="AA3835" t="s">
        <v>4099</v>
      </c>
      <c r="AE3835">
        <v>-41.318364150000001</v>
      </c>
      <c r="AF3835">
        <v>174.79981246</v>
      </c>
      <c r="AG3835">
        <v>100</v>
      </c>
      <c r="AH3835">
        <v>25</v>
      </c>
      <c r="AI3835">
        <v>6</v>
      </c>
      <c r="AJ3835">
        <v>24</v>
      </c>
      <c r="AK3835">
        <v>34</v>
      </c>
      <c r="AL3835">
        <v>34</v>
      </c>
      <c r="AM3835">
        <v>20</v>
      </c>
      <c r="AN3835">
        <v>0</v>
      </c>
      <c r="AO3835">
        <v>118</v>
      </c>
      <c r="AP3835">
        <v>90</v>
      </c>
      <c r="AQ3835">
        <v>8</v>
      </c>
      <c r="AR3835">
        <v>8</v>
      </c>
      <c r="AS3835">
        <v>40</v>
      </c>
      <c r="AT3835">
        <v>4</v>
      </c>
    </row>
    <row r="3836" spans="1:46">
      <c r="A3836">
        <v>60105</v>
      </c>
      <c r="B3836" t="s">
        <v>20930</v>
      </c>
      <c r="C3836" t="s">
        <v>20931</v>
      </c>
      <c r="D3836" t="s">
        <v>20932</v>
      </c>
      <c r="E3836" t="s">
        <v>20933</v>
      </c>
      <c r="F3836" t="s">
        <v>20934</v>
      </c>
      <c r="G3836" t="s">
        <v>2317</v>
      </c>
      <c r="H3836" t="s">
        <v>3942</v>
      </c>
      <c r="J3836" t="s">
        <v>3962</v>
      </c>
      <c r="K3836" t="s">
        <v>519</v>
      </c>
      <c r="M3836" t="s">
        <v>2287</v>
      </c>
      <c r="N3836" t="s">
        <v>571</v>
      </c>
      <c r="O3836" t="s">
        <v>2318</v>
      </c>
      <c r="P3836" t="s">
        <v>1262</v>
      </c>
      <c r="Q3836" t="s">
        <v>2319</v>
      </c>
      <c r="R3836" t="s">
        <v>2289</v>
      </c>
      <c r="S3836" t="s">
        <v>2269</v>
      </c>
      <c r="T3836" t="s">
        <v>2085</v>
      </c>
      <c r="U3836">
        <v>255900</v>
      </c>
      <c r="V3836" t="s">
        <v>11982</v>
      </c>
      <c r="W3836" t="s">
        <v>2321</v>
      </c>
      <c r="X3836" t="s">
        <v>20935</v>
      </c>
      <c r="Y3836" t="s">
        <v>4658</v>
      </c>
      <c r="Z3836" t="s">
        <v>958</v>
      </c>
      <c r="AA3836" t="s">
        <v>4659</v>
      </c>
      <c r="AB3836" t="s">
        <v>20936</v>
      </c>
      <c r="AC3836">
        <v>99204</v>
      </c>
      <c r="AD3836" t="s">
        <v>2322</v>
      </c>
      <c r="AE3836">
        <v>-40.947049069999998</v>
      </c>
      <c r="AF3836">
        <v>175.66013294999999</v>
      </c>
      <c r="AG3836">
        <v>76</v>
      </c>
      <c r="AH3836">
        <v>28</v>
      </c>
      <c r="AI3836">
        <v>2</v>
      </c>
      <c r="AJ3836">
        <v>20</v>
      </c>
      <c r="AK3836">
        <v>19</v>
      </c>
      <c r="AL3836">
        <v>17</v>
      </c>
      <c r="AM3836">
        <v>19</v>
      </c>
      <c r="AN3836">
        <v>0</v>
      </c>
      <c r="AO3836">
        <v>77</v>
      </c>
      <c r="AP3836">
        <v>60</v>
      </c>
      <c r="AQ3836">
        <v>20</v>
      </c>
      <c r="AR3836">
        <v>3</v>
      </c>
      <c r="AS3836">
        <v>11</v>
      </c>
      <c r="AT3836">
        <v>1</v>
      </c>
    </row>
    <row r="3837" spans="1:46">
      <c r="A3837">
        <v>60108</v>
      </c>
      <c r="B3837" t="s">
        <v>20937</v>
      </c>
      <c r="C3837" t="s">
        <v>20938</v>
      </c>
      <c r="D3837" t="s">
        <v>20939</v>
      </c>
      <c r="E3837" t="s">
        <v>20940</v>
      </c>
      <c r="F3837" t="s">
        <v>20941</v>
      </c>
      <c r="G3837" t="s">
        <v>2289</v>
      </c>
      <c r="H3837" t="s">
        <v>3942</v>
      </c>
      <c r="J3837" t="s">
        <v>518</v>
      </c>
      <c r="K3837" t="s">
        <v>519</v>
      </c>
      <c r="M3837" t="s">
        <v>2287</v>
      </c>
      <c r="N3837" t="s">
        <v>571</v>
      </c>
      <c r="O3837" t="s">
        <v>2536</v>
      </c>
      <c r="P3837" t="s">
        <v>654</v>
      </c>
      <c r="Q3837" t="s">
        <v>2319</v>
      </c>
      <c r="R3837" t="s">
        <v>2289</v>
      </c>
      <c r="S3837" t="s">
        <v>2553</v>
      </c>
      <c r="T3837" t="s">
        <v>2448</v>
      </c>
      <c r="U3837">
        <v>251800</v>
      </c>
      <c r="V3837" t="s">
        <v>11243</v>
      </c>
      <c r="W3837" t="s">
        <v>2573</v>
      </c>
      <c r="X3837" t="s">
        <v>20942</v>
      </c>
      <c r="Y3837" t="s">
        <v>20943</v>
      </c>
      <c r="Z3837" t="s">
        <v>20944</v>
      </c>
      <c r="AA3837" t="s">
        <v>20945</v>
      </c>
      <c r="AC3837">
        <v>99171</v>
      </c>
      <c r="AD3837" t="s">
        <v>2539</v>
      </c>
      <c r="AE3837">
        <v>-41.294758590000001</v>
      </c>
      <c r="AF3837">
        <v>174.78191555000001</v>
      </c>
      <c r="AG3837">
        <v>31</v>
      </c>
      <c r="AH3837">
        <v>13</v>
      </c>
      <c r="AI3837">
        <v>3</v>
      </c>
      <c r="AJ3837">
        <v>6</v>
      </c>
      <c r="AK3837">
        <v>15</v>
      </c>
      <c r="AL3837">
        <v>6</v>
      </c>
      <c r="AM3837">
        <v>2</v>
      </c>
      <c r="AN3837">
        <v>0</v>
      </c>
      <c r="AO3837">
        <v>32</v>
      </c>
      <c r="AP3837">
        <v>12</v>
      </c>
      <c r="AQ3837">
        <v>2</v>
      </c>
      <c r="AR3837">
        <v>6</v>
      </c>
      <c r="AS3837">
        <v>18</v>
      </c>
      <c r="AT3837">
        <v>4</v>
      </c>
    </row>
    <row r="3838" spans="1:46">
      <c r="A3838">
        <v>60109</v>
      </c>
      <c r="B3838" t="s">
        <v>20946</v>
      </c>
      <c r="C3838" t="s">
        <v>20947</v>
      </c>
      <c r="D3838" t="s">
        <v>20948</v>
      </c>
      <c r="E3838" t="s">
        <v>20949</v>
      </c>
      <c r="G3838" t="s">
        <v>2317</v>
      </c>
      <c r="H3838" t="s">
        <v>3942</v>
      </c>
      <c r="J3838" t="s">
        <v>3962</v>
      </c>
      <c r="K3838" t="s">
        <v>519</v>
      </c>
      <c r="M3838" t="s">
        <v>2287</v>
      </c>
      <c r="N3838" t="s">
        <v>557</v>
      </c>
      <c r="O3838" t="s">
        <v>2318</v>
      </c>
      <c r="P3838" t="s">
        <v>1262</v>
      </c>
      <c r="Q3838" t="s">
        <v>2319</v>
      </c>
      <c r="R3838" t="s">
        <v>2289</v>
      </c>
      <c r="S3838" t="s">
        <v>2269</v>
      </c>
      <c r="T3838" t="s">
        <v>2085</v>
      </c>
      <c r="U3838">
        <v>256200</v>
      </c>
      <c r="V3838" t="s">
        <v>2341</v>
      </c>
      <c r="W3838" t="s">
        <v>2321</v>
      </c>
      <c r="X3838" t="s">
        <v>17939</v>
      </c>
      <c r="Y3838" t="s">
        <v>17938</v>
      </c>
      <c r="Z3838" t="s">
        <v>2351</v>
      </c>
      <c r="AA3838" t="s">
        <v>11932</v>
      </c>
      <c r="AC3838">
        <v>99204</v>
      </c>
      <c r="AD3838" t="s">
        <v>2322</v>
      </c>
      <c r="AE3838">
        <v>-40.96225785</v>
      </c>
      <c r="AF3838">
        <v>175.63908264</v>
      </c>
      <c r="AG3838">
        <v>27</v>
      </c>
      <c r="AH3838">
        <v>15</v>
      </c>
      <c r="AI3838">
        <v>0</v>
      </c>
      <c r="AJ3838">
        <v>0</v>
      </c>
      <c r="AK3838">
        <v>6</v>
      </c>
      <c r="AL3838">
        <v>13</v>
      </c>
      <c r="AM3838">
        <v>12</v>
      </c>
      <c r="AN3838">
        <v>1</v>
      </c>
      <c r="AO3838">
        <v>32</v>
      </c>
      <c r="AP3838">
        <v>16</v>
      </c>
      <c r="AQ3838">
        <v>18</v>
      </c>
      <c r="AR3838">
        <v>2</v>
      </c>
      <c r="AS3838">
        <v>4</v>
      </c>
      <c r="AT3838">
        <v>0</v>
      </c>
    </row>
    <row r="3839" spans="1:46">
      <c r="A3839">
        <v>60110</v>
      </c>
      <c r="B3839" t="s">
        <v>20950</v>
      </c>
      <c r="C3839" t="s">
        <v>20951</v>
      </c>
      <c r="D3839" t="s">
        <v>20952</v>
      </c>
      <c r="E3839" t="s">
        <v>16889</v>
      </c>
      <c r="F3839" t="s">
        <v>2597</v>
      </c>
      <c r="G3839" t="s">
        <v>2289</v>
      </c>
      <c r="H3839" t="s">
        <v>3942</v>
      </c>
      <c r="J3839" t="s">
        <v>3962</v>
      </c>
      <c r="K3839" t="s">
        <v>519</v>
      </c>
      <c r="M3839" t="s">
        <v>2287</v>
      </c>
      <c r="N3839" t="s">
        <v>571</v>
      </c>
      <c r="O3839" t="s">
        <v>2536</v>
      </c>
      <c r="P3839" t="s">
        <v>654</v>
      </c>
      <c r="Q3839" t="s">
        <v>2319</v>
      </c>
      <c r="R3839" t="s">
        <v>2289</v>
      </c>
      <c r="S3839" t="s">
        <v>2545</v>
      </c>
      <c r="T3839" t="s">
        <v>2448</v>
      </c>
      <c r="U3839">
        <v>248600</v>
      </c>
      <c r="V3839" t="s">
        <v>16887</v>
      </c>
      <c r="W3839" t="s">
        <v>2547</v>
      </c>
      <c r="X3839" t="s">
        <v>16888</v>
      </c>
      <c r="Y3839" t="s">
        <v>16889</v>
      </c>
      <c r="Z3839" t="s">
        <v>2597</v>
      </c>
      <c r="AA3839" t="s">
        <v>12404</v>
      </c>
      <c r="AB3839" t="s">
        <v>16890</v>
      </c>
      <c r="AE3839">
        <v>-41.221408330000003</v>
      </c>
      <c r="AF3839">
        <v>174.80299658000001</v>
      </c>
      <c r="AG3839">
        <v>30</v>
      </c>
      <c r="AH3839">
        <v>20</v>
      </c>
      <c r="AI3839">
        <v>2</v>
      </c>
      <c r="AJ3839">
        <v>16</v>
      </c>
      <c r="AK3839">
        <v>16</v>
      </c>
      <c r="AL3839">
        <v>0</v>
      </c>
      <c r="AM3839">
        <v>0</v>
      </c>
      <c r="AN3839">
        <v>0</v>
      </c>
      <c r="AO3839">
        <v>34</v>
      </c>
      <c r="AP3839">
        <v>23</v>
      </c>
      <c r="AQ3839">
        <v>4</v>
      </c>
      <c r="AR3839">
        <v>3</v>
      </c>
      <c r="AS3839">
        <v>12</v>
      </c>
      <c r="AT3839">
        <v>0</v>
      </c>
    </row>
    <row r="3840" spans="1:46">
      <c r="A3840">
        <v>60113</v>
      </c>
      <c r="B3840" t="s">
        <v>20953</v>
      </c>
      <c r="C3840" t="s">
        <v>20954</v>
      </c>
      <c r="D3840" t="s">
        <v>20955</v>
      </c>
      <c r="E3840" t="s">
        <v>13387</v>
      </c>
      <c r="G3840" t="s">
        <v>2357</v>
      </c>
      <c r="H3840" t="s">
        <v>3942</v>
      </c>
      <c r="J3840" t="s">
        <v>3962</v>
      </c>
      <c r="K3840" t="s">
        <v>519</v>
      </c>
      <c r="M3840" t="s">
        <v>2287</v>
      </c>
      <c r="N3840" t="s">
        <v>571</v>
      </c>
      <c r="O3840" t="s">
        <v>2358</v>
      </c>
      <c r="P3840" t="s">
        <v>523</v>
      </c>
      <c r="Q3840" t="s">
        <v>2319</v>
      </c>
      <c r="R3840" t="s">
        <v>2289</v>
      </c>
      <c r="S3840" t="s">
        <v>2269</v>
      </c>
      <c r="T3840" t="s">
        <v>2085</v>
      </c>
      <c r="U3840">
        <v>256900</v>
      </c>
      <c r="V3840" t="s">
        <v>13385</v>
      </c>
      <c r="W3840" t="s">
        <v>1652</v>
      </c>
      <c r="X3840" t="s">
        <v>20956</v>
      </c>
      <c r="Y3840" t="s">
        <v>13387</v>
      </c>
      <c r="Z3840" t="s">
        <v>2357</v>
      </c>
      <c r="AA3840" t="s">
        <v>13388</v>
      </c>
      <c r="AC3840">
        <v>99109</v>
      </c>
      <c r="AD3840" t="s">
        <v>2335</v>
      </c>
      <c r="AE3840">
        <v>-41.019296760000003</v>
      </c>
      <c r="AF3840">
        <v>175.52308761</v>
      </c>
      <c r="AG3840">
        <v>32</v>
      </c>
      <c r="AH3840">
        <v>0</v>
      </c>
      <c r="AI3840">
        <v>0</v>
      </c>
      <c r="AJ3840">
        <v>0</v>
      </c>
      <c r="AK3840">
        <v>2</v>
      </c>
      <c r="AL3840">
        <v>15</v>
      </c>
      <c r="AM3840">
        <v>14</v>
      </c>
      <c r="AN3840">
        <v>0</v>
      </c>
      <c r="AO3840">
        <v>31</v>
      </c>
      <c r="AP3840">
        <v>30</v>
      </c>
      <c r="AQ3840">
        <v>3</v>
      </c>
      <c r="AR3840">
        <v>0</v>
      </c>
      <c r="AS3840">
        <v>1</v>
      </c>
      <c r="AT3840">
        <v>0</v>
      </c>
    </row>
    <row r="3841" spans="1:46">
      <c r="A3841">
        <v>60114</v>
      </c>
      <c r="B3841" t="s">
        <v>20957</v>
      </c>
      <c r="C3841" t="s">
        <v>20958</v>
      </c>
      <c r="D3841" t="s">
        <v>20959</v>
      </c>
      <c r="E3841" t="s">
        <v>18402</v>
      </c>
      <c r="F3841" t="s">
        <v>15917</v>
      </c>
      <c r="G3841" t="s">
        <v>2289</v>
      </c>
      <c r="H3841" t="s">
        <v>4716</v>
      </c>
      <c r="J3841" t="s">
        <v>518</v>
      </c>
      <c r="K3841" t="s">
        <v>519</v>
      </c>
      <c r="M3841" t="s">
        <v>2287</v>
      </c>
      <c r="N3841" t="s">
        <v>571</v>
      </c>
      <c r="O3841" t="s">
        <v>2536</v>
      </c>
      <c r="P3841" t="s">
        <v>654</v>
      </c>
      <c r="Q3841" t="s">
        <v>2319</v>
      </c>
      <c r="R3841" t="s">
        <v>2289</v>
      </c>
      <c r="S3841" t="s">
        <v>2553</v>
      </c>
      <c r="T3841" t="s">
        <v>2448</v>
      </c>
      <c r="U3841">
        <v>252100</v>
      </c>
      <c r="V3841" t="s">
        <v>18403</v>
      </c>
      <c r="W3841" t="s">
        <v>2573</v>
      </c>
      <c r="X3841" t="s">
        <v>20960</v>
      </c>
      <c r="Y3841" t="s">
        <v>6369</v>
      </c>
      <c r="Z3841" t="s">
        <v>4555</v>
      </c>
      <c r="AA3841" t="s">
        <v>4556</v>
      </c>
      <c r="AE3841">
        <v>-41.295552000000001</v>
      </c>
      <c r="AF3841">
        <v>174.77977100000001</v>
      </c>
      <c r="AG3841">
        <v>80</v>
      </c>
      <c r="AH3841">
        <v>80</v>
      </c>
      <c r="AI3841">
        <v>2</v>
      </c>
      <c r="AJ3841">
        <v>8</v>
      </c>
      <c r="AK3841">
        <v>7</v>
      </c>
      <c r="AL3841">
        <v>5</v>
      </c>
      <c r="AM3841">
        <v>2</v>
      </c>
      <c r="AN3841">
        <v>0</v>
      </c>
      <c r="AO3841">
        <v>24</v>
      </c>
      <c r="AP3841">
        <v>10</v>
      </c>
      <c r="AQ3841">
        <v>2</v>
      </c>
      <c r="AR3841">
        <v>0</v>
      </c>
      <c r="AS3841">
        <v>13</v>
      </c>
      <c r="AT3841">
        <v>4</v>
      </c>
    </row>
    <row r="3842" spans="1:46">
      <c r="A3842">
        <v>60118</v>
      </c>
      <c r="B3842" t="s">
        <v>20961</v>
      </c>
      <c r="C3842" t="s">
        <v>20962</v>
      </c>
      <c r="D3842" t="s">
        <v>20963</v>
      </c>
      <c r="E3842" t="s">
        <v>20964</v>
      </c>
      <c r="F3842" t="s">
        <v>2544</v>
      </c>
      <c r="G3842" t="s">
        <v>2289</v>
      </c>
      <c r="H3842" t="s">
        <v>3942</v>
      </c>
      <c r="J3842" t="s">
        <v>3962</v>
      </c>
      <c r="K3842" t="s">
        <v>519</v>
      </c>
      <c r="M3842" t="s">
        <v>2287</v>
      </c>
      <c r="N3842" t="s">
        <v>571</v>
      </c>
      <c r="O3842" t="s">
        <v>2536</v>
      </c>
      <c r="P3842" t="s">
        <v>654</v>
      </c>
      <c r="Q3842" t="s">
        <v>2319</v>
      </c>
      <c r="R3842" t="s">
        <v>2289</v>
      </c>
      <c r="S3842" t="s">
        <v>2545</v>
      </c>
      <c r="T3842" t="s">
        <v>1485</v>
      </c>
      <c r="U3842">
        <v>248000</v>
      </c>
      <c r="V3842" t="s">
        <v>20965</v>
      </c>
      <c r="W3842" t="s">
        <v>2547</v>
      </c>
      <c r="X3842" t="s">
        <v>20966</v>
      </c>
      <c r="Y3842" t="s">
        <v>20967</v>
      </c>
      <c r="Z3842" t="s">
        <v>2613</v>
      </c>
      <c r="AA3842" t="s">
        <v>13723</v>
      </c>
      <c r="AE3842">
        <v>-41.172462269999997</v>
      </c>
      <c r="AF3842">
        <v>174.84457979000001</v>
      </c>
      <c r="AG3842">
        <v>35</v>
      </c>
      <c r="AH3842">
        <v>8</v>
      </c>
      <c r="AI3842">
        <v>1</v>
      </c>
      <c r="AJ3842">
        <v>3</v>
      </c>
      <c r="AK3842">
        <v>7</v>
      </c>
      <c r="AL3842">
        <v>5</v>
      </c>
      <c r="AM3842">
        <v>7</v>
      </c>
      <c r="AN3842">
        <v>0</v>
      </c>
      <c r="AO3842">
        <v>23</v>
      </c>
      <c r="AP3842">
        <v>21</v>
      </c>
      <c r="AQ3842">
        <v>3</v>
      </c>
      <c r="AR3842">
        <v>0</v>
      </c>
      <c r="AS3842">
        <v>2</v>
      </c>
      <c r="AT3842">
        <v>0</v>
      </c>
    </row>
    <row r="3843" spans="1:46">
      <c r="A3843">
        <v>60121</v>
      </c>
      <c r="B3843" t="s">
        <v>20968</v>
      </c>
      <c r="C3843" t="s">
        <v>20969</v>
      </c>
      <c r="D3843" t="s">
        <v>20883</v>
      </c>
      <c r="E3843" t="s">
        <v>20970</v>
      </c>
      <c r="F3843" t="s">
        <v>12904</v>
      </c>
      <c r="G3843" t="s">
        <v>2427</v>
      </c>
      <c r="H3843" t="s">
        <v>3942</v>
      </c>
      <c r="J3843" t="s">
        <v>518</v>
      </c>
      <c r="K3843" t="s">
        <v>519</v>
      </c>
      <c r="M3843" t="s">
        <v>2287</v>
      </c>
      <c r="N3843" t="s">
        <v>4519</v>
      </c>
      <c r="O3843" t="s">
        <v>2428</v>
      </c>
      <c r="P3843" t="s">
        <v>654</v>
      </c>
      <c r="Q3843" t="s">
        <v>2319</v>
      </c>
      <c r="R3843" t="s">
        <v>2289</v>
      </c>
      <c r="S3843" t="s">
        <v>2429</v>
      </c>
      <c r="T3843" t="s">
        <v>2448</v>
      </c>
      <c r="U3843">
        <v>246002</v>
      </c>
      <c r="V3843" t="s">
        <v>12905</v>
      </c>
      <c r="W3843" t="s">
        <v>2491</v>
      </c>
      <c r="X3843" t="s">
        <v>20971</v>
      </c>
      <c r="Y3843" t="s">
        <v>20886</v>
      </c>
      <c r="Z3843" t="s">
        <v>5992</v>
      </c>
      <c r="AA3843" t="s">
        <v>9029</v>
      </c>
      <c r="AB3843" t="s">
        <v>20972</v>
      </c>
      <c r="AE3843">
        <v>-41.224272620000001</v>
      </c>
      <c r="AF3843">
        <v>174.9167401</v>
      </c>
      <c r="AG3843">
        <v>50</v>
      </c>
      <c r="AH3843">
        <v>10</v>
      </c>
      <c r="AI3843">
        <v>0</v>
      </c>
      <c r="AJ3843">
        <v>0</v>
      </c>
      <c r="AK3843">
        <v>11</v>
      </c>
      <c r="AL3843">
        <v>14</v>
      </c>
      <c r="AM3843">
        <v>18</v>
      </c>
      <c r="AN3843">
        <v>1</v>
      </c>
      <c r="AO3843">
        <v>44</v>
      </c>
      <c r="AP3843">
        <v>28</v>
      </c>
      <c r="AQ3843">
        <v>6</v>
      </c>
      <c r="AR3843">
        <v>1</v>
      </c>
      <c r="AS3843">
        <v>19</v>
      </c>
      <c r="AT3843">
        <v>1</v>
      </c>
    </row>
    <row r="3844" spans="1:46">
      <c r="A3844">
        <v>60122</v>
      </c>
      <c r="B3844" t="s">
        <v>20973</v>
      </c>
      <c r="C3844" t="s">
        <v>20974</v>
      </c>
      <c r="D3844" t="s">
        <v>20975</v>
      </c>
      <c r="E3844" t="s">
        <v>20976</v>
      </c>
      <c r="F3844" t="s">
        <v>2416</v>
      </c>
      <c r="G3844" t="s">
        <v>2371</v>
      </c>
      <c r="H3844" t="s">
        <v>3942</v>
      </c>
      <c r="J3844" t="s">
        <v>3962</v>
      </c>
      <c r="K3844" t="s">
        <v>519</v>
      </c>
      <c r="M3844" t="s">
        <v>2287</v>
      </c>
      <c r="N3844" t="s">
        <v>571</v>
      </c>
      <c r="O3844" t="s">
        <v>2372</v>
      </c>
      <c r="P3844" t="s">
        <v>584</v>
      </c>
      <c r="Q3844" t="s">
        <v>2319</v>
      </c>
      <c r="R3844" t="s">
        <v>2289</v>
      </c>
      <c r="S3844" t="s">
        <v>2373</v>
      </c>
      <c r="T3844" t="s">
        <v>2085</v>
      </c>
      <c r="U3844">
        <v>242000</v>
      </c>
      <c r="V3844" t="s">
        <v>2417</v>
      </c>
      <c r="W3844" t="s">
        <v>1652</v>
      </c>
      <c r="X3844" t="s">
        <v>20977</v>
      </c>
      <c r="Y3844" t="s">
        <v>20976</v>
      </c>
      <c r="Z3844" t="s">
        <v>2416</v>
      </c>
      <c r="AA3844" t="s">
        <v>4742</v>
      </c>
      <c r="AB3844" t="s">
        <v>20978</v>
      </c>
      <c r="AE3844">
        <v>-41.135660960000003</v>
      </c>
      <c r="AF3844">
        <v>175.03915151999999</v>
      </c>
      <c r="AG3844">
        <v>31</v>
      </c>
      <c r="AH3844">
        <v>10</v>
      </c>
      <c r="AI3844">
        <v>1</v>
      </c>
      <c r="AJ3844">
        <v>5</v>
      </c>
      <c r="AK3844">
        <v>8</v>
      </c>
      <c r="AL3844">
        <v>7</v>
      </c>
      <c r="AM3844">
        <v>10</v>
      </c>
      <c r="AN3844">
        <v>0</v>
      </c>
      <c r="AO3844">
        <v>31</v>
      </c>
      <c r="AP3844">
        <v>25</v>
      </c>
      <c r="AQ3844">
        <v>5</v>
      </c>
      <c r="AR3844">
        <v>1</v>
      </c>
      <c r="AS3844">
        <v>5</v>
      </c>
      <c r="AT3844">
        <v>2</v>
      </c>
    </row>
    <row r="3845" spans="1:46">
      <c r="A3845">
        <v>60163</v>
      </c>
      <c r="B3845" t="s">
        <v>20979</v>
      </c>
      <c r="C3845" t="s">
        <v>20958</v>
      </c>
      <c r="D3845" t="s">
        <v>20980</v>
      </c>
      <c r="E3845" t="s">
        <v>18402</v>
      </c>
      <c r="F3845" t="s">
        <v>15917</v>
      </c>
      <c r="G3845" t="s">
        <v>2289</v>
      </c>
      <c r="H3845" t="s">
        <v>4716</v>
      </c>
      <c r="J3845" t="s">
        <v>518</v>
      </c>
      <c r="K3845" t="s">
        <v>519</v>
      </c>
      <c r="M3845" t="s">
        <v>2287</v>
      </c>
      <c r="N3845" t="s">
        <v>557</v>
      </c>
      <c r="O3845" t="s">
        <v>2536</v>
      </c>
      <c r="P3845" t="s">
        <v>654</v>
      </c>
      <c r="Q3845" t="s">
        <v>2319</v>
      </c>
      <c r="R3845" t="s">
        <v>2289</v>
      </c>
      <c r="S3845" t="s">
        <v>2553</v>
      </c>
      <c r="T3845" t="s">
        <v>2448</v>
      </c>
      <c r="U3845">
        <v>252100</v>
      </c>
      <c r="V3845" t="s">
        <v>18403</v>
      </c>
      <c r="W3845" t="s">
        <v>2573</v>
      </c>
      <c r="X3845" t="s">
        <v>20981</v>
      </c>
      <c r="Y3845" t="s">
        <v>6369</v>
      </c>
      <c r="Z3845" t="s">
        <v>4555</v>
      </c>
      <c r="AA3845" t="s">
        <v>4556</v>
      </c>
      <c r="AE3845">
        <v>-41.295557899999999</v>
      </c>
      <c r="AF3845">
        <v>174.7797855</v>
      </c>
      <c r="AG3845">
        <v>60</v>
      </c>
      <c r="AH3845">
        <v>60</v>
      </c>
      <c r="AI3845">
        <v>4</v>
      </c>
      <c r="AJ3845">
        <v>9</v>
      </c>
      <c r="AK3845">
        <v>7</v>
      </c>
      <c r="AL3845">
        <v>6</v>
      </c>
      <c r="AM3845">
        <v>3</v>
      </c>
      <c r="AN3845">
        <v>0</v>
      </c>
      <c r="AO3845">
        <v>29</v>
      </c>
      <c r="AP3845">
        <v>10</v>
      </c>
      <c r="AQ3845">
        <v>3</v>
      </c>
      <c r="AR3845">
        <v>3</v>
      </c>
      <c r="AS3845">
        <v>19</v>
      </c>
      <c r="AT3845">
        <v>0</v>
      </c>
    </row>
    <row r="3846" spans="1:46">
      <c r="A3846">
        <v>60165</v>
      </c>
      <c r="B3846" t="s">
        <v>20982</v>
      </c>
      <c r="C3846" t="s">
        <v>20958</v>
      </c>
      <c r="D3846" t="s">
        <v>20578</v>
      </c>
      <c r="E3846" t="s">
        <v>18402</v>
      </c>
      <c r="F3846" t="s">
        <v>15917</v>
      </c>
      <c r="G3846" t="s">
        <v>2289</v>
      </c>
      <c r="H3846" t="s">
        <v>4716</v>
      </c>
      <c r="J3846" t="s">
        <v>518</v>
      </c>
      <c r="K3846" t="s">
        <v>519</v>
      </c>
      <c r="M3846" t="s">
        <v>2287</v>
      </c>
      <c r="N3846" t="s">
        <v>571</v>
      </c>
      <c r="O3846" t="s">
        <v>2536</v>
      </c>
      <c r="P3846" t="s">
        <v>654</v>
      </c>
      <c r="Q3846" t="s">
        <v>2319</v>
      </c>
      <c r="R3846" t="s">
        <v>2289</v>
      </c>
      <c r="S3846" t="s">
        <v>2553</v>
      </c>
      <c r="T3846" t="s">
        <v>2448</v>
      </c>
      <c r="U3846">
        <v>252100</v>
      </c>
      <c r="V3846" t="s">
        <v>18403</v>
      </c>
      <c r="W3846" t="s">
        <v>2573</v>
      </c>
      <c r="X3846" t="s">
        <v>20983</v>
      </c>
      <c r="Y3846" t="s">
        <v>6369</v>
      </c>
      <c r="Z3846" t="s">
        <v>4555</v>
      </c>
      <c r="AA3846" t="s">
        <v>4556</v>
      </c>
      <c r="AE3846">
        <v>-41.295559500000003</v>
      </c>
      <c r="AF3846">
        <v>174.77979110000001</v>
      </c>
      <c r="AG3846">
        <v>60</v>
      </c>
      <c r="AH3846">
        <v>60</v>
      </c>
      <c r="AI3846">
        <v>2</v>
      </c>
      <c r="AJ3846">
        <v>4</v>
      </c>
      <c r="AK3846">
        <v>12</v>
      </c>
      <c r="AL3846">
        <v>1</v>
      </c>
      <c r="AM3846">
        <v>2</v>
      </c>
      <c r="AN3846">
        <v>0</v>
      </c>
      <c r="AO3846">
        <v>21</v>
      </c>
      <c r="AP3846">
        <v>15</v>
      </c>
      <c r="AQ3846">
        <v>4</v>
      </c>
      <c r="AR3846">
        <v>1</v>
      </c>
      <c r="AS3846">
        <v>5</v>
      </c>
      <c r="AT3846">
        <v>0</v>
      </c>
    </row>
    <row r="3847" spans="1:46">
      <c r="A3847">
        <v>60168</v>
      </c>
      <c r="B3847" t="s">
        <v>20984</v>
      </c>
      <c r="C3847" t="s">
        <v>20985</v>
      </c>
      <c r="D3847" t="s">
        <v>20986</v>
      </c>
      <c r="E3847" t="s">
        <v>20987</v>
      </c>
      <c r="F3847" t="s">
        <v>2733</v>
      </c>
      <c r="G3847" t="s">
        <v>2427</v>
      </c>
      <c r="H3847" t="s">
        <v>3942</v>
      </c>
      <c r="J3847" t="s">
        <v>518</v>
      </c>
      <c r="K3847" t="s">
        <v>519</v>
      </c>
      <c r="M3847" t="s">
        <v>2287</v>
      </c>
      <c r="N3847" t="s">
        <v>571</v>
      </c>
      <c r="O3847" t="s">
        <v>2428</v>
      </c>
      <c r="P3847" t="s">
        <v>654</v>
      </c>
      <c r="Q3847" t="s">
        <v>2319</v>
      </c>
      <c r="R3847" t="s">
        <v>2289</v>
      </c>
      <c r="S3847" t="s">
        <v>2429</v>
      </c>
      <c r="T3847" t="s">
        <v>2448</v>
      </c>
      <c r="U3847">
        <v>243700</v>
      </c>
      <c r="V3847" t="s">
        <v>10956</v>
      </c>
      <c r="W3847" t="s">
        <v>2491</v>
      </c>
      <c r="X3847" t="s">
        <v>20988</v>
      </c>
      <c r="Y3847" t="s">
        <v>6369</v>
      </c>
      <c r="Z3847" t="s">
        <v>4555</v>
      </c>
      <c r="AA3847" t="s">
        <v>4556</v>
      </c>
      <c r="AB3847" t="s">
        <v>20989</v>
      </c>
      <c r="AE3847">
        <v>-41.220069850000002</v>
      </c>
      <c r="AF3847">
        <v>174.88075259999999</v>
      </c>
      <c r="AG3847">
        <v>36</v>
      </c>
      <c r="AH3847">
        <v>0</v>
      </c>
      <c r="AI3847">
        <v>0</v>
      </c>
      <c r="AJ3847">
        <v>0</v>
      </c>
      <c r="AK3847">
        <v>13</v>
      </c>
      <c r="AL3847">
        <v>10</v>
      </c>
      <c r="AM3847">
        <v>9</v>
      </c>
      <c r="AN3847">
        <v>0</v>
      </c>
      <c r="AO3847">
        <v>32</v>
      </c>
      <c r="AP3847">
        <v>20</v>
      </c>
      <c r="AQ3847">
        <v>4</v>
      </c>
      <c r="AR3847">
        <v>1</v>
      </c>
      <c r="AS3847">
        <v>10</v>
      </c>
      <c r="AT3847">
        <v>3</v>
      </c>
    </row>
    <row r="3848" spans="1:46">
      <c r="A3848">
        <v>60170</v>
      </c>
      <c r="B3848" t="s">
        <v>20990</v>
      </c>
      <c r="C3848" t="s">
        <v>20991</v>
      </c>
      <c r="E3848" t="s">
        <v>20992</v>
      </c>
      <c r="F3848" t="s">
        <v>2648</v>
      </c>
      <c r="G3848" t="s">
        <v>2526</v>
      </c>
      <c r="H3848" t="s">
        <v>3942</v>
      </c>
      <c r="J3848" t="s">
        <v>518</v>
      </c>
      <c r="K3848" t="s">
        <v>519</v>
      </c>
      <c r="M3848" t="s">
        <v>2287</v>
      </c>
      <c r="N3848" t="s">
        <v>521</v>
      </c>
      <c r="O3848" t="s">
        <v>2527</v>
      </c>
      <c r="P3848" t="s">
        <v>584</v>
      </c>
      <c r="Q3848" t="s">
        <v>2319</v>
      </c>
      <c r="R3848" t="s">
        <v>2289</v>
      </c>
      <c r="S3848" t="s">
        <v>2528</v>
      </c>
      <c r="T3848" t="s">
        <v>1485</v>
      </c>
      <c r="U3848">
        <v>240500</v>
      </c>
      <c r="V3848" t="s">
        <v>2648</v>
      </c>
      <c r="W3848" t="s">
        <v>2529</v>
      </c>
      <c r="X3848" t="s">
        <v>20993</v>
      </c>
      <c r="Y3848" t="s">
        <v>6369</v>
      </c>
      <c r="Z3848" t="s">
        <v>4555</v>
      </c>
      <c r="AA3848" t="s">
        <v>4556</v>
      </c>
      <c r="AC3848">
        <v>99074</v>
      </c>
      <c r="AD3848" t="s">
        <v>2632</v>
      </c>
      <c r="AE3848">
        <v>-41.13958238</v>
      </c>
      <c r="AF3848">
        <v>174.85098937000001</v>
      </c>
      <c r="AG3848">
        <v>25</v>
      </c>
      <c r="AH3848">
        <v>0</v>
      </c>
      <c r="AI3848">
        <v>0</v>
      </c>
      <c r="AJ3848">
        <v>0</v>
      </c>
      <c r="AK3848">
        <v>5</v>
      </c>
      <c r="AL3848">
        <v>13</v>
      </c>
      <c r="AM3848">
        <v>11</v>
      </c>
      <c r="AN3848">
        <v>0</v>
      </c>
      <c r="AO3848">
        <v>29</v>
      </c>
      <c r="AP3848">
        <v>9</v>
      </c>
      <c r="AQ3848">
        <v>9</v>
      </c>
      <c r="AR3848">
        <v>15</v>
      </c>
      <c r="AS3848">
        <v>6</v>
      </c>
      <c r="AT3848">
        <v>1</v>
      </c>
    </row>
    <row r="3849" spans="1:46">
      <c r="A3849">
        <v>60178</v>
      </c>
      <c r="B3849" t="s">
        <v>20994</v>
      </c>
      <c r="C3849" t="s">
        <v>20995</v>
      </c>
      <c r="D3849" t="s">
        <v>20996</v>
      </c>
      <c r="E3849" t="s">
        <v>20997</v>
      </c>
      <c r="F3849" t="s">
        <v>2637</v>
      </c>
      <c r="G3849" t="s">
        <v>2289</v>
      </c>
      <c r="H3849" t="s">
        <v>3942</v>
      </c>
      <c r="I3849" t="s">
        <v>5772</v>
      </c>
      <c r="J3849" t="s">
        <v>518</v>
      </c>
      <c r="K3849" t="s">
        <v>519</v>
      </c>
      <c r="M3849" t="s">
        <v>2287</v>
      </c>
      <c r="N3849" t="s">
        <v>571</v>
      </c>
      <c r="O3849" t="s">
        <v>2536</v>
      </c>
      <c r="P3849" t="s">
        <v>654</v>
      </c>
      <c r="Q3849" t="s">
        <v>2319</v>
      </c>
      <c r="R3849" t="s">
        <v>2289</v>
      </c>
      <c r="S3849" t="s">
        <v>2537</v>
      </c>
      <c r="T3849" t="s">
        <v>2448</v>
      </c>
      <c r="U3849">
        <v>254401</v>
      </c>
      <c r="V3849" t="s">
        <v>19043</v>
      </c>
      <c r="W3849" t="s">
        <v>2591</v>
      </c>
      <c r="X3849" t="s">
        <v>20998</v>
      </c>
      <c r="Y3849" t="s">
        <v>20997</v>
      </c>
      <c r="Z3849" t="s">
        <v>2637</v>
      </c>
      <c r="AA3849" t="s">
        <v>19076</v>
      </c>
      <c r="AC3849">
        <v>99141</v>
      </c>
      <c r="AD3849" t="s">
        <v>2592</v>
      </c>
      <c r="AE3849">
        <v>-41.314410559999999</v>
      </c>
      <c r="AF3849">
        <v>174.81738376999999</v>
      </c>
      <c r="AG3849">
        <v>40</v>
      </c>
      <c r="AH3849">
        <v>12</v>
      </c>
      <c r="AI3849">
        <v>0</v>
      </c>
      <c r="AJ3849">
        <v>12</v>
      </c>
      <c r="AK3849">
        <v>7</v>
      </c>
      <c r="AL3849">
        <v>12</v>
      </c>
      <c r="AM3849">
        <v>11</v>
      </c>
      <c r="AN3849">
        <v>0</v>
      </c>
      <c r="AO3849">
        <v>42</v>
      </c>
      <c r="AP3849">
        <v>33</v>
      </c>
      <c r="AQ3849">
        <v>7</v>
      </c>
      <c r="AR3849">
        <v>3</v>
      </c>
      <c r="AS3849">
        <v>3</v>
      </c>
      <c r="AT3849">
        <v>4</v>
      </c>
    </row>
    <row r="3850" spans="1:46">
      <c r="A3850">
        <v>60182</v>
      </c>
      <c r="B3850" t="s">
        <v>20999</v>
      </c>
      <c r="C3850" t="s">
        <v>21000</v>
      </c>
      <c r="D3850" t="s">
        <v>21001</v>
      </c>
      <c r="E3850" t="s">
        <v>21002</v>
      </c>
      <c r="F3850" t="s">
        <v>20853</v>
      </c>
      <c r="G3850" t="s">
        <v>2427</v>
      </c>
      <c r="H3850" t="s">
        <v>3942</v>
      </c>
      <c r="J3850" t="s">
        <v>518</v>
      </c>
      <c r="K3850" t="s">
        <v>519</v>
      </c>
      <c r="M3850" t="s">
        <v>2287</v>
      </c>
      <c r="N3850" t="s">
        <v>571</v>
      </c>
      <c r="O3850" t="s">
        <v>2428</v>
      </c>
      <c r="P3850" t="s">
        <v>654</v>
      </c>
      <c r="Q3850" t="s">
        <v>2319</v>
      </c>
      <c r="R3850" t="s">
        <v>2289</v>
      </c>
      <c r="S3850" t="s">
        <v>2429</v>
      </c>
      <c r="T3850" t="s">
        <v>2448</v>
      </c>
      <c r="U3850">
        <v>244000</v>
      </c>
      <c r="V3850" t="s">
        <v>12295</v>
      </c>
      <c r="W3850" t="s">
        <v>2461</v>
      </c>
      <c r="X3850" t="s">
        <v>21003</v>
      </c>
      <c r="Y3850" t="s">
        <v>21002</v>
      </c>
      <c r="Z3850" t="s">
        <v>20853</v>
      </c>
      <c r="AA3850" t="s">
        <v>9029</v>
      </c>
      <c r="AE3850">
        <v>-41.214873799999999</v>
      </c>
      <c r="AF3850">
        <v>174.89549909999999</v>
      </c>
      <c r="AG3850">
        <v>32</v>
      </c>
      <c r="AH3850">
        <v>8</v>
      </c>
      <c r="AI3850">
        <v>2</v>
      </c>
      <c r="AJ3850">
        <v>9</v>
      </c>
      <c r="AK3850">
        <v>10</v>
      </c>
      <c r="AL3850">
        <v>9</v>
      </c>
      <c r="AM3850">
        <v>9</v>
      </c>
      <c r="AN3850">
        <v>0</v>
      </c>
      <c r="AO3850">
        <v>39</v>
      </c>
      <c r="AP3850">
        <v>35</v>
      </c>
      <c r="AQ3850">
        <v>4</v>
      </c>
      <c r="AR3850">
        <v>2</v>
      </c>
      <c r="AS3850">
        <v>2</v>
      </c>
      <c r="AT3850">
        <v>5</v>
      </c>
    </row>
    <row r="3851" spans="1:46">
      <c r="A3851">
        <v>60185</v>
      </c>
      <c r="B3851" t="s">
        <v>21004</v>
      </c>
      <c r="C3851" t="s">
        <v>21005</v>
      </c>
      <c r="D3851" t="s">
        <v>21006</v>
      </c>
      <c r="E3851" t="s">
        <v>21007</v>
      </c>
      <c r="G3851" t="s">
        <v>2317</v>
      </c>
      <c r="H3851" t="s">
        <v>517</v>
      </c>
      <c r="J3851" t="s">
        <v>518</v>
      </c>
      <c r="K3851" t="s">
        <v>519</v>
      </c>
      <c r="M3851" t="s">
        <v>2287</v>
      </c>
      <c r="N3851" t="s">
        <v>571</v>
      </c>
      <c r="O3851" t="s">
        <v>2318</v>
      </c>
      <c r="P3851" t="s">
        <v>1262</v>
      </c>
      <c r="Q3851" t="s">
        <v>2319</v>
      </c>
      <c r="R3851" t="s">
        <v>2289</v>
      </c>
      <c r="S3851" t="s">
        <v>2269</v>
      </c>
      <c r="T3851" t="s">
        <v>2085</v>
      </c>
      <c r="U3851">
        <v>256200</v>
      </c>
      <c r="V3851" t="s">
        <v>2341</v>
      </c>
      <c r="W3851" t="s">
        <v>2321</v>
      </c>
      <c r="X3851" t="s">
        <v>1889</v>
      </c>
      <c r="Y3851" t="s">
        <v>1890</v>
      </c>
      <c r="AA3851" t="s">
        <v>1891</v>
      </c>
      <c r="AB3851" t="s">
        <v>1892</v>
      </c>
      <c r="AC3851">
        <v>99204</v>
      </c>
      <c r="AD3851" t="s">
        <v>2322</v>
      </c>
      <c r="AE3851">
        <v>-40.96273583</v>
      </c>
      <c r="AF3851">
        <v>175.6333291</v>
      </c>
      <c r="AG3851">
        <v>47</v>
      </c>
      <c r="AH3851">
        <v>6</v>
      </c>
      <c r="AI3851">
        <v>0</v>
      </c>
      <c r="AJ3851">
        <v>8</v>
      </c>
      <c r="AK3851">
        <v>10</v>
      </c>
      <c r="AL3851">
        <v>17</v>
      </c>
      <c r="AM3851">
        <v>25</v>
      </c>
      <c r="AN3851">
        <v>1</v>
      </c>
      <c r="AO3851">
        <v>61</v>
      </c>
      <c r="AP3851">
        <v>58</v>
      </c>
      <c r="AQ3851">
        <v>9</v>
      </c>
      <c r="AR3851">
        <v>2</v>
      </c>
      <c r="AS3851">
        <v>0</v>
      </c>
      <c r="AT3851">
        <v>0</v>
      </c>
    </row>
    <row r="3852" spans="1:46">
      <c r="A3852">
        <v>60188</v>
      </c>
      <c r="B3852" t="s">
        <v>21008</v>
      </c>
      <c r="C3852" t="s">
        <v>21009</v>
      </c>
      <c r="D3852" t="s">
        <v>21010</v>
      </c>
      <c r="E3852" t="s">
        <v>21011</v>
      </c>
      <c r="F3852" t="s">
        <v>2571</v>
      </c>
      <c r="G3852" t="s">
        <v>2289</v>
      </c>
      <c r="H3852" t="s">
        <v>3942</v>
      </c>
      <c r="J3852" t="s">
        <v>518</v>
      </c>
      <c r="K3852" t="s">
        <v>519</v>
      </c>
      <c r="M3852" t="s">
        <v>2287</v>
      </c>
      <c r="N3852" t="s">
        <v>571</v>
      </c>
      <c r="O3852" t="s">
        <v>2536</v>
      </c>
      <c r="P3852" t="s">
        <v>654</v>
      </c>
      <c r="Q3852" t="s">
        <v>2319</v>
      </c>
      <c r="R3852" t="s">
        <v>2289</v>
      </c>
      <c r="S3852" t="s">
        <v>2553</v>
      </c>
      <c r="T3852" t="s">
        <v>2448</v>
      </c>
      <c r="U3852">
        <v>252501</v>
      </c>
      <c r="V3852" t="s">
        <v>2572</v>
      </c>
      <c r="W3852" t="s">
        <v>2573</v>
      </c>
      <c r="X3852" t="s">
        <v>21012</v>
      </c>
      <c r="Y3852" t="s">
        <v>21013</v>
      </c>
      <c r="Z3852" t="s">
        <v>2668</v>
      </c>
      <c r="AA3852" t="s">
        <v>20374</v>
      </c>
      <c r="AB3852" t="s">
        <v>21014</v>
      </c>
      <c r="AE3852">
        <v>-41.294978550000003</v>
      </c>
      <c r="AF3852">
        <v>174.78756849999999</v>
      </c>
      <c r="AG3852">
        <v>22</v>
      </c>
      <c r="AH3852">
        <v>5</v>
      </c>
      <c r="AI3852">
        <v>0</v>
      </c>
      <c r="AJ3852">
        <v>6</v>
      </c>
      <c r="AK3852">
        <v>12</v>
      </c>
      <c r="AL3852">
        <v>3</v>
      </c>
      <c r="AM3852">
        <v>4</v>
      </c>
      <c r="AN3852">
        <v>2</v>
      </c>
      <c r="AO3852">
        <v>27</v>
      </c>
      <c r="AP3852">
        <v>21</v>
      </c>
      <c r="AQ3852">
        <v>0</v>
      </c>
      <c r="AR3852">
        <v>0</v>
      </c>
      <c r="AS3852">
        <v>7</v>
      </c>
      <c r="AT3852">
        <v>2</v>
      </c>
    </row>
    <row r="3853" spans="1:46">
      <c r="A3853">
        <v>60189</v>
      </c>
      <c r="B3853" t="s">
        <v>21015</v>
      </c>
      <c r="C3853" t="s">
        <v>21016</v>
      </c>
      <c r="D3853" t="s">
        <v>21017</v>
      </c>
      <c r="E3853" t="s">
        <v>21018</v>
      </c>
      <c r="F3853" t="s">
        <v>20446</v>
      </c>
      <c r="G3853" t="s">
        <v>2289</v>
      </c>
      <c r="H3853" t="s">
        <v>3942</v>
      </c>
      <c r="J3853" t="s">
        <v>518</v>
      </c>
      <c r="K3853" t="s">
        <v>519</v>
      </c>
      <c r="M3853" t="s">
        <v>2287</v>
      </c>
      <c r="N3853" t="s">
        <v>571</v>
      </c>
      <c r="O3853" t="s">
        <v>2536</v>
      </c>
      <c r="P3853" t="s">
        <v>654</v>
      </c>
      <c r="Q3853" t="s">
        <v>2319</v>
      </c>
      <c r="R3853" t="s">
        <v>2289</v>
      </c>
      <c r="S3853" t="s">
        <v>2553</v>
      </c>
      <c r="T3853" t="s">
        <v>2448</v>
      </c>
      <c r="U3853">
        <v>252400</v>
      </c>
      <c r="V3853" t="s">
        <v>21019</v>
      </c>
      <c r="W3853" t="s">
        <v>2573</v>
      </c>
      <c r="X3853" t="s">
        <v>21020</v>
      </c>
      <c r="Y3853" t="s">
        <v>21021</v>
      </c>
      <c r="Z3853" t="s">
        <v>2289</v>
      </c>
      <c r="AA3853" t="s">
        <v>21022</v>
      </c>
      <c r="AB3853" t="s">
        <v>21023</v>
      </c>
      <c r="AE3853">
        <v>-41.300085920000001</v>
      </c>
      <c r="AF3853">
        <v>174.77485730000001</v>
      </c>
      <c r="AG3853">
        <v>50</v>
      </c>
      <c r="AH3853">
        <v>20</v>
      </c>
      <c r="AI3853">
        <v>0</v>
      </c>
      <c r="AJ3853">
        <v>17</v>
      </c>
      <c r="AK3853">
        <v>11</v>
      </c>
      <c r="AL3853">
        <v>14</v>
      </c>
      <c r="AM3853">
        <v>11</v>
      </c>
      <c r="AN3853">
        <v>0</v>
      </c>
      <c r="AO3853">
        <v>53</v>
      </c>
      <c r="AP3853">
        <v>40</v>
      </c>
      <c r="AQ3853">
        <v>8</v>
      </c>
      <c r="AR3853">
        <v>2</v>
      </c>
      <c r="AS3853">
        <v>9</v>
      </c>
      <c r="AT3853">
        <v>5</v>
      </c>
    </row>
    <row r="3854" spans="1:46">
      <c r="A3854">
        <v>60190</v>
      </c>
      <c r="B3854" t="s">
        <v>21024</v>
      </c>
      <c r="C3854" t="s">
        <v>21025</v>
      </c>
      <c r="D3854" t="s">
        <v>21026</v>
      </c>
      <c r="E3854" t="s">
        <v>21027</v>
      </c>
      <c r="F3854" t="s">
        <v>2597</v>
      </c>
      <c r="G3854" t="s">
        <v>2289</v>
      </c>
      <c r="H3854" t="s">
        <v>3942</v>
      </c>
      <c r="J3854" t="s">
        <v>518</v>
      </c>
      <c r="K3854" t="s">
        <v>519</v>
      </c>
      <c r="M3854" t="s">
        <v>2287</v>
      </c>
      <c r="N3854" t="s">
        <v>571</v>
      </c>
      <c r="O3854" t="s">
        <v>2536</v>
      </c>
      <c r="P3854" t="s">
        <v>654</v>
      </c>
      <c r="Q3854" t="s">
        <v>2319</v>
      </c>
      <c r="R3854" t="s">
        <v>2289</v>
      </c>
      <c r="S3854" t="s">
        <v>2545</v>
      </c>
      <c r="T3854" t="s">
        <v>2448</v>
      </c>
      <c r="U3854">
        <v>248900</v>
      </c>
      <c r="V3854" t="s">
        <v>2598</v>
      </c>
      <c r="W3854" t="s">
        <v>2547</v>
      </c>
      <c r="X3854" t="s">
        <v>21028</v>
      </c>
      <c r="Y3854" t="s">
        <v>21029</v>
      </c>
      <c r="Z3854" t="s">
        <v>2597</v>
      </c>
      <c r="AA3854" t="s">
        <v>21030</v>
      </c>
      <c r="AE3854">
        <v>-41.222331109999999</v>
      </c>
      <c r="AF3854">
        <v>174.80536996000001</v>
      </c>
      <c r="AG3854">
        <v>25</v>
      </c>
      <c r="AH3854">
        <v>5</v>
      </c>
      <c r="AI3854">
        <v>0</v>
      </c>
      <c r="AJ3854">
        <v>6</v>
      </c>
      <c r="AK3854">
        <v>7</v>
      </c>
      <c r="AL3854">
        <v>17</v>
      </c>
      <c r="AM3854">
        <v>7</v>
      </c>
      <c r="AN3854">
        <v>2</v>
      </c>
      <c r="AO3854">
        <v>39</v>
      </c>
      <c r="AP3854">
        <v>19</v>
      </c>
      <c r="AQ3854">
        <v>6</v>
      </c>
      <c r="AR3854">
        <v>3</v>
      </c>
      <c r="AS3854">
        <v>17</v>
      </c>
      <c r="AT3854">
        <v>5</v>
      </c>
    </row>
    <row r="3855" spans="1:46">
      <c r="A3855">
        <v>60192</v>
      </c>
      <c r="B3855" t="s">
        <v>21031</v>
      </c>
      <c r="C3855" t="s">
        <v>21032</v>
      </c>
      <c r="E3855" t="s">
        <v>21033</v>
      </c>
      <c r="G3855" t="s">
        <v>2674</v>
      </c>
      <c r="H3855" t="s">
        <v>3942</v>
      </c>
      <c r="J3855" t="s">
        <v>3962</v>
      </c>
      <c r="K3855" t="s">
        <v>519</v>
      </c>
      <c r="M3855" t="s">
        <v>2287</v>
      </c>
      <c r="N3855" t="s">
        <v>4519</v>
      </c>
      <c r="O3855" t="s">
        <v>2675</v>
      </c>
      <c r="P3855" t="s">
        <v>1262</v>
      </c>
      <c r="Q3855" t="s">
        <v>2319</v>
      </c>
      <c r="R3855" t="s">
        <v>2289</v>
      </c>
      <c r="S3855" t="s">
        <v>2067</v>
      </c>
      <c r="T3855" t="s">
        <v>1485</v>
      </c>
      <c r="U3855">
        <v>237800</v>
      </c>
      <c r="V3855" t="s">
        <v>2676</v>
      </c>
      <c r="W3855" t="s">
        <v>2677</v>
      </c>
      <c r="X3855" t="s">
        <v>21034</v>
      </c>
      <c r="Y3855" t="s">
        <v>21033</v>
      </c>
      <c r="Z3855" t="s">
        <v>2674</v>
      </c>
      <c r="AA3855" t="s">
        <v>21035</v>
      </c>
      <c r="AB3855" t="s">
        <v>21032</v>
      </c>
      <c r="AE3855">
        <v>-40.904445520000003</v>
      </c>
      <c r="AF3855">
        <v>175.01269092999999</v>
      </c>
      <c r="AG3855">
        <v>32</v>
      </c>
      <c r="AH3855">
        <v>0</v>
      </c>
      <c r="AI3855">
        <v>0</v>
      </c>
      <c r="AJ3855">
        <v>0</v>
      </c>
      <c r="AK3855">
        <v>7</v>
      </c>
      <c r="AL3855">
        <v>14</v>
      </c>
      <c r="AM3855">
        <v>21</v>
      </c>
      <c r="AN3855">
        <v>0</v>
      </c>
      <c r="AO3855">
        <v>42</v>
      </c>
      <c r="AP3855">
        <v>42</v>
      </c>
      <c r="AQ3855">
        <v>6</v>
      </c>
      <c r="AR3855">
        <v>2</v>
      </c>
      <c r="AS3855">
        <v>2</v>
      </c>
      <c r="AT3855">
        <v>0</v>
      </c>
    </row>
    <row r="3856" spans="1:46">
      <c r="A3856">
        <v>60196</v>
      </c>
      <c r="B3856" t="s">
        <v>21036</v>
      </c>
      <c r="C3856" t="s">
        <v>21037</v>
      </c>
      <c r="D3856" t="s">
        <v>21038</v>
      </c>
      <c r="E3856" t="s">
        <v>21039</v>
      </c>
      <c r="F3856" t="s">
        <v>20934</v>
      </c>
      <c r="G3856" t="s">
        <v>2317</v>
      </c>
      <c r="H3856" t="s">
        <v>3942</v>
      </c>
      <c r="J3856" t="s">
        <v>3962</v>
      </c>
      <c r="K3856" t="s">
        <v>519</v>
      </c>
      <c r="M3856" t="s">
        <v>2287</v>
      </c>
      <c r="N3856" t="s">
        <v>557</v>
      </c>
      <c r="O3856" t="s">
        <v>2318</v>
      </c>
      <c r="P3856" t="s">
        <v>1262</v>
      </c>
      <c r="Q3856" t="s">
        <v>2319</v>
      </c>
      <c r="R3856" t="s">
        <v>2289</v>
      </c>
      <c r="S3856" t="s">
        <v>2269</v>
      </c>
      <c r="T3856" t="s">
        <v>2085</v>
      </c>
      <c r="U3856">
        <v>256700</v>
      </c>
      <c r="V3856" t="s">
        <v>20923</v>
      </c>
      <c r="W3856" t="s">
        <v>2321</v>
      </c>
      <c r="X3856" t="s">
        <v>21040</v>
      </c>
      <c r="Y3856" t="s">
        <v>21041</v>
      </c>
      <c r="AA3856" t="s">
        <v>20926</v>
      </c>
      <c r="AB3856" t="s">
        <v>21037</v>
      </c>
      <c r="AC3856">
        <v>99204</v>
      </c>
      <c r="AD3856" t="s">
        <v>2322</v>
      </c>
      <c r="AE3856">
        <v>-40.96218228</v>
      </c>
      <c r="AF3856">
        <v>175.66462720000001</v>
      </c>
      <c r="AG3856">
        <v>50</v>
      </c>
      <c r="AH3856">
        <v>25</v>
      </c>
      <c r="AI3856">
        <v>4</v>
      </c>
      <c r="AJ3856">
        <v>12</v>
      </c>
      <c r="AK3856">
        <v>11</v>
      </c>
      <c r="AL3856">
        <v>9</v>
      </c>
      <c r="AM3856">
        <v>9</v>
      </c>
      <c r="AN3856">
        <v>0</v>
      </c>
      <c r="AO3856">
        <v>45</v>
      </c>
      <c r="AP3856">
        <v>34</v>
      </c>
      <c r="AQ3856">
        <v>20</v>
      </c>
      <c r="AR3856">
        <v>2</v>
      </c>
      <c r="AS3856">
        <v>2</v>
      </c>
      <c r="AT3856">
        <v>2</v>
      </c>
    </row>
    <row r="3857" spans="1:46">
      <c r="A3857">
        <v>60197</v>
      </c>
      <c r="B3857" t="s">
        <v>21042</v>
      </c>
      <c r="C3857" t="s">
        <v>21043</v>
      </c>
      <c r="E3857" t="s">
        <v>21044</v>
      </c>
      <c r="F3857" t="s">
        <v>2589</v>
      </c>
      <c r="G3857" t="s">
        <v>2289</v>
      </c>
      <c r="H3857" t="s">
        <v>517</v>
      </c>
      <c r="J3857" t="s">
        <v>518</v>
      </c>
      <c r="K3857" t="s">
        <v>519</v>
      </c>
      <c r="M3857" t="s">
        <v>2287</v>
      </c>
      <c r="N3857" t="s">
        <v>571</v>
      </c>
      <c r="O3857" t="s">
        <v>2536</v>
      </c>
      <c r="P3857" t="s">
        <v>654</v>
      </c>
      <c r="Q3857" t="s">
        <v>2319</v>
      </c>
      <c r="R3857" t="s">
        <v>2289</v>
      </c>
      <c r="S3857" t="s">
        <v>2537</v>
      </c>
      <c r="T3857" t="s">
        <v>2448</v>
      </c>
      <c r="U3857">
        <v>253102</v>
      </c>
      <c r="V3857" t="s">
        <v>20525</v>
      </c>
      <c r="W3857" t="s">
        <v>2591</v>
      </c>
      <c r="X3857" t="s">
        <v>1889</v>
      </c>
      <c r="Y3857" t="s">
        <v>1890</v>
      </c>
      <c r="AA3857" t="s">
        <v>1891</v>
      </c>
      <c r="AB3857" t="s">
        <v>1892</v>
      </c>
      <c r="AC3857">
        <v>99141</v>
      </c>
      <c r="AD3857" t="s">
        <v>2592</v>
      </c>
      <c r="AE3857">
        <v>-41.303909130000001</v>
      </c>
      <c r="AF3857">
        <v>174.79592233</v>
      </c>
      <c r="AG3857">
        <v>24</v>
      </c>
      <c r="AH3857">
        <v>7</v>
      </c>
      <c r="AI3857">
        <v>0</v>
      </c>
      <c r="AJ3857">
        <v>5</v>
      </c>
      <c r="AK3857">
        <v>24</v>
      </c>
      <c r="AL3857">
        <v>0</v>
      </c>
      <c r="AM3857">
        <v>0</v>
      </c>
      <c r="AN3857">
        <v>0</v>
      </c>
      <c r="AO3857">
        <v>29</v>
      </c>
      <c r="AP3857">
        <v>25</v>
      </c>
      <c r="AQ3857">
        <v>4</v>
      </c>
      <c r="AR3857">
        <v>0</v>
      </c>
      <c r="AS3857">
        <v>6</v>
      </c>
      <c r="AT3857">
        <v>3</v>
      </c>
    </row>
    <row r="3858" spans="1:46">
      <c r="A3858">
        <v>60198</v>
      </c>
      <c r="B3858" t="s">
        <v>21045</v>
      </c>
      <c r="C3858" t="s">
        <v>21046</v>
      </c>
      <c r="D3858" t="s">
        <v>21047</v>
      </c>
      <c r="E3858" t="s">
        <v>21048</v>
      </c>
      <c r="G3858" t="s">
        <v>2799</v>
      </c>
      <c r="H3858" t="s">
        <v>3942</v>
      </c>
      <c r="J3858" t="s">
        <v>518</v>
      </c>
      <c r="K3858" t="s">
        <v>519</v>
      </c>
      <c r="M3858" t="s">
        <v>2287</v>
      </c>
      <c r="N3858" t="s">
        <v>571</v>
      </c>
      <c r="O3858" t="s">
        <v>2675</v>
      </c>
      <c r="P3858" t="s">
        <v>1262</v>
      </c>
      <c r="Q3858" t="s">
        <v>2319</v>
      </c>
      <c r="R3858" t="s">
        <v>2289</v>
      </c>
      <c r="S3858" t="s">
        <v>2067</v>
      </c>
      <c r="T3858" t="s">
        <v>1485</v>
      </c>
      <c r="U3858">
        <v>238100</v>
      </c>
      <c r="V3858" t="s">
        <v>20814</v>
      </c>
      <c r="W3858" t="s">
        <v>2801</v>
      </c>
      <c r="X3858" t="s">
        <v>21049</v>
      </c>
      <c r="Y3858" t="s">
        <v>21050</v>
      </c>
      <c r="AA3858" t="s">
        <v>21051</v>
      </c>
      <c r="AE3858">
        <v>-40.877929100000003</v>
      </c>
      <c r="AF3858">
        <v>175.06835900999999</v>
      </c>
      <c r="AG3858">
        <v>40</v>
      </c>
      <c r="AH3858">
        <v>0</v>
      </c>
      <c r="AI3858">
        <v>0</v>
      </c>
      <c r="AJ3858">
        <v>0</v>
      </c>
      <c r="AK3858">
        <v>8</v>
      </c>
      <c r="AL3858">
        <v>18</v>
      </c>
      <c r="AM3858">
        <v>27</v>
      </c>
      <c r="AN3858">
        <v>0</v>
      </c>
      <c r="AO3858">
        <v>53</v>
      </c>
      <c r="AP3858">
        <v>52</v>
      </c>
      <c r="AQ3858">
        <v>8</v>
      </c>
      <c r="AR3858">
        <v>0</v>
      </c>
      <c r="AS3858">
        <v>4</v>
      </c>
      <c r="AT3858">
        <v>1</v>
      </c>
    </row>
    <row r="3859" spans="1:46">
      <c r="A3859">
        <v>60199</v>
      </c>
      <c r="B3859" t="s">
        <v>21052</v>
      </c>
      <c r="C3859" t="s">
        <v>21053</v>
      </c>
      <c r="D3859" t="s">
        <v>21054</v>
      </c>
      <c r="E3859" t="s">
        <v>21055</v>
      </c>
      <c r="F3859" t="s">
        <v>12163</v>
      </c>
      <c r="G3859" t="s">
        <v>2289</v>
      </c>
      <c r="H3859" t="s">
        <v>3942</v>
      </c>
      <c r="J3859" t="s">
        <v>518</v>
      </c>
      <c r="K3859" t="s">
        <v>519</v>
      </c>
      <c r="M3859" t="s">
        <v>2287</v>
      </c>
      <c r="N3859" t="s">
        <v>571</v>
      </c>
      <c r="O3859" t="s">
        <v>2536</v>
      </c>
      <c r="P3859" t="s">
        <v>654</v>
      </c>
      <c r="Q3859" t="s">
        <v>2319</v>
      </c>
      <c r="R3859" t="s">
        <v>2289</v>
      </c>
      <c r="S3859" t="s">
        <v>2553</v>
      </c>
      <c r="T3859" t="s">
        <v>2448</v>
      </c>
      <c r="U3859">
        <v>250902</v>
      </c>
      <c r="V3859" t="s">
        <v>18995</v>
      </c>
      <c r="W3859" t="s">
        <v>2573</v>
      </c>
      <c r="X3859" t="s">
        <v>21056</v>
      </c>
      <c r="Y3859" t="s">
        <v>21055</v>
      </c>
      <c r="Z3859" t="s">
        <v>12163</v>
      </c>
      <c r="AA3859" t="s">
        <v>20945</v>
      </c>
      <c r="AE3859">
        <v>-41.276686580000003</v>
      </c>
      <c r="AF3859">
        <v>174.77390604000001</v>
      </c>
      <c r="AG3859">
        <v>27</v>
      </c>
      <c r="AH3859">
        <v>8</v>
      </c>
      <c r="AI3859">
        <v>0</v>
      </c>
      <c r="AJ3859">
        <v>5</v>
      </c>
      <c r="AK3859">
        <v>7</v>
      </c>
      <c r="AL3859">
        <v>7</v>
      </c>
      <c r="AM3859">
        <v>7</v>
      </c>
      <c r="AN3859">
        <v>0</v>
      </c>
      <c r="AO3859">
        <v>26</v>
      </c>
      <c r="AP3859">
        <v>23</v>
      </c>
      <c r="AQ3859">
        <v>1</v>
      </c>
      <c r="AR3859">
        <v>1</v>
      </c>
      <c r="AS3859">
        <v>4</v>
      </c>
      <c r="AT3859">
        <v>0</v>
      </c>
    </row>
    <row r="3860" spans="1:46">
      <c r="A3860">
        <v>60200</v>
      </c>
      <c r="B3860" t="s">
        <v>21057</v>
      </c>
      <c r="C3860" t="s">
        <v>21058</v>
      </c>
      <c r="D3860" t="s">
        <v>20438</v>
      </c>
      <c r="E3860" t="s">
        <v>21059</v>
      </c>
      <c r="F3860" t="s">
        <v>13037</v>
      </c>
      <c r="G3860" t="s">
        <v>2526</v>
      </c>
      <c r="H3860" t="s">
        <v>3942</v>
      </c>
      <c r="J3860" t="s">
        <v>518</v>
      </c>
      <c r="K3860" t="s">
        <v>519</v>
      </c>
      <c r="M3860" t="s">
        <v>2287</v>
      </c>
      <c r="N3860" t="s">
        <v>571</v>
      </c>
      <c r="O3860" t="s">
        <v>2527</v>
      </c>
      <c r="P3860" t="s">
        <v>584</v>
      </c>
      <c r="Q3860" t="s">
        <v>2319</v>
      </c>
      <c r="R3860" t="s">
        <v>2289</v>
      </c>
      <c r="S3860" t="s">
        <v>2528</v>
      </c>
      <c r="T3860" t="s">
        <v>1485</v>
      </c>
      <c r="U3860">
        <v>239900</v>
      </c>
      <c r="V3860" t="s">
        <v>13037</v>
      </c>
      <c r="W3860" t="s">
        <v>2529</v>
      </c>
      <c r="X3860" t="s">
        <v>21060</v>
      </c>
      <c r="Y3860" t="s">
        <v>20441</v>
      </c>
      <c r="Z3860" t="s">
        <v>2630</v>
      </c>
      <c r="AA3860" t="s">
        <v>1891</v>
      </c>
      <c r="AB3860" t="s">
        <v>21061</v>
      </c>
      <c r="AC3860">
        <v>99094</v>
      </c>
      <c r="AD3860" t="s">
        <v>2615</v>
      </c>
      <c r="AE3860">
        <v>-41.126940230000002</v>
      </c>
      <c r="AF3860">
        <v>174.83728818</v>
      </c>
      <c r="AG3860">
        <v>37</v>
      </c>
      <c r="AH3860">
        <v>8</v>
      </c>
      <c r="AI3860">
        <v>0</v>
      </c>
      <c r="AJ3860">
        <v>0</v>
      </c>
      <c r="AK3860">
        <v>4</v>
      </c>
      <c r="AL3860">
        <v>2</v>
      </c>
      <c r="AM3860">
        <v>1</v>
      </c>
      <c r="AN3860">
        <v>0</v>
      </c>
      <c r="AO3860">
        <v>7</v>
      </c>
      <c r="AP3860">
        <v>3</v>
      </c>
      <c r="AQ3860">
        <v>4</v>
      </c>
      <c r="AR3860">
        <v>2</v>
      </c>
      <c r="AS3860">
        <v>2</v>
      </c>
      <c r="AT3860">
        <v>2</v>
      </c>
    </row>
    <row r="3861" spans="1:46">
      <c r="A3861">
        <v>60202</v>
      </c>
      <c r="B3861" t="s">
        <v>21062</v>
      </c>
      <c r="C3861" t="s">
        <v>21063</v>
      </c>
      <c r="D3861" t="s">
        <v>21064</v>
      </c>
      <c r="E3861" t="s">
        <v>21065</v>
      </c>
      <c r="F3861" t="s">
        <v>2559</v>
      </c>
      <c r="G3861" t="s">
        <v>2289</v>
      </c>
      <c r="H3861" t="s">
        <v>3942</v>
      </c>
      <c r="J3861" t="s">
        <v>518</v>
      </c>
      <c r="K3861" t="s">
        <v>519</v>
      </c>
      <c r="M3861" t="s">
        <v>2287</v>
      </c>
      <c r="N3861" t="s">
        <v>571</v>
      </c>
      <c r="O3861" t="s">
        <v>2536</v>
      </c>
      <c r="P3861" t="s">
        <v>654</v>
      </c>
      <c r="Q3861" t="s">
        <v>2319</v>
      </c>
      <c r="R3861" t="s">
        <v>2289</v>
      </c>
      <c r="S3861" t="s">
        <v>2553</v>
      </c>
      <c r="T3861" t="s">
        <v>2448</v>
      </c>
      <c r="U3861">
        <v>250401</v>
      </c>
      <c r="V3861" t="s">
        <v>20761</v>
      </c>
      <c r="W3861" t="s">
        <v>2561</v>
      </c>
      <c r="X3861" t="s">
        <v>21066</v>
      </c>
      <c r="Y3861" t="s">
        <v>21067</v>
      </c>
      <c r="Z3861" t="s">
        <v>2559</v>
      </c>
      <c r="AA3861" t="s">
        <v>21068</v>
      </c>
      <c r="AE3861">
        <v>-41.288147369999997</v>
      </c>
      <c r="AF3861">
        <v>174.73889835</v>
      </c>
      <c r="AG3861">
        <v>25</v>
      </c>
      <c r="AH3861">
        <v>8</v>
      </c>
      <c r="AI3861">
        <v>0</v>
      </c>
      <c r="AJ3861">
        <v>6</v>
      </c>
      <c r="AK3861">
        <v>7</v>
      </c>
      <c r="AL3861">
        <v>5</v>
      </c>
      <c r="AM3861">
        <v>5</v>
      </c>
      <c r="AN3861">
        <v>0</v>
      </c>
      <c r="AO3861">
        <v>23</v>
      </c>
      <c r="AP3861">
        <v>19</v>
      </c>
      <c r="AQ3861">
        <v>2</v>
      </c>
      <c r="AR3861">
        <v>0</v>
      </c>
      <c r="AS3861">
        <v>4</v>
      </c>
      <c r="AT3861">
        <v>5</v>
      </c>
    </row>
    <row r="3862" spans="1:46">
      <c r="A3862">
        <v>60203</v>
      </c>
      <c r="B3862" t="s">
        <v>21069</v>
      </c>
      <c r="C3862" t="s">
        <v>21070</v>
      </c>
      <c r="D3862" t="s">
        <v>21071</v>
      </c>
      <c r="E3862" t="s">
        <v>21072</v>
      </c>
      <c r="G3862" t="s">
        <v>21073</v>
      </c>
      <c r="H3862" t="s">
        <v>3942</v>
      </c>
      <c r="J3862" t="s">
        <v>518</v>
      </c>
      <c r="K3862" t="s">
        <v>519</v>
      </c>
      <c r="M3862" t="s">
        <v>2287</v>
      </c>
      <c r="N3862" t="s">
        <v>571</v>
      </c>
      <c r="O3862" t="s">
        <v>2527</v>
      </c>
      <c r="P3862" t="s">
        <v>572</v>
      </c>
      <c r="Q3862" t="s">
        <v>2319</v>
      </c>
      <c r="R3862" t="s">
        <v>2289</v>
      </c>
      <c r="S3862" t="s">
        <v>2528</v>
      </c>
      <c r="T3862" t="s">
        <v>1485</v>
      </c>
      <c r="U3862">
        <v>239401</v>
      </c>
      <c r="V3862" t="s">
        <v>21074</v>
      </c>
      <c r="W3862" t="s">
        <v>2579</v>
      </c>
      <c r="X3862" t="s">
        <v>21075</v>
      </c>
      <c r="Y3862" t="s">
        <v>21076</v>
      </c>
      <c r="AA3862" t="s">
        <v>21077</v>
      </c>
      <c r="AB3862" t="s">
        <v>21078</v>
      </c>
      <c r="AC3862">
        <v>99068</v>
      </c>
      <c r="AD3862" t="s">
        <v>2530</v>
      </c>
      <c r="AE3862">
        <v>-41.104492370000003</v>
      </c>
      <c r="AF3862">
        <v>174.91692879999999</v>
      </c>
      <c r="AG3862">
        <v>23</v>
      </c>
      <c r="AH3862">
        <v>0</v>
      </c>
      <c r="AI3862">
        <v>0</v>
      </c>
      <c r="AJ3862">
        <v>0</v>
      </c>
      <c r="AK3862">
        <v>5</v>
      </c>
      <c r="AL3862">
        <v>10</v>
      </c>
      <c r="AM3862">
        <v>20</v>
      </c>
      <c r="AN3862">
        <v>0</v>
      </c>
      <c r="AO3862">
        <v>35</v>
      </c>
      <c r="AP3862">
        <v>34</v>
      </c>
      <c r="AQ3862">
        <v>4</v>
      </c>
      <c r="AR3862">
        <v>0</v>
      </c>
      <c r="AS3862">
        <v>0</v>
      </c>
      <c r="AT3862">
        <v>0</v>
      </c>
    </row>
    <row r="3863" spans="1:46">
      <c r="A3863">
        <v>60206</v>
      </c>
      <c r="B3863" t="s">
        <v>21079</v>
      </c>
      <c r="C3863" t="s">
        <v>21080</v>
      </c>
      <c r="D3863" t="s">
        <v>21081</v>
      </c>
      <c r="E3863" t="s">
        <v>21082</v>
      </c>
      <c r="F3863" t="s">
        <v>20446</v>
      </c>
      <c r="G3863" t="s">
        <v>2289</v>
      </c>
      <c r="H3863" t="s">
        <v>3942</v>
      </c>
      <c r="I3863" t="s">
        <v>21083</v>
      </c>
      <c r="J3863" t="s">
        <v>518</v>
      </c>
      <c r="K3863" t="s">
        <v>519</v>
      </c>
      <c r="M3863" t="s">
        <v>2287</v>
      </c>
      <c r="N3863" t="s">
        <v>571</v>
      </c>
      <c r="O3863" t="s">
        <v>2536</v>
      </c>
      <c r="P3863" t="s">
        <v>654</v>
      </c>
      <c r="Q3863" t="s">
        <v>2319</v>
      </c>
      <c r="R3863" t="s">
        <v>2289</v>
      </c>
      <c r="S3863" t="s">
        <v>2553</v>
      </c>
      <c r="T3863" t="s">
        <v>2448</v>
      </c>
      <c r="U3863">
        <v>251700</v>
      </c>
      <c r="V3863" t="s">
        <v>15918</v>
      </c>
      <c r="W3863" t="s">
        <v>2573</v>
      </c>
      <c r="X3863" t="s">
        <v>21084</v>
      </c>
      <c r="Y3863" t="s">
        <v>21082</v>
      </c>
      <c r="Z3863" t="s">
        <v>15917</v>
      </c>
      <c r="AA3863" t="s">
        <v>20945</v>
      </c>
      <c r="AE3863">
        <v>-41.297188550000001</v>
      </c>
      <c r="AF3863">
        <v>174.77214454</v>
      </c>
      <c r="AG3863">
        <v>25</v>
      </c>
      <c r="AH3863">
        <v>0</v>
      </c>
      <c r="AI3863">
        <v>0</v>
      </c>
      <c r="AJ3863">
        <v>0</v>
      </c>
      <c r="AK3863">
        <v>7</v>
      </c>
      <c r="AL3863">
        <v>8</v>
      </c>
      <c r="AM3863">
        <v>8</v>
      </c>
      <c r="AN3863">
        <v>1</v>
      </c>
      <c r="AO3863">
        <v>24</v>
      </c>
      <c r="AP3863">
        <v>14</v>
      </c>
      <c r="AQ3863">
        <v>1</v>
      </c>
      <c r="AR3863">
        <v>2</v>
      </c>
      <c r="AS3863">
        <v>3</v>
      </c>
      <c r="AT3863">
        <v>9</v>
      </c>
    </row>
    <row r="3864" spans="1:46">
      <c r="A3864">
        <v>60212</v>
      </c>
      <c r="B3864" t="s">
        <v>21085</v>
      </c>
      <c r="C3864" t="s">
        <v>21086</v>
      </c>
      <c r="E3864" t="s">
        <v>21087</v>
      </c>
      <c r="F3864" t="s">
        <v>2668</v>
      </c>
      <c r="G3864" t="s">
        <v>2289</v>
      </c>
      <c r="H3864" t="s">
        <v>3942</v>
      </c>
      <c r="J3864" t="s">
        <v>518</v>
      </c>
      <c r="K3864" t="s">
        <v>519</v>
      </c>
      <c r="M3864" t="s">
        <v>2287</v>
      </c>
      <c r="N3864" t="s">
        <v>571</v>
      </c>
      <c r="O3864" t="s">
        <v>2536</v>
      </c>
      <c r="P3864" t="s">
        <v>654</v>
      </c>
      <c r="Q3864" t="s">
        <v>2319</v>
      </c>
      <c r="R3864" t="s">
        <v>2289</v>
      </c>
      <c r="S3864" t="s">
        <v>2537</v>
      </c>
      <c r="T3864" t="s">
        <v>2448</v>
      </c>
      <c r="U3864">
        <v>253600</v>
      </c>
      <c r="V3864" t="s">
        <v>2811</v>
      </c>
      <c r="W3864" t="s">
        <v>2538</v>
      </c>
      <c r="X3864" t="s">
        <v>21088</v>
      </c>
      <c r="Y3864" t="s">
        <v>21087</v>
      </c>
      <c r="Z3864" t="s">
        <v>2668</v>
      </c>
      <c r="AA3864" t="s">
        <v>20374</v>
      </c>
      <c r="AC3864">
        <v>99171</v>
      </c>
      <c r="AD3864" t="s">
        <v>2539</v>
      </c>
      <c r="AE3864">
        <v>-41.313678729999999</v>
      </c>
      <c r="AF3864">
        <v>174.78280724999999</v>
      </c>
      <c r="AG3864">
        <v>30</v>
      </c>
      <c r="AH3864">
        <v>10</v>
      </c>
      <c r="AI3864">
        <v>0</v>
      </c>
      <c r="AJ3864">
        <v>6</v>
      </c>
      <c r="AK3864">
        <v>9</v>
      </c>
      <c r="AL3864">
        <v>7</v>
      </c>
      <c r="AM3864">
        <v>9</v>
      </c>
      <c r="AN3864">
        <v>0</v>
      </c>
      <c r="AO3864">
        <v>31</v>
      </c>
      <c r="AP3864">
        <v>19</v>
      </c>
      <c r="AQ3864">
        <v>0</v>
      </c>
      <c r="AR3864">
        <v>1</v>
      </c>
      <c r="AS3864">
        <v>11</v>
      </c>
      <c r="AT3864">
        <v>5</v>
      </c>
    </row>
    <row r="3865" spans="1:46">
      <c r="A3865">
        <v>60213</v>
      </c>
      <c r="B3865" t="s">
        <v>21089</v>
      </c>
      <c r="C3865" t="s">
        <v>21090</v>
      </c>
      <c r="D3865" t="s">
        <v>21091</v>
      </c>
      <c r="E3865" t="s">
        <v>21092</v>
      </c>
      <c r="F3865" t="s">
        <v>2683</v>
      </c>
      <c r="G3865" t="s">
        <v>2289</v>
      </c>
      <c r="H3865" t="s">
        <v>3942</v>
      </c>
      <c r="J3865" t="s">
        <v>518</v>
      </c>
      <c r="K3865" t="s">
        <v>519</v>
      </c>
      <c r="M3865" t="s">
        <v>2287</v>
      </c>
      <c r="N3865" t="s">
        <v>4519</v>
      </c>
      <c r="O3865" t="s">
        <v>2536</v>
      </c>
      <c r="P3865" t="s">
        <v>654</v>
      </c>
      <c r="Q3865" t="s">
        <v>2319</v>
      </c>
      <c r="R3865" t="s">
        <v>2289</v>
      </c>
      <c r="S3865" t="s">
        <v>2545</v>
      </c>
      <c r="T3865" t="s">
        <v>2448</v>
      </c>
      <c r="U3865">
        <v>249600</v>
      </c>
      <c r="V3865" t="s">
        <v>2684</v>
      </c>
      <c r="W3865" t="s">
        <v>2561</v>
      </c>
      <c r="X3865" t="s">
        <v>21093</v>
      </c>
      <c r="Y3865" t="s">
        <v>21092</v>
      </c>
      <c r="Z3865" t="s">
        <v>2683</v>
      </c>
      <c r="AA3865" t="s">
        <v>20838</v>
      </c>
      <c r="AB3865" t="s">
        <v>21094</v>
      </c>
      <c r="AE3865">
        <v>-41.250008389999998</v>
      </c>
      <c r="AF3865">
        <v>174.77329126999999</v>
      </c>
      <c r="AG3865">
        <v>16</v>
      </c>
      <c r="AH3865">
        <v>4</v>
      </c>
      <c r="AI3865">
        <v>0</v>
      </c>
      <c r="AJ3865">
        <v>4</v>
      </c>
      <c r="AK3865">
        <v>3</v>
      </c>
      <c r="AL3865">
        <v>3</v>
      </c>
      <c r="AM3865">
        <v>3</v>
      </c>
      <c r="AN3865">
        <v>0</v>
      </c>
      <c r="AO3865">
        <v>13</v>
      </c>
      <c r="AP3865">
        <v>12</v>
      </c>
      <c r="AQ3865">
        <v>0</v>
      </c>
      <c r="AR3865">
        <v>0</v>
      </c>
      <c r="AS3865">
        <v>3</v>
      </c>
      <c r="AT3865">
        <v>0</v>
      </c>
    </row>
    <row r="3866" spans="1:46">
      <c r="A3866">
        <v>60215</v>
      </c>
      <c r="B3866" t="s">
        <v>21095</v>
      </c>
      <c r="C3866" t="s">
        <v>21096</v>
      </c>
      <c r="D3866" t="s">
        <v>21097</v>
      </c>
      <c r="E3866" t="s">
        <v>21098</v>
      </c>
      <c r="F3866" t="s">
        <v>2668</v>
      </c>
      <c r="G3866" t="s">
        <v>2289</v>
      </c>
      <c r="H3866" t="s">
        <v>3942</v>
      </c>
      <c r="J3866" t="s">
        <v>518</v>
      </c>
      <c r="K3866" t="s">
        <v>519</v>
      </c>
      <c r="M3866" t="s">
        <v>2287</v>
      </c>
      <c r="N3866" t="s">
        <v>571</v>
      </c>
      <c r="O3866" t="s">
        <v>2536</v>
      </c>
      <c r="P3866" t="s">
        <v>654</v>
      </c>
      <c r="Q3866" t="s">
        <v>2319</v>
      </c>
      <c r="R3866" t="s">
        <v>2289</v>
      </c>
      <c r="S3866" t="s">
        <v>2537</v>
      </c>
      <c r="T3866" t="s">
        <v>2448</v>
      </c>
      <c r="U3866">
        <v>252400</v>
      </c>
      <c r="V3866" t="s">
        <v>21019</v>
      </c>
      <c r="W3866" t="s">
        <v>2573</v>
      </c>
      <c r="X3866" t="s">
        <v>21099</v>
      </c>
      <c r="Y3866" t="s">
        <v>21098</v>
      </c>
      <c r="Z3866" t="s">
        <v>2668</v>
      </c>
      <c r="AA3866" t="s">
        <v>20374</v>
      </c>
      <c r="AB3866" t="s">
        <v>21100</v>
      </c>
      <c r="AE3866">
        <v>-41.30606573</v>
      </c>
      <c r="AF3866">
        <v>174.77911566</v>
      </c>
      <c r="AG3866">
        <v>30</v>
      </c>
      <c r="AH3866">
        <v>12</v>
      </c>
      <c r="AI3866">
        <v>0</v>
      </c>
      <c r="AJ3866">
        <v>11</v>
      </c>
      <c r="AK3866">
        <v>10</v>
      </c>
      <c r="AL3866">
        <v>8</v>
      </c>
      <c r="AM3866">
        <v>6</v>
      </c>
      <c r="AN3866">
        <v>1</v>
      </c>
      <c r="AO3866">
        <v>36</v>
      </c>
      <c r="AP3866">
        <v>35</v>
      </c>
      <c r="AQ3866">
        <v>2</v>
      </c>
      <c r="AR3866">
        <v>2</v>
      </c>
      <c r="AS3866">
        <v>10</v>
      </c>
      <c r="AT3866">
        <v>0</v>
      </c>
    </row>
    <row r="3867" spans="1:46">
      <c r="A3867">
        <v>60216</v>
      </c>
      <c r="B3867" t="s">
        <v>21101</v>
      </c>
      <c r="C3867" t="s">
        <v>21102</v>
      </c>
      <c r="E3867" t="s">
        <v>21103</v>
      </c>
      <c r="F3867" t="s">
        <v>2370</v>
      </c>
      <c r="G3867" t="s">
        <v>2371</v>
      </c>
      <c r="H3867" t="s">
        <v>3942</v>
      </c>
      <c r="J3867" t="s">
        <v>3962</v>
      </c>
      <c r="K3867" t="s">
        <v>519</v>
      </c>
      <c r="M3867" t="s">
        <v>2287</v>
      </c>
      <c r="N3867" t="s">
        <v>571</v>
      </c>
      <c r="O3867" t="s">
        <v>2372</v>
      </c>
      <c r="P3867" t="s">
        <v>584</v>
      </c>
      <c r="Q3867" t="s">
        <v>2319</v>
      </c>
      <c r="R3867" t="s">
        <v>2289</v>
      </c>
      <c r="S3867" t="s">
        <v>2373</v>
      </c>
      <c r="T3867" t="s">
        <v>2085</v>
      </c>
      <c r="U3867">
        <v>241900</v>
      </c>
      <c r="V3867" t="s">
        <v>2400</v>
      </c>
      <c r="W3867" t="s">
        <v>1652</v>
      </c>
      <c r="X3867" t="s">
        <v>21104</v>
      </c>
      <c r="Y3867" t="s">
        <v>21103</v>
      </c>
      <c r="Z3867" t="s">
        <v>2400</v>
      </c>
      <c r="AA3867" t="s">
        <v>4742</v>
      </c>
      <c r="AB3867" t="s">
        <v>21102</v>
      </c>
      <c r="AE3867">
        <v>-41.124956670000003</v>
      </c>
      <c r="AF3867">
        <v>175.06295553999999</v>
      </c>
      <c r="AG3867">
        <v>49</v>
      </c>
      <c r="AH3867">
        <v>12</v>
      </c>
      <c r="AI3867">
        <v>2</v>
      </c>
      <c r="AJ3867">
        <v>15</v>
      </c>
      <c r="AK3867">
        <v>16</v>
      </c>
      <c r="AL3867">
        <v>17</v>
      </c>
      <c r="AM3867">
        <v>12</v>
      </c>
      <c r="AN3867">
        <v>1</v>
      </c>
      <c r="AO3867">
        <v>63</v>
      </c>
      <c r="AP3867">
        <v>44</v>
      </c>
      <c r="AQ3867">
        <v>14</v>
      </c>
      <c r="AR3867">
        <v>10</v>
      </c>
      <c r="AS3867">
        <v>13</v>
      </c>
      <c r="AT3867">
        <v>3</v>
      </c>
    </row>
    <row r="3868" spans="1:46">
      <c r="A3868">
        <v>60219</v>
      </c>
      <c r="B3868" t="s">
        <v>21105</v>
      </c>
      <c r="C3868" t="s">
        <v>21106</v>
      </c>
      <c r="D3868" t="s">
        <v>21107</v>
      </c>
      <c r="E3868" t="s">
        <v>21108</v>
      </c>
      <c r="F3868" t="s">
        <v>2441</v>
      </c>
      <c r="G3868" t="s">
        <v>2427</v>
      </c>
      <c r="H3868" t="s">
        <v>3942</v>
      </c>
      <c r="J3868" t="s">
        <v>518</v>
      </c>
      <c r="K3868" t="s">
        <v>519</v>
      </c>
      <c r="M3868" t="s">
        <v>2287</v>
      </c>
      <c r="N3868" t="s">
        <v>571</v>
      </c>
      <c r="O3868" t="s">
        <v>2428</v>
      </c>
      <c r="P3868" t="s">
        <v>654</v>
      </c>
      <c r="Q3868" t="s">
        <v>2319</v>
      </c>
      <c r="R3868" t="s">
        <v>2289</v>
      </c>
      <c r="S3868" t="s">
        <v>2429</v>
      </c>
      <c r="T3868" t="s">
        <v>2448</v>
      </c>
      <c r="U3868">
        <v>245700</v>
      </c>
      <c r="V3868" t="s">
        <v>21109</v>
      </c>
      <c r="W3868" t="s">
        <v>2491</v>
      </c>
      <c r="X3868" t="s">
        <v>21110</v>
      </c>
      <c r="Y3868" t="s">
        <v>21111</v>
      </c>
      <c r="Z3868" t="s">
        <v>12904</v>
      </c>
      <c r="AA3868" t="s">
        <v>12298</v>
      </c>
      <c r="AB3868" t="s">
        <v>21112</v>
      </c>
      <c r="AE3868">
        <v>-41.23378194</v>
      </c>
      <c r="AF3868">
        <v>174.91791083000001</v>
      </c>
      <c r="AG3868">
        <v>40</v>
      </c>
      <c r="AH3868">
        <v>10</v>
      </c>
      <c r="AI3868">
        <v>2</v>
      </c>
      <c r="AJ3868">
        <v>9</v>
      </c>
      <c r="AK3868">
        <v>14</v>
      </c>
      <c r="AL3868">
        <v>13</v>
      </c>
      <c r="AM3868">
        <v>14</v>
      </c>
      <c r="AN3868">
        <v>0</v>
      </c>
      <c r="AO3868">
        <v>52</v>
      </c>
      <c r="AP3868">
        <v>35</v>
      </c>
      <c r="AQ3868">
        <v>5</v>
      </c>
      <c r="AR3868">
        <v>3</v>
      </c>
      <c r="AS3868">
        <v>14</v>
      </c>
      <c r="AT3868">
        <v>10</v>
      </c>
    </row>
    <row r="3869" spans="1:46">
      <c r="A3869">
        <v>60220</v>
      </c>
      <c r="B3869" t="s">
        <v>21113</v>
      </c>
      <c r="C3869" t="s">
        <v>21114</v>
      </c>
      <c r="D3869" t="s">
        <v>21115</v>
      </c>
      <c r="E3869" t="s">
        <v>21116</v>
      </c>
      <c r="F3869" t="s">
        <v>2578</v>
      </c>
      <c r="G3869" t="s">
        <v>2526</v>
      </c>
      <c r="H3869" t="s">
        <v>517</v>
      </c>
      <c r="J3869" t="s">
        <v>518</v>
      </c>
      <c r="K3869" t="s">
        <v>519</v>
      </c>
      <c r="M3869" t="s">
        <v>2287</v>
      </c>
      <c r="N3869" t="s">
        <v>571</v>
      </c>
      <c r="O3869" t="s">
        <v>2527</v>
      </c>
      <c r="P3869" t="s">
        <v>584</v>
      </c>
      <c r="Q3869" t="s">
        <v>2319</v>
      </c>
      <c r="R3869" t="s">
        <v>2289</v>
      </c>
      <c r="S3869" t="s">
        <v>2528</v>
      </c>
      <c r="T3869" t="s">
        <v>1485</v>
      </c>
      <c r="U3869">
        <v>240401</v>
      </c>
      <c r="V3869" t="s">
        <v>2578</v>
      </c>
      <c r="W3869" t="s">
        <v>2579</v>
      </c>
      <c r="X3869" t="s">
        <v>1889</v>
      </c>
      <c r="Y3869" t="s">
        <v>1890</v>
      </c>
      <c r="AA3869" t="s">
        <v>1891</v>
      </c>
      <c r="AB3869" t="s">
        <v>12672</v>
      </c>
      <c r="AE3869">
        <v>-41.117744899999998</v>
      </c>
      <c r="AF3869">
        <v>174.8930747</v>
      </c>
      <c r="AG3869">
        <v>28</v>
      </c>
      <c r="AH3869">
        <v>5</v>
      </c>
      <c r="AI3869">
        <v>0</v>
      </c>
      <c r="AJ3869">
        <v>10</v>
      </c>
      <c r="AK3869">
        <v>20</v>
      </c>
      <c r="AL3869">
        <v>4</v>
      </c>
      <c r="AM3869">
        <v>0</v>
      </c>
      <c r="AN3869">
        <v>0</v>
      </c>
      <c r="AO3869">
        <v>34</v>
      </c>
      <c r="AP3869">
        <v>33</v>
      </c>
      <c r="AQ3869">
        <v>5</v>
      </c>
      <c r="AR3869">
        <v>1</v>
      </c>
      <c r="AS3869">
        <v>0</v>
      </c>
      <c r="AT3869">
        <v>1</v>
      </c>
    </row>
    <row r="3870" spans="1:46">
      <c r="A3870">
        <v>60221</v>
      </c>
      <c r="B3870" t="s">
        <v>21117</v>
      </c>
      <c r="C3870" t="s">
        <v>21118</v>
      </c>
      <c r="D3870" t="s">
        <v>21119</v>
      </c>
      <c r="E3870" t="s">
        <v>21120</v>
      </c>
      <c r="F3870" t="s">
        <v>2405</v>
      </c>
      <c r="G3870" t="s">
        <v>2371</v>
      </c>
      <c r="H3870" t="s">
        <v>3942</v>
      </c>
      <c r="J3870" t="s">
        <v>3962</v>
      </c>
      <c r="K3870" t="s">
        <v>519</v>
      </c>
      <c r="M3870" t="s">
        <v>2287</v>
      </c>
      <c r="N3870" t="s">
        <v>571</v>
      </c>
      <c r="O3870" t="s">
        <v>2372</v>
      </c>
      <c r="P3870" t="s">
        <v>584</v>
      </c>
      <c r="Q3870" t="s">
        <v>2319</v>
      </c>
      <c r="R3870" t="s">
        <v>2289</v>
      </c>
      <c r="S3870" t="s">
        <v>2373</v>
      </c>
      <c r="T3870" t="s">
        <v>2085</v>
      </c>
      <c r="U3870">
        <v>241400</v>
      </c>
      <c r="V3870" t="s">
        <v>2395</v>
      </c>
      <c r="W3870" t="s">
        <v>1652</v>
      </c>
      <c r="X3870" t="s">
        <v>21121</v>
      </c>
      <c r="Y3870" t="s">
        <v>4107</v>
      </c>
      <c r="AA3870" t="s">
        <v>3982</v>
      </c>
      <c r="AB3870" t="s">
        <v>21122</v>
      </c>
      <c r="AE3870">
        <v>-41.145284799999999</v>
      </c>
      <c r="AF3870">
        <v>175.0160703</v>
      </c>
      <c r="AG3870">
        <v>51</v>
      </c>
      <c r="AH3870">
        <v>16</v>
      </c>
      <c r="AI3870">
        <v>5</v>
      </c>
      <c r="AJ3870">
        <v>14</v>
      </c>
      <c r="AK3870">
        <v>8</v>
      </c>
      <c r="AL3870">
        <v>15</v>
      </c>
      <c r="AM3870">
        <v>17</v>
      </c>
      <c r="AN3870">
        <v>0</v>
      </c>
      <c r="AO3870">
        <v>59</v>
      </c>
      <c r="AP3870">
        <v>45</v>
      </c>
      <c r="AQ3870">
        <v>5</v>
      </c>
      <c r="AR3870">
        <v>3</v>
      </c>
      <c r="AS3870">
        <v>7</v>
      </c>
      <c r="AT3870">
        <v>6</v>
      </c>
    </row>
    <row r="3871" spans="1:46">
      <c r="A3871">
        <v>60222</v>
      </c>
      <c r="B3871" t="s">
        <v>21123</v>
      </c>
      <c r="C3871" t="s">
        <v>21124</v>
      </c>
      <c r="D3871" t="s">
        <v>21125</v>
      </c>
      <c r="E3871" t="s">
        <v>21126</v>
      </c>
      <c r="F3871" t="s">
        <v>13223</v>
      </c>
      <c r="G3871" t="s">
        <v>2289</v>
      </c>
      <c r="H3871" t="s">
        <v>3942</v>
      </c>
      <c r="J3871" t="s">
        <v>518</v>
      </c>
      <c r="K3871" t="s">
        <v>519</v>
      </c>
      <c r="M3871" t="s">
        <v>2287</v>
      </c>
      <c r="N3871" t="s">
        <v>571</v>
      </c>
      <c r="O3871" t="s">
        <v>2536</v>
      </c>
      <c r="P3871" t="s">
        <v>654</v>
      </c>
      <c r="Q3871" t="s">
        <v>2319</v>
      </c>
      <c r="R3871" t="s">
        <v>2289</v>
      </c>
      <c r="S3871" t="s">
        <v>2553</v>
      </c>
      <c r="T3871" t="s">
        <v>2448</v>
      </c>
      <c r="U3871">
        <v>250800</v>
      </c>
      <c r="V3871" t="s">
        <v>2689</v>
      </c>
      <c r="W3871" t="s">
        <v>2561</v>
      </c>
      <c r="X3871" t="s">
        <v>21127</v>
      </c>
      <c r="Y3871" t="s">
        <v>21128</v>
      </c>
      <c r="Z3871" t="s">
        <v>13223</v>
      </c>
      <c r="AA3871" t="s">
        <v>20227</v>
      </c>
      <c r="AB3871" t="s">
        <v>21129</v>
      </c>
      <c r="AE3871">
        <v>-41.276527790000003</v>
      </c>
      <c r="AF3871">
        <v>174.75774317</v>
      </c>
      <c r="AG3871">
        <v>30</v>
      </c>
      <c r="AH3871">
        <v>10</v>
      </c>
      <c r="AI3871">
        <v>1</v>
      </c>
      <c r="AJ3871">
        <v>8</v>
      </c>
      <c r="AK3871">
        <v>7</v>
      </c>
      <c r="AL3871">
        <v>10</v>
      </c>
      <c r="AM3871">
        <v>12</v>
      </c>
      <c r="AN3871">
        <v>0</v>
      </c>
      <c r="AO3871">
        <v>38</v>
      </c>
      <c r="AP3871">
        <v>33</v>
      </c>
      <c r="AQ3871">
        <v>5</v>
      </c>
      <c r="AR3871">
        <v>0</v>
      </c>
      <c r="AS3871">
        <v>4</v>
      </c>
      <c r="AT3871">
        <v>1</v>
      </c>
    </row>
    <row r="3872" spans="1:46">
      <c r="A3872">
        <v>60225</v>
      </c>
      <c r="B3872" t="s">
        <v>21130</v>
      </c>
      <c r="C3872" t="s">
        <v>21131</v>
      </c>
      <c r="D3872" t="s">
        <v>21132</v>
      </c>
      <c r="E3872" t="s">
        <v>21133</v>
      </c>
      <c r="F3872" t="s">
        <v>2441</v>
      </c>
      <c r="G3872" t="s">
        <v>2427</v>
      </c>
      <c r="H3872" t="s">
        <v>3942</v>
      </c>
      <c r="J3872" t="s">
        <v>518</v>
      </c>
      <c r="K3872" t="s">
        <v>519</v>
      </c>
      <c r="M3872" t="s">
        <v>2287</v>
      </c>
      <c r="N3872" t="s">
        <v>571</v>
      </c>
      <c r="O3872" t="s">
        <v>2428</v>
      </c>
      <c r="P3872" t="s">
        <v>654</v>
      </c>
      <c r="Q3872" t="s">
        <v>2319</v>
      </c>
      <c r="R3872" t="s">
        <v>2289</v>
      </c>
      <c r="S3872" t="s">
        <v>2429</v>
      </c>
      <c r="T3872" t="s">
        <v>2448</v>
      </c>
      <c r="U3872">
        <v>244800</v>
      </c>
      <c r="V3872" t="s">
        <v>21134</v>
      </c>
      <c r="W3872" t="s">
        <v>2443</v>
      </c>
      <c r="X3872" t="s">
        <v>21135</v>
      </c>
      <c r="Y3872" t="s">
        <v>21133</v>
      </c>
      <c r="Z3872" t="s">
        <v>21136</v>
      </c>
      <c r="AA3872" t="s">
        <v>12298</v>
      </c>
      <c r="AE3872">
        <v>-41.215995679999999</v>
      </c>
      <c r="AF3872">
        <v>174.89919030999999</v>
      </c>
      <c r="AG3872">
        <v>47</v>
      </c>
      <c r="AH3872">
        <v>15</v>
      </c>
      <c r="AI3872">
        <v>2</v>
      </c>
      <c r="AJ3872">
        <v>11</v>
      </c>
      <c r="AK3872">
        <v>15</v>
      </c>
      <c r="AL3872">
        <v>13</v>
      </c>
      <c r="AM3872">
        <v>13</v>
      </c>
      <c r="AN3872">
        <v>0</v>
      </c>
      <c r="AO3872">
        <v>54</v>
      </c>
      <c r="AP3872">
        <v>46</v>
      </c>
      <c r="AQ3872">
        <v>11</v>
      </c>
      <c r="AR3872">
        <v>5</v>
      </c>
      <c r="AS3872">
        <v>5</v>
      </c>
      <c r="AT3872">
        <v>1</v>
      </c>
    </row>
    <row r="3873" spans="1:46">
      <c r="A3873">
        <v>60228</v>
      </c>
      <c r="B3873" t="s">
        <v>21137</v>
      </c>
      <c r="C3873" t="s">
        <v>21138</v>
      </c>
      <c r="D3873" t="s">
        <v>21139</v>
      </c>
      <c r="E3873" t="s">
        <v>21140</v>
      </c>
      <c r="F3873" t="s">
        <v>2668</v>
      </c>
      <c r="G3873" t="s">
        <v>2289</v>
      </c>
      <c r="H3873" t="s">
        <v>3942</v>
      </c>
      <c r="I3873" t="s">
        <v>4165</v>
      </c>
      <c r="J3873" t="s">
        <v>518</v>
      </c>
      <c r="K3873" t="s">
        <v>519</v>
      </c>
      <c r="M3873" t="s">
        <v>2287</v>
      </c>
      <c r="N3873" t="s">
        <v>571</v>
      </c>
      <c r="O3873" t="s">
        <v>2536</v>
      </c>
      <c r="P3873" t="s">
        <v>654</v>
      </c>
      <c r="Q3873" t="s">
        <v>2319</v>
      </c>
      <c r="R3873" t="s">
        <v>2289</v>
      </c>
      <c r="S3873" t="s">
        <v>2537</v>
      </c>
      <c r="T3873" t="s">
        <v>2448</v>
      </c>
      <c r="U3873">
        <v>253600</v>
      </c>
      <c r="V3873" t="s">
        <v>2811</v>
      </c>
      <c r="W3873" t="s">
        <v>2538</v>
      </c>
      <c r="X3873" t="s">
        <v>21141</v>
      </c>
      <c r="Y3873" t="s">
        <v>21140</v>
      </c>
      <c r="Z3873" t="s">
        <v>2668</v>
      </c>
      <c r="AA3873" t="s">
        <v>21142</v>
      </c>
      <c r="AB3873" t="s">
        <v>21143</v>
      </c>
      <c r="AE3873">
        <v>-41.317740049999998</v>
      </c>
      <c r="AF3873">
        <v>174.78576305000001</v>
      </c>
      <c r="AG3873">
        <v>32</v>
      </c>
      <c r="AH3873">
        <v>11</v>
      </c>
      <c r="AI3873">
        <v>2</v>
      </c>
      <c r="AJ3873">
        <v>0</v>
      </c>
      <c r="AK3873">
        <v>9</v>
      </c>
      <c r="AL3873">
        <v>6</v>
      </c>
      <c r="AM3873">
        <v>3</v>
      </c>
      <c r="AN3873">
        <v>0</v>
      </c>
      <c r="AO3873">
        <v>20</v>
      </c>
      <c r="AP3873">
        <v>7</v>
      </c>
      <c r="AQ3873">
        <v>5</v>
      </c>
      <c r="AR3873">
        <v>14</v>
      </c>
      <c r="AS3873">
        <v>2</v>
      </c>
      <c r="AT3873">
        <v>2</v>
      </c>
    </row>
    <row r="3874" spans="1:46">
      <c r="A3874">
        <v>60230</v>
      </c>
      <c r="B3874" t="s">
        <v>21144</v>
      </c>
      <c r="C3874" t="s">
        <v>21145</v>
      </c>
      <c r="D3874" t="s">
        <v>21146</v>
      </c>
      <c r="E3874" t="s">
        <v>21147</v>
      </c>
      <c r="F3874" t="s">
        <v>2559</v>
      </c>
      <c r="G3874" t="s">
        <v>2289</v>
      </c>
      <c r="H3874" t="s">
        <v>3942</v>
      </c>
      <c r="J3874" t="s">
        <v>518</v>
      </c>
      <c r="K3874" t="s">
        <v>519</v>
      </c>
      <c r="M3874" t="s">
        <v>2287</v>
      </c>
      <c r="N3874" t="s">
        <v>571</v>
      </c>
      <c r="O3874" t="s">
        <v>2536</v>
      </c>
      <c r="P3874" t="s">
        <v>654</v>
      </c>
      <c r="Q3874" t="s">
        <v>2319</v>
      </c>
      <c r="R3874" t="s">
        <v>2289</v>
      </c>
      <c r="S3874" t="s">
        <v>2553</v>
      </c>
      <c r="T3874" t="s">
        <v>2448</v>
      </c>
      <c r="U3874">
        <v>250600</v>
      </c>
      <c r="V3874" t="s">
        <v>2560</v>
      </c>
      <c r="W3874" t="s">
        <v>2561</v>
      </c>
      <c r="X3874" t="s">
        <v>21148</v>
      </c>
      <c r="Y3874" t="s">
        <v>21147</v>
      </c>
      <c r="Z3874" t="s">
        <v>2559</v>
      </c>
      <c r="AA3874" t="s">
        <v>13225</v>
      </c>
      <c r="AB3874" t="s">
        <v>21149</v>
      </c>
      <c r="AE3874">
        <v>-41.286205619999997</v>
      </c>
      <c r="AF3874">
        <v>174.74003666999999</v>
      </c>
      <c r="AG3874">
        <v>24</v>
      </c>
      <c r="AH3874">
        <v>0</v>
      </c>
      <c r="AI3874">
        <v>0</v>
      </c>
      <c r="AJ3874">
        <v>0</v>
      </c>
      <c r="AK3874">
        <v>8</v>
      </c>
      <c r="AL3874">
        <v>4</v>
      </c>
      <c r="AM3874">
        <v>9</v>
      </c>
      <c r="AN3874">
        <v>0</v>
      </c>
      <c r="AO3874">
        <v>21</v>
      </c>
      <c r="AP3874">
        <v>14</v>
      </c>
      <c r="AQ3874">
        <v>0</v>
      </c>
      <c r="AR3874">
        <v>0</v>
      </c>
      <c r="AS3874">
        <v>6</v>
      </c>
      <c r="AT3874">
        <v>2</v>
      </c>
    </row>
    <row r="3875" spans="1:46">
      <c r="A3875">
        <v>60231</v>
      </c>
      <c r="B3875" t="s">
        <v>21150</v>
      </c>
      <c r="C3875" t="s">
        <v>21151</v>
      </c>
      <c r="D3875" t="s">
        <v>21152</v>
      </c>
      <c r="E3875" t="s">
        <v>21153</v>
      </c>
      <c r="G3875" t="s">
        <v>16385</v>
      </c>
      <c r="H3875" t="s">
        <v>517</v>
      </c>
      <c r="J3875" t="s">
        <v>518</v>
      </c>
      <c r="K3875" t="s">
        <v>519</v>
      </c>
      <c r="M3875" t="s">
        <v>2287</v>
      </c>
      <c r="N3875" t="s">
        <v>571</v>
      </c>
      <c r="O3875" t="s">
        <v>2675</v>
      </c>
      <c r="P3875" t="s">
        <v>1262</v>
      </c>
      <c r="Q3875" t="s">
        <v>2319</v>
      </c>
      <c r="R3875" t="s">
        <v>2289</v>
      </c>
      <c r="S3875" t="s">
        <v>2528</v>
      </c>
      <c r="T3875" t="s">
        <v>1485</v>
      </c>
      <c r="U3875">
        <v>238500</v>
      </c>
      <c r="V3875" t="s">
        <v>16385</v>
      </c>
      <c r="W3875" t="s">
        <v>2751</v>
      </c>
      <c r="X3875" t="s">
        <v>1889</v>
      </c>
      <c r="Y3875" t="s">
        <v>1890</v>
      </c>
      <c r="AA3875" t="s">
        <v>1891</v>
      </c>
      <c r="AB3875" t="s">
        <v>1892</v>
      </c>
      <c r="AE3875">
        <v>-40.932068620000003</v>
      </c>
      <c r="AF3875">
        <v>174.98249963999999</v>
      </c>
      <c r="AG3875">
        <v>45</v>
      </c>
      <c r="AH3875">
        <v>0</v>
      </c>
      <c r="AI3875">
        <v>0</v>
      </c>
      <c r="AJ3875">
        <v>0</v>
      </c>
      <c r="AK3875">
        <v>12</v>
      </c>
      <c r="AL3875">
        <v>10</v>
      </c>
      <c r="AM3875">
        <v>28</v>
      </c>
      <c r="AN3875">
        <v>0</v>
      </c>
      <c r="AO3875">
        <v>50</v>
      </c>
      <c r="AP3875">
        <v>49</v>
      </c>
      <c r="AQ3875">
        <v>9</v>
      </c>
      <c r="AR3875">
        <v>3</v>
      </c>
      <c r="AS3875">
        <v>2</v>
      </c>
      <c r="AT3875">
        <v>1</v>
      </c>
    </row>
    <row r="3876" spans="1:46">
      <c r="A3876">
        <v>60232</v>
      </c>
      <c r="B3876" t="s">
        <v>21154</v>
      </c>
      <c r="C3876" t="s">
        <v>21155</v>
      </c>
      <c r="D3876" t="s">
        <v>21156</v>
      </c>
      <c r="E3876" t="s">
        <v>21157</v>
      </c>
      <c r="F3876" t="s">
        <v>2370</v>
      </c>
      <c r="G3876" t="s">
        <v>2371</v>
      </c>
      <c r="H3876" t="s">
        <v>3942</v>
      </c>
      <c r="J3876" t="s">
        <v>518</v>
      </c>
      <c r="K3876" t="s">
        <v>519</v>
      </c>
      <c r="M3876" t="s">
        <v>2287</v>
      </c>
      <c r="N3876" t="s">
        <v>571</v>
      </c>
      <c r="O3876" t="s">
        <v>2372</v>
      </c>
      <c r="P3876" t="s">
        <v>584</v>
      </c>
      <c r="Q3876" t="s">
        <v>2319</v>
      </c>
      <c r="R3876" t="s">
        <v>2289</v>
      </c>
      <c r="S3876" t="s">
        <v>2373</v>
      </c>
      <c r="T3876" t="s">
        <v>2085</v>
      </c>
      <c r="U3876">
        <v>242500</v>
      </c>
      <c r="V3876" t="s">
        <v>18345</v>
      </c>
      <c r="W3876" t="s">
        <v>1652</v>
      </c>
      <c r="X3876" t="s">
        <v>21158</v>
      </c>
      <c r="Y3876" t="s">
        <v>21157</v>
      </c>
      <c r="Z3876" t="s">
        <v>18345</v>
      </c>
      <c r="AA3876" t="s">
        <v>4742</v>
      </c>
      <c r="AE3876">
        <v>-41.13029212</v>
      </c>
      <c r="AF3876">
        <v>175.06340711000001</v>
      </c>
      <c r="AG3876">
        <v>43</v>
      </c>
      <c r="AH3876">
        <v>14</v>
      </c>
      <c r="AI3876">
        <v>1</v>
      </c>
      <c r="AJ3876">
        <v>12</v>
      </c>
      <c r="AK3876">
        <v>10</v>
      </c>
      <c r="AL3876">
        <v>13</v>
      </c>
      <c r="AM3876">
        <v>12</v>
      </c>
      <c r="AN3876">
        <v>0</v>
      </c>
      <c r="AO3876">
        <v>48</v>
      </c>
      <c r="AP3876">
        <v>38</v>
      </c>
      <c r="AQ3876">
        <v>20</v>
      </c>
      <c r="AR3876">
        <v>3</v>
      </c>
      <c r="AS3876">
        <v>5</v>
      </c>
      <c r="AT3876">
        <v>1</v>
      </c>
    </row>
    <row r="3877" spans="1:46">
      <c r="A3877">
        <v>60235</v>
      </c>
      <c r="B3877" t="s">
        <v>21159</v>
      </c>
      <c r="C3877" t="s">
        <v>21160</v>
      </c>
      <c r="D3877" t="s">
        <v>21161</v>
      </c>
      <c r="E3877" t="s">
        <v>21162</v>
      </c>
      <c r="G3877" t="s">
        <v>2067</v>
      </c>
      <c r="H3877" t="s">
        <v>3942</v>
      </c>
      <c r="J3877" t="s">
        <v>518</v>
      </c>
      <c r="K3877" t="s">
        <v>519</v>
      </c>
      <c r="M3877" t="s">
        <v>2287</v>
      </c>
      <c r="N3877" t="s">
        <v>571</v>
      </c>
      <c r="O3877" t="s">
        <v>2675</v>
      </c>
      <c r="P3877" t="s">
        <v>523</v>
      </c>
      <c r="Q3877" t="s">
        <v>2319</v>
      </c>
      <c r="R3877" t="s">
        <v>2289</v>
      </c>
      <c r="S3877" t="s">
        <v>2067</v>
      </c>
      <c r="T3877" t="s">
        <v>1485</v>
      </c>
      <c r="U3877">
        <v>236500</v>
      </c>
      <c r="V3877" t="s">
        <v>2067</v>
      </c>
      <c r="W3877" t="s">
        <v>2698</v>
      </c>
      <c r="X3877" t="s">
        <v>21163</v>
      </c>
      <c r="Y3877" t="s">
        <v>21164</v>
      </c>
      <c r="Z3877" t="s">
        <v>21165</v>
      </c>
      <c r="AA3877" t="s">
        <v>21166</v>
      </c>
      <c r="AE3877">
        <v>-40.755357250000003</v>
      </c>
      <c r="AF3877">
        <v>175.15216304</v>
      </c>
      <c r="AG3877">
        <v>45</v>
      </c>
      <c r="AH3877">
        <v>0</v>
      </c>
      <c r="AI3877">
        <v>0</v>
      </c>
      <c r="AJ3877">
        <v>0</v>
      </c>
      <c r="AK3877">
        <v>4</v>
      </c>
      <c r="AL3877">
        <v>16</v>
      </c>
      <c r="AM3877">
        <v>17</v>
      </c>
      <c r="AN3877">
        <v>0</v>
      </c>
      <c r="AO3877">
        <v>37</v>
      </c>
      <c r="AP3877">
        <v>29</v>
      </c>
      <c r="AQ3877">
        <v>16</v>
      </c>
      <c r="AR3877">
        <v>7</v>
      </c>
      <c r="AS3877">
        <v>4</v>
      </c>
      <c r="AT3877">
        <v>1</v>
      </c>
    </row>
    <row r="3878" spans="1:46">
      <c r="A3878">
        <v>60236</v>
      </c>
      <c r="B3878" t="s">
        <v>21167</v>
      </c>
      <c r="C3878" t="s">
        <v>21168</v>
      </c>
      <c r="D3878" t="s">
        <v>21169</v>
      </c>
      <c r="E3878" t="s">
        <v>21170</v>
      </c>
      <c r="G3878" t="s">
        <v>2317</v>
      </c>
      <c r="H3878" t="s">
        <v>3942</v>
      </c>
      <c r="J3878" t="s">
        <v>518</v>
      </c>
      <c r="K3878" t="s">
        <v>519</v>
      </c>
      <c r="M3878" t="s">
        <v>2287</v>
      </c>
      <c r="N3878" t="s">
        <v>521</v>
      </c>
      <c r="O3878" t="s">
        <v>2318</v>
      </c>
      <c r="P3878" t="s">
        <v>1262</v>
      </c>
      <c r="Q3878" t="s">
        <v>2319</v>
      </c>
      <c r="R3878" t="s">
        <v>2289</v>
      </c>
      <c r="S3878" t="s">
        <v>2269</v>
      </c>
      <c r="T3878" t="s">
        <v>2085</v>
      </c>
      <c r="U3878">
        <v>255900</v>
      </c>
      <c r="V3878" t="s">
        <v>11982</v>
      </c>
      <c r="W3878" t="s">
        <v>2321</v>
      </c>
      <c r="X3878" t="s">
        <v>21171</v>
      </c>
      <c r="Y3878" t="s">
        <v>21172</v>
      </c>
      <c r="Z3878" t="s">
        <v>2317</v>
      </c>
      <c r="AA3878" t="s">
        <v>11932</v>
      </c>
      <c r="AB3878" t="s">
        <v>21173</v>
      </c>
      <c r="AE3878">
        <v>-40.9525571</v>
      </c>
      <c r="AF3878">
        <v>175.65807839999999</v>
      </c>
      <c r="AG3878">
        <v>30</v>
      </c>
      <c r="AH3878">
        <v>8</v>
      </c>
      <c r="AI3878">
        <v>0</v>
      </c>
      <c r="AJ3878">
        <v>6</v>
      </c>
      <c r="AK3878">
        <v>8</v>
      </c>
      <c r="AL3878">
        <v>6</v>
      </c>
      <c r="AM3878">
        <v>5</v>
      </c>
      <c r="AN3878">
        <v>0</v>
      </c>
      <c r="AO3878">
        <v>25</v>
      </c>
      <c r="AP3878">
        <v>16</v>
      </c>
      <c r="AQ3878">
        <v>13</v>
      </c>
      <c r="AR3878">
        <v>3</v>
      </c>
      <c r="AS3878">
        <v>3</v>
      </c>
      <c r="AT3878">
        <v>0</v>
      </c>
    </row>
    <row r="3879" spans="1:46">
      <c r="A3879">
        <v>60237</v>
      </c>
      <c r="B3879" t="s">
        <v>21174</v>
      </c>
      <c r="C3879" t="s">
        <v>21175</v>
      </c>
      <c r="E3879" t="s">
        <v>21176</v>
      </c>
      <c r="F3879" t="s">
        <v>13223</v>
      </c>
      <c r="G3879" t="s">
        <v>2289</v>
      </c>
      <c r="H3879" t="s">
        <v>3942</v>
      </c>
      <c r="J3879" t="s">
        <v>518</v>
      </c>
      <c r="K3879" t="s">
        <v>519</v>
      </c>
      <c r="M3879" t="s">
        <v>2287</v>
      </c>
      <c r="N3879" t="s">
        <v>571</v>
      </c>
      <c r="O3879" t="s">
        <v>2536</v>
      </c>
      <c r="P3879" t="s">
        <v>654</v>
      </c>
      <c r="Q3879" t="s">
        <v>2319</v>
      </c>
      <c r="R3879" t="s">
        <v>2289</v>
      </c>
      <c r="S3879" t="s">
        <v>2553</v>
      </c>
      <c r="T3879" t="s">
        <v>2448</v>
      </c>
      <c r="U3879">
        <v>250100</v>
      </c>
      <c r="V3879" t="s">
        <v>13223</v>
      </c>
      <c r="W3879" t="s">
        <v>2561</v>
      </c>
      <c r="X3879" t="s">
        <v>21177</v>
      </c>
      <c r="Y3879" t="s">
        <v>21176</v>
      </c>
      <c r="Z3879" t="s">
        <v>13223</v>
      </c>
      <c r="AA3879" t="s">
        <v>13225</v>
      </c>
      <c r="AB3879" t="s">
        <v>21178</v>
      </c>
      <c r="AE3879">
        <v>-41.268306029999998</v>
      </c>
      <c r="AF3879">
        <v>174.75632643</v>
      </c>
      <c r="AG3879">
        <v>48</v>
      </c>
      <c r="AH3879">
        <v>0</v>
      </c>
      <c r="AI3879">
        <v>0</v>
      </c>
      <c r="AJ3879">
        <v>0</v>
      </c>
      <c r="AK3879">
        <v>1</v>
      </c>
      <c r="AL3879">
        <v>13</v>
      </c>
      <c r="AM3879">
        <v>15</v>
      </c>
      <c r="AN3879">
        <v>3</v>
      </c>
      <c r="AO3879">
        <v>32</v>
      </c>
      <c r="AP3879">
        <v>21</v>
      </c>
      <c r="AQ3879">
        <v>3</v>
      </c>
      <c r="AR3879">
        <v>0</v>
      </c>
      <c r="AS3879">
        <v>13</v>
      </c>
      <c r="AT3879">
        <v>8</v>
      </c>
    </row>
    <row r="3880" spans="1:46">
      <c r="A3880">
        <v>60238</v>
      </c>
      <c r="B3880" t="s">
        <v>21179</v>
      </c>
      <c r="C3880" t="s">
        <v>21180</v>
      </c>
      <c r="D3880" t="s">
        <v>21181</v>
      </c>
      <c r="E3880" t="s">
        <v>21182</v>
      </c>
      <c r="G3880" t="s">
        <v>2317</v>
      </c>
      <c r="H3880" t="s">
        <v>3942</v>
      </c>
      <c r="J3880" t="s">
        <v>518</v>
      </c>
      <c r="K3880" t="s">
        <v>519</v>
      </c>
      <c r="M3880" t="s">
        <v>2287</v>
      </c>
      <c r="N3880" t="s">
        <v>571</v>
      </c>
      <c r="O3880" t="s">
        <v>2318</v>
      </c>
      <c r="P3880" t="s">
        <v>1262</v>
      </c>
      <c r="Q3880" t="s">
        <v>2319</v>
      </c>
      <c r="R3880" t="s">
        <v>2289</v>
      </c>
      <c r="S3880" t="s">
        <v>2269</v>
      </c>
      <c r="T3880" t="s">
        <v>2085</v>
      </c>
      <c r="U3880">
        <v>255700</v>
      </c>
      <c r="V3880" t="s">
        <v>2352</v>
      </c>
      <c r="W3880" t="s">
        <v>2321</v>
      </c>
      <c r="X3880" t="s">
        <v>21183</v>
      </c>
      <c r="Y3880" t="s">
        <v>21184</v>
      </c>
      <c r="Z3880" t="s">
        <v>2317</v>
      </c>
      <c r="AA3880" t="s">
        <v>11932</v>
      </c>
      <c r="AC3880">
        <v>99204</v>
      </c>
      <c r="AD3880" t="s">
        <v>2322</v>
      </c>
      <c r="AE3880">
        <v>-40.959104930000002</v>
      </c>
      <c r="AF3880">
        <v>175.64130130999999</v>
      </c>
      <c r="AG3880">
        <v>30</v>
      </c>
      <c r="AH3880">
        <v>0</v>
      </c>
      <c r="AI3880">
        <v>0</v>
      </c>
      <c r="AJ3880">
        <v>0</v>
      </c>
      <c r="AK3880">
        <v>0</v>
      </c>
      <c r="AL3880">
        <v>15</v>
      </c>
      <c r="AM3880">
        <v>22</v>
      </c>
      <c r="AN3880">
        <v>0</v>
      </c>
      <c r="AO3880">
        <v>37</v>
      </c>
      <c r="AP3880">
        <v>31</v>
      </c>
      <c r="AQ3880">
        <v>3</v>
      </c>
      <c r="AR3880">
        <v>2</v>
      </c>
      <c r="AS3880">
        <v>4</v>
      </c>
      <c r="AT3880">
        <v>0</v>
      </c>
    </row>
    <row r="3881" spans="1:46">
      <c r="A3881">
        <v>60240</v>
      </c>
      <c r="B3881" t="s">
        <v>21185</v>
      </c>
      <c r="C3881" t="s">
        <v>21186</v>
      </c>
      <c r="D3881" t="s">
        <v>21187</v>
      </c>
      <c r="E3881" t="s">
        <v>21188</v>
      </c>
      <c r="G3881" t="s">
        <v>20481</v>
      </c>
      <c r="H3881" t="s">
        <v>3942</v>
      </c>
      <c r="J3881" t="s">
        <v>518</v>
      </c>
      <c r="K3881" t="s">
        <v>519</v>
      </c>
      <c r="M3881" t="s">
        <v>2287</v>
      </c>
      <c r="N3881" t="s">
        <v>571</v>
      </c>
      <c r="O3881" t="s">
        <v>2675</v>
      </c>
      <c r="P3881" t="s">
        <v>1262</v>
      </c>
      <c r="Q3881" t="s">
        <v>2319</v>
      </c>
      <c r="R3881" t="s">
        <v>2289</v>
      </c>
      <c r="S3881" t="s">
        <v>2528</v>
      </c>
      <c r="T3881" t="s">
        <v>1485</v>
      </c>
      <c r="U3881">
        <v>238300</v>
      </c>
      <c r="V3881" t="s">
        <v>21189</v>
      </c>
      <c r="W3881" t="s">
        <v>2677</v>
      </c>
      <c r="X3881" t="s">
        <v>10434</v>
      </c>
      <c r="Y3881" t="s">
        <v>3944</v>
      </c>
      <c r="Z3881" t="s">
        <v>3945</v>
      </c>
      <c r="AA3881" t="s">
        <v>3946</v>
      </c>
      <c r="AE3881">
        <v>-40.926032900000003</v>
      </c>
      <c r="AF3881">
        <v>174.99693970000001</v>
      </c>
      <c r="AG3881">
        <v>43</v>
      </c>
      <c r="AH3881">
        <v>14</v>
      </c>
      <c r="AI3881">
        <v>1</v>
      </c>
      <c r="AJ3881">
        <v>5</v>
      </c>
      <c r="AK3881">
        <v>9</v>
      </c>
      <c r="AL3881">
        <v>14</v>
      </c>
      <c r="AM3881">
        <v>14</v>
      </c>
      <c r="AN3881">
        <v>0</v>
      </c>
      <c r="AO3881">
        <v>43</v>
      </c>
      <c r="AP3881">
        <v>32</v>
      </c>
      <c r="AQ3881">
        <v>13</v>
      </c>
      <c r="AR3881">
        <v>3</v>
      </c>
      <c r="AS3881">
        <v>3</v>
      </c>
      <c r="AT3881">
        <v>5</v>
      </c>
    </row>
    <row r="3882" spans="1:46">
      <c r="A3882">
        <v>60241</v>
      </c>
      <c r="B3882" t="s">
        <v>21190</v>
      </c>
      <c r="C3882" t="s">
        <v>21191</v>
      </c>
      <c r="E3882" t="s">
        <v>21192</v>
      </c>
      <c r="F3882" t="s">
        <v>2668</v>
      </c>
      <c r="G3882" t="s">
        <v>2289</v>
      </c>
      <c r="H3882" t="s">
        <v>3942</v>
      </c>
      <c r="J3882" t="s">
        <v>518</v>
      </c>
      <c r="K3882" t="s">
        <v>519</v>
      </c>
      <c r="M3882" t="s">
        <v>2287</v>
      </c>
      <c r="N3882" t="s">
        <v>571</v>
      </c>
      <c r="O3882" t="s">
        <v>2536</v>
      </c>
      <c r="P3882" t="s">
        <v>654</v>
      </c>
      <c r="Q3882" t="s">
        <v>2319</v>
      </c>
      <c r="R3882" t="s">
        <v>2289</v>
      </c>
      <c r="S3882" t="s">
        <v>2537</v>
      </c>
      <c r="T3882" t="s">
        <v>2448</v>
      </c>
      <c r="U3882">
        <v>253000</v>
      </c>
      <c r="V3882" t="s">
        <v>18593</v>
      </c>
      <c r="W3882" t="s">
        <v>2538</v>
      </c>
      <c r="X3882" t="s">
        <v>21193</v>
      </c>
      <c r="Y3882" t="s">
        <v>21192</v>
      </c>
      <c r="Z3882" t="s">
        <v>2668</v>
      </c>
      <c r="AA3882" t="s">
        <v>20374</v>
      </c>
      <c r="AE3882">
        <v>-41.311864059999998</v>
      </c>
      <c r="AF3882">
        <v>174.77768494</v>
      </c>
      <c r="AG3882">
        <v>35</v>
      </c>
      <c r="AH3882">
        <v>0</v>
      </c>
      <c r="AI3882">
        <v>0</v>
      </c>
      <c r="AJ3882">
        <v>0</v>
      </c>
      <c r="AK3882">
        <v>3</v>
      </c>
      <c r="AL3882">
        <v>15</v>
      </c>
      <c r="AM3882">
        <v>16</v>
      </c>
      <c r="AN3882">
        <v>1</v>
      </c>
      <c r="AO3882">
        <v>35</v>
      </c>
      <c r="AP3882">
        <v>26</v>
      </c>
      <c r="AQ3882">
        <v>5</v>
      </c>
      <c r="AR3882">
        <v>3</v>
      </c>
      <c r="AS3882">
        <v>3</v>
      </c>
      <c r="AT3882">
        <v>7</v>
      </c>
    </row>
    <row r="3883" spans="1:46">
      <c r="A3883">
        <v>60246</v>
      </c>
      <c r="B3883" t="s">
        <v>21194</v>
      </c>
      <c r="C3883" t="s">
        <v>21195</v>
      </c>
      <c r="D3883" t="s">
        <v>21196</v>
      </c>
      <c r="E3883" t="s">
        <v>21197</v>
      </c>
      <c r="F3883" t="s">
        <v>21198</v>
      </c>
      <c r="G3883" t="s">
        <v>2289</v>
      </c>
      <c r="H3883" t="s">
        <v>3942</v>
      </c>
      <c r="J3883" t="s">
        <v>518</v>
      </c>
      <c r="K3883" t="s">
        <v>519</v>
      </c>
      <c r="M3883" t="s">
        <v>2287</v>
      </c>
      <c r="N3883" t="s">
        <v>571</v>
      </c>
      <c r="O3883" t="s">
        <v>2536</v>
      </c>
      <c r="P3883" t="s">
        <v>654</v>
      </c>
      <c r="Q3883" t="s">
        <v>2319</v>
      </c>
      <c r="R3883" t="s">
        <v>2289</v>
      </c>
      <c r="S3883" t="s">
        <v>2553</v>
      </c>
      <c r="T3883" t="s">
        <v>2448</v>
      </c>
      <c r="U3883">
        <v>251200</v>
      </c>
      <c r="V3883" t="s">
        <v>21198</v>
      </c>
      <c r="W3883" t="s">
        <v>2573</v>
      </c>
      <c r="X3883" t="s">
        <v>21199</v>
      </c>
      <c r="Y3883" t="s">
        <v>21197</v>
      </c>
      <c r="Z3883" t="s">
        <v>21198</v>
      </c>
      <c r="AA3883" t="s">
        <v>20374</v>
      </c>
      <c r="AB3883" t="s">
        <v>21200</v>
      </c>
      <c r="AE3883">
        <v>-41.295436270000003</v>
      </c>
      <c r="AF3883">
        <v>174.76852775</v>
      </c>
      <c r="AG3883">
        <v>25</v>
      </c>
      <c r="AH3883">
        <v>0</v>
      </c>
      <c r="AI3883">
        <v>0</v>
      </c>
      <c r="AJ3883">
        <v>0</v>
      </c>
      <c r="AK3883">
        <v>6</v>
      </c>
      <c r="AL3883">
        <v>8</v>
      </c>
      <c r="AM3883">
        <v>10</v>
      </c>
      <c r="AN3883">
        <v>0</v>
      </c>
      <c r="AO3883">
        <v>24</v>
      </c>
      <c r="AP3883">
        <v>15</v>
      </c>
      <c r="AQ3883">
        <v>3</v>
      </c>
      <c r="AR3883">
        <v>2</v>
      </c>
      <c r="AS3883">
        <v>10</v>
      </c>
      <c r="AT3883">
        <v>2</v>
      </c>
    </row>
    <row r="3884" spans="1:46">
      <c r="A3884">
        <v>60250</v>
      </c>
      <c r="B3884" t="s">
        <v>21201</v>
      </c>
      <c r="C3884" t="s">
        <v>21202</v>
      </c>
      <c r="D3884" t="s">
        <v>21203</v>
      </c>
      <c r="E3884" t="s">
        <v>21204</v>
      </c>
      <c r="F3884" t="s">
        <v>12163</v>
      </c>
      <c r="G3884" t="s">
        <v>2289</v>
      </c>
      <c r="H3884" t="s">
        <v>3942</v>
      </c>
      <c r="J3884" t="s">
        <v>518</v>
      </c>
      <c r="K3884" t="s">
        <v>519</v>
      </c>
      <c r="M3884" t="s">
        <v>2287</v>
      </c>
      <c r="N3884" t="s">
        <v>571</v>
      </c>
      <c r="O3884" t="s">
        <v>2536</v>
      </c>
      <c r="P3884" t="s">
        <v>654</v>
      </c>
      <c r="Q3884" t="s">
        <v>2319</v>
      </c>
      <c r="R3884" t="s">
        <v>2289</v>
      </c>
      <c r="S3884" t="s">
        <v>2553</v>
      </c>
      <c r="T3884" t="s">
        <v>2448</v>
      </c>
      <c r="U3884">
        <v>250902</v>
      </c>
      <c r="V3884" t="s">
        <v>18995</v>
      </c>
      <c r="W3884" t="s">
        <v>2573</v>
      </c>
      <c r="X3884" t="s">
        <v>21205</v>
      </c>
      <c r="Y3884" t="s">
        <v>21204</v>
      </c>
      <c r="Z3884" t="s">
        <v>12163</v>
      </c>
      <c r="AA3884" t="s">
        <v>20945</v>
      </c>
      <c r="AE3884">
        <v>-41.273844140000001</v>
      </c>
      <c r="AF3884">
        <v>174.78057575</v>
      </c>
      <c r="AG3884">
        <v>29</v>
      </c>
      <c r="AH3884">
        <v>10</v>
      </c>
      <c r="AI3884">
        <v>2</v>
      </c>
      <c r="AJ3884">
        <v>11</v>
      </c>
      <c r="AK3884">
        <v>8</v>
      </c>
      <c r="AL3884">
        <v>8</v>
      </c>
      <c r="AM3884">
        <v>6</v>
      </c>
      <c r="AN3884">
        <v>0</v>
      </c>
      <c r="AO3884">
        <v>35</v>
      </c>
      <c r="AP3884">
        <v>32</v>
      </c>
      <c r="AQ3884">
        <v>2</v>
      </c>
      <c r="AR3884">
        <v>3</v>
      </c>
      <c r="AS3884">
        <v>6</v>
      </c>
      <c r="AT3884">
        <v>4</v>
      </c>
    </row>
    <row r="3885" spans="1:46">
      <c r="A3885">
        <v>60253</v>
      </c>
      <c r="B3885" t="s">
        <v>21206</v>
      </c>
      <c r="C3885" t="s">
        <v>21207</v>
      </c>
      <c r="D3885" t="s">
        <v>21208</v>
      </c>
      <c r="E3885" t="s">
        <v>21209</v>
      </c>
      <c r="F3885" t="s">
        <v>20446</v>
      </c>
      <c r="G3885" t="s">
        <v>2289</v>
      </c>
      <c r="H3885" t="s">
        <v>3942</v>
      </c>
      <c r="J3885" t="s">
        <v>518</v>
      </c>
      <c r="K3885" t="s">
        <v>519</v>
      </c>
      <c r="M3885" t="s">
        <v>2287</v>
      </c>
      <c r="N3885" t="s">
        <v>571</v>
      </c>
      <c r="O3885" t="s">
        <v>2536</v>
      </c>
      <c r="P3885" t="s">
        <v>654</v>
      </c>
      <c r="Q3885" t="s">
        <v>2319</v>
      </c>
      <c r="R3885" t="s">
        <v>2289</v>
      </c>
      <c r="S3885" t="s">
        <v>2553</v>
      </c>
      <c r="T3885" t="s">
        <v>2448</v>
      </c>
      <c r="U3885">
        <v>251200</v>
      </c>
      <c r="V3885" t="s">
        <v>21198</v>
      </c>
      <c r="W3885" t="s">
        <v>2573</v>
      </c>
      <c r="X3885" t="s">
        <v>21210</v>
      </c>
      <c r="Y3885" t="s">
        <v>21211</v>
      </c>
      <c r="Z3885" t="s">
        <v>2289</v>
      </c>
      <c r="AA3885" t="s">
        <v>21022</v>
      </c>
      <c r="AB3885" t="s">
        <v>21212</v>
      </c>
      <c r="AE3885">
        <v>-41.29279365</v>
      </c>
      <c r="AF3885">
        <v>174.76618132999999</v>
      </c>
      <c r="AG3885">
        <v>77</v>
      </c>
      <c r="AH3885">
        <v>37</v>
      </c>
      <c r="AI3885">
        <v>2</v>
      </c>
      <c r="AJ3885">
        <v>27</v>
      </c>
      <c r="AK3885">
        <v>20</v>
      </c>
      <c r="AL3885">
        <v>14</v>
      </c>
      <c r="AM3885">
        <v>18</v>
      </c>
      <c r="AN3885">
        <v>0</v>
      </c>
      <c r="AO3885">
        <v>81</v>
      </c>
      <c r="AP3885">
        <v>54</v>
      </c>
      <c r="AQ3885">
        <v>6</v>
      </c>
      <c r="AR3885">
        <v>1</v>
      </c>
      <c r="AS3885">
        <v>29</v>
      </c>
      <c r="AT3885">
        <v>9</v>
      </c>
    </row>
    <row r="3886" spans="1:46">
      <c r="A3886">
        <v>60255</v>
      </c>
      <c r="B3886" t="s">
        <v>21213</v>
      </c>
      <c r="C3886" t="s">
        <v>21214</v>
      </c>
      <c r="D3886" t="s">
        <v>21215</v>
      </c>
      <c r="E3886" t="s">
        <v>21216</v>
      </c>
      <c r="F3886" t="s">
        <v>2657</v>
      </c>
      <c r="G3886" t="s">
        <v>2289</v>
      </c>
      <c r="H3886" t="s">
        <v>3942</v>
      </c>
      <c r="J3886" t="s">
        <v>518</v>
      </c>
      <c r="K3886" t="s">
        <v>519</v>
      </c>
      <c r="M3886" t="s">
        <v>2287</v>
      </c>
      <c r="N3886" t="s">
        <v>571</v>
      </c>
      <c r="O3886" t="s">
        <v>2536</v>
      </c>
      <c r="P3886" t="s">
        <v>654</v>
      </c>
      <c r="Q3886" t="s">
        <v>2319</v>
      </c>
      <c r="R3886" t="s">
        <v>2289</v>
      </c>
      <c r="S3886" t="s">
        <v>2545</v>
      </c>
      <c r="T3886" t="s">
        <v>2448</v>
      </c>
      <c r="U3886">
        <v>248701</v>
      </c>
      <c r="V3886" t="s">
        <v>2709</v>
      </c>
      <c r="W3886" t="s">
        <v>2547</v>
      </c>
      <c r="X3886" t="s">
        <v>21217</v>
      </c>
      <c r="Y3886" t="s">
        <v>21216</v>
      </c>
      <c r="Z3886" t="s">
        <v>2657</v>
      </c>
      <c r="AA3886" t="s">
        <v>12404</v>
      </c>
      <c r="AE3886">
        <v>-41.221221999999997</v>
      </c>
      <c r="AF3886">
        <v>174.8180792</v>
      </c>
      <c r="AG3886">
        <v>30</v>
      </c>
      <c r="AH3886">
        <v>10</v>
      </c>
      <c r="AI3886">
        <v>1</v>
      </c>
      <c r="AJ3886">
        <v>7</v>
      </c>
      <c r="AK3886">
        <v>11</v>
      </c>
      <c r="AL3886">
        <v>13</v>
      </c>
      <c r="AM3886">
        <v>12</v>
      </c>
      <c r="AN3886">
        <v>0</v>
      </c>
      <c r="AO3886">
        <v>44</v>
      </c>
      <c r="AP3886">
        <v>35</v>
      </c>
      <c r="AQ3886">
        <v>3</v>
      </c>
      <c r="AR3886">
        <v>3</v>
      </c>
      <c r="AS3886">
        <v>12</v>
      </c>
      <c r="AT3886">
        <v>3</v>
      </c>
    </row>
    <row r="3887" spans="1:46">
      <c r="A3887">
        <v>60257</v>
      </c>
      <c r="B3887" t="s">
        <v>21218</v>
      </c>
      <c r="C3887" t="s">
        <v>21219</v>
      </c>
      <c r="D3887" t="s">
        <v>21220</v>
      </c>
      <c r="E3887" t="s">
        <v>21221</v>
      </c>
      <c r="F3887" t="s">
        <v>2370</v>
      </c>
      <c r="G3887" t="s">
        <v>2371</v>
      </c>
      <c r="H3887" t="s">
        <v>3942</v>
      </c>
      <c r="I3887" t="s">
        <v>16275</v>
      </c>
      <c r="J3887" t="s">
        <v>518</v>
      </c>
      <c r="K3887" t="s">
        <v>519</v>
      </c>
      <c r="M3887" t="s">
        <v>2287</v>
      </c>
      <c r="N3887" t="s">
        <v>571</v>
      </c>
      <c r="O3887" t="s">
        <v>2372</v>
      </c>
      <c r="P3887" t="s">
        <v>584</v>
      </c>
      <c r="Q3887" t="s">
        <v>2319</v>
      </c>
      <c r="R3887" t="s">
        <v>2289</v>
      </c>
      <c r="S3887" t="s">
        <v>2373</v>
      </c>
      <c r="T3887" t="s">
        <v>2085</v>
      </c>
      <c r="U3887">
        <v>242000</v>
      </c>
      <c r="V3887" t="s">
        <v>2417</v>
      </c>
      <c r="W3887" t="s">
        <v>1652</v>
      </c>
      <c r="X3887" t="s">
        <v>21222</v>
      </c>
      <c r="Y3887" t="s">
        <v>4554</v>
      </c>
      <c r="Z3887" t="s">
        <v>4555</v>
      </c>
      <c r="AA3887" t="s">
        <v>4556</v>
      </c>
      <c r="AE3887">
        <v>-41.132078569999997</v>
      </c>
      <c r="AF3887">
        <v>175.04902084</v>
      </c>
      <c r="AG3887">
        <v>33</v>
      </c>
      <c r="AH3887">
        <v>5</v>
      </c>
      <c r="AI3887">
        <v>1</v>
      </c>
      <c r="AJ3887">
        <v>3</v>
      </c>
      <c r="AK3887">
        <v>6</v>
      </c>
      <c r="AL3887">
        <v>8</v>
      </c>
      <c r="AM3887">
        <v>9</v>
      </c>
      <c r="AN3887">
        <v>0</v>
      </c>
      <c r="AO3887">
        <v>27</v>
      </c>
      <c r="AP3887">
        <v>20</v>
      </c>
      <c r="AQ3887">
        <v>5</v>
      </c>
      <c r="AR3887">
        <v>4</v>
      </c>
      <c r="AS3887">
        <v>7</v>
      </c>
      <c r="AT3887">
        <v>1</v>
      </c>
    </row>
    <row r="3888" spans="1:46">
      <c r="A3888">
        <v>60259</v>
      </c>
      <c r="B3888" t="s">
        <v>21223</v>
      </c>
      <c r="C3888" t="s">
        <v>21224</v>
      </c>
      <c r="D3888" t="s">
        <v>21225</v>
      </c>
      <c r="E3888" t="s">
        <v>21226</v>
      </c>
      <c r="F3888" t="s">
        <v>12163</v>
      </c>
      <c r="G3888" t="s">
        <v>2289</v>
      </c>
      <c r="H3888" t="s">
        <v>3942</v>
      </c>
      <c r="J3888" t="s">
        <v>518</v>
      </c>
      <c r="K3888" t="s">
        <v>519</v>
      </c>
      <c r="M3888" t="s">
        <v>2287</v>
      </c>
      <c r="N3888" t="s">
        <v>571</v>
      </c>
      <c r="O3888" t="s">
        <v>2536</v>
      </c>
      <c r="P3888" t="s">
        <v>654</v>
      </c>
      <c r="Q3888" t="s">
        <v>2319</v>
      </c>
      <c r="R3888" t="s">
        <v>2289</v>
      </c>
      <c r="S3888" t="s">
        <v>2553</v>
      </c>
      <c r="T3888" t="s">
        <v>2448</v>
      </c>
      <c r="U3888">
        <v>250902</v>
      </c>
      <c r="V3888" t="s">
        <v>18995</v>
      </c>
      <c r="W3888" t="s">
        <v>2573</v>
      </c>
      <c r="X3888" t="s">
        <v>21227</v>
      </c>
      <c r="Y3888" t="s">
        <v>21228</v>
      </c>
      <c r="Z3888" t="s">
        <v>12163</v>
      </c>
      <c r="AA3888" t="s">
        <v>20945</v>
      </c>
      <c r="AE3888">
        <v>-41.269875999999996</v>
      </c>
      <c r="AF3888">
        <v>174.7800014</v>
      </c>
      <c r="AG3888">
        <v>28</v>
      </c>
      <c r="AH3888">
        <v>0</v>
      </c>
      <c r="AI3888">
        <v>0</v>
      </c>
      <c r="AJ3888">
        <v>0</v>
      </c>
      <c r="AK3888">
        <v>5</v>
      </c>
      <c r="AL3888">
        <v>15</v>
      </c>
      <c r="AM3888">
        <v>9</v>
      </c>
      <c r="AN3888">
        <v>0</v>
      </c>
      <c r="AO3888">
        <v>29</v>
      </c>
      <c r="AP3888">
        <v>21</v>
      </c>
      <c r="AQ3888">
        <v>3</v>
      </c>
      <c r="AR3888">
        <v>1</v>
      </c>
      <c r="AS3888">
        <v>11</v>
      </c>
      <c r="AT3888">
        <v>2</v>
      </c>
    </row>
    <row r="3889" spans="1:46">
      <c r="A3889">
        <v>60260</v>
      </c>
      <c r="B3889" t="s">
        <v>21229</v>
      </c>
      <c r="C3889" t="s">
        <v>21230</v>
      </c>
      <c r="D3889" t="s">
        <v>21231</v>
      </c>
      <c r="E3889" t="s">
        <v>21232</v>
      </c>
      <c r="G3889" t="s">
        <v>2749</v>
      </c>
      <c r="H3889" t="s">
        <v>3942</v>
      </c>
      <c r="J3889" t="s">
        <v>3962</v>
      </c>
      <c r="K3889" t="s">
        <v>519</v>
      </c>
      <c r="M3889" t="s">
        <v>2287</v>
      </c>
      <c r="N3889" t="s">
        <v>571</v>
      </c>
      <c r="O3889" t="s">
        <v>2675</v>
      </c>
      <c r="P3889" t="s">
        <v>1262</v>
      </c>
      <c r="Q3889" t="s">
        <v>2319</v>
      </c>
      <c r="R3889" t="s">
        <v>2289</v>
      </c>
      <c r="S3889" t="s">
        <v>2528</v>
      </c>
      <c r="T3889" t="s">
        <v>1485</v>
      </c>
      <c r="U3889">
        <v>238000</v>
      </c>
      <c r="V3889" t="s">
        <v>2750</v>
      </c>
      <c r="W3889" t="s">
        <v>2751</v>
      </c>
      <c r="X3889" t="s">
        <v>21233</v>
      </c>
      <c r="Y3889" t="s">
        <v>21232</v>
      </c>
      <c r="Z3889" t="s">
        <v>2749</v>
      </c>
      <c r="AA3889" t="s">
        <v>18927</v>
      </c>
      <c r="AB3889" t="s">
        <v>21230</v>
      </c>
      <c r="AE3889">
        <v>-40.919319989999998</v>
      </c>
      <c r="AF3889">
        <v>174.98246811000001</v>
      </c>
      <c r="AG3889">
        <v>47</v>
      </c>
      <c r="AH3889">
        <v>17</v>
      </c>
      <c r="AI3889">
        <v>1</v>
      </c>
      <c r="AJ3889">
        <v>9</v>
      </c>
      <c r="AK3889">
        <v>21</v>
      </c>
      <c r="AL3889">
        <v>17</v>
      </c>
      <c r="AM3889">
        <v>9</v>
      </c>
      <c r="AN3889">
        <v>2</v>
      </c>
      <c r="AO3889">
        <v>59</v>
      </c>
      <c r="AP3889">
        <v>48</v>
      </c>
      <c r="AQ3889">
        <v>14</v>
      </c>
      <c r="AR3889">
        <v>7</v>
      </c>
      <c r="AS3889">
        <v>4</v>
      </c>
      <c r="AT3889">
        <v>4</v>
      </c>
    </row>
    <row r="3890" spans="1:46">
      <c r="A3890">
        <v>60263</v>
      </c>
      <c r="B3890" t="s">
        <v>21234</v>
      </c>
      <c r="C3890" t="s">
        <v>21235</v>
      </c>
      <c r="D3890" t="s">
        <v>21236</v>
      </c>
      <c r="E3890" t="s">
        <v>21237</v>
      </c>
      <c r="F3890" t="s">
        <v>2668</v>
      </c>
      <c r="G3890" t="s">
        <v>2289</v>
      </c>
      <c r="H3890" t="s">
        <v>3942</v>
      </c>
      <c r="J3890" t="s">
        <v>518</v>
      </c>
      <c r="K3890" t="s">
        <v>519</v>
      </c>
      <c r="M3890" t="s">
        <v>2287</v>
      </c>
      <c r="N3890" t="s">
        <v>571</v>
      </c>
      <c r="O3890" t="s">
        <v>2536</v>
      </c>
      <c r="P3890" t="s">
        <v>654</v>
      </c>
      <c r="Q3890" t="s">
        <v>2319</v>
      </c>
      <c r="R3890" t="s">
        <v>2289</v>
      </c>
      <c r="S3890" t="s">
        <v>2537</v>
      </c>
      <c r="T3890" t="s">
        <v>2448</v>
      </c>
      <c r="U3890">
        <v>253600</v>
      </c>
      <c r="V3890" t="s">
        <v>2811</v>
      </c>
      <c r="W3890" t="s">
        <v>2538</v>
      </c>
      <c r="X3890" t="s">
        <v>21238</v>
      </c>
      <c r="Y3890" t="s">
        <v>21237</v>
      </c>
      <c r="Z3890" t="s">
        <v>2668</v>
      </c>
      <c r="AA3890" t="s">
        <v>20374</v>
      </c>
      <c r="AE3890">
        <v>-41.3151352</v>
      </c>
      <c r="AF3890">
        <v>174.78529671000001</v>
      </c>
      <c r="AG3890">
        <v>25</v>
      </c>
      <c r="AH3890">
        <v>8</v>
      </c>
      <c r="AI3890">
        <v>0</v>
      </c>
      <c r="AJ3890">
        <v>5</v>
      </c>
      <c r="AK3890">
        <v>8</v>
      </c>
      <c r="AL3890">
        <v>11</v>
      </c>
      <c r="AM3890">
        <v>9</v>
      </c>
      <c r="AN3890">
        <v>0</v>
      </c>
      <c r="AO3890">
        <v>33</v>
      </c>
      <c r="AP3890">
        <v>29</v>
      </c>
      <c r="AQ3890">
        <v>0</v>
      </c>
      <c r="AR3890">
        <v>0</v>
      </c>
      <c r="AS3890">
        <v>7</v>
      </c>
      <c r="AT3890">
        <v>2</v>
      </c>
    </row>
    <row r="3891" spans="1:46">
      <c r="A3891">
        <v>60264</v>
      </c>
      <c r="B3891" t="s">
        <v>21239</v>
      </c>
      <c r="C3891" t="s">
        <v>21240</v>
      </c>
      <c r="D3891" t="s">
        <v>14117</v>
      </c>
      <c r="E3891" t="s">
        <v>21241</v>
      </c>
      <c r="F3891" t="s">
        <v>2544</v>
      </c>
      <c r="G3891" t="s">
        <v>2289</v>
      </c>
      <c r="H3891" t="s">
        <v>3942</v>
      </c>
      <c r="J3891" t="s">
        <v>3962</v>
      </c>
      <c r="K3891" t="s">
        <v>519</v>
      </c>
      <c r="M3891" t="s">
        <v>2287</v>
      </c>
      <c r="N3891" t="s">
        <v>571</v>
      </c>
      <c r="O3891" t="s">
        <v>2536</v>
      </c>
      <c r="P3891" t="s">
        <v>654</v>
      </c>
      <c r="Q3891" t="s">
        <v>2319</v>
      </c>
      <c r="R3891" t="s">
        <v>2289</v>
      </c>
      <c r="S3891" t="s">
        <v>2545</v>
      </c>
      <c r="T3891" t="s">
        <v>1485</v>
      </c>
      <c r="U3891">
        <v>247900</v>
      </c>
      <c r="V3891" t="s">
        <v>2778</v>
      </c>
      <c r="W3891" t="s">
        <v>2547</v>
      </c>
      <c r="X3891" t="s">
        <v>11535</v>
      </c>
      <c r="Y3891" t="s">
        <v>14119</v>
      </c>
      <c r="Z3891" t="s">
        <v>821</v>
      </c>
      <c r="AA3891" t="s">
        <v>4069</v>
      </c>
      <c r="AB3891" t="s">
        <v>11537</v>
      </c>
      <c r="AE3891">
        <v>-41.168173500000002</v>
      </c>
      <c r="AF3891">
        <v>174.82613934</v>
      </c>
      <c r="AG3891">
        <v>34</v>
      </c>
      <c r="AH3891">
        <v>0</v>
      </c>
      <c r="AI3891">
        <v>0</v>
      </c>
      <c r="AJ3891">
        <v>0</v>
      </c>
      <c r="AK3891">
        <v>7</v>
      </c>
      <c r="AL3891">
        <v>16</v>
      </c>
      <c r="AM3891">
        <v>21</v>
      </c>
      <c r="AN3891">
        <v>1</v>
      </c>
      <c r="AO3891">
        <v>45</v>
      </c>
      <c r="AP3891">
        <v>24</v>
      </c>
      <c r="AQ3891">
        <v>4</v>
      </c>
      <c r="AR3891">
        <v>4</v>
      </c>
      <c r="AS3891">
        <v>18</v>
      </c>
      <c r="AT3891">
        <v>3</v>
      </c>
    </row>
    <row r="3892" spans="1:46">
      <c r="A3892">
        <v>60267</v>
      </c>
      <c r="B3892" t="s">
        <v>21242</v>
      </c>
      <c r="C3892" t="s">
        <v>21243</v>
      </c>
      <c r="D3892" t="s">
        <v>21244</v>
      </c>
      <c r="E3892" t="s">
        <v>21245</v>
      </c>
      <c r="F3892" t="s">
        <v>2426</v>
      </c>
      <c r="G3892" t="s">
        <v>2427</v>
      </c>
      <c r="H3892" t="s">
        <v>3942</v>
      </c>
      <c r="J3892" t="s">
        <v>3962</v>
      </c>
      <c r="K3892" t="s">
        <v>519</v>
      </c>
      <c r="M3892" t="s">
        <v>2287</v>
      </c>
      <c r="N3892" t="s">
        <v>557</v>
      </c>
      <c r="O3892" t="s">
        <v>2428</v>
      </c>
      <c r="P3892" t="s">
        <v>654</v>
      </c>
      <c r="Q3892" t="s">
        <v>2319</v>
      </c>
      <c r="R3892" t="s">
        <v>2289</v>
      </c>
      <c r="S3892" t="s">
        <v>2429</v>
      </c>
      <c r="T3892" t="s">
        <v>2085</v>
      </c>
      <c r="U3892">
        <v>247300</v>
      </c>
      <c r="V3892" t="s">
        <v>11655</v>
      </c>
      <c r="W3892" t="s">
        <v>2431</v>
      </c>
      <c r="X3892" t="s">
        <v>19044</v>
      </c>
      <c r="Y3892" t="s">
        <v>19045</v>
      </c>
      <c r="Z3892" t="s">
        <v>2657</v>
      </c>
      <c r="AA3892" t="s">
        <v>19046</v>
      </c>
      <c r="AB3892" t="s">
        <v>19047</v>
      </c>
      <c r="AC3892">
        <v>99090</v>
      </c>
      <c r="AD3892" t="s">
        <v>2436</v>
      </c>
      <c r="AE3892">
        <v>-41.275811769999997</v>
      </c>
      <c r="AF3892">
        <v>174.95942171999999</v>
      </c>
      <c r="AG3892">
        <v>60</v>
      </c>
      <c r="AH3892">
        <v>20</v>
      </c>
      <c r="AI3892">
        <v>2</v>
      </c>
      <c r="AJ3892">
        <v>7</v>
      </c>
      <c r="AK3892">
        <v>13</v>
      </c>
      <c r="AL3892">
        <v>17</v>
      </c>
      <c r="AM3892">
        <v>16</v>
      </c>
      <c r="AN3892">
        <v>0</v>
      </c>
      <c r="AO3892">
        <v>55</v>
      </c>
      <c r="AP3892">
        <v>44</v>
      </c>
      <c r="AQ3892">
        <v>14</v>
      </c>
      <c r="AR3892">
        <v>5</v>
      </c>
      <c r="AS3892">
        <v>7</v>
      </c>
      <c r="AT3892">
        <v>0</v>
      </c>
    </row>
    <row r="3893" spans="1:46">
      <c r="A3893">
        <v>60270</v>
      </c>
      <c r="B3893" t="s">
        <v>21246</v>
      </c>
      <c r="C3893" t="s">
        <v>21247</v>
      </c>
      <c r="D3893" t="s">
        <v>21248</v>
      </c>
      <c r="E3893" t="s">
        <v>21249</v>
      </c>
      <c r="F3893" t="s">
        <v>2597</v>
      </c>
      <c r="G3893" t="s">
        <v>2289</v>
      </c>
      <c r="H3893" t="s">
        <v>3942</v>
      </c>
      <c r="J3893" t="s">
        <v>3962</v>
      </c>
      <c r="K3893" t="s">
        <v>519</v>
      </c>
      <c r="M3893" t="s">
        <v>2287</v>
      </c>
      <c r="N3893" t="s">
        <v>571</v>
      </c>
      <c r="O3893" t="s">
        <v>2536</v>
      </c>
      <c r="P3893" t="s">
        <v>654</v>
      </c>
      <c r="Q3893" t="s">
        <v>2319</v>
      </c>
      <c r="R3893" t="s">
        <v>2289</v>
      </c>
      <c r="S3893" t="s">
        <v>2545</v>
      </c>
      <c r="T3893" t="s">
        <v>2448</v>
      </c>
      <c r="U3893">
        <v>248400</v>
      </c>
      <c r="V3893" t="s">
        <v>2603</v>
      </c>
      <c r="W3893" t="s">
        <v>2547</v>
      </c>
      <c r="X3893" t="s">
        <v>12395</v>
      </c>
      <c r="Y3893" t="s">
        <v>12396</v>
      </c>
      <c r="Z3893" t="s">
        <v>12397</v>
      </c>
      <c r="AA3893" t="s">
        <v>12398</v>
      </c>
      <c r="AE3893">
        <v>-41.22726402</v>
      </c>
      <c r="AF3893">
        <v>174.79919312000001</v>
      </c>
      <c r="AG3893">
        <v>75</v>
      </c>
      <c r="AH3893">
        <v>25</v>
      </c>
      <c r="AI3893">
        <v>2</v>
      </c>
      <c r="AJ3893">
        <v>25</v>
      </c>
      <c r="AK3893">
        <v>17</v>
      </c>
      <c r="AL3893">
        <v>21</v>
      </c>
      <c r="AM3893">
        <v>14</v>
      </c>
      <c r="AN3893">
        <v>0</v>
      </c>
      <c r="AO3893">
        <v>79</v>
      </c>
      <c r="AP3893">
        <v>59</v>
      </c>
      <c r="AQ3893">
        <v>20</v>
      </c>
      <c r="AR3893">
        <v>5</v>
      </c>
      <c r="AS3893">
        <v>17</v>
      </c>
      <c r="AT3893">
        <v>6</v>
      </c>
    </row>
    <row r="3894" spans="1:46">
      <c r="A3894">
        <v>60272</v>
      </c>
      <c r="B3894" t="s">
        <v>21250</v>
      </c>
      <c r="C3894" t="s">
        <v>21251</v>
      </c>
      <c r="D3894" t="s">
        <v>21252</v>
      </c>
      <c r="E3894" t="s">
        <v>21253</v>
      </c>
      <c r="F3894" t="s">
        <v>2613</v>
      </c>
      <c r="G3894" t="s">
        <v>2526</v>
      </c>
      <c r="H3894" t="s">
        <v>3942</v>
      </c>
      <c r="J3894" t="s">
        <v>3962</v>
      </c>
      <c r="K3894" t="s">
        <v>519</v>
      </c>
      <c r="M3894" t="s">
        <v>2287</v>
      </c>
      <c r="N3894" t="s">
        <v>557</v>
      </c>
      <c r="O3894" t="s">
        <v>2527</v>
      </c>
      <c r="P3894" t="s">
        <v>584</v>
      </c>
      <c r="Q3894" t="s">
        <v>2319</v>
      </c>
      <c r="R3894" t="s">
        <v>2289</v>
      </c>
      <c r="S3894" t="s">
        <v>2528</v>
      </c>
      <c r="T3894" t="s">
        <v>1485</v>
      </c>
      <c r="U3894">
        <v>239300</v>
      </c>
      <c r="V3894" t="s">
        <v>2614</v>
      </c>
      <c r="W3894" t="s">
        <v>2529</v>
      </c>
      <c r="X3894" t="s">
        <v>21254</v>
      </c>
      <c r="Y3894" t="s">
        <v>21255</v>
      </c>
      <c r="AA3894" t="s">
        <v>21256</v>
      </c>
      <c r="AB3894" t="s">
        <v>21251</v>
      </c>
      <c r="AC3894">
        <v>99094</v>
      </c>
      <c r="AD3894" t="s">
        <v>2615</v>
      </c>
      <c r="AE3894">
        <v>-41.127329590000002</v>
      </c>
      <c r="AF3894">
        <v>174.82603388000001</v>
      </c>
      <c r="AG3894">
        <v>58</v>
      </c>
      <c r="AH3894">
        <v>15</v>
      </c>
      <c r="AI3894">
        <v>2</v>
      </c>
      <c r="AJ3894">
        <v>6</v>
      </c>
      <c r="AK3894">
        <v>14</v>
      </c>
      <c r="AL3894">
        <v>11</v>
      </c>
      <c r="AM3894">
        <v>9</v>
      </c>
      <c r="AN3894">
        <v>0</v>
      </c>
      <c r="AO3894">
        <v>42</v>
      </c>
      <c r="AP3894">
        <v>17</v>
      </c>
      <c r="AQ3894">
        <v>38</v>
      </c>
      <c r="AR3894">
        <v>16</v>
      </c>
      <c r="AS3894">
        <v>4</v>
      </c>
      <c r="AT3894">
        <v>1</v>
      </c>
    </row>
    <row r="3895" spans="1:46">
      <c r="A3895">
        <v>60277</v>
      </c>
      <c r="B3895" t="s">
        <v>21257</v>
      </c>
      <c r="C3895" t="s">
        <v>21258</v>
      </c>
      <c r="D3895" t="s">
        <v>21259</v>
      </c>
      <c r="E3895" t="s">
        <v>21260</v>
      </c>
      <c r="F3895" t="s">
        <v>2578</v>
      </c>
      <c r="G3895" t="s">
        <v>2526</v>
      </c>
      <c r="H3895" t="s">
        <v>3942</v>
      </c>
      <c r="J3895" t="s">
        <v>518</v>
      </c>
      <c r="K3895" t="s">
        <v>519</v>
      </c>
      <c r="M3895" t="s">
        <v>2287</v>
      </c>
      <c r="N3895" t="s">
        <v>571</v>
      </c>
      <c r="O3895" t="s">
        <v>2527</v>
      </c>
      <c r="P3895" t="s">
        <v>584</v>
      </c>
      <c r="Q3895" t="s">
        <v>2319</v>
      </c>
      <c r="R3895" t="s">
        <v>2289</v>
      </c>
      <c r="S3895" t="s">
        <v>2528</v>
      </c>
      <c r="T3895" t="s">
        <v>1485</v>
      </c>
      <c r="U3895">
        <v>240602</v>
      </c>
      <c r="V3895" t="s">
        <v>21261</v>
      </c>
      <c r="W3895" t="s">
        <v>2579</v>
      </c>
      <c r="X3895" t="s">
        <v>21262</v>
      </c>
      <c r="Y3895" t="s">
        <v>21263</v>
      </c>
      <c r="Z3895" t="s">
        <v>2578</v>
      </c>
      <c r="AA3895" t="s">
        <v>14111</v>
      </c>
      <c r="AB3895" t="s">
        <v>21264</v>
      </c>
      <c r="AC3895">
        <v>99068</v>
      </c>
      <c r="AD3895" t="s">
        <v>2530</v>
      </c>
      <c r="AE3895">
        <v>-41.112575800000002</v>
      </c>
      <c r="AF3895">
        <v>174.90414390000001</v>
      </c>
      <c r="AG3895">
        <v>50</v>
      </c>
      <c r="AH3895">
        <v>0</v>
      </c>
      <c r="AI3895">
        <v>0</v>
      </c>
      <c r="AJ3895">
        <v>0</v>
      </c>
      <c r="AK3895">
        <v>2</v>
      </c>
      <c r="AL3895">
        <v>20</v>
      </c>
      <c r="AM3895">
        <v>23</v>
      </c>
      <c r="AN3895">
        <v>1</v>
      </c>
      <c r="AO3895">
        <v>46</v>
      </c>
      <c r="AP3895">
        <v>29</v>
      </c>
      <c r="AQ3895">
        <v>6</v>
      </c>
      <c r="AR3895">
        <v>1</v>
      </c>
      <c r="AS3895">
        <v>19</v>
      </c>
      <c r="AT3895">
        <v>3</v>
      </c>
    </row>
    <row r="3896" spans="1:46">
      <c r="A3896">
        <v>60278</v>
      </c>
      <c r="B3896" t="s">
        <v>21265</v>
      </c>
      <c r="C3896" t="s">
        <v>21266</v>
      </c>
      <c r="D3896" t="s">
        <v>21267</v>
      </c>
      <c r="E3896" t="s">
        <v>21268</v>
      </c>
      <c r="F3896" t="s">
        <v>18345</v>
      </c>
      <c r="G3896" t="s">
        <v>2371</v>
      </c>
      <c r="H3896" t="s">
        <v>517</v>
      </c>
      <c r="J3896" t="s">
        <v>518</v>
      </c>
      <c r="K3896" t="s">
        <v>519</v>
      </c>
      <c r="M3896" t="s">
        <v>2287</v>
      </c>
      <c r="N3896" t="s">
        <v>571</v>
      </c>
      <c r="O3896" t="s">
        <v>2372</v>
      </c>
      <c r="P3896" t="s">
        <v>584</v>
      </c>
      <c r="Q3896" t="s">
        <v>2319</v>
      </c>
      <c r="R3896" t="s">
        <v>2289</v>
      </c>
      <c r="S3896" t="s">
        <v>2373</v>
      </c>
      <c r="T3896" t="s">
        <v>2085</v>
      </c>
      <c r="U3896">
        <v>242200</v>
      </c>
      <c r="V3896" t="s">
        <v>14902</v>
      </c>
      <c r="W3896" t="s">
        <v>1652</v>
      </c>
      <c r="X3896" t="s">
        <v>1889</v>
      </c>
      <c r="Y3896" t="s">
        <v>1890</v>
      </c>
      <c r="AA3896" t="s">
        <v>1891</v>
      </c>
      <c r="AB3896" t="s">
        <v>1892</v>
      </c>
      <c r="AE3896">
        <v>-41.141769869999997</v>
      </c>
      <c r="AF3896">
        <v>175.05098641000001</v>
      </c>
      <c r="AG3896">
        <v>50</v>
      </c>
      <c r="AH3896">
        <v>5</v>
      </c>
      <c r="AI3896">
        <v>1</v>
      </c>
      <c r="AJ3896">
        <v>7</v>
      </c>
      <c r="AK3896">
        <v>10</v>
      </c>
      <c r="AL3896">
        <v>20</v>
      </c>
      <c r="AM3896">
        <v>13</v>
      </c>
      <c r="AN3896">
        <v>0</v>
      </c>
      <c r="AO3896">
        <v>51</v>
      </c>
      <c r="AP3896">
        <v>48</v>
      </c>
      <c r="AQ3896">
        <v>8</v>
      </c>
      <c r="AR3896">
        <v>8</v>
      </c>
      <c r="AS3896">
        <v>1</v>
      </c>
      <c r="AT3896">
        <v>1</v>
      </c>
    </row>
    <row r="3897" spans="1:46">
      <c r="A3897">
        <v>60283</v>
      </c>
      <c r="B3897" t="s">
        <v>21269</v>
      </c>
      <c r="C3897" t="s">
        <v>21270</v>
      </c>
      <c r="E3897" t="s">
        <v>21271</v>
      </c>
      <c r="F3897" t="s">
        <v>14817</v>
      </c>
      <c r="G3897" t="s">
        <v>2289</v>
      </c>
      <c r="H3897" t="s">
        <v>3942</v>
      </c>
      <c r="J3897" t="s">
        <v>518</v>
      </c>
      <c r="K3897" t="s">
        <v>519</v>
      </c>
      <c r="M3897" t="s">
        <v>2287</v>
      </c>
      <c r="N3897" t="s">
        <v>571</v>
      </c>
      <c r="O3897" t="s">
        <v>2536</v>
      </c>
      <c r="P3897" t="s">
        <v>654</v>
      </c>
      <c r="Q3897" t="s">
        <v>2319</v>
      </c>
      <c r="R3897" t="s">
        <v>2289</v>
      </c>
      <c r="S3897" t="s">
        <v>2553</v>
      </c>
      <c r="T3897" t="s">
        <v>2448</v>
      </c>
      <c r="U3897">
        <v>251000</v>
      </c>
      <c r="V3897" t="s">
        <v>21272</v>
      </c>
      <c r="W3897" t="s">
        <v>2573</v>
      </c>
      <c r="X3897" t="s">
        <v>21210</v>
      </c>
      <c r="Y3897" t="s">
        <v>21211</v>
      </c>
      <c r="Z3897" t="s">
        <v>2289</v>
      </c>
      <c r="AA3897" t="s">
        <v>21022</v>
      </c>
      <c r="AB3897" t="s">
        <v>21212</v>
      </c>
      <c r="AE3897">
        <v>-41.283077069999997</v>
      </c>
      <c r="AF3897">
        <v>174.77099469999999</v>
      </c>
      <c r="AG3897">
        <v>67</v>
      </c>
      <c r="AH3897">
        <v>24</v>
      </c>
      <c r="AI3897">
        <v>2</v>
      </c>
      <c r="AJ3897">
        <v>11</v>
      </c>
      <c r="AK3897">
        <v>17</v>
      </c>
      <c r="AL3897">
        <v>22</v>
      </c>
      <c r="AM3897">
        <v>20</v>
      </c>
      <c r="AN3897">
        <v>2</v>
      </c>
      <c r="AO3897">
        <v>74</v>
      </c>
      <c r="AP3897">
        <v>60</v>
      </c>
      <c r="AQ3897">
        <v>8</v>
      </c>
      <c r="AR3897">
        <v>5</v>
      </c>
      <c r="AS3897">
        <v>14</v>
      </c>
      <c r="AT3897">
        <v>2</v>
      </c>
    </row>
    <row r="3898" spans="1:46">
      <c r="A3898">
        <v>60284</v>
      </c>
      <c r="B3898" t="s">
        <v>21273</v>
      </c>
      <c r="C3898" t="s">
        <v>21274</v>
      </c>
      <c r="D3898" t="s">
        <v>21275</v>
      </c>
      <c r="E3898" t="s">
        <v>21276</v>
      </c>
      <c r="G3898" t="s">
        <v>2364</v>
      </c>
      <c r="H3898" t="s">
        <v>3942</v>
      </c>
      <c r="J3898" t="s">
        <v>518</v>
      </c>
      <c r="K3898" t="s">
        <v>519</v>
      </c>
      <c r="M3898" t="s">
        <v>2287</v>
      </c>
      <c r="N3898" t="s">
        <v>571</v>
      </c>
      <c r="O3898" t="s">
        <v>2333</v>
      </c>
      <c r="P3898" t="s">
        <v>523</v>
      </c>
      <c r="Q3898" t="s">
        <v>2319</v>
      </c>
      <c r="R3898" t="s">
        <v>2289</v>
      </c>
      <c r="S3898" t="s">
        <v>2269</v>
      </c>
      <c r="T3898" t="s">
        <v>2085</v>
      </c>
      <c r="U3898">
        <v>257700</v>
      </c>
      <c r="V3898" t="s">
        <v>2364</v>
      </c>
      <c r="W3898" t="s">
        <v>2365</v>
      </c>
      <c r="X3898" t="s">
        <v>21277</v>
      </c>
      <c r="Y3898" t="s">
        <v>21278</v>
      </c>
      <c r="Z3898" t="s">
        <v>2364</v>
      </c>
      <c r="AA3898" t="s">
        <v>13217</v>
      </c>
      <c r="AB3898" t="s">
        <v>21279</v>
      </c>
      <c r="AC3898">
        <v>99109</v>
      </c>
      <c r="AD3898" t="s">
        <v>2335</v>
      </c>
      <c r="AE3898">
        <v>-41.078755399999999</v>
      </c>
      <c r="AF3898">
        <v>175.46257</v>
      </c>
      <c r="AG3898">
        <v>26</v>
      </c>
      <c r="AH3898">
        <v>6</v>
      </c>
      <c r="AI3898">
        <v>2</v>
      </c>
      <c r="AJ3898">
        <v>3</v>
      </c>
      <c r="AK3898">
        <v>5</v>
      </c>
      <c r="AL3898">
        <v>12</v>
      </c>
      <c r="AM3898">
        <v>7</v>
      </c>
      <c r="AN3898">
        <v>1</v>
      </c>
      <c r="AO3898">
        <v>30</v>
      </c>
      <c r="AP3898">
        <v>26</v>
      </c>
      <c r="AQ3898">
        <v>7</v>
      </c>
      <c r="AR3898">
        <v>1</v>
      </c>
      <c r="AS3898">
        <v>0</v>
      </c>
      <c r="AT3898">
        <v>1</v>
      </c>
    </row>
    <row r="3899" spans="1:46">
      <c r="A3899">
        <v>60285</v>
      </c>
      <c r="B3899" t="s">
        <v>21280</v>
      </c>
      <c r="C3899" t="s">
        <v>21281</v>
      </c>
      <c r="D3899" t="s">
        <v>21282</v>
      </c>
      <c r="E3899" t="s">
        <v>21283</v>
      </c>
      <c r="F3899" t="s">
        <v>2535</v>
      </c>
      <c r="G3899" t="s">
        <v>2289</v>
      </c>
      <c r="H3899" t="s">
        <v>3942</v>
      </c>
      <c r="I3899" t="s">
        <v>4575</v>
      </c>
      <c r="J3899" t="s">
        <v>518</v>
      </c>
      <c r="K3899" t="s">
        <v>519</v>
      </c>
      <c r="M3899" t="s">
        <v>2287</v>
      </c>
      <c r="N3899" t="s">
        <v>727</v>
      </c>
      <c r="O3899" t="s">
        <v>2536</v>
      </c>
      <c r="P3899" t="s">
        <v>654</v>
      </c>
      <c r="Q3899" t="s">
        <v>2319</v>
      </c>
      <c r="R3899" t="s">
        <v>2289</v>
      </c>
      <c r="S3899" t="s">
        <v>2537</v>
      </c>
      <c r="T3899" t="s">
        <v>2448</v>
      </c>
      <c r="U3899">
        <v>253300</v>
      </c>
      <c r="V3899" t="s">
        <v>2535</v>
      </c>
      <c r="W3899" t="s">
        <v>2538</v>
      </c>
      <c r="X3899" t="s">
        <v>21284</v>
      </c>
      <c r="Y3899" t="s">
        <v>21285</v>
      </c>
      <c r="Z3899" t="s">
        <v>21286</v>
      </c>
      <c r="AA3899" t="s">
        <v>21287</v>
      </c>
      <c r="AB3899" t="s">
        <v>21288</v>
      </c>
      <c r="AE3899">
        <v>-41.320638610000003</v>
      </c>
      <c r="AF3899">
        <v>174.77859936999999</v>
      </c>
      <c r="AG3899">
        <v>28</v>
      </c>
      <c r="AH3899">
        <v>12</v>
      </c>
      <c r="AI3899">
        <v>4</v>
      </c>
      <c r="AJ3899">
        <v>6</v>
      </c>
      <c r="AK3899">
        <v>7</v>
      </c>
      <c r="AL3899">
        <v>8</v>
      </c>
      <c r="AM3899">
        <v>4</v>
      </c>
      <c r="AN3899">
        <v>0</v>
      </c>
      <c r="AO3899">
        <v>29</v>
      </c>
      <c r="AP3899">
        <v>14</v>
      </c>
      <c r="AQ3899">
        <v>9</v>
      </c>
      <c r="AR3899">
        <v>27</v>
      </c>
      <c r="AS3899">
        <v>1</v>
      </c>
      <c r="AT3899">
        <v>2</v>
      </c>
    </row>
    <row r="3900" spans="1:46">
      <c r="A3900">
        <v>60291</v>
      </c>
      <c r="B3900" t="s">
        <v>21289</v>
      </c>
      <c r="C3900" t="s">
        <v>21290</v>
      </c>
      <c r="D3900" t="s">
        <v>21291</v>
      </c>
      <c r="E3900" t="s">
        <v>21292</v>
      </c>
      <c r="F3900" t="s">
        <v>2584</v>
      </c>
      <c r="G3900" t="s">
        <v>2427</v>
      </c>
      <c r="H3900" t="s">
        <v>3942</v>
      </c>
      <c r="J3900" t="s">
        <v>518</v>
      </c>
      <c r="K3900" t="s">
        <v>519</v>
      </c>
      <c r="M3900" t="s">
        <v>2287</v>
      </c>
      <c r="N3900" t="s">
        <v>571</v>
      </c>
      <c r="O3900" t="s">
        <v>2428</v>
      </c>
      <c r="P3900" t="s">
        <v>654</v>
      </c>
      <c r="Q3900" t="s">
        <v>2319</v>
      </c>
      <c r="R3900" t="s">
        <v>2289</v>
      </c>
      <c r="S3900" t="s">
        <v>2429</v>
      </c>
      <c r="T3900" t="s">
        <v>2448</v>
      </c>
      <c r="U3900">
        <v>247200</v>
      </c>
      <c r="V3900" t="s">
        <v>2584</v>
      </c>
      <c r="W3900" t="s">
        <v>2491</v>
      </c>
      <c r="X3900" t="s">
        <v>20983</v>
      </c>
      <c r="Y3900" t="s">
        <v>6369</v>
      </c>
      <c r="Z3900" t="s">
        <v>4555</v>
      </c>
      <c r="AA3900" t="s">
        <v>4556</v>
      </c>
      <c r="AE3900">
        <v>-41.292737359999997</v>
      </c>
      <c r="AF3900">
        <v>174.8970032</v>
      </c>
      <c r="AG3900">
        <v>25</v>
      </c>
      <c r="AH3900">
        <v>5</v>
      </c>
      <c r="AI3900">
        <v>1</v>
      </c>
      <c r="AJ3900">
        <v>4</v>
      </c>
      <c r="AK3900">
        <v>6</v>
      </c>
      <c r="AL3900">
        <v>9</v>
      </c>
      <c r="AM3900">
        <v>9</v>
      </c>
      <c r="AN3900">
        <v>0</v>
      </c>
      <c r="AO3900">
        <v>29</v>
      </c>
      <c r="AP3900">
        <v>29</v>
      </c>
      <c r="AQ3900">
        <v>1</v>
      </c>
      <c r="AR3900">
        <v>4</v>
      </c>
      <c r="AS3900">
        <v>1</v>
      </c>
      <c r="AT3900">
        <v>0</v>
      </c>
    </row>
    <row r="3901" spans="1:46">
      <c r="A3901">
        <v>60292</v>
      </c>
      <c r="B3901" t="s">
        <v>21293</v>
      </c>
      <c r="C3901" t="s">
        <v>21294</v>
      </c>
      <c r="D3901" t="s">
        <v>21295</v>
      </c>
      <c r="E3901" t="s">
        <v>21296</v>
      </c>
      <c r="F3901" t="s">
        <v>2395</v>
      </c>
      <c r="G3901" t="s">
        <v>2371</v>
      </c>
      <c r="H3901" t="s">
        <v>3942</v>
      </c>
      <c r="J3901" t="s">
        <v>3962</v>
      </c>
      <c r="K3901" t="s">
        <v>519</v>
      </c>
      <c r="M3901" t="s">
        <v>2287</v>
      </c>
      <c r="N3901" t="s">
        <v>571</v>
      </c>
      <c r="O3901" t="s">
        <v>2372</v>
      </c>
      <c r="P3901" t="s">
        <v>584</v>
      </c>
      <c r="Q3901" t="s">
        <v>2319</v>
      </c>
      <c r="R3901" t="s">
        <v>2289</v>
      </c>
      <c r="S3901" t="s">
        <v>2373</v>
      </c>
      <c r="T3901" t="s">
        <v>2085</v>
      </c>
      <c r="U3901">
        <v>241400</v>
      </c>
      <c r="V3901" t="s">
        <v>2395</v>
      </c>
      <c r="W3901" t="s">
        <v>1652</v>
      </c>
      <c r="X3901" t="s">
        <v>21297</v>
      </c>
      <c r="Y3901" t="s">
        <v>4381</v>
      </c>
      <c r="Z3901" t="s">
        <v>4031</v>
      </c>
      <c r="AA3901" t="s">
        <v>4382</v>
      </c>
      <c r="AE3901">
        <v>-41.137720020000003</v>
      </c>
      <c r="AF3901">
        <v>175.03106137</v>
      </c>
      <c r="AG3901">
        <v>49</v>
      </c>
      <c r="AH3901">
        <v>20</v>
      </c>
      <c r="AI3901">
        <v>2</v>
      </c>
      <c r="AJ3901">
        <v>7</v>
      </c>
      <c r="AK3901">
        <v>6</v>
      </c>
      <c r="AL3901">
        <v>13</v>
      </c>
      <c r="AM3901">
        <v>9</v>
      </c>
      <c r="AN3901">
        <v>0</v>
      </c>
      <c r="AO3901">
        <v>37</v>
      </c>
      <c r="AP3901">
        <v>31</v>
      </c>
      <c r="AQ3901">
        <v>4</v>
      </c>
      <c r="AR3901">
        <v>1</v>
      </c>
      <c r="AS3901">
        <v>8</v>
      </c>
      <c r="AT3901">
        <v>0</v>
      </c>
    </row>
    <row r="3902" spans="1:46">
      <c r="A3902">
        <v>60297</v>
      </c>
      <c r="B3902" t="s">
        <v>21298</v>
      </c>
      <c r="C3902" t="s">
        <v>21299</v>
      </c>
      <c r="D3902" t="s">
        <v>21300</v>
      </c>
      <c r="E3902" t="s">
        <v>21301</v>
      </c>
      <c r="F3902" t="s">
        <v>2405</v>
      </c>
      <c r="G3902" t="s">
        <v>2371</v>
      </c>
      <c r="H3902" t="s">
        <v>3942</v>
      </c>
      <c r="J3902" t="s">
        <v>518</v>
      </c>
      <c r="K3902" t="s">
        <v>519</v>
      </c>
      <c r="M3902" t="s">
        <v>2287</v>
      </c>
      <c r="N3902" t="s">
        <v>571</v>
      </c>
      <c r="O3902" t="s">
        <v>2372</v>
      </c>
      <c r="P3902" t="s">
        <v>584</v>
      </c>
      <c r="Q3902" t="s">
        <v>2319</v>
      </c>
      <c r="R3902" t="s">
        <v>2289</v>
      </c>
      <c r="S3902" t="s">
        <v>2373</v>
      </c>
      <c r="T3902" t="s">
        <v>2085</v>
      </c>
      <c r="U3902">
        <v>241800</v>
      </c>
      <c r="V3902" t="s">
        <v>2406</v>
      </c>
      <c r="W3902" t="s">
        <v>1652</v>
      </c>
      <c r="X3902" t="s">
        <v>21302</v>
      </c>
      <c r="Y3902" t="s">
        <v>21303</v>
      </c>
      <c r="Z3902" t="s">
        <v>2405</v>
      </c>
      <c r="AA3902" t="s">
        <v>21304</v>
      </c>
      <c r="AB3902" t="s">
        <v>21299</v>
      </c>
      <c r="AE3902">
        <v>-41.147422749999997</v>
      </c>
      <c r="AF3902">
        <v>175.01885713999999</v>
      </c>
      <c r="AG3902">
        <v>30</v>
      </c>
      <c r="AH3902">
        <v>15</v>
      </c>
      <c r="AI3902">
        <v>1</v>
      </c>
      <c r="AJ3902">
        <v>6</v>
      </c>
      <c r="AK3902">
        <v>5</v>
      </c>
      <c r="AL3902">
        <v>11</v>
      </c>
      <c r="AM3902">
        <v>5</v>
      </c>
      <c r="AN3902">
        <v>0</v>
      </c>
      <c r="AO3902">
        <v>28</v>
      </c>
      <c r="AP3902">
        <v>27</v>
      </c>
      <c r="AQ3902">
        <v>1</v>
      </c>
      <c r="AR3902">
        <v>1</v>
      </c>
      <c r="AS3902">
        <v>3</v>
      </c>
      <c r="AT3902">
        <v>1</v>
      </c>
    </row>
    <row r="3903" spans="1:46">
      <c r="A3903">
        <v>60301</v>
      </c>
      <c r="B3903" t="s">
        <v>21305</v>
      </c>
      <c r="C3903" t="s">
        <v>21306</v>
      </c>
      <c r="D3903" t="s">
        <v>21307</v>
      </c>
      <c r="E3903" t="s">
        <v>21308</v>
      </c>
      <c r="F3903" t="s">
        <v>5992</v>
      </c>
      <c r="G3903" t="s">
        <v>2427</v>
      </c>
      <c r="H3903" t="s">
        <v>3942</v>
      </c>
      <c r="I3903" t="s">
        <v>4231</v>
      </c>
      <c r="J3903" t="s">
        <v>518</v>
      </c>
      <c r="K3903" t="s">
        <v>519</v>
      </c>
      <c r="M3903" t="s">
        <v>2287</v>
      </c>
      <c r="N3903" t="s">
        <v>571</v>
      </c>
      <c r="O3903" t="s">
        <v>2428</v>
      </c>
      <c r="P3903" t="s">
        <v>654</v>
      </c>
      <c r="Q3903" t="s">
        <v>2319</v>
      </c>
      <c r="R3903" t="s">
        <v>2289</v>
      </c>
      <c r="S3903" t="s">
        <v>2429</v>
      </c>
      <c r="T3903" t="s">
        <v>2085</v>
      </c>
      <c r="U3903">
        <v>243800</v>
      </c>
      <c r="V3903" t="s">
        <v>21309</v>
      </c>
      <c r="W3903" t="s">
        <v>2461</v>
      </c>
      <c r="X3903" t="s">
        <v>20854</v>
      </c>
      <c r="Y3903" t="s">
        <v>20852</v>
      </c>
      <c r="Z3903" t="s">
        <v>20853</v>
      </c>
      <c r="AA3903" t="s">
        <v>9029</v>
      </c>
      <c r="AC3903">
        <v>99110</v>
      </c>
      <c r="AD3903" t="s">
        <v>4237</v>
      </c>
      <c r="AE3903">
        <v>-41.196236640000002</v>
      </c>
      <c r="AF3903">
        <v>174.90770792000001</v>
      </c>
      <c r="AG3903">
        <v>50</v>
      </c>
      <c r="AH3903">
        <v>0</v>
      </c>
      <c r="AI3903">
        <v>0</v>
      </c>
      <c r="AJ3903">
        <v>0</v>
      </c>
      <c r="AK3903">
        <v>0</v>
      </c>
      <c r="AL3903">
        <v>1</v>
      </c>
      <c r="AM3903">
        <v>17</v>
      </c>
      <c r="AN3903">
        <v>24</v>
      </c>
      <c r="AO3903">
        <v>42</v>
      </c>
      <c r="AP3903">
        <v>33</v>
      </c>
      <c r="AQ3903">
        <v>10</v>
      </c>
      <c r="AR3903">
        <v>2</v>
      </c>
      <c r="AS3903">
        <v>7</v>
      </c>
      <c r="AT3903">
        <v>4</v>
      </c>
    </row>
    <row r="3904" spans="1:46">
      <c r="A3904">
        <v>60304</v>
      </c>
      <c r="B3904" t="s">
        <v>21310</v>
      </c>
      <c r="C3904" t="s">
        <v>21311</v>
      </c>
      <c r="D3904" t="s">
        <v>21312</v>
      </c>
      <c r="E3904" t="s">
        <v>21313</v>
      </c>
      <c r="F3904" t="s">
        <v>2441</v>
      </c>
      <c r="G3904" t="s">
        <v>2427</v>
      </c>
      <c r="H3904" t="s">
        <v>3942</v>
      </c>
      <c r="I3904" t="s">
        <v>6806</v>
      </c>
      <c r="J3904" t="s">
        <v>518</v>
      </c>
      <c r="K3904" t="s">
        <v>519</v>
      </c>
      <c r="M3904" t="s">
        <v>2287</v>
      </c>
      <c r="N3904" t="s">
        <v>4519</v>
      </c>
      <c r="O3904" t="s">
        <v>2428</v>
      </c>
      <c r="P3904" t="s">
        <v>654</v>
      </c>
      <c r="Q3904" t="s">
        <v>2319</v>
      </c>
      <c r="R3904" t="s">
        <v>2289</v>
      </c>
      <c r="S3904" t="s">
        <v>2429</v>
      </c>
      <c r="T3904" t="s">
        <v>2448</v>
      </c>
      <c r="U3904">
        <v>244800</v>
      </c>
      <c r="V3904" t="s">
        <v>21134</v>
      </c>
      <c r="W3904" t="s">
        <v>2443</v>
      </c>
      <c r="X3904" t="s">
        <v>21314</v>
      </c>
      <c r="Y3904" t="s">
        <v>21315</v>
      </c>
      <c r="AA3904" t="s">
        <v>2434</v>
      </c>
      <c r="AB3904" t="s">
        <v>21316</v>
      </c>
      <c r="AE3904">
        <v>-41.210101119999997</v>
      </c>
      <c r="AF3904">
        <v>174.91358894999999</v>
      </c>
      <c r="AG3904">
        <v>80</v>
      </c>
      <c r="AH3904">
        <v>0</v>
      </c>
      <c r="AI3904">
        <v>0</v>
      </c>
      <c r="AJ3904">
        <v>0</v>
      </c>
      <c r="AK3904">
        <v>10</v>
      </c>
      <c r="AL3904">
        <v>14</v>
      </c>
      <c r="AM3904">
        <v>20</v>
      </c>
      <c r="AN3904">
        <v>1</v>
      </c>
      <c r="AO3904">
        <v>45</v>
      </c>
      <c r="AP3904">
        <v>19</v>
      </c>
      <c r="AQ3904">
        <v>4</v>
      </c>
      <c r="AR3904">
        <v>0</v>
      </c>
      <c r="AS3904">
        <v>28</v>
      </c>
      <c r="AT3904">
        <v>0</v>
      </c>
    </row>
    <row r="3905" spans="1:46">
      <c r="A3905">
        <v>60305</v>
      </c>
      <c r="B3905" t="s">
        <v>21317</v>
      </c>
      <c r="C3905" t="s">
        <v>21318</v>
      </c>
      <c r="E3905" t="s">
        <v>21319</v>
      </c>
      <c r="F3905" t="s">
        <v>2571</v>
      </c>
      <c r="G3905" t="s">
        <v>2289</v>
      </c>
      <c r="H3905" t="s">
        <v>3942</v>
      </c>
      <c r="I3905" t="s">
        <v>6806</v>
      </c>
      <c r="J3905" t="s">
        <v>518</v>
      </c>
      <c r="K3905" t="s">
        <v>519</v>
      </c>
      <c r="M3905" t="s">
        <v>2287</v>
      </c>
      <c r="N3905" t="s">
        <v>571</v>
      </c>
      <c r="O3905" t="s">
        <v>2536</v>
      </c>
      <c r="P3905" t="s">
        <v>654</v>
      </c>
      <c r="Q3905" t="s">
        <v>2319</v>
      </c>
      <c r="R3905" t="s">
        <v>2289</v>
      </c>
      <c r="S3905" t="s">
        <v>2537</v>
      </c>
      <c r="T3905" t="s">
        <v>2448</v>
      </c>
      <c r="U3905">
        <v>252502</v>
      </c>
      <c r="V3905" t="s">
        <v>21320</v>
      </c>
      <c r="W3905" t="s">
        <v>2573</v>
      </c>
      <c r="X3905" t="s">
        <v>21321</v>
      </c>
      <c r="Y3905" t="s">
        <v>21322</v>
      </c>
      <c r="Z3905" t="s">
        <v>21286</v>
      </c>
      <c r="AA3905" t="s">
        <v>21287</v>
      </c>
      <c r="AB3905" t="s">
        <v>21323</v>
      </c>
      <c r="AE3905">
        <v>-41.301023239999999</v>
      </c>
      <c r="AF3905">
        <v>174.78166123</v>
      </c>
      <c r="AG3905">
        <v>50</v>
      </c>
      <c r="AH3905">
        <v>0</v>
      </c>
      <c r="AI3905">
        <v>0</v>
      </c>
      <c r="AJ3905">
        <v>0</v>
      </c>
      <c r="AK3905">
        <v>7</v>
      </c>
      <c r="AL3905">
        <v>9</v>
      </c>
      <c r="AM3905">
        <v>17</v>
      </c>
      <c r="AN3905">
        <v>0</v>
      </c>
      <c r="AO3905">
        <v>33</v>
      </c>
      <c r="AP3905">
        <v>22</v>
      </c>
      <c r="AQ3905">
        <v>1</v>
      </c>
      <c r="AR3905">
        <v>1</v>
      </c>
      <c r="AS3905">
        <v>14</v>
      </c>
      <c r="AT3905">
        <v>1</v>
      </c>
    </row>
    <row r="3906" spans="1:46">
      <c r="A3906">
        <v>60308</v>
      </c>
      <c r="B3906" t="s">
        <v>21324</v>
      </c>
      <c r="C3906" t="s">
        <v>21325</v>
      </c>
      <c r="D3906" t="s">
        <v>21326</v>
      </c>
      <c r="E3906" t="s">
        <v>21327</v>
      </c>
      <c r="F3906" t="s">
        <v>2783</v>
      </c>
      <c r="G3906" t="s">
        <v>2526</v>
      </c>
      <c r="H3906" t="s">
        <v>3942</v>
      </c>
      <c r="J3906" t="s">
        <v>3962</v>
      </c>
      <c r="K3906" t="s">
        <v>519</v>
      </c>
      <c r="M3906" t="s">
        <v>2287</v>
      </c>
      <c r="N3906" t="s">
        <v>571</v>
      </c>
      <c r="O3906" t="s">
        <v>2527</v>
      </c>
      <c r="P3906" t="s">
        <v>584</v>
      </c>
      <c r="Q3906" t="s">
        <v>2319</v>
      </c>
      <c r="R3906" t="s">
        <v>2289</v>
      </c>
      <c r="S3906" t="s">
        <v>2528</v>
      </c>
      <c r="T3906" t="s">
        <v>1485</v>
      </c>
      <c r="U3906">
        <v>239100</v>
      </c>
      <c r="V3906" t="s">
        <v>2784</v>
      </c>
      <c r="W3906" t="s">
        <v>2529</v>
      </c>
      <c r="X3906" t="s">
        <v>21328</v>
      </c>
      <c r="Y3906" t="s">
        <v>4634</v>
      </c>
      <c r="AA3906" t="s">
        <v>4635</v>
      </c>
      <c r="AC3906">
        <v>99094</v>
      </c>
      <c r="AD3906" t="s">
        <v>2615</v>
      </c>
      <c r="AE3906">
        <v>-41.108546199999999</v>
      </c>
      <c r="AF3906">
        <v>174.84266170999999</v>
      </c>
      <c r="AG3906">
        <v>54</v>
      </c>
      <c r="AH3906">
        <v>18</v>
      </c>
      <c r="AI3906">
        <v>2</v>
      </c>
      <c r="AJ3906">
        <v>11</v>
      </c>
      <c r="AK3906">
        <v>12</v>
      </c>
      <c r="AL3906">
        <v>16</v>
      </c>
      <c r="AM3906">
        <v>16</v>
      </c>
      <c r="AN3906">
        <v>0</v>
      </c>
      <c r="AO3906">
        <v>57</v>
      </c>
      <c r="AP3906">
        <v>40</v>
      </c>
      <c r="AQ3906">
        <v>31</v>
      </c>
      <c r="AR3906">
        <v>16</v>
      </c>
      <c r="AS3906">
        <v>4</v>
      </c>
      <c r="AT3906">
        <v>1</v>
      </c>
    </row>
    <row r="3907" spans="1:46">
      <c r="A3907">
        <v>60310</v>
      </c>
      <c r="B3907" t="s">
        <v>21329</v>
      </c>
      <c r="C3907" t="s">
        <v>21330</v>
      </c>
      <c r="D3907" t="s">
        <v>21331</v>
      </c>
      <c r="E3907" t="s">
        <v>21332</v>
      </c>
      <c r="F3907" t="s">
        <v>20446</v>
      </c>
      <c r="G3907" t="s">
        <v>2289</v>
      </c>
      <c r="H3907" t="s">
        <v>3942</v>
      </c>
      <c r="J3907" t="s">
        <v>518</v>
      </c>
      <c r="K3907" t="s">
        <v>519</v>
      </c>
      <c r="M3907" t="s">
        <v>2287</v>
      </c>
      <c r="N3907" t="s">
        <v>571</v>
      </c>
      <c r="O3907" t="s">
        <v>2536</v>
      </c>
      <c r="P3907" t="s">
        <v>654</v>
      </c>
      <c r="Q3907" t="s">
        <v>2319</v>
      </c>
      <c r="R3907" t="s">
        <v>2289</v>
      </c>
      <c r="S3907" t="s">
        <v>2553</v>
      </c>
      <c r="T3907" t="s">
        <v>2448</v>
      </c>
      <c r="U3907">
        <v>250700</v>
      </c>
      <c r="V3907" t="s">
        <v>12164</v>
      </c>
      <c r="W3907" t="s">
        <v>2573</v>
      </c>
      <c r="X3907" t="s">
        <v>21333</v>
      </c>
      <c r="Y3907" t="s">
        <v>21334</v>
      </c>
      <c r="Z3907" t="s">
        <v>21335</v>
      </c>
      <c r="AA3907" t="s">
        <v>21336</v>
      </c>
      <c r="AE3907">
        <v>-41.277266599999997</v>
      </c>
      <c r="AF3907">
        <v>174.77454968000001</v>
      </c>
      <c r="AG3907">
        <v>30</v>
      </c>
      <c r="AH3907">
        <v>10</v>
      </c>
      <c r="AI3907">
        <v>1</v>
      </c>
      <c r="AJ3907">
        <v>7</v>
      </c>
      <c r="AK3907">
        <v>10</v>
      </c>
      <c r="AL3907">
        <v>9</v>
      </c>
      <c r="AM3907">
        <v>9</v>
      </c>
      <c r="AN3907">
        <v>1</v>
      </c>
      <c r="AO3907">
        <v>37</v>
      </c>
      <c r="AP3907">
        <v>33</v>
      </c>
      <c r="AQ3907">
        <v>9</v>
      </c>
      <c r="AR3907">
        <v>1</v>
      </c>
      <c r="AS3907">
        <v>5</v>
      </c>
      <c r="AT3907">
        <v>3</v>
      </c>
    </row>
    <row r="3908" spans="1:46">
      <c r="A3908">
        <v>60311</v>
      </c>
      <c r="B3908" t="s">
        <v>21337</v>
      </c>
      <c r="C3908" t="s">
        <v>21338</v>
      </c>
      <c r="D3908" t="s">
        <v>21339</v>
      </c>
      <c r="E3908" t="s">
        <v>21340</v>
      </c>
      <c r="F3908" t="s">
        <v>21341</v>
      </c>
      <c r="G3908" t="s">
        <v>2289</v>
      </c>
      <c r="H3908" t="s">
        <v>3942</v>
      </c>
      <c r="I3908" t="s">
        <v>4065</v>
      </c>
      <c r="J3908" t="s">
        <v>518</v>
      </c>
      <c r="K3908" t="s">
        <v>519</v>
      </c>
      <c r="M3908" t="s">
        <v>2287</v>
      </c>
      <c r="N3908" t="s">
        <v>4519</v>
      </c>
      <c r="O3908" t="s">
        <v>2536</v>
      </c>
      <c r="P3908" t="s">
        <v>654</v>
      </c>
      <c r="Q3908" t="s">
        <v>2319</v>
      </c>
      <c r="R3908" t="s">
        <v>2289</v>
      </c>
      <c r="S3908" t="s">
        <v>2537</v>
      </c>
      <c r="T3908" t="s">
        <v>2448</v>
      </c>
      <c r="U3908">
        <v>252800</v>
      </c>
      <c r="V3908" t="s">
        <v>21342</v>
      </c>
      <c r="W3908" t="s">
        <v>2538</v>
      </c>
      <c r="X3908" t="s">
        <v>21343</v>
      </c>
      <c r="Y3908" t="s">
        <v>21344</v>
      </c>
      <c r="Z3908" t="s">
        <v>2668</v>
      </c>
      <c r="AA3908" t="s">
        <v>21287</v>
      </c>
      <c r="AB3908" t="s">
        <v>21345</v>
      </c>
      <c r="AC3908">
        <v>99171</v>
      </c>
      <c r="AD3908" t="s">
        <v>2539</v>
      </c>
      <c r="AE3908">
        <v>-41.326253000000001</v>
      </c>
      <c r="AF3908">
        <v>174.7619957</v>
      </c>
      <c r="AG3908">
        <v>60</v>
      </c>
      <c r="AH3908">
        <v>0</v>
      </c>
      <c r="AI3908">
        <v>0</v>
      </c>
      <c r="AJ3908">
        <v>0</v>
      </c>
      <c r="AK3908">
        <v>2</v>
      </c>
      <c r="AL3908">
        <v>22</v>
      </c>
      <c r="AM3908">
        <v>15</v>
      </c>
      <c r="AN3908">
        <v>11</v>
      </c>
      <c r="AO3908">
        <v>50</v>
      </c>
      <c r="AP3908">
        <v>37</v>
      </c>
      <c r="AQ3908">
        <v>3</v>
      </c>
      <c r="AR3908">
        <v>1</v>
      </c>
      <c r="AS3908">
        <v>14</v>
      </c>
      <c r="AT3908">
        <v>4</v>
      </c>
    </row>
    <row r="3909" spans="1:46">
      <c r="A3909">
        <v>60315</v>
      </c>
      <c r="B3909" t="s">
        <v>21346</v>
      </c>
      <c r="C3909" t="s">
        <v>21347</v>
      </c>
      <c r="E3909" t="s">
        <v>21348</v>
      </c>
      <c r="F3909" t="s">
        <v>19008</v>
      </c>
      <c r="G3909" t="s">
        <v>2289</v>
      </c>
      <c r="H3909" t="s">
        <v>3942</v>
      </c>
      <c r="J3909" t="s">
        <v>518</v>
      </c>
      <c r="K3909" t="s">
        <v>519</v>
      </c>
      <c r="M3909" t="s">
        <v>2287</v>
      </c>
      <c r="N3909" t="s">
        <v>571</v>
      </c>
      <c r="O3909" t="s">
        <v>2536</v>
      </c>
      <c r="P3909" t="s">
        <v>654</v>
      </c>
      <c r="Q3909" t="s">
        <v>2319</v>
      </c>
      <c r="R3909" t="s">
        <v>2289</v>
      </c>
      <c r="S3909" t="s">
        <v>2537</v>
      </c>
      <c r="T3909" t="s">
        <v>2448</v>
      </c>
      <c r="U3909">
        <v>254200</v>
      </c>
      <c r="V3909" t="s">
        <v>20384</v>
      </c>
      <c r="W3909" t="s">
        <v>2591</v>
      </c>
      <c r="X3909" t="s">
        <v>10434</v>
      </c>
      <c r="Y3909" t="s">
        <v>3944</v>
      </c>
      <c r="Z3909" t="s">
        <v>3945</v>
      </c>
      <c r="AA3909" t="s">
        <v>3946</v>
      </c>
      <c r="AC3909">
        <v>99141</v>
      </c>
      <c r="AD3909" t="s">
        <v>2592</v>
      </c>
      <c r="AE3909">
        <v>-41.319477550000002</v>
      </c>
      <c r="AF3909">
        <v>174.8018563</v>
      </c>
      <c r="AG3909">
        <v>30</v>
      </c>
      <c r="AH3909">
        <v>0</v>
      </c>
      <c r="AI3909">
        <v>0</v>
      </c>
      <c r="AJ3909">
        <v>0</v>
      </c>
      <c r="AK3909">
        <v>9</v>
      </c>
      <c r="AL3909">
        <v>6</v>
      </c>
      <c r="AM3909">
        <v>15</v>
      </c>
      <c r="AN3909">
        <v>1</v>
      </c>
      <c r="AO3909">
        <v>31</v>
      </c>
      <c r="AP3909">
        <v>5</v>
      </c>
      <c r="AQ3909">
        <v>5</v>
      </c>
      <c r="AR3909">
        <v>5</v>
      </c>
      <c r="AS3909">
        <v>16</v>
      </c>
      <c r="AT3909">
        <v>8</v>
      </c>
    </row>
    <row r="3910" spans="1:46">
      <c r="A3910">
        <v>60316</v>
      </c>
      <c r="B3910" t="s">
        <v>21349</v>
      </c>
      <c r="C3910" t="s">
        <v>21350</v>
      </c>
      <c r="D3910" t="s">
        <v>14117</v>
      </c>
      <c r="E3910" t="s">
        <v>21351</v>
      </c>
      <c r="F3910" t="s">
        <v>2441</v>
      </c>
      <c r="G3910" t="s">
        <v>2427</v>
      </c>
      <c r="H3910" t="s">
        <v>3942</v>
      </c>
      <c r="J3910" t="s">
        <v>3962</v>
      </c>
      <c r="K3910" t="s">
        <v>519</v>
      </c>
      <c r="M3910" t="s">
        <v>2287</v>
      </c>
      <c r="N3910" t="s">
        <v>571</v>
      </c>
      <c r="O3910" t="s">
        <v>2428</v>
      </c>
      <c r="P3910" t="s">
        <v>654</v>
      </c>
      <c r="Q3910" t="s">
        <v>2319</v>
      </c>
      <c r="R3910" t="s">
        <v>2289</v>
      </c>
      <c r="S3910" t="s">
        <v>2429</v>
      </c>
      <c r="T3910" t="s">
        <v>2448</v>
      </c>
      <c r="U3910">
        <v>246002</v>
      </c>
      <c r="V3910" t="s">
        <v>12905</v>
      </c>
      <c r="W3910" t="s">
        <v>2491</v>
      </c>
      <c r="X3910" t="s">
        <v>11535</v>
      </c>
      <c r="Y3910" t="s">
        <v>14119</v>
      </c>
      <c r="Z3910" t="s">
        <v>821</v>
      </c>
      <c r="AA3910" t="s">
        <v>4069</v>
      </c>
      <c r="AB3910" t="s">
        <v>11537</v>
      </c>
      <c r="AE3910">
        <v>-41.224382839999997</v>
      </c>
      <c r="AF3910">
        <v>174.91439761000001</v>
      </c>
      <c r="AG3910">
        <v>41</v>
      </c>
      <c r="AH3910">
        <v>11</v>
      </c>
      <c r="AI3910">
        <v>2</v>
      </c>
      <c r="AJ3910">
        <v>6</v>
      </c>
      <c r="AK3910">
        <v>12</v>
      </c>
      <c r="AL3910">
        <v>8</v>
      </c>
      <c r="AM3910">
        <v>10</v>
      </c>
      <c r="AN3910">
        <v>0</v>
      </c>
      <c r="AO3910">
        <v>38</v>
      </c>
      <c r="AP3910">
        <v>28</v>
      </c>
      <c r="AQ3910">
        <v>5</v>
      </c>
      <c r="AR3910">
        <v>2</v>
      </c>
      <c r="AS3910">
        <v>9</v>
      </c>
      <c r="AT3910">
        <v>1</v>
      </c>
    </row>
    <row r="3911" spans="1:46">
      <c r="A3911">
        <v>60326</v>
      </c>
      <c r="B3911" t="s">
        <v>21352</v>
      </c>
      <c r="C3911" t="s">
        <v>21353</v>
      </c>
      <c r="D3911" t="s">
        <v>21354</v>
      </c>
      <c r="E3911" t="s">
        <v>21355</v>
      </c>
      <c r="F3911" t="s">
        <v>2559</v>
      </c>
      <c r="G3911" t="s">
        <v>2289</v>
      </c>
      <c r="H3911" t="s">
        <v>3942</v>
      </c>
      <c r="I3911" t="s">
        <v>6806</v>
      </c>
      <c r="J3911" t="s">
        <v>518</v>
      </c>
      <c r="K3911" t="s">
        <v>519</v>
      </c>
      <c r="M3911" t="s">
        <v>2287</v>
      </c>
      <c r="N3911" t="s">
        <v>571</v>
      </c>
      <c r="O3911" t="s">
        <v>2536</v>
      </c>
      <c r="P3911" t="s">
        <v>654</v>
      </c>
      <c r="Q3911" t="s">
        <v>2319</v>
      </c>
      <c r="R3911" t="s">
        <v>2289</v>
      </c>
      <c r="S3911" t="s">
        <v>2553</v>
      </c>
      <c r="T3911" t="s">
        <v>2448</v>
      </c>
      <c r="U3911">
        <v>250600</v>
      </c>
      <c r="V3911" t="s">
        <v>2560</v>
      </c>
      <c r="W3911" t="s">
        <v>2561</v>
      </c>
      <c r="X3911" t="s">
        <v>21356</v>
      </c>
      <c r="Y3911" t="s">
        <v>21357</v>
      </c>
      <c r="AA3911" t="s">
        <v>21068</v>
      </c>
      <c r="AB3911" t="s">
        <v>21358</v>
      </c>
      <c r="AE3911">
        <v>-41.283916990000002</v>
      </c>
      <c r="AF3911">
        <v>174.74499072</v>
      </c>
      <c r="AG3911">
        <v>30</v>
      </c>
      <c r="AH3911">
        <v>0</v>
      </c>
      <c r="AI3911">
        <v>0</v>
      </c>
      <c r="AJ3911">
        <v>0</v>
      </c>
      <c r="AK3911">
        <v>0</v>
      </c>
      <c r="AL3911">
        <v>4</v>
      </c>
      <c r="AM3911">
        <v>7</v>
      </c>
      <c r="AN3911">
        <v>0</v>
      </c>
      <c r="AO3911">
        <v>11</v>
      </c>
      <c r="AP3911">
        <v>5</v>
      </c>
      <c r="AQ3911">
        <v>0</v>
      </c>
      <c r="AR3911">
        <v>0</v>
      </c>
      <c r="AS3911">
        <v>6</v>
      </c>
      <c r="AT3911">
        <v>0</v>
      </c>
    </row>
    <row r="3912" spans="1:46">
      <c r="A3912">
        <v>60327</v>
      </c>
      <c r="B3912" t="s">
        <v>21359</v>
      </c>
      <c r="C3912" t="s">
        <v>21360</v>
      </c>
      <c r="D3912" t="s">
        <v>21361</v>
      </c>
      <c r="E3912" t="s">
        <v>21362</v>
      </c>
      <c r="G3912" t="s">
        <v>2317</v>
      </c>
      <c r="H3912" t="s">
        <v>3942</v>
      </c>
      <c r="J3912" t="s">
        <v>3962</v>
      </c>
      <c r="K3912" t="s">
        <v>519</v>
      </c>
      <c r="M3912" t="s">
        <v>2287</v>
      </c>
      <c r="N3912" t="s">
        <v>571</v>
      </c>
      <c r="O3912" t="s">
        <v>2318</v>
      </c>
      <c r="P3912" t="s">
        <v>1262</v>
      </c>
      <c r="Q3912" t="s">
        <v>2319</v>
      </c>
      <c r="R3912" t="s">
        <v>2289</v>
      </c>
      <c r="S3912" t="s">
        <v>2269</v>
      </c>
      <c r="T3912" t="s">
        <v>2085</v>
      </c>
      <c r="U3912">
        <v>255800</v>
      </c>
      <c r="V3912" t="s">
        <v>21363</v>
      </c>
      <c r="W3912" t="s">
        <v>2321</v>
      </c>
      <c r="X3912" t="s">
        <v>21364</v>
      </c>
      <c r="Y3912" t="s">
        <v>21365</v>
      </c>
      <c r="Z3912" t="s">
        <v>15917</v>
      </c>
      <c r="AA3912" t="s">
        <v>20227</v>
      </c>
      <c r="AB3912" t="s">
        <v>21366</v>
      </c>
      <c r="AE3912">
        <v>-40.943750440000002</v>
      </c>
      <c r="AF3912">
        <v>175.67313913000001</v>
      </c>
      <c r="AG3912">
        <v>57</v>
      </c>
      <c r="AH3912">
        <v>26</v>
      </c>
      <c r="AI3912">
        <v>2</v>
      </c>
      <c r="AJ3912">
        <v>10</v>
      </c>
      <c r="AK3912">
        <v>21</v>
      </c>
      <c r="AL3912">
        <v>16</v>
      </c>
      <c r="AM3912">
        <v>20</v>
      </c>
      <c r="AN3912">
        <v>0</v>
      </c>
      <c r="AO3912">
        <v>69</v>
      </c>
      <c r="AP3912">
        <v>55</v>
      </c>
      <c r="AQ3912">
        <v>11</v>
      </c>
      <c r="AR3912">
        <v>2</v>
      </c>
      <c r="AS3912">
        <v>3</v>
      </c>
      <c r="AT3912">
        <v>11</v>
      </c>
    </row>
    <row r="3913" spans="1:46">
      <c r="A3913">
        <v>60328</v>
      </c>
      <c r="B3913" t="s">
        <v>21367</v>
      </c>
      <c r="C3913" t="s">
        <v>21368</v>
      </c>
      <c r="D3913" t="s">
        <v>21369</v>
      </c>
      <c r="E3913" t="s">
        <v>21370</v>
      </c>
      <c r="F3913" t="s">
        <v>19008</v>
      </c>
      <c r="G3913" t="s">
        <v>2289</v>
      </c>
      <c r="H3913" t="s">
        <v>3942</v>
      </c>
      <c r="J3913" t="s">
        <v>518</v>
      </c>
      <c r="K3913" t="s">
        <v>519</v>
      </c>
      <c r="M3913" t="s">
        <v>2287</v>
      </c>
      <c r="N3913" t="s">
        <v>571</v>
      </c>
      <c r="O3913" t="s">
        <v>2536</v>
      </c>
      <c r="P3913" t="s">
        <v>654</v>
      </c>
      <c r="Q3913" t="s">
        <v>2319</v>
      </c>
      <c r="R3913" t="s">
        <v>2289</v>
      </c>
      <c r="S3913" t="s">
        <v>2537</v>
      </c>
      <c r="T3913" t="s">
        <v>2448</v>
      </c>
      <c r="U3913">
        <v>253700</v>
      </c>
      <c r="V3913" t="s">
        <v>19009</v>
      </c>
      <c r="W3913" t="s">
        <v>2591</v>
      </c>
      <c r="X3913" t="s">
        <v>21199</v>
      </c>
      <c r="Y3913" t="s">
        <v>21370</v>
      </c>
      <c r="Z3913" t="s">
        <v>19008</v>
      </c>
      <c r="AA3913" t="s">
        <v>19076</v>
      </c>
      <c r="AB3913" t="s">
        <v>21200</v>
      </c>
      <c r="AE3913">
        <v>-41.319159720000002</v>
      </c>
      <c r="AF3913">
        <v>174.79446530000001</v>
      </c>
      <c r="AG3913">
        <v>20</v>
      </c>
      <c r="AH3913">
        <v>7</v>
      </c>
      <c r="AI3913">
        <v>0</v>
      </c>
      <c r="AJ3913">
        <v>6</v>
      </c>
      <c r="AK3913">
        <v>8</v>
      </c>
      <c r="AL3913">
        <v>2</v>
      </c>
      <c r="AM3913">
        <v>8</v>
      </c>
      <c r="AN3913">
        <v>0</v>
      </c>
      <c r="AO3913">
        <v>24</v>
      </c>
      <c r="AP3913">
        <v>18</v>
      </c>
      <c r="AQ3913">
        <v>7</v>
      </c>
      <c r="AR3913">
        <v>1</v>
      </c>
      <c r="AS3913">
        <v>1</v>
      </c>
      <c r="AT3913">
        <v>4</v>
      </c>
    </row>
    <row r="3914" spans="1:46">
      <c r="A3914">
        <v>60329</v>
      </c>
      <c r="B3914" t="s">
        <v>21371</v>
      </c>
      <c r="C3914" t="s">
        <v>21372</v>
      </c>
      <c r="D3914" t="s">
        <v>21373</v>
      </c>
      <c r="E3914" t="s">
        <v>21374</v>
      </c>
      <c r="F3914" t="s">
        <v>20941</v>
      </c>
      <c r="G3914" t="s">
        <v>2289</v>
      </c>
      <c r="H3914" t="s">
        <v>517</v>
      </c>
      <c r="J3914" t="s">
        <v>518</v>
      </c>
      <c r="K3914" t="s">
        <v>519</v>
      </c>
      <c r="M3914" t="s">
        <v>2287</v>
      </c>
      <c r="N3914" t="s">
        <v>557</v>
      </c>
      <c r="O3914" t="s">
        <v>2536</v>
      </c>
      <c r="P3914" t="s">
        <v>654</v>
      </c>
      <c r="Q3914" t="s">
        <v>2319</v>
      </c>
      <c r="R3914" t="s">
        <v>2289</v>
      </c>
      <c r="S3914" t="s">
        <v>2553</v>
      </c>
      <c r="T3914" t="s">
        <v>2448</v>
      </c>
      <c r="U3914">
        <v>252100</v>
      </c>
      <c r="V3914" t="s">
        <v>18403</v>
      </c>
      <c r="W3914" t="s">
        <v>2573</v>
      </c>
      <c r="X3914" t="s">
        <v>1889</v>
      </c>
      <c r="Y3914" t="s">
        <v>1890</v>
      </c>
      <c r="AA3914" t="s">
        <v>1891</v>
      </c>
      <c r="AB3914" t="s">
        <v>1892</v>
      </c>
      <c r="AE3914">
        <v>-41.29763166</v>
      </c>
      <c r="AF3914">
        <v>174.77867936999999</v>
      </c>
      <c r="AG3914">
        <v>28</v>
      </c>
      <c r="AH3914">
        <v>0</v>
      </c>
      <c r="AI3914">
        <v>0</v>
      </c>
      <c r="AJ3914">
        <v>0</v>
      </c>
      <c r="AK3914">
        <v>3</v>
      </c>
      <c r="AL3914">
        <v>9</v>
      </c>
      <c r="AM3914">
        <v>10</v>
      </c>
      <c r="AN3914">
        <v>1</v>
      </c>
      <c r="AO3914">
        <v>23</v>
      </c>
      <c r="AP3914">
        <v>8</v>
      </c>
      <c r="AQ3914">
        <v>2</v>
      </c>
      <c r="AR3914">
        <v>1</v>
      </c>
      <c r="AS3914">
        <v>11</v>
      </c>
      <c r="AT3914">
        <v>8</v>
      </c>
    </row>
    <row r="3915" spans="1:46">
      <c r="A3915">
        <v>60331</v>
      </c>
      <c r="B3915" t="s">
        <v>21375</v>
      </c>
      <c r="C3915" t="s">
        <v>21376</v>
      </c>
      <c r="D3915" t="s">
        <v>21377</v>
      </c>
      <c r="E3915" t="s">
        <v>21378</v>
      </c>
      <c r="F3915" t="s">
        <v>2544</v>
      </c>
      <c r="G3915" t="s">
        <v>2289</v>
      </c>
      <c r="H3915" t="s">
        <v>3942</v>
      </c>
      <c r="J3915" t="s">
        <v>518</v>
      </c>
      <c r="K3915" t="s">
        <v>519</v>
      </c>
      <c r="M3915" t="s">
        <v>2287</v>
      </c>
      <c r="N3915" t="s">
        <v>571</v>
      </c>
      <c r="O3915" t="s">
        <v>2536</v>
      </c>
      <c r="P3915" t="s">
        <v>654</v>
      </c>
      <c r="Q3915" t="s">
        <v>2319</v>
      </c>
      <c r="R3915" t="s">
        <v>2289</v>
      </c>
      <c r="S3915" t="s">
        <v>2545</v>
      </c>
      <c r="T3915" t="s">
        <v>1485</v>
      </c>
      <c r="U3915">
        <v>247900</v>
      </c>
      <c r="V3915" t="s">
        <v>2778</v>
      </c>
      <c r="W3915" t="s">
        <v>2547</v>
      </c>
      <c r="X3915" t="s">
        <v>10434</v>
      </c>
      <c r="Y3915" t="s">
        <v>3944</v>
      </c>
      <c r="Z3915" t="s">
        <v>3945</v>
      </c>
      <c r="AA3915" t="s">
        <v>3946</v>
      </c>
      <c r="AE3915">
        <v>-41.177483250000002</v>
      </c>
      <c r="AF3915">
        <v>174.82510371000001</v>
      </c>
      <c r="AG3915">
        <v>85</v>
      </c>
      <c r="AH3915">
        <v>21</v>
      </c>
      <c r="AI3915">
        <v>2</v>
      </c>
      <c r="AJ3915">
        <v>21</v>
      </c>
      <c r="AK3915">
        <v>21</v>
      </c>
      <c r="AL3915">
        <v>28</v>
      </c>
      <c r="AM3915">
        <v>22</v>
      </c>
      <c r="AN3915">
        <v>0</v>
      </c>
      <c r="AO3915">
        <v>94</v>
      </c>
      <c r="AP3915">
        <v>54</v>
      </c>
      <c r="AQ3915">
        <v>7</v>
      </c>
      <c r="AR3915">
        <v>12</v>
      </c>
      <c r="AS3915">
        <v>39</v>
      </c>
      <c r="AT3915">
        <v>10</v>
      </c>
    </row>
    <row r="3916" spans="1:46">
      <c r="A3916">
        <v>60333</v>
      </c>
      <c r="B3916" t="s">
        <v>21379</v>
      </c>
      <c r="C3916" t="s">
        <v>21380</v>
      </c>
      <c r="D3916" t="s">
        <v>21381</v>
      </c>
      <c r="E3916" t="s">
        <v>21382</v>
      </c>
      <c r="F3916" t="s">
        <v>12163</v>
      </c>
      <c r="G3916" t="s">
        <v>2289</v>
      </c>
      <c r="H3916" t="s">
        <v>3942</v>
      </c>
      <c r="J3916" t="s">
        <v>518</v>
      </c>
      <c r="K3916" t="s">
        <v>519</v>
      </c>
      <c r="M3916" t="s">
        <v>2287</v>
      </c>
      <c r="N3916" t="s">
        <v>571</v>
      </c>
      <c r="O3916" t="s">
        <v>2536</v>
      </c>
      <c r="P3916" t="s">
        <v>654</v>
      </c>
      <c r="Q3916" t="s">
        <v>2319</v>
      </c>
      <c r="R3916" t="s">
        <v>2289</v>
      </c>
      <c r="S3916" t="s">
        <v>2553</v>
      </c>
      <c r="T3916" t="s">
        <v>2448</v>
      </c>
      <c r="U3916">
        <v>250902</v>
      </c>
      <c r="V3916" t="s">
        <v>18995</v>
      </c>
      <c r="W3916" t="s">
        <v>2573</v>
      </c>
      <c r="X3916" t="s">
        <v>21383</v>
      </c>
      <c r="Y3916" t="s">
        <v>21384</v>
      </c>
      <c r="Z3916" t="s">
        <v>12163</v>
      </c>
      <c r="AA3916" t="s">
        <v>20945</v>
      </c>
      <c r="AE3916">
        <v>-41.274829699999998</v>
      </c>
      <c r="AF3916">
        <v>174.77696589999999</v>
      </c>
      <c r="AG3916">
        <v>47</v>
      </c>
      <c r="AH3916">
        <v>19</v>
      </c>
      <c r="AI3916">
        <v>8</v>
      </c>
      <c r="AJ3916">
        <v>12</v>
      </c>
      <c r="AK3916">
        <v>12</v>
      </c>
      <c r="AL3916">
        <v>11</v>
      </c>
      <c r="AM3916">
        <v>8</v>
      </c>
      <c r="AN3916">
        <v>0</v>
      </c>
      <c r="AO3916">
        <v>51</v>
      </c>
      <c r="AP3916">
        <v>41</v>
      </c>
      <c r="AQ3916">
        <v>8</v>
      </c>
      <c r="AR3916">
        <v>4</v>
      </c>
      <c r="AS3916">
        <v>9</v>
      </c>
      <c r="AT3916">
        <v>3</v>
      </c>
    </row>
    <row r="3917" spans="1:46">
      <c r="A3917">
        <v>60334</v>
      </c>
      <c r="B3917" t="s">
        <v>21385</v>
      </c>
      <c r="C3917" t="s">
        <v>21386</v>
      </c>
      <c r="E3917" t="s">
        <v>21387</v>
      </c>
      <c r="G3917" t="s">
        <v>2674</v>
      </c>
      <c r="H3917" t="s">
        <v>3942</v>
      </c>
      <c r="J3917" t="s">
        <v>3962</v>
      </c>
      <c r="K3917" t="s">
        <v>519</v>
      </c>
      <c r="M3917" t="s">
        <v>2287</v>
      </c>
      <c r="N3917" t="s">
        <v>571</v>
      </c>
      <c r="O3917" t="s">
        <v>2675</v>
      </c>
      <c r="P3917" t="s">
        <v>1262</v>
      </c>
      <c r="Q3917" t="s">
        <v>2319</v>
      </c>
      <c r="R3917" t="s">
        <v>2289</v>
      </c>
      <c r="S3917" t="s">
        <v>2067</v>
      </c>
      <c r="T3917" t="s">
        <v>1485</v>
      </c>
      <c r="U3917">
        <v>237800</v>
      </c>
      <c r="V3917" t="s">
        <v>2676</v>
      </c>
      <c r="W3917" t="s">
        <v>2677</v>
      </c>
      <c r="X3917" t="s">
        <v>17903</v>
      </c>
      <c r="Y3917" t="s">
        <v>4741</v>
      </c>
      <c r="Z3917" t="s">
        <v>2395</v>
      </c>
      <c r="AA3917" t="s">
        <v>4742</v>
      </c>
      <c r="AE3917">
        <v>-40.90848252</v>
      </c>
      <c r="AF3917">
        <v>175.00496514</v>
      </c>
      <c r="AG3917">
        <v>30</v>
      </c>
      <c r="AH3917">
        <v>0</v>
      </c>
      <c r="AI3917">
        <v>0</v>
      </c>
      <c r="AJ3917">
        <v>0</v>
      </c>
      <c r="AK3917">
        <v>8</v>
      </c>
      <c r="AL3917">
        <v>5</v>
      </c>
      <c r="AM3917">
        <v>8</v>
      </c>
      <c r="AN3917">
        <v>2</v>
      </c>
      <c r="AO3917">
        <v>23</v>
      </c>
      <c r="AP3917">
        <v>11</v>
      </c>
      <c r="AQ3917">
        <v>9</v>
      </c>
      <c r="AR3917">
        <v>8</v>
      </c>
      <c r="AS3917">
        <v>5</v>
      </c>
      <c r="AT3917">
        <v>0</v>
      </c>
    </row>
    <row r="3918" spans="1:46">
      <c r="A3918">
        <v>60338</v>
      </c>
      <c r="B3918" t="s">
        <v>21388</v>
      </c>
      <c r="C3918" t="s">
        <v>21389</v>
      </c>
      <c r="D3918" t="s">
        <v>21390</v>
      </c>
      <c r="E3918" t="s">
        <v>21391</v>
      </c>
      <c r="F3918" t="s">
        <v>2630</v>
      </c>
      <c r="G3918" t="s">
        <v>2526</v>
      </c>
      <c r="H3918" t="s">
        <v>4221</v>
      </c>
      <c r="I3918" t="s">
        <v>4997</v>
      </c>
      <c r="J3918" t="s">
        <v>518</v>
      </c>
      <c r="K3918" t="s">
        <v>519</v>
      </c>
      <c r="M3918" t="s">
        <v>2287</v>
      </c>
      <c r="N3918" t="s">
        <v>521</v>
      </c>
      <c r="O3918" t="s">
        <v>2527</v>
      </c>
      <c r="P3918" t="s">
        <v>584</v>
      </c>
      <c r="Q3918" t="s">
        <v>2319</v>
      </c>
      <c r="R3918" t="s">
        <v>2289</v>
      </c>
      <c r="S3918" t="s">
        <v>2528</v>
      </c>
      <c r="T3918" t="s">
        <v>1485</v>
      </c>
      <c r="U3918">
        <v>240700</v>
      </c>
      <c r="V3918" t="s">
        <v>19069</v>
      </c>
      <c r="W3918" t="s">
        <v>2529</v>
      </c>
      <c r="X3918" t="s">
        <v>21392</v>
      </c>
      <c r="Y3918" t="s">
        <v>21393</v>
      </c>
      <c r="Z3918" t="s">
        <v>2630</v>
      </c>
      <c r="AA3918" t="s">
        <v>21394</v>
      </c>
      <c r="AB3918" t="s">
        <v>21395</v>
      </c>
      <c r="AC3918">
        <v>99074</v>
      </c>
      <c r="AD3918" t="s">
        <v>2632</v>
      </c>
      <c r="AE3918">
        <v>-41.140365330000002</v>
      </c>
      <c r="AF3918">
        <v>174.85926805</v>
      </c>
      <c r="AG3918">
        <v>30</v>
      </c>
      <c r="AH3918">
        <v>7</v>
      </c>
      <c r="AI3918">
        <v>0</v>
      </c>
      <c r="AJ3918">
        <v>4</v>
      </c>
      <c r="AK3918">
        <v>12</v>
      </c>
      <c r="AL3918">
        <v>8</v>
      </c>
      <c r="AM3918">
        <v>4</v>
      </c>
      <c r="AN3918">
        <v>0</v>
      </c>
      <c r="AO3918">
        <v>28</v>
      </c>
      <c r="AP3918">
        <v>1</v>
      </c>
      <c r="AQ3918">
        <v>6</v>
      </c>
      <c r="AR3918">
        <v>27</v>
      </c>
      <c r="AS3918">
        <v>0</v>
      </c>
      <c r="AT3918">
        <v>1</v>
      </c>
    </row>
    <row r="3919" spans="1:46">
      <c r="A3919">
        <v>60340</v>
      </c>
      <c r="B3919" t="s">
        <v>21396</v>
      </c>
      <c r="C3919" t="s">
        <v>21397</v>
      </c>
      <c r="D3919" t="s">
        <v>21398</v>
      </c>
      <c r="E3919" t="s">
        <v>21399</v>
      </c>
      <c r="G3919" t="s">
        <v>2799</v>
      </c>
      <c r="H3919" t="s">
        <v>3942</v>
      </c>
      <c r="J3919" t="s">
        <v>518</v>
      </c>
      <c r="K3919" t="s">
        <v>519</v>
      </c>
      <c r="M3919" t="s">
        <v>2287</v>
      </c>
      <c r="N3919" t="s">
        <v>571</v>
      </c>
      <c r="O3919" t="s">
        <v>2675</v>
      </c>
      <c r="P3919" t="s">
        <v>1262</v>
      </c>
      <c r="Q3919" t="s">
        <v>2319</v>
      </c>
      <c r="R3919" t="s">
        <v>2289</v>
      </c>
      <c r="S3919" t="s">
        <v>2067</v>
      </c>
      <c r="T3919" t="s">
        <v>1485</v>
      </c>
      <c r="U3919">
        <v>238100</v>
      </c>
      <c r="V3919" t="s">
        <v>20814</v>
      </c>
      <c r="W3919" t="s">
        <v>2801</v>
      </c>
      <c r="X3919" t="s">
        <v>10434</v>
      </c>
      <c r="Y3919" t="s">
        <v>3944</v>
      </c>
      <c r="Z3919" t="s">
        <v>3945</v>
      </c>
      <c r="AA3919" t="s">
        <v>3946</v>
      </c>
      <c r="AE3919">
        <v>-40.876802329999997</v>
      </c>
      <c r="AF3919">
        <v>175.07147721000001</v>
      </c>
      <c r="AG3919">
        <v>40</v>
      </c>
      <c r="AH3919">
        <v>15</v>
      </c>
      <c r="AI3919">
        <v>2</v>
      </c>
      <c r="AJ3919">
        <v>8</v>
      </c>
      <c r="AK3919">
        <v>17</v>
      </c>
      <c r="AL3919">
        <v>11</v>
      </c>
      <c r="AM3919">
        <v>9</v>
      </c>
      <c r="AN3919">
        <v>1</v>
      </c>
      <c r="AO3919">
        <v>48</v>
      </c>
      <c r="AP3919">
        <v>35</v>
      </c>
      <c r="AQ3919">
        <v>16</v>
      </c>
      <c r="AR3919">
        <v>1</v>
      </c>
      <c r="AS3919">
        <v>9</v>
      </c>
      <c r="AT3919">
        <v>3</v>
      </c>
    </row>
    <row r="3920" spans="1:46">
      <c r="A3920">
        <v>60343</v>
      </c>
      <c r="B3920" t="s">
        <v>21400</v>
      </c>
      <c r="C3920" t="s">
        <v>21401</v>
      </c>
      <c r="D3920" t="s">
        <v>11928</v>
      </c>
      <c r="E3920" t="s">
        <v>21402</v>
      </c>
      <c r="G3920" t="s">
        <v>2317</v>
      </c>
      <c r="H3920" t="s">
        <v>3942</v>
      </c>
      <c r="J3920" t="s">
        <v>3962</v>
      </c>
      <c r="K3920" t="s">
        <v>519</v>
      </c>
      <c r="M3920" t="s">
        <v>2287</v>
      </c>
      <c r="N3920" t="s">
        <v>557</v>
      </c>
      <c r="O3920" t="s">
        <v>2318</v>
      </c>
      <c r="P3920" t="s">
        <v>1262</v>
      </c>
      <c r="Q3920" t="s">
        <v>2319</v>
      </c>
      <c r="R3920" t="s">
        <v>2289</v>
      </c>
      <c r="S3920" t="s">
        <v>2269</v>
      </c>
      <c r="T3920" t="s">
        <v>2085</v>
      </c>
      <c r="U3920">
        <v>256400</v>
      </c>
      <c r="V3920" t="s">
        <v>2346</v>
      </c>
      <c r="W3920" t="s">
        <v>2321</v>
      </c>
      <c r="X3920" t="s">
        <v>11930</v>
      </c>
      <c r="Y3920" t="s">
        <v>11931</v>
      </c>
      <c r="Z3920" t="s">
        <v>2340</v>
      </c>
      <c r="AA3920" t="s">
        <v>11932</v>
      </c>
      <c r="AB3920" t="s">
        <v>11933</v>
      </c>
      <c r="AC3920">
        <v>99204</v>
      </c>
      <c r="AD3920" t="s">
        <v>2322</v>
      </c>
      <c r="AE3920">
        <v>-40.955036569999997</v>
      </c>
      <c r="AF3920">
        <v>175.66076149</v>
      </c>
      <c r="AG3920">
        <v>39</v>
      </c>
      <c r="AH3920">
        <v>5</v>
      </c>
      <c r="AI3920">
        <v>0</v>
      </c>
      <c r="AJ3920">
        <v>0</v>
      </c>
      <c r="AK3920">
        <v>13</v>
      </c>
      <c r="AL3920">
        <v>17</v>
      </c>
      <c r="AM3920">
        <v>15</v>
      </c>
      <c r="AN3920">
        <v>0</v>
      </c>
      <c r="AO3920">
        <v>45</v>
      </c>
      <c r="AP3920">
        <v>37</v>
      </c>
      <c r="AQ3920">
        <v>10</v>
      </c>
      <c r="AR3920">
        <v>1</v>
      </c>
      <c r="AS3920">
        <v>2</v>
      </c>
      <c r="AT3920">
        <v>4</v>
      </c>
    </row>
    <row r="3921" spans="1:46">
      <c r="A3921">
        <v>60345</v>
      </c>
      <c r="B3921" t="s">
        <v>21403</v>
      </c>
      <c r="C3921" t="s">
        <v>21404</v>
      </c>
      <c r="D3921" t="s">
        <v>21405</v>
      </c>
      <c r="E3921" t="s">
        <v>21406</v>
      </c>
      <c r="F3921" t="s">
        <v>2668</v>
      </c>
      <c r="G3921" t="s">
        <v>2289</v>
      </c>
      <c r="H3921" t="s">
        <v>3942</v>
      </c>
      <c r="J3921" t="s">
        <v>3962</v>
      </c>
      <c r="K3921" t="s">
        <v>519</v>
      </c>
      <c r="M3921" t="s">
        <v>2287</v>
      </c>
      <c r="N3921" t="s">
        <v>571</v>
      </c>
      <c r="O3921" t="s">
        <v>2536</v>
      </c>
      <c r="P3921" t="s">
        <v>654</v>
      </c>
      <c r="Q3921" t="s">
        <v>2319</v>
      </c>
      <c r="R3921" t="s">
        <v>2289</v>
      </c>
      <c r="S3921" t="s">
        <v>2537</v>
      </c>
      <c r="T3921" t="s">
        <v>2448</v>
      </c>
      <c r="U3921">
        <v>252900</v>
      </c>
      <c r="V3921" t="s">
        <v>2669</v>
      </c>
      <c r="W3921" t="s">
        <v>2573</v>
      </c>
      <c r="X3921" t="s">
        <v>21407</v>
      </c>
      <c r="Y3921" t="s">
        <v>21408</v>
      </c>
      <c r="Z3921" t="s">
        <v>2597</v>
      </c>
      <c r="AA3921" t="s">
        <v>12404</v>
      </c>
      <c r="AB3921" t="s">
        <v>21409</v>
      </c>
      <c r="AE3921">
        <v>-41.30810829</v>
      </c>
      <c r="AF3921">
        <v>174.78533998</v>
      </c>
      <c r="AG3921">
        <v>39</v>
      </c>
      <c r="AH3921">
        <v>10</v>
      </c>
      <c r="AI3921">
        <v>1</v>
      </c>
      <c r="AJ3921">
        <v>10</v>
      </c>
      <c r="AK3921">
        <v>14</v>
      </c>
      <c r="AL3921">
        <v>10</v>
      </c>
      <c r="AM3921">
        <v>7</v>
      </c>
      <c r="AN3921">
        <v>0</v>
      </c>
      <c r="AO3921">
        <v>42</v>
      </c>
      <c r="AP3921">
        <v>24</v>
      </c>
      <c r="AQ3921">
        <v>3</v>
      </c>
      <c r="AR3921">
        <v>3</v>
      </c>
      <c r="AS3921">
        <v>21</v>
      </c>
      <c r="AT3921">
        <v>3</v>
      </c>
    </row>
    <row r="3922" spans="1:46">
      <c r="A3922">
        <v>60346</v>
      </c>
      <c r="B3922" t="s">
        <v>21410</v>
      </c>
      <c r="C3922" t="s">
        <v>21411</v>
      </c>
      <c r="D3922" t="s">
        <v>21412</v>
      </c>
      <c r="E3922" t="s">
        <v>21413</v>
      </c>
      <c r="F3922" t="s">
        <v>20446</v>
      </c>
      <c r="G3922" t="s">
        <v>2289</v>
      </c>
      <c r="H3922" t="s">
        <v>3942</v>
      </c>
      <c r="J3922" t="s">
        <v>518</v>
      </c>
      <c r="K3922" t="s">
        <v>519</v>
      </c>
      <c r="M3922" t="s">
        <v>2287</v>
      </c>
      <c r="N3922" t="s">
        <v>571</v>
      </c>
      <c r="O3922" t="s">
        <v>2536</v>
      </c>
      <c r="P3922" t="s">
        <v>654</v>
      </c>
      <c r="Q3922" t="s">
        <v>2319</v>
      </c>
      <c r="R3922" t="s">
        <v>2289</v>
      </c>
      <c r="S3922" t="s">
        <v>2553</v>
      </c>
      <c r="T3922" t="s">
        <v>2448</v>
      </c>
      <c r="U3922">
        <v>251601</v>
      </c>
      <c r="V3922" t="s">
        <v>21414</v>
      </c>
      <c r="W3922" t="s">
        <v>2573</v>
      </c>
      <c r="X3922" t="s">
        <v>21415</v>
      </c>
      <c r="Y3922" t="s">
        <v>21416</v>
      </c>
      <c r="Z3922" t="s">
        <v>15917</v>
      </c>
      <c r="AA3922" t="s">
        <v>4556</v>
      </c>
      <c r="AB3922" t="s">
        <v>21417</v>
      </c>
      <c r="AE3922">
        <v>-41.290759979999997</v>
      </c>
      <c r="AF3922">
        <v>174.77302104</v>
      </c>
      <c r="AG3922">
        <v>30</v>
      </c>
      <c r="AH3922">
        <v>0</v>
      </c>
      <c r="AI3922">
        <v>0</v>
      </c>
      <c r="AJ3922">
        <v>0</v>
      </c>
      <c r="AK3922">
        <v>2</v>
      </c>
      <c r="AL3922">
        <v>9</v>
      </c>
      <c r="AM3922">
        <v>17</v>
      </c>
      <c r="AN3922">
        <v>2</v>
      </c>
      <c r="AO3922">
        <v>30</v>
      </c>
      <c r="AP3922">
        <v>14</v>
      </c>
      <c r="AQ3922">
        <v>1</v>
      </c>
      <c r="AR3922">
        <v>1</v>
      </c>
      <c r="AS3922">
        <v>10</v>
      </c>
      <c r="AT3922">
        <v>9</v>
      </c>
    </row>
    <row r="3923" spans="1:46">
      <c r="A3923">
        <v>60347</v>
      </c>
      <c r="B3923" t="s">
        <v>21418</v>
      </c>
      <c r="C3923" t="s">
        <v>21419</v>
      </c>
      <c r="E3923" t="s">
        <v>21420</v>
      </c>
      <c r="F3923" t="s">
        <v>2683</v>
      </c>
      <c r="G3923" t="s">
        <v>2289</v>
      </c>
      <c r="H3923" t="s">
        <v>3942</v>
      </c>
      <c r="I3923" t="s">
        <v>3953</v>
      </c>
      <c r="J3923" t="s">
        <v>3962</v>
      </c>
      <c r="K3923" t="s">
        <v>519</v>
      </c>
      <c r="M3923" t="s">
        <v>2287</v>
      </c>
      <c r="N3923" t="s">
        <v>571</v>
      </c>
      <c r="O3923" t="s">
        <v>2536</v>
      </c>
      <c r="P3923" t="s">
        <v>654</v>
      </c>
      <c r="Q3923" t="s">
        <v>2319</v>
      </c>
      <c r="R3923" t="s">
        <v>2289</v>
      </c>
      <c r="S3923" t="s">
        <v>2545</v>
      </c>
      <c r="T3923" t="s">
        <v>2448</v>
      </c>
      <c r="U3923">
        <v>249600</v>
      </c>
      <c r="V3923" t="s">
        <v>2684</v>
      </c>
      <c r="W3923" t="s">
        <v>2561</v>
      </c>
      <c r="X3923" t="s">
        <v>21421</v>
      </c>
      <c r="Y3923" t="s">
        <v>21420</v>
      </c>
      <c r="Z3923" t="s">
        <v>2620</v>
      </c>
      <c r="AA3923" t="s">
        <v>20838</v>
      </c>
      <c r="AE3923">
        <v>-41.246754369999998</v>
      </c>
      <c r="AF3923">
        <v>174.78158368999999</v>
      </c>
      <c r="AG3923">
        <v>27</v>
      </c>
      <c r="AH3923">
        <v>0</v>
      </c>
      <c r="AI3923">
        <v>0</v>
      </c>
      <c r="AJ3923">
        <v>0</v>
      </c>
      <c r="AK3923">
        <v>10</v>
      </c>
      <c r="AL3923">
        <v>11</v>
      </c>
      <c r="AM3923">
        <v>20</v>
      </c>
      <c r="AN3923">
        <v>1</v>
      </c>
      <c r="AO3923">
        <v>42</v>
      </c>
      <c r="AP3923">
        <v>32</v>
      </c>
      <c r="AQ3923">
        <v>5</v>
      </c>
      <c r="AR3923">
        <v>1</v>
      </c>
      <c r="AS3923">
        <v>13</v>
      </c>
      <c r="AT3923">
        <v>3</v>
      </c>
    </row>
    <row r="3924" spans="1:46">
      <c r="A3924">
        <v>60349</v>
      </c>
      <c r="B3924" t="s">
        <v>21422</v>
      </c>
      <c r="C3924" t="s">
        <v>21423</v>
      </c>
      <c r="D3924" t="s">
        <v>21424</v>
      </c>
      <c r="E3924" t="s">
        <v>21425</v>
      </c>
      <c r="G3924" t="s">
        <v>2364</v>
      </c>
      <c r="H3924" t="s">
        <v>3942</v>
      </c>
      <c r="J3924" t="s">
        <v>3962</v>
      </c>
      <c r="K3924" t="s">
        <v>519</v>
      </c>
      <c r="M3924" t="s">
        <v>2287</v>
      </c>
      <c r="N3924" t="s">
        <v>571</v>
      </c>
      <c r="O3924" t="s">
        <v>2333</v>
      </c>
      <c r="P3924" t="s">
        <v>523</v>
      </c>
      <c r="Q3924" t="s">
        <v>2319</v>
      </c>
      <c r="R3924" t="s">
        <v>2289</v>
      </c>
      <c r="S3924" t="s">
        <v>2269</v>
      </c>
      <c r="T3924" t="s">
        <v>2085</v>
      </c>
      <c r="U3924">
        <v>257700</v>
      </c>
      <c r="V3924" t="s">
        <v>2364</v>
      </c>
      <c r="W3924" t="s">
        <v>2365</v>
      </c>
      <c r="X3924" t="s">
        <v>21426</v>
      </c>
      <c r="Y3924" t="s">
        <v>4107</v>
      </c>
      <c r="AA3924" t="s">
        <v>3982</v>
      </c>
      <c r="AB3924" t="s">
        <v>21427</v>
      </c>
      <c r="AE3924">
        <v>-41.083762399999998</v>
      </c>
      <c r="AF3924">
        <v>175.45703040000001</v>
      </c>
      <c r="AG3924">
        <v>65</v>
      </c>
      <c r="AH3924">
        <v>25</v>
      </c>
      <c r="AI3924">
        <v>8</v>
      </c>
      <c r="AJ3924">
        <v>20</v>
      </c>
      <c r="AK3924">
        <v>23</v>
      </c>
      <c r="AL3924">
        <v>9</v>
      </c>
      <c r="AM3924">
        <v>19</v>
      </c>
      <c r="AN3924">
        <v>0</v>
      </c>
      <c r="AO3924">
        <v>79</v>
      </c>
      <c r="AP3924">
        <v>70</v>
      </c>
      <c r="AQ3924">
        <v>7</v>
      </c>
      <c r="AR3924">
        <v>6</v>
      </c>
      <c r="AS3924">
        <v>6</v>
      </c>
      <c r="AT3924">
        <v>3</v>
      </c>
    </row>
    <row r="3925" spans="1:46">
      <c r="A3925">
        <v>60351</v>
      </c>
      <c r="B3925" t="s">
        <v>21428</v>
      </c>
      <c r="C3925" t="s">
        <v>21429</v>
      </c>
      <c r="D3925" t="s">
        <v>12685</v>
      </c>
      <c r="E3925" t="s">
        <v>21430</v>
      </c>
      <c r="G3925" t="s">
        <v>21431</v>
      </c>
      <c r="H3925" t="s">
        <v>3942</v>
      </c>
      <c r="J3925" t="s">
        <v>3962</v>
      </c>
      <c r="K3925" t="s">
        <v>519</v>
      </c>
      <c r="M3925" t="s">
        <v>2287</v>
      </c>
      <c r="N3925" t="s">
        <v>571</v>
      </c>
      <c r="O3925" t="s">
        <v>2675</v>
      </c>
      <c r="P3925" t="s">
        <v>1262</v>
      </c>
      <c r="Q3925" t="s">
        <v>2319</v>
      </c>
      <c r="R3925" t="s">
        <v>2289</v>
      </c>
      <c r="S3925" t="s">
        <v>2067</v>
      </c>
      <c r="T3925" t="s">
        <v>1485</v>
      </c>
      <c r="U3925">
        <v>236800</v>
      </c>
      <c r="V3925" t="s">
        <v>21431</v>
      </c>
      <c r="W3925" t="s">
        <v>2801</v>
      </c>
      <c r="X3925" t="s">
        <v>10292</v>
      </c>
      <c r="Y3925" t="s">
        <v>10293</v>
      </c>
      <c r="AA3925" t="s">
        <v>10294</v>
      </c>
      <c r="AB3925" t="s">
        <v>10295</v>
      </c>
      <c r="AE3925">
        <v>-40.865376189999999</v>
      </c>
      <c r="AF3925">
        <v>175.01939734000001</v>
      </c>
      <c r="AG3925">
        <v>25</v>
      </c>
      <c r="AH3925">
        <v>5</v>
      </c>
      <c r="AI3925">
        <v>0</v>
      </c>
      <c r="AJ3925">
        <v>10</v>
      </c>
      <c r="AK3925">
        <v>9</v>
      </c>
      <c r="AL3925">
        <v>8</v>
      </c>
      <c r="AM3925">
        <v>8</v>
      </c>
      <c r="AN3925">
        <v>0</v>
      </c>
      <c r="AO3925">
        <v>35</v>
      </c>
      <c r="AP3925">
        <v>34</v>
      </c>
      <c r="AQ3925">
        <v>6</v>
      </c>
      <c r="AR3925">
        <v>1</v>
      </c>
      <c r="AS3925">
        <v>2</v>
      </c>
      <c r="AT3925">
        <v>1</v>
      </c>
    </row>
    <row r="3926" spans="1:46">
      <c r="A3926">
        <v>60353</v>
      </c>
      <c r="B3926" t="s">
        <v>21432</v>
      </c>
      <c r="C3926" t="s">
        <v>21433</v>
      </c>
      <c r="D3926" t="s">
        <v>21434</v>
      </c>
      <c r="E3926" t="s">
        <v>21435</v>
      </c>
      <c r="F3926" t="s">
        <v>2597</v>
      </c>
      <c r="G3926" t="s">
        <v>2289</v>
      </c>
      <c r="H3926" t="s">
        <v>3942</v>
      </c>
      <c r="J3926" t="s">
        <v>518</v>
      </c>
      <c r="K3926" t="s">
        <v>519</v>
      </c>
      <c r="M3926" t="s">
        <v>2287</v>
      </c>
      <c r="N3926" t="s">
        <v>571</v>
      </c>
      <c r="O3926" t="s">
        <v>2536</v>
      </c>
      <c r="P3926" t="s">
        <v>654</v>
      </c>
      <c r="Q3926" t="s">
        <v>2319</v>
      </c>
      <c r="R3926" t="s">
        <v>2289</v>
      </c>
      <c r="S3926" t="s">
        <v>2545</v>
      </c>
      <c r="T3926" t="s">
        <v>2448</v>
      </c>
      <c r="U3926">
        <v>248400</v>
      </c>
      <c r="V3926" t="s">
        <v>2603</v>
      </c>
      <c r="W3926" t="s">
        <v>2547</v>
      </c>
      <c r="X3926" t="s">
        <v>10434</v>
      </c>
      <c r="Y3926" t="s">
        <v>3944</v>
      </c>
      <c r="Z3926" t="s">
        <v>3945</v>
      </c>
      <c r="AA3926" t="s">
        <v>3946</v>
      </c>
      <c r="AE3926">
        <v>-41.228853549999997</v>
      </c>
      <c r="AF3926">
        <v>174.79479334000001</v>
      </c>
      <c r="AG3926">
        <v>36</v>
      </c>
      <c r="AH3926">
        <v>0</v>
      </c>
      <c r="AI3926">
        <v>0</v>
      </c>
      <c r="AJ3926">
        <v>0</v>
      </c>
      <c r="AK3926">
        <v>4</v>
      </c>
      <c r="AL3926">
        <v>10</v>
      </c>
      <c r="AM3926">
        <v>21</v>
      </c>
      <c r="AN3926">
        <v>0</v>
      </c>
      <c r="AO3926">
        <v>35</v>
      </c>
      <c r="AP3926">
        <v>19</v>
      </c>
      <c r="AQ3926">
        <v>0</v>
      </c>
      <c r="AR3926">
        <v>4</v>
      </c>
      <c r="AS3926">
        <v>19</v>
      </c>
      <c r="AT3926">
        <v>5</v>
      </c>
    </row>
    <row r="3927" spans="1:46">
      <c r="A3927">
        <v>60354</v>
      </c>
      <c r="B3927" t="s">
        <v>21436</v>
      </c>
      <c r="C3927" t="s">
        <v>21437</v>
      </c>
      <c r="D3927" t="s">
        <v>21438</v>
      </c>
      <c r="E3927" t="s">
        <v>21439</v>
      </c>
      <c r="F3927" t="s">
        <v>2637</v>
      </c>
      <c r="G3927" t="s">
        <v>2289</v>
      </c>
      <c r="H3927" t="s">
        <v>3942</v>
      </c>
      <c r="J3927" t="s">
        <v>3962</v>
      </c>
      <c r="K3927" t="s">
        <v>519</v>
      </c>
      <c r="M3927" t="s">
        <v>2287</v>
      </c>
      <c r="N3927" t="s">
        <v>571</v>
      </c>
      <c r="O3927" t="s">
        <v>2536</v>
      </c>
      <c r="P3927" t="s">
        <v>654</v>
      </c>
      <c r="Q3927" t="s">
        <v>2319</v>
      </c>
      <c r="R3927" t="s">
        <v>2289</v>
      </c>
      <c r="S3927" t="s">
        <v>2537</v>
      </c>
      <c r="T3927" t="s">
        <v>2448</v>
      </c>
      <c r="U3927">
        <v>254100</v>
      </c>
      <c r="V3927" t="s">
        <v>2643</v>
      </c>
      <c r="W3927" t="s">
        <v>2591</v>
      </c>
      <c r="X3927" t="s">
        <v>21440</v>
      </c>
      <c r="Y3927" t="s">
        <v>21439</v>
      </c>
      <c r="Z3927" t="s">
        <v>2637</v>
      </c>
      <c r="AA3927" t="s">
        <v>19076</v>
      </c>
      <c r="AB3927" t="s">
        <v>21441</v>
      </c>
      <c r="AC3927">
        <v>99141</v>
      </c>
      <c r="AD3927" t="s">
        <v>2592</v>
      </c>
      <c r="AE3927">
        <v>-41.307171699999998</v>
      </c>
      <c r="AF3927">
        <v>174.82553763000001</v>
      </c>
      <c r="AG3927">
        <v>30</v>
      </c>
      <c r="AH3927">
        <v>0</v>
      </c>
      <c r="AI3927">
        <v>0</v>
      </c>
      <c r="AJ3927">
        <v>0</v>
      </c>
      <c r="AK3927">
        <v>0</v>
      </c>
      <c r="AL3927">
        <v>7</v>
      </c>
      <c r="AM3927">
        <v>10</v>
      </c>
      <c r="AN3927">
        <v>2</v>
      </c>
      <c r="AO3927">
        <v>19</v>
      </c>
      <c r="AP3927">
        <v>16</v>
      </c>
      <c r="AQ3927">
        <v>2</v>
      </c>
      <c r="AR3927">
        <v>1</v>
      </c>
      <c r="AS3927">
        <v>5</v>
      </c>
      <c r="AT3927">
        <v>2</v>
      </c>
    </row>
    <row r="3928" spans="1:46">
      <c r="A3928">
        <v>60355</v>
      </c>
      <c r="B3928" t="s">
        <v>21442</v>
      </c>
      <c r="C3928" t="s">
        <v>21443</v>
      </c>
      <c r="D3928" t="s">
        <v>21444</v>
      </c>
      <c r="E3928" t="s">
        <v>21445</v>
      </c>
      <c r="G3928" t="s">
        <v>2286</v>
      </c>
      <c r="H3928" t="s">
        <v>3942</v>
      </c>
      <c r="J3928" t="s">
        <v>3962</v>
      </c>
      <c r="K3928" t="s">
        <v>519</v>
      </c>
      <c r="M3928" t="s">
        <v>2287</v>
      </c>
      <c r="N3928" t="s">
        <v>571</v>
      </c>
      <c r="O3928" t="s">
        <v>2288</v>
      </c>
      <c r="P3928" t="s">
        <v>523</v>
      </c>
      <c r="Q3928" t="s">
        <v>1636</v>
      </c>
      <c r="R3928" t="s">
        <v>2289</v>
      </c>
      <c r="S3928" t="s">
        <v>2269</v>
      </c>
      <c r="T3928" t="s">
        <v>2085</v>
      </c>
      <c r="U3928">
        <v>233300</v>
      </c>
      <c r="V3928" t="s">
        <v>2301</v>
      </c>
      <c r="W3928" t="s">
        <v>2291</v>
      </c>
      <c r="X3928" t="s">
        <v>21446</v>
      </c>
      <c r="Y3928" t="s">
        <v>21447</v>
      </c>
      <c r="AA3928" t="s">
        <v>21448</v>
      </c>
      <c r="AB3928" t="s">
        <v>21449</v>
      </c>
      <c r="AC3928">
        <v>99047</v>
      </c>
      <c r="AD3928" t="s">
        <v>2296</v>
      </c>
      <c r="AE3928">
        <v>-40.2059414</v>
      </c>
      <c r="AF3928">
        <v>176.10491469999999</v>
      </c>
      <c r="AG3928">
        <v>32</v>
      </c>
      <c r="AH3928">
        <v>12</v>
      </c>
      <c r="AI3928">
        <v>0</v>
      </c>
      <c r="AJ3928">
        <v>11</v>
      </c>
      <c r="AK3928">
        <v>6</v>
      </c>
      <c r="AL3928">
        <v>7</v>
      </c>
      <c r="AM3928">
        <v>10</v>
      </c>
      <c r="AN3928">
        <v>0</v>
      </c>
      <c r="AO3928">
        <v>34</v>
      </c>
      <c r="AP3928">
        <v>32</v>
      </c>
      <c r="AQ3928">
        <v>7</v>
      </c>
      <c r="AR3928">
        <v>0</v>
      </c>
      <c r="AS3928">
        <v>1</v>
      </c>
      <c r="AT3928">
        <v>0</v>
      </c>
    </row>
    <row r="3929" spans="1:46">
      <c r="A3929">
        <v>60357</v>
      </c>
      <c r="B3929" t="s">
        <v>21450</v>
      </c>
      <c r="C3929" t="s">
        <v>21451</v>
      </c>
      <c r="D3929" t="s">
        <v>21452</v>
      </c>
      <c r="E3929" t="s">
        <v>21453</v>
      </c>
      <c r="F3929" t="s">
        <v>12163</v>
      </c>
      <c r="G3929" t="s">
        <v>2289</v>
      </c>
      <c r="H3929" t="s">
        <v>3942</v>
      </c>
      <c r="I3929" t="s">
        <v>4231</v>
      </c>
      <c r="J3929" t="s">
        <v>518</v>
      </c>
      <c r="K3929" t="s">
        <v>519</v>
      </c>
      <c r="M3929" t="s">
        <v>2287</v>
      </c>
      <c r="N3929" t="s">
        <v>571</v>
      </c>
      <c r="O3929" t="s">
        <v>2536</v>
      </c>
      <c r="P3929" t="s">
        <v>654</v>
      </c>
      <c r="Q3929" t="s">
        <v>2319</v>
      </c>
      <c r="R3929" t="s">
        <v>2289</v>
      </c>
      <c r="S3929" t="s">
        <v>2553</v>
      </c>
      <c r="T3929" t="s">
        <v>2448</v>
      </c>
      <c r="U3929">
        <v>250902</v>
      </c>
      <c r="V3929" t="s">
        <v>18995</v>
      </c>
      <c r="W3929" t="s">
        <v>2573</v>
      </c>
      <c r="X3929" t="s">
        <v>21454</v>
      </c>
      <c r="Y3929" t="s">
        <v>21453</v>
      </c>
      <c r="Z3929" t="s">
        <v>12163</v>
      </c>
      <c r="AA3929" t="s">
        <v>20945</v>
      </c>
      <c r="AB3929" t="s">
        <v>21455</v>
      </c>
      <c r="AC3929">
        <v>99110</v>
      </c>
      <c r="AD3929" t="s">
        <v>4237</v>
      </c>
      <c r="AE3929">
        <v>-41.274617800000001</v>
      </c>
      <c r="AF3929">
        <v>174.782903</v>
      </c>
      <c r="AG3929">
        <v>20</v>
      </c>
      <c r="AH3929">
        <v>0</v>
      </c>
      <c r="AI3929">
        <v>0</v>
      </c>
      <c r="AJ3929">
        <v>0</v>
      </c>
      <c r="AK3929">
        <v>4</v>
      </c>
      <c r="AL3929">
        <v>8</v>
      </c>
      <c r="AM3929">
        <v>2</v>
      </c>
      <c r="AN3929">
        <v>0</v>
      </c>
      <c r="AO3929">
        <v>14</v>
      </c>
      <c r="AP3929">
        <v>11</v>
      </c>
      <c r="AQ3929">
        <v>1</v>
      </c>
      <c r="AR3929">
        <v>2</v>
      </c>
      <c r="AS3929">
        <v>4</v>
      </c>
      <c r="AT3929">
        <v>0</v>
      </c>
    </row>
    <row r="3930" spans="1:46">
      <c r="A3930">
        <v>60362</v>
      </c>
      <c r="B3930" t="s">
        <v>21456</v>
      </c>
      <c r="C3930" t="s">
        <v>21457</v>
      </c>
      <c r="D3930" t="s">
        <v>21458</v>
      </c>
      <c r="E3930" t="s">
        <v>21459</v>
      </c>
      <c r="F3930" t="s">
        <v>20503</v>
      </c>
      <c r="G3930" t="s">
        <v>2427</v>
      </c>
      <c r="H3930" t="s">
        <v>3942</v>
      </c>
      <c r="I3930" t="s">
        <v>3953</v>
      </c>
      <c r="J3930" t="s">
        <v>3962</v>
      </c>
      <c r="K3930" t="s">
        <v>519</v>
      </c>
      <c r="M3930" t="s">
        <v>2287</v>
      </c>
      <c r="N3930" t="s">
        <v>557</v>
      </c>
      <c r="O3930" t="s">
        <v>2428</v>
      </c>
      <c r="P3930" t="s">
        <v>654</v>
      </c>
      <c r="Q3930" t="s">
        <v>2319</v>
      </c>
      <c r="R3930" t="s">
        <v>2289</v>
      </c>
      <c r="S3930" t="s">
        <v>2373</v>
      </c>
      <c r="T3930" t="s">
        <v>2085</v>
      </c>
      <c r="U3930">
        <v>245200</v>
      </c>
      <c r="V3930" t="s">
        <v>2442</v>
      </c>
      <c r="W3930" t="s">
        <v>2443</v>
      </c>
      <c r="X3930" t="s">
        <v>17903</v>
      </c>
      <c r="Y3930" t="s">
        <v>4741</v>
      </c>
      <c r="Z3930" t="s">
        <v>2395</v>
      </c>
      <c r="AA3930" t="s">
        <v>4742</v>
      </c>
      <c r="AB3930" t="s">
        <v>18623</v>
      </c>
      <c r="AE3930">
        <v>-41.192265470000002</v>
      </c>
      <c r="AF3930">
        <v>174.94910791000001</v>
      </c>
      <c r="AG3930">
        <v>44</v>
      </c>
      <c r="AH3930">
        <v>22</v>
      </c>
      <c r="AI3930">
        <v>1</v>
      </c>
      <c r="AJ3930">
        <v>8</v>
      </c>
      <c r="AK3930">
        <v>9</v>
      </c>
      <c r="AL3930">
        <v>7</v>
      </c>
      <c r="AM3930">
        <v>10</v>
      </c>
      <c r="AN3930">
        <v>0</v>
      </c>
      <c r="AO3930">
        <v>35</v>
      </c>
      <c r="AP3930">
        <v>10</v>
      </c>
      <c r="AQ3930">
        <v>6</v>
      </c>
      <c r="AR3930">
        <v>5</v>
      </c>
      <c r="AS3930">
        <v>21</v>
      </c>
      <c r="AT3930">
        <v>2</v>
      </c>
    </row>
    <row r="3931" spans="1:46">
      <c r="A3931">
        <v>60366</v>
      </c>
      <c r="B3931" t="s">
        <v>21460</v>
      </c>
      <c r="C3931" t="s">
        <v>21461</v>
      </c>
      <c r="D3931" t="s">
        <v>15368</v>
      </c>
      <c r="E3931" t="s">
        <v>21462</v>
      </c>
      <c r="F3931" t="s">
        <v>2370</v>
      </c>
      <c r="G3931" t="s">
        <v>2371</v>
      </c>
      <c r="H3931" t="s">
        <v>3942</v>
      </c>
      <c r="J3931" t="s">
        <v>3962</v>
      </c>
      <c r="K3931" t="s">
        <v>519</v>
      </c>
      <c r="M3931" t="s">
        <v>2287</v>
      </c>
      <c r="N3931" t="s">
        <v>571</v>
      </c>
      <c r="O3931" t="s">
        <v>2372</v>
      </c>
      <c r="P3931" t="s">
        <v>584</v>
      </c>
      <c r="Q3931" t="s">
        <v>2319</v>
      </c>
      <c r="R3931" t="s">
        <v>2289</v>
      </c>
      <c r="S3931" t="s">
        <v>2373</v>
      </c>
      <c r="T3931" t="s">
        <v>2085</v>
      </c>
      <c r="U3931">
        <v>241400</v>
      </c>
      <c r="V3931" t="s">
        <v>2395</v>
      </c>
      <c r="W3931" t="s">
        <v>1652</v>
      </c>
      <c r="X3931" t="s">
        <v>10292</v>
      </c>
      <c r="Y3931" t="s">
        <v>10293</v>
      </c>
      <c r="AA3931" t="s">
        <v>10294</v>
      </c>
      <c r="AB3931" t="s">
        <v>10295</v>
      </c>
      <c r="AE3931">
        <v>-41.143394999999998</v>
      </c>
      <c r="AF3931">
        <v>175.01990402999999</v>
      </c>
      <c r="AG3931">
        <v>37</v>
      </c>
      <c r="AH3931">
        <v>15</v>
      </c>
      <c r="AI3931">
        <v>5</v>
      </c>
      <c r="AJ3931">
        <v>10</v>
      </c>
      <c r="AK3931">
        <v>7</v>
      </c>
      <c r="AL3931">
        <v>16</v>
      </c>
      <c r="AM3931">
        <v>7</v>
      </c>
      <c r="AN3931">
        <v>0</v>
      </c>
      <c r="AO3931">
        <v>45</v>
      </c>
      <c r="AP3931">
        <v>37</v>
      </c>
      <c r="AQ3931">
        <v>9</v>
      </c>
      <c r="AR3931">
        <v>4</v>
      </c>
      <c r="AS3931">
        <v>8</v>
      </c>
      <c r="AT3931">
        <v>2</v>
      </c>
    </row>
    <row r="3932" spans="1:46">
      <c r="A3932">
        <v>60368</v>
      </c>
      <c r="B3932" t="s">
        <v>21463</v>
      </c>
      <c r="C3932" t="s">
        <v>21464</v>
      </c>
      <c r="D3932" t="s">
        <v>21465</v>
      </c>
      <c r="E3932" t="s">
        <v>21466</v>
      </c>
      <c r="F3932" t="s">
        <v>2535</v>
      </c>
      <c r="G3932" t="s">
        <v>2289</v>
      </c>
      <c r="H3932" t="s">
        <v>3942</v>
      </c>
      <c r="J3932" t="s">
        <v>3962</v>
      </c>
      <c r="K3932" t="s">
        <v>519</v>
      </c>
      <c r="M3932" t="s">
        <v>2287</v>
      </c>
      <c r="N3932" t="s">
        <v>4519</v>
      </c>
      <c r="O3932" t="s">
        <v>2536</v>
      </c>
      <c r="P3932" t="s">
        <v>654</v>
      </c>
      <c r="Q3932" t="s">
        <v>2319</v>
      </c>
      <c r="R3932" t="s">
        <v>2289</v>
      </c>
      <c r="S3932" t="s">
        <v>2537</v>
      </c>
      <c r="T3932" t="s">
        <v>2448</v>
      </c>
      <c r="U3932">
        <v>253300</v>
      </c>
      <c r="V3932" t="s">
        <v>2535</v>
      </c>
      <c r="W3932" t="s">
        <v>2538</v>
      </c>
      <c r="X3932" t="s">
        <v>21467</v>
      </c>
      <c r="Y3932" t="s">
        <v>21468</v>
      </c>
      <c r="AA3932" t="s">
        <v>21469</v>
      </c>
      <c r="AB3932" t="s">
        <v>21464</v>
      </c>
      <c r="AE3932">
        <v>-41.323616199999996</v>
      </c>
      <c r="AF3932">
        <v>174.77468128000001</v>
      </c>
      <c r="AG3932">
        <v>29</v>
      </c>
      <c r="AH3932">
        <v>0</v>
      </c>
      <c r="AI3932">
        <v>0</v>
      </c>
      <c r="AJ3932">
        <v>0</v>
      </c>
      <c r="AK3932">
        <v>5</v>
      </c>
      <c r="AL3932">
        <v>5</v>
      </c>
      <c r="AM3932">
        <v>8</v>
      </c>
      <c r="AN3932">
        <v>0</v>
      </c>
      <c r="AO3932">
        <v>18</v>
      </c>
      <c r="AP3932">
        <v>3</v>
      </c>
      <c r="AQ3932">
        <v>0</v>
      </c>
      <c r="AR3932">
        <v>0</v>
      </c>
      <c r="AS3932">
        <v>12</v>
      </c>
      <c r="AT3932">
        <v>3</v>
      </c>
    </row>
    <row r="3933" spans="1:46">
      <c r="A3933">
        <v>60379</v>
      </c>
      <c r="B3933" t="s">
        <v>21470</v>
      </c>
      <c r="C3933" t="s">
        <v>21471</v>
      </c>
      <c r="D3933" t="s">
        <v>21472</v>
      </c>
      <c r="E3933" t="s">
        <v>21473</v>
      </c>
      <c r="F3933" t="s">
        <v>2559</v>
      </c>
      <c r="G3933" t="s">
        <v>2289</v>
      </c>
      <c r="H3933" t="s">
        <v>3942</v>
      </c>
      <c r="J3933" t="s">
        <v>3962</v>
      </c>
      <c r="K3933" t="s">
        <v>519</v>
      </c>
      <c r="M3933" t="s">
        <v>2287</v>
      </c>
      <c r="N3933" t="s">
        <v>571</v>
      </c>
      <c r="O3933" t="s">
        <v>2536</v>
      </c>
      <c r="P3933" t="s">
        <v>654</v>
      </c>
      <c r="Q3933" t="s">
        <v>2319</v>
      </c>
      <c r="R3933" t="s">
        <v>2289</v>
      </c>
      <c r="S3933" t="s">
        <v>2553</v>
      </c>
      <c r="T3933" t="s">
        <v>2448</v>
      </c>
      <c r="U3933">
        <v>249900</v>
      </c>
      <c r="V3933" t="s">
        <v>21474</v>
      </c>
      <c r="W3933" t="s">
        <v>2561</v>
      </c>
      <c r="X3933" t="s">
        <v>20328</v>
      </c>
      <c r="Y3933" t="s">
        <v>20329</v>
      </c>
      <c r="Z3933" t="s">
        <v>2597</v>
      </c>
      <c r="AA3933" t="s">
        <v>12404</v>
      </c>
      <c r="AC3933">
        <v>99213</v>
      </c>
      <c r="AD3933" t="s">
        <v>20330</v>
      </c>
      <c r="AE3933">
        <v>-41.28086862</v>
      </c>
      <c r="AF3933">
        <v>174.75130769</v>
      </c>
      <c r="AG3933">
        <v>22</v>
      </c>
      <c r="AH3933">
        <v>22</v>
      </c>
      <c r="AI3933">
        <v>0</v>
      </c>
      <c r="AJ3933">
        <v>22</v>
      </c>
      <c r="AK3933">
        <v>5</v>
      </c>
      <c r="AL3933">
        <v>0</v>
      </c>
      <c r="AM3933">
        <v>0</v>
      </c>
      <c r="AN3933">
        <v>0</v>
      </c>
      <c r="AO3933">
        <v>27</v>
      </c>
      <c r="AP3933">
        <v>27</v>
      </c>
      <c r="AQ3933">
        <v>6</v>
      </c>
      <c r="AR3933">
        <v>1</v>
      </c>
      <c r="AS3933">
        <v>0</v>
      </c>
      <c r="AT3933">
        <v>2</v>
      </c>
    </row>
    <row r="3934" spans="1:46">
      <c r="A3934">
        <v>60381</v>
      </c>
      <c r="B3934" t="s">
        <v>21475</v>
      </c>
      <c r="C3934" t="s">
        <v>21476</v>
      </c>
      <c r="E3934" t="s">
        <v>21477</v>
      </c>
      <c r="F3934" t="s">
        <v>2370</v>
      </c>
      <c r="G3934" t="s">
        <v>2371</v>
      </c>
      <c r="H3934" t="s">
        <v>3942</v>
      </c>
      <c r="J3934" t="s">
        <v>3962</v>
      </c>
      <c r="K3934" t="s">
        <v>519</v>
      </c>
      <c r="M3934" t="s">
        <v>2287</v>
      </c>
      <c r="N3934" t="s">
        <v>571</v>
      </c>
      <c r="O3934" t="s">
        <v>2372</v>
      </c>
      <c r="P3934" t="s">
        <v>584</v>
      </c>
      <c r="Q3934" t="s">
        <v>2319</v>
      </c>
      <c r="R3934" t="s">
        <v>2289</v>
      </c>
      <c r="S3934" t="s">
        <v>2373</v>
      </c>
      <c r="T3934" t="s">
        <v>2085</v>
      </c>
      <c r="U3934">
        <v>242000</v>
      </c>
      <c r="V3934" t="s">
        <v>2417</v>
      </c>
      <c r="W3934" t="s">
        <v>1652</v>
      </c>
      <c r="X3934" t="s">
        <v>10292</v>
      </c>
      <c r="Y3934" t="s">
        <v>10293</v>
      </c>
      <c r="AA3934" t="s">
        <v>10294</v>
      </c>
      <c r="AB3934" t="s">
        <v>10295</v>
      </c>
      <c r="AE3934">
        <v>-41.128156679999996</v>
      </c>
      <c r="AF3934">
        <v>175.04967556</v>
      </c>
      <c r="AG3934">
        <v>50</v>
      </c>
      <c r="AH3934">
        <v>20</v>
      </c>
      <c r="AI3934">
        <v>1</v>
      </c>
      <c r="AJ3934">
        <v>14</v>
      </c>
      <c r="AK3934">
        <v>13</v>
      </c>
      <c r="AL3934">
        <v>11</v>
      </c>
      <c r="AM3934">
        <v>13</v>
      </c>
      <c r="AN3934">
        <v>1</v>
      </c>
      <c r="AO3934">
        <v>53</v>
      </c>
      <c r="AP3934">
        <v>38</v>
      </c>
      <c r="AQ3934">
        <v>17</v>
      </c>
      <c r="AR3934">
        <v>8</v>
      </c>
      <c r="AS3934">
        <v>12</v>
      </c>
      <c r="AT3934">
        <v>2</v>
      </c>
    </row>
    <row r="3935" spans="1:46">
      <c r="A3935">
        <v>64002</v>
      </c>
      <c r="B3935" t="s">
        <v>21478</v>
      </c>
      <c r="C3935" t="s">
        <v>21479</v>
      </c>
      <c r="D3935" t="s">
        <v>21480</v>
      </c>
      <c r="E3935" t="s">
        <v>21481</v>
      </c>
      <c r="G3935" t="s">
        <v>2317</v>
      </c>
      <c r="H3935" t="s">
        <v>343</v>
      </c>
      <c r="J3935" t="s">
        <v>518</v>
      </c>
      <c r="K3935" t="s">
        <v>519</v>
      </c>
      <c r="L3935" t="s">
        <v>4205</v>
      </c>
      <c r="M3935" t="s">
        <v>1297</v>
      </c>
      <c r="N3935" t="s">
        <v>727</v>
      </c>
      <c r="O3935" t="s">
        <v>2318</v>
      </c>
      <c r="P3935" t="s">
        <v>572</v>
      </c>
      <c r="Q3935" t="s">
        <v>2319</v>
      </c>
      <c r="R3935" t="s">
        <v>2084</v>
      </c>
      <c r="S3935" t="s">
        <v>2269</v>
      </c>
      <c r="T3935" t="s">
        <v>2085</v>
      </c>
      <c r="U3935">
        <v>256600</v>
      </c>
      <c r="V3935" t="s">
        <v>12125</v>
      </c>
      <c r="W3935" t="s">
        <v>2321</v>
      </c>
      <c r="X3935" t="s">
        <v>8804</v>
      </c>
      <c r="Y3935" t="s">
        <v>4208</v>
      </c>
      <c r="Z3935" t="s">
        <v>4209</v>
      </c>
      <c r="AA3935" t="s">
        <v>4210</v>
      </c>
      <c r="AB3935" t="s">
        <v>8805</v>
      </c>
      <c r="AE3935">
        <v>-40.943276560000001</v>
      </c>
      <c r="AF3935">
        <v>175.70120797000001</v>
      </c>
      <c r="AG3935">
        <v>38</v>
      </c>
      <c r="AH3935">
        <v>10</v>
      </c>
      <c r="AI3935">
        <v>2</v>
      </c>
      <c r="AJ3935">
        <v>8</v>
      </c>
      <c r="AK3935">
        <v>3</v>
      </c>
      <c r="AL3935">
        <v>10</v>
      </c>
      <c r="AM3935">
        <v>9</v>
      </c>
      <c r="AN3935">
        <v>0</v>
      </c>
      <c r="AO3935">
        <v>32</v>
      </c>
      <c r="AP3935">
        <v>0</v>
      </c>
      <c r="AQ3935">
        <v>28</v>
      </c>
      <c r="AR3935">
        <v>4</v>
      </c>
      <c r="AS3935">
        <v>0</v>
      </c>
      <c r="AT3935">
        <v>0</v>
      </c>
    </row>
    <row r="3936" spans="1:46">
      <c r="A3936">
        <v>64005</v>
      </c>
      <c r="B3936" t="s">
        <v>21482</v>
      </c>
      <c r="C3936" t="s">
        <v>21483</v>
      </c>
      <c r="D3936" t="s">
        <v>21484</v>
      </c>
      <c r="E3936" t="s">
        <v>21485</v>
      </c>
      <c r="F3936" t="s">
        <v>2426</v>
      </c>
      <c r="G3936" t="s">
        <v>2427</v>
      </c>
      <c r="H3936" t="s">
        <v>343</v>
      </c>
      <c r="J3936" t="s">
        <v>518</v>
      </c>
      <c r="K3936" t="s">
        <v>519</v>
      </c>
      <c r="L3936" t="s">
        <v>4205</v>
      </c>
      <c r="M3936" t="s">
        <v>2287</v>
      </c>
      <c r="N3936" t="s">
        <v>557</v>
      </c>
      <c r="O3936" t="s">
        <v>2428</v>
      </c>
      <c r="P3936" t="s">
        <v>654</v>
      </c>
      <c r="Q3936" t="s">
        <v>2319</v>
      </c>
      <c r="R3936" t="s">
        <v>2289</v>
      </c>
      <c r="S3936" t="s">
        <v>2429</v>
      </c>
      <c r="T3936" t="s">
        <v>2085</v>
      </c>
      <c r="U3936">
        <v>247100</v>
      </c>
      <c r="V3936" t="s">
        <v>13336</v>
      </c>
      <c r="W3936" t="s">
        <v>2431</v>
      </c>
      <c r="X3936" t="s">
        <v>10329</v>
      </c>
      <c r="Y3936" t="s">
        <v>4208</v>
      </c>
      <c r="Z3936" t="s">
        <v>4209</v>
      </c>
      <c r="AA3936" t="s">
        <v>4210</v>
      </c>
      <c r="AB3936" t="s">
        <v>10330</v>
      </c>
      <c r="AE3936">
        <v>-41.260376389999998</v>
      </c>
      <c r="AF3936">
        <v>174.94710319999999</v>
      </c>
      <c r="AG3936">
        <v>28</v>
      </c>
      <c r="AH3936">
        <v>8</v>
      </c>
      <c r="AI3936">
        <v>1</v>
      </c>
      <c r="AJ3936">
        <v>4</v>
      </c>
      <c r="AK3936">
        <v>4</v>
      </c>
      <c r="AL3936">
        <v>4</v>
      </c>
      <c r="AM3936">
        <v>7</v>
      </c>
      <c r="AN3936">
        <v>0</v>
      </c>
      <c r="AO3936">
        <v>20</v>
      </c>
      <c r="AP3936">
        <v>0</v>
      </c>
      <c r="AQ3936">
        <v>20</v>
      </c>
      <c r="AR3936">
        <v>0</v>
      </c>
      <c r="AS3936">
        <v>0</v>
      </c>
      <c r="AT3936">
        <v>0</v>
      </c>
    </row>
    <row r="3937" spans="1:46">
      <c r="A3937">
        <v>64008</v>
      </c>
      <c r="B3937" t="s">
        <v>21486</v>
      </c>
      <c r="C3937" t="s">
        <v>21487</v>
      </c>
      <c r="D3937" t="s">
        <v>21488</v>
      </c>
      <c r="E3937" t="s">
        <v>21489</v>
      </c>
      <c r="F3937" t="s">
        <v>2783</v>
      </c>
      <c r="G3937" t="s">
        <v>2526</v>
      </c>
      <c r="H3937" t="s">
        <v>343</v>
      </c>
      <c r="J3937" t="s">
        <v>518</v>
      </c>
      <c r="K3937" t="s">
        <v>519</v>
      </c>
      <c r="L3937" t="s">
        <v>4205</v>
      </c>
      <c r="M3937" t="s">
        <v>2287</v>
      </c>
      <c r="N3937" t="s">
        <v>557</v>
      </c>
      <c r="O3937" t="s">
        <v>2527</v>
      </c>
      <c r="P3937" t="s">
        <v>584</v>
      </c>
      <c r="Q3937" t="s">
        <v>2319</v>
      </c>
      <c r="R3937" t="s">
        <v>2289</v>
      </c>
      <c r="S3937" t="s">
        <v>2528</v>
      </c>
      <c r="T3937" t="s">
        <v>1485</v>
      </c>
      <c r="U3937">
        <v>239100</v>
      </c>
      <c r="V3937" t="s">
        <v>2784</v>
      </c>
      <c r="W3937" t="s">
        <v>2529</v>
      </c>
      <c r="X3937" t="s">
        <v>10329</v>
      </c>
      <c r="Y3937" t="s">
        <v>4208</v>
      </c>
      <c r="Z3937" t="s">
        <v>4209</v>
      </c>
      <c r="AA3937" t="s">
        <v>4210</v>
      </c>
      <c r="AB3937" t="s">
        <v>10330</v>
      </c>
      <c r="AE3937">
        <v>-41.101463410000001</v>
      </c>
      <c r="AF3937">
        <v>174.8451523</v>
      </c>
      <c r="AG3937">
        <v>35</v>
      </c>
      <c r="AH3937">
        <v>2</v>
      </c>
      <c r="AI3937">
        <v>0</v>
      </c>
      <c r="AJ3937">
        <v>2</v>
      </c>
      <c r="AK3937">
        <v>6</v>
      </c>
      <c r="AL3937">
        <v>9</v>
      </c>
      <c r="AM3937">
        <v>10</v>
      </c>
      <c r="AN3937">
        <v>0</v>
      </c>
      <c r="AO3937">
        <v>27</v>
      </c>
      <c r="AP3937">
        <v>0</v>
      </c>
      <c r="AQ3937">
        <v>25</v>
      </c>
      <c r="AR3937">
        <v>1</v>
      </c>
      <c r="AS3937">
        <v>0</v>
      </c>
      <c r="AT3937">
        <v>1</v>
      </c>
    </row>
    <row r="3938" spans="1:46">
      <c r="A3938">
        <v>64009</v>
      </c>
      <c r="B3938" t="s">
        <v>21490</v>
      </c>
      <c r="C3938" t="s">
        <v>21491</v>
      </c>
      <c r="D3938" t="s">
        <v>21492</v>
      </c>
      <c r="E3938" t="s">
        <v>21493</v>
      </c>
      <c r="G3938" t="s">
        <v>2067</v>
      </c>
      <c r="H3938" t="s">
        <v>343</v>
      </c>
      <c r="J3938" t="s">
        <v>518</v>
      </c>
      <c r="K3938" t="s">
        <v>519</v>
      </c>
      <c r="L3938" t="s">
        <v>4205</v>
      </c>
      <c r="M3938" t="s">
        <v>2287</v>
      </c>
      <c r="N3938" t="s">
        <v>727</v>
      </c>
      <c r="O3938" t="s">
        <v>2675</v>
      </c>
      <c r="P3938" t="s">
        <v>523</v>
      </c>
      <c r="Q3938" t="s">
        <v>2319</v>
      </c>
      <c r="R3938" t="s">
        <v>2289</v>
      </c>
      <c r="S3938" t="s">
        <v>2067</v>
      </c>
      <c r="T3938" t="s">
        <v>1485</v>
      </c>
      <c r="U3938">
        <v>236500</v>
      </c>
      <c r="V3938" t="s">
        <v>2067</v>
      </c>
      <c r="W3938" t="s">
        <v>2698</v>
      </c>
      <c r="X3938" t="s">
        <v>10329</v>
      </c>
      <c r="Y3938" t="s">
        <v>4208</v>
      </c>
      <c r="Z3938" t="s">
        <v>4209</v>
      </c>
      <c r="AA3938" t="s">
        <v>4210</v>
      </c>
      <c r="AB3938" t="s">
        <v>10330</v>
      </c>
      <c r="AE3938">
        <v>-40.74952236</v>
      </c>
      <c r="AF3938">
        <v>175.13815657000001</v>
      </c>
      <c r="AG3938">
        <v>25</v>
      </c>
      <c r="AH3938">
        <v>7</v>
      </c>
      <c r="AI3938">
        <v>0</v>
      </c>
      <c r="AJ3938">
        <v>4</v>
      </c>
      <c r="AK3938">
        <v>3</v>
      </c>
      <c r="AL3938">
        <v>3</v>
      </c>
      <c r="AM3938">
        <v>4</v>
      </c>
      <c r="AN3938">
        <v>0</v>
      </c>
      <c r="AO3938">
        <v>14</v>
      </c>
      <c r="AP3938">
        <v>0</v>
      </c>
      <c r="AQ3938">
        <v>14</v>
      </c>
      <c r="AR3938">
        <v>0</v>
      </c>
      <c r="AS3938">
        <v>0</v>
      </c>
      <c r="AT3938">
        <v>0</v>
      </c>
    </row>
    <row r="3939" spans="1:46">
      <c r="A3939">
        <v>64012</v>
      </c>
      <c r="B3939" t="s">
        <v>21494</v>
      </c>
      <c r="C3939" t="s">
        <v>21495</v>
      </c>
      <c r="D3939" t="s">
        <v>21496</v>
      </c>
      <c r="E3939" t="s">
        <v>21497</v>
      </c>
      <c r="G3939" t="s">
        <v>2067</v>
      </c>
      <c r="H3939" t="s">
        <v>343</v>
      </c>
      <c r="J3939" t="s">
        <v>518</v>
      </c>
      <c r="K3939" t="s">
        <v>519</v>
      </c>
      <c r="L3939" t="s">
        <v>4205</v>
      </c>
      <c r="M3939" t="s">
        <v>2287</v>
      </c>
      <c r="N3939" t="s">
        <v>557</v>
      </c>
      <c r="O3939" t="s">
        <v>2675</v>
      </c>
      <c r="P3939" t="s">
        <v>523</v>
      </c>
      <c r="Q3939" t="s">
        <v>2319</v>
      </c>
      <c r="R3939" t="s">
        <v>2289</v>
      </c>
      <c r="S3939" t="s">
        <v>2067</v>
      </c>
      <c r="T3939" t="s">
        <v>1485</v>
      </c>
      <c r="U3939">
        <v>236500</v>
      </c>
      <c r="V3939" t="s">
        <v>2067</v>
      </c>
      <c r="W3939" t="s">
        <v>2698</v>
      </c>
      <c r="X3939" t="s">
        <v>10329</v>
      </c>
      <c r="Y3939" t="s">
        <v>4208</v>
      </c>
      <c r="Z3939" t="s">
        <v>4209</v>
      </c>
      <c r="AA3939" t="s">
        <v>4210</v>
      </c>
      <c r="AB3939" t="s">
        <v>10330</v>
      </c>
      <c r="AE3939">
        <v>-40.745898920000002</v>
      </c>
      <c r="AF3939">
        <v>175.1416103</v>
      </c>
      <c r="AG3939">
        <v>50</v>
      </c>
      <c r="AH3939">
        <v>10</v>
      </c>
      <c r="AI3939">
        <v>0</v>
      </c>
      <c r="AJ3939">
        <v>6</v>
      </c>
      <c r="AK3939">
        <v>4</v>
      </c>
      <c r="AL3939">
        <v>7</v>
      </c>
      <c r="AM3939">
        <v>7</v>
      </c>
      <c r="AN3939">
        <v>0</v>
      </c>
      <c r="AO3939">
        <v>24</v>
      </c>
      <c r="AP3939">
        <v>0</v>
      </c>
      <c r="AQ3939">
        <v>24</v>
      </c>
      <c r="AR3939">
        <v>0</v>
      </c>
      <c r="AS3939">
        <v>0</v>
      </c>
      <c r="AT3939">
        <v>0</v>
      </c>
    </row>
    <row r="3940" spans="1:46">
      <c r="A3940">
        <v>64015</v>
      </c>
      <c r="B3940" t="s">
        <v>21498</v>
      </c>
      <c r="C3940" t="s">
        <v>21499</v>
      </c>
      <c r="D3940" t="s">
        <v>21500</v>
      </c>
      <c r="E3940" t="s">
        <v>21501</v>
      </c>
      <c r="F3940" t="s">
        <v>2479</v>
      </c>
      <c r="G3940" t="s">
        <v>2427</v>
      </c>
      <c r="H3940" t="s">
        <v>343</v>
      </c>
      <c r="J3940" t="s">
        <v>518</v>
      </c>
      <c r="K3940" t="s">
        <v>519</v>
      </c>
      <c r="L3940" t="s">
        <v>4205</v>
      </c>
      <c r="M3940" t="s">
        <v>2287</v>
      </c>
      <c r="N3940" t="s">
        <v>539</v>
      </c>
      <c r="O3940" t="s">
        <v>2428</v>
      </c>
      <c r="P3940" t="s">
        <v>654</v>
      </c>
      <c r="Q3940" t="s">
        <v>2319</v>
      </c>
      <c r="R3940" t="s">
        <v>2289</v>
      </c>
      <c r="S3940" t="s">
        <v>2373</v>
      </c>
      <c r="T3940" t="s">
        <v>2085</v>
      </c>
      <c r="U3940">
        <v>245400</v>
      </c>
      <c r="V3940" t="s">
        <v>2480</v>
      </c>
      <c r="W3940" t="s">
        <v>2455</v>
      </c>
      <c r="X3940" t="s">
        <v>10329</v>
      </c>
      <c r="Y3940" t="s">
        <v>4208</v>
      </c>
      <c r="Z3940" t="s">
        <v>4209</v>
      </c>
      <c r="AA3940" t="s">
        <v>4210</v>
      </c>
      <c r="AB3940" t="s">
        <v>10330</v>
      </c>
      <c r="AE3940">
        <v>-41.203844060000002</v>
      </c>
      <c r="AF3940">
        <v>174.94661242000001</v>
      </c>
      <c r="AG3940">
        <v>50</v>
      </c>
      <c r="AH3940">
        <v>12</v>
      </c>
      <c r="AI3940">
        <v>0</v>
      </c>
      <c r="AJ3940">
        <v>5</v>
      </c>
      <c r="AK3940">
        <v>13</v>
      </c>
      <c r="AL3940">
        <v>11</v>
      </c>
      <c r="AM3940">
        <v>12</v>
      </c>
      <c r="AN3940">
        <v>0</v>
      </c>
      <c r="AO3940">
        <v>41</v>
      </c>
      <c r="AP3940">
        <v>0</v>
      </c>
      <c r="AQ3940">
        <v>38</v>
      </c>
      <c r="AR3940">
        <v>2</v>
      </c>
      <c r="AS3940">
        <v>0</v>
      </c>
      <c r="AT3940">
        <v>1</v>
      </c>
    </row>
    <row r="3941" spans="1:46">
      <c r="A3941">
        <v>64018</v>
      </c>
      <c r="B3941" t="s">
        <v>21502</v>
      </c>
      <c r="C3941" t="s">
        <v>21503</v>
      </c>
      <c r="D3941" t="s">
        <v>21504</v>
      </c>
      <c r="E3941" t="s">
        <v>21505</v>
      </c>
      <c r="F3941" t="s">
        <v>2370</v>
      </c>
      <c r="G3941" t="s">
        <v>2371</v>
      </c>
      <c r="H3941" t="s">
        <v>343</v>
      </c>
      <c r="J3941" t="s">
        <v>518</v>
      </c>
      <c r="K3941" t="s">
        <v>519</v>
      </c>
      <c r="L3941" t="s">
        <v>4205</v>
      </c>
      <c r="M3941" t="s">
        <v>2287</v>
      </c>
      <c r="N3941" t="s">
        <v>571</v>
      </c>
      <c r="O3941" t="s">
        <v>2372</v>
      </c>
      <c r="P3941" t="s">
        <v>584</v>
      </c>
      <c r="Q3941" t="s">
        <v>2319</v>
      </c>
      <c r="R3941" t="s">
        <v>2289</v>
      </c>
      <c r="S3941" t="s">
        <v>2373</v>
      </c>
      <c r="T3941" t="s">
        <v>2085</v>
      </c>
      <c r="U3941">
        <v>241600</v>
      </c>
      <c r="V3941" t="s">
        <v>2385</v>
      </c>
      <c r="W3941" t="s">
        <v>1652</v>
      </c>
      <c r="X3941" t="s">
        <v>20858</v>
      </c>
      <c r="Y3941" t="s">
        <v>4208</v>
      </c>
      <c r="Z3941" t="s">
        <v>4209</v>
      </c>
      <c r="AA3941" t="s">
        <v>4210</v>
      </c>
      <c r="AB3941" t="s">
        <v>20859</v>
      </c>
      <c r="AE3941">
        <v>-41.125872610000002</v>
      </c>
      <c r="AF3941">
        <v>175.04101204</v>
      </c>
      <c r="AG3941">
        <v>30</v>
      </c>
      <c r="AH3941">
        <v>8</v>
      </c>
      <c r="AI3941">
        <v>4</v>
      </c>
      <c r="AJ3941">
        <v>4</v>
      </c>
      <c r="AK3941">
        <v>3</v>
      </c>
      <c r="AL3941">
        <v>5</v>
      </c>
      <c r="AM3941">
        <v>8</v>
      </c>
      <c r="AN3941">
        <v>0</v>
      </c>
      <c r="AO3941">
        <v>24</v>
      </c>
      <c r="AP3941">
        <v>0</v>
      </c>
      <c r="AQ3941">
        <v>20</v>
      </c>
      <c r="AR3941">
        <v>0</v>
      </c>
      <c r="AS3941">
        <v>0</v>
      </c>
      <c r="AT3941">
        <v>4</v>
      </c>
    </row>
    <row r="3942" spans="1:46">
      <c r="A3942">
        <v>64020</v>
      </c>
      <c r="B3942" t="s">
        <v>21506</v>
      </c>
      <c r="C3942" t="s">
        <v>21507</v>
      </c>
      <c r="D3942" t="s">
        <v>21508</v>
      </c>
      <c r="E3942" t="s">
        <v>21509</v>
      </c>
      <c r="G3942" t="s">
        <v>2067</v>
      </c>
      <c r="H3942" t="s">
        <v>343</v>
      </c>
      <c r="J3942" t="s">
        <v>518</v>
      </c>
      <c r="K3942" t="s">
        <v>519</v>
      </c>
      <c r="L3942" t="s">
        <v>4205</v>
      </c>
      <c r="M3942" t="s">
        <v>2287</v>
      </c>
      <c r="N3942" t="s">
        <v>539</v>
      </c>
      <c r="O3942" t="s">
        <v>2675</v>
      </c>
      <c r="P3942" t="s">
        <v>523</v>
      </c>
      <c r="Q3942" t="s">
        <v>2319</v>
      </c>
      <c r="R3942" t="s">
        <v>2289</v>
      </c>
      <c r="S3942" t="s">
        <v>2067</v>
      </c>
      <c r="T3942" t="s">
        <v>1485</v>
      </c>
      <c r="U3942">
        <v>236500</v>
      </c>
      <c r="V3942" t="s">
        <v>2067</v>
      </c>
      <c r="W3942" t="s">
        <v>2698</v>
      </c>
      <c r="X3942" t="s">
        <v>10329</v>
      </c>
      <c r="Y3942" t="s">
        <v>4208</v>
      </c>
      <c r="Z3942" t="s">
        <v>4209</v>
      </c>
      <c r="AA3942" t="s">
        <v>4210</v>
      </c>
      <c r="AB3942" t="s">
        <v>10330</v>
      </c>
      <c r="AE3942">
        <v>-40.751314010000002</v>
      </c>
      <c r="AF3942">
        <v>175.13725614000001</v>
      </c>
      <c r="AG3942">
        <v>30</v>
      </c>
      <c r="AH3942">
        <v>8</v>
      </c>
      <c r="AI3942">
        <v>0</v>
      </c>
      <c r="AJ3942">
        <v>9</v>
      </c>
      <c r="AK3942">
        <v>8</v>
      </c>
      <c r="AL3942">
        <v>4</v>
      </c>
      <c r="AM3942">
        <v>5</v>
      </c>
      <c r="AN3942">
        <v>0</v>
      </c>
      <c r="AO3942">
        <v>26</v>
      </c>
      <c r="AP3942">
        <v>0</v>
      </c>
      <c r="AQ3942">
        <v>15</v>
      </c>
      <c r="AR3942">
        <v>1</v>
      </c>
      <c r="AS3942">
        <v>0</v>
      </c>
      <c r="AT3942">
        <v>10</v>
      </c>
    </row>
    <row r="3943" spans="1:46">
      <c r="A3943">
        <v>64021</v>
      </c>
      <c r="B3943" t="s">
        <v>21510</v>
      </c>
      <c r="C3943" t="s">
        <v>21511</v>
      </c>
      <c r="D3943" t="s">
        <v>21512</v>
      </c>
      <c r="E3943" t="s">
        <v>21513</v>
      </c>
      <c r="F3943" t="s">
        <v>21514</v>
      </c>
      <c r="G3943" t="s">
        <v>2317</v>
      </c>
      <c r="H3943" t="s">
        <v>343</v>
      </c>
      <c r="J3943" t="s">
        <v>518</v>
      </c>
      <c r="K3943" t="s">
        <v>519</v>
      </c>
      <c r="L3943" t="s">
        <v>4205</v>
      </c>
      <c r="M3943" t="s">
        <v>1297</v>
      </c>
      <c r="N3943" t="s">
        <v>539</v>
      </c>
      <c r="O3943" t="s">
        <v>2318</v>
      </c>
      <c r="P3943" t="s">
        <v>1262</v>
      </c>
      <c r="Q3943" t="s">
        <v>2319</v>
      </c>
      <c r="R3943" t="s">
        <v>2084</v>
      </c>
      <c r="S3943" t="s">
        <v>2269</v>
      </c>
      <c r="T3943" t="s">
        <v>2085</v>
      </c>
      <c r="U3943">
        <v>256100</v>
      </c>
      <c r="V3943" t="s">
        <v>2327</v>
      </c>
      <c r="W3943" t="s">
        <v>2321</v>
      </c>
      <c r="X3943" t="s">
        <v>8804</v>
      </c>
      <c r="Y3943" t="s">
        <v>4208</v>
      </c>
      <c r="Z3943" t="s">
        <v>4209</v>
      </c>
      <c r="AA3943" t="s">
        <v>4210</v>
      </c>
      <c r="AB3943" t="s">
        <v>8805</v>
      </c>
      <c r="AE3943">
        <v>-40.946632000000001</v>
      </c>
      <c r="AF3943">
        <v>175.6473905</v>
      </c>
      <c r="AG3943">
        <v>42</v>
      </c>
      <c r="AH3943">
        <v>15</v>
      </c>
      <c r="AI3943">
        <v>3</v>
      </c>
      <c r="AJ3943">
        <v>8</v>
      </c>
      <c r="AK3943">
        <v>8</v>
      </c>
      <c r="AL3943">
        <v>8</v>
      </c>
      <c r="AM3943">
        <v>10</v>
      </c>
      <c r="AN3943">
        <v>0</v>
      </c>
      <c r="AO3943">
        <v>37</v>
      </c>
      <c r="AP3943">
        <v>0</v>
      </c>
      <c r="AQ3943">
        <v>35</v>
      </c>
      <c r="AR3943">
        <v>1</v>
      </c>
      <c r="AS3943">
        <v>0</v>
      </c>
      <c r="AT3943">
        <v>1</v>
      </c>
    </row>
    <row r="3944" spans="1:46">
      <c r="A3944">
        <v>64026</v>
      </c>
      <c r="B3944" t="s">
        <v>21515</v>
      </c>
      <c r="C3944" t="s">
        <v>21516</v>
      </c>
      <c r="D3944" t="s">
        <v>21517</v>
      </c>
      <c r="E3944" t="s">
        <v>21518</v>
      </c>
      <c r="F3944" t="s">
        <v>21519</v>
      </c>
      <c r="G3944" t="s">
        <v>2427</v>
      </c>
      <c r="H3944" t="s">
        <v>343</v>
      </c>
      <c r="J3944" t="s">
        <v>518</v>
      </c>
      <c r="K3944" t="s">
        <v>519</v>
      </c>
      <c r="L3944" t="s">
        <v>4205</v>
      </c>
      <c r="M3944" t="s">
        <v>2287</v>
      </c>
      <c r="N3944" t="s">
        <v>521</v>
      </c>
      <c r="O3944" t="s">
        <v>2428</v>
      </c>
      <c r="P3944" t="s">
        <v>654</v>
      </c>
      <c r="Q3944" t="s">
        <v>2319</v>
      </c>
      <c r="R3944" t="s">
        <v>2289</v>
      </c>
      <c r="S3944" t="s">
        <v>2373</v>
      </c>
      <c r="T3944" t="s">
        <v>2085</v>
      </c>
      <c r="U3944">
        <v>244100</v>
      </c>
      <c r="V3944" t="s">
        <v>21520</v>
      </c>
      <c r="W3944" t="s">
        <v>2468</v>
      </c>
      <c r="X3944" t="s">
        <v>10329</v>
      </c>
      <c r="Y3944" t="s">
        <v>4208</v>
      </c>
      <c r="Z3944" t="s">
        <v>4209</v>
      </c>
      <c r="AA3944" t="s">
        <v>4210</v>
      </c>
      <c r="AB3944" t="s">
        <v>10330</v>
      </c>
      <c r="AE3944">
        <v>-41.172027190000001</v>
      </c>
      <c r="AF3944">
        <v>174.96297207999999</v>
      </c>
      <c r="AG3944">
        <v>20</v>
      </c>
      <c r="AH3944">
        <v>2</v>
      </c>
      <c r="AI3944">
        <v>0</v>
      </c>
      <c r="AJ3944">
        <v>1</v>
      </c>
      <c r="AK3944">
        <v>4</v>
      </c>
      <c r="AL3944">
        <v>6</v>
      </c>
      <c r="AM3944">
        <v>4</v>
      </c>
      <c r="AN3944">
        <v>0</v>
      </c>
      <c r="AO3944">
        <v>15</v>
      </c>
      <c r="AP3944">
        <v>0</v>
      </c>
      <c r="AQ3944">
        <v>12</v>
      </c>
      <c r="AR3944">
        <v>3</v>
      </c>
      <c r="AS3944">
        <v>0</v>
      </c>
      <c r="AT3944">
        <v>0</v>
      </c>
    </row>
    <row r="3945" spans="1:46">
      <c r="A3945">
        <v>64027</v>
      </c>
      <c r="B3945" t="s">
        <v>21521</v>
      </c>
      <c r="C3945" t="s">
        <v>21522</v>
      </c>
      <c r="D3945" t="s">
        <v>21523</v>
      </c>
      <c r="E3945" t="s">
        <v>21524</v>
      </c>
      <c r="F3945" t="s">
        <v>2525</v>
      </c>
      <c r="G3945" t="s">
        <v>2526</v>
      </c>
      <c r="H3945" t="s">
        <v>343</v>
      </c>
      <c r="J3945" t="s">
        <v>518</v>
      </c>
      <c r="K3945" t="s">
        <v>519</v>
      </c>
      <c r="L3945" t="s">
        <v>4205</v>
      </c>
      <c r="M3945" t="s">
        <v>2287</v>
      </c>
      <c r="N3945" t="s">
        <v>727</v>
      </c>
      <c r="O3945" t="s">
        <v>2527</v>
      </c>
      <c r="P3945" t="s">
        <v>584</v>
      </c>
      <c r="Q3945" t="s">
        <v>2319</v>
      </c>
      <c r="R3945" t="s">
        <v>2289</v>
      </c>
      <c r="S3945" t="s">
        <v>2528</v>
      </c>
      <c r="T3945" t="s">
        <v>1485</v>
      </c>
      <c r="U3945">
        <v>240000</v>
      </c>
      <c r="V3945" t="s">
        <v>2704</v>
      </c>
      <c r="W3945" t="s">
        <v>2579</v>
      </c>
      <c r="X3945" t="s">
        <v>10329</v>
      </c>
      <c r="Y3945" t="s">
        <v>4208</v>
      </c>
      <c r="Z3945" t="s">
        <v>4209</v>
      </c>
      <c r="AA3945" t="s">
        <v>4210</v>
      </c>
      <c r="AB3945" t="s">
        <v>10330</v>
      </c>
      <c r="AE3945">
        <v>-41.122204539999998</v>
      </c>
      <c r="AF3945">
        <v>174.86161050000001</v>
      </c>
      <c r="AG3945">
        <v>28</v>
      </c>
      <c r="AH3945">
        <v>10</v>
      </c>
      <c r="AI3945">
        <v>0</v>
      </c>
      <c r="AJ3945">
        <v>1</v>
      </c>
      <c r="AK3945">
        <v>4</v>
      </c>
      <c r="AL3945">
        <v>5</v>
      </c>
      <c r="AM3945">
        <v>7</v>
      </c>
      <c r="AN3945">
        <v>0</v>
      </c>
      <c r="AO3945">
        <v>17</v>
      </c>
      <c r="AP3945">
        <v>0</v>
      </c>
      <c r="AQ3945">
        <v>15</v>
      </c>
      <c r="AR3945">
        <v>1</v>
      </c>
      <c r="AS3945">
        <v>0</v>
      </c>
      <c r="AT3945">
        <v>1</v>
      </c>
    </row>
    <row r="3946" spans="1:46">
      <c r="A3946">
        <v>64029</v>
      </c>
      <c r="B3946" t="s">
        <v>21525</v>
      </c>
      <c r="C3946" t="s">
        <v>21526</v>
      </c>
      <c r="D3946" t="s">
        <v>21527</v>
      </c>
      <c r="E3946" t="s">
        <v>21528</v>
      </c>
      <c r="F3946" t="s">
        <v>2683</v>
      </c>
      <c r="G3946" t="s">
        <v>2289</v>
      </c>
      <c r="H3946" t="s">
        <v>343</v>
      </c>
      <c r="J3946" t="s">
        <v>518</v>
      </c>
      <c r="K3946" t="s">
        <v>519</v>
      </c>
      <c r="L3946" t="s">
        <v>4205</v>
      </c>
      <c r="M3946" t="s">
        <v>2287</v>
      </c>
      <c r="N3946" t="s">
        <v>571</v>
      </c>
      <c r="O3946" t="s">
        <v>2536</v>
      </c>
      <c r="P3946" t="s">
        <v>654</v>
      </c>
      <c r="Q3946" t="s">
        <v>2319</v>
      </c>
      <c r="R3946" t="s">
        <v>2289</v>
      </c>
      <c r="S3946" t="s">
        <v>2545</v>
      </c>
      <c r="T3946" t="s">
        <v>2448</v>
      </c>
      <c r="U3946">
        <v>249600</v>
      </c>
      <c r="V3946" t="s">
        <v>2684</v>
      </c>
      <c r="W3946" t="s">
        <v>2561</v>
      </c>
      <c r="X3946" t="s">
        <v>10329</v>
      </c>
      <c r="Y3946" t="s">
        <v>4208</v>
      </c>
      <c r="Z3946" t="s">
        <v>4209</v>
      </c>
      <c r="AA3946" t="s">
        <v>4210</v>
      </c>
      <c r="AB3946" t="s">
        <v>10330</v>
      </c>
      <c r="AE3946">
        <v>-41.249430660000002</v>
      </c>
      <c r="AF3946">
        <v>174.78103307000001</v>
      </c>
      <c r="AG3946">
        <v>23</v>
      </c>
      <c r="AH3946">
        <v>6</v>
      </c>
      <c r="AI3946">
        <v>0</v>
      </c>
      <c r="AJ3946">
        <v>3</v>
      </c>
      <c r="AK3946">
        <v>7</v>
      </c>
      <c r="AL3946">
        <v>6</v>
      </c>
      <c r="AM3946">
        <v>4</v>
      </c>
      <c r="AN3946">
        <v>0</v>
      </c>
      <c r="AO3946">
        <v>20</v>
      </c>
      <c r="AP3946">
        <v>0</v>
      </c>
      <c r="AQ3946">
        <v>20</v>
      </c>
      <c r="AR3946">
        <v>0</v>
      </c>
      <c r="AS3946">
        <v>0</v>
      </c>
      <c r="AT3946">
        <v>0</v>
      </c>
    </row>
    <row r="3947" spans="1:46">
      <c r="A3947">
        <v>64030</v>
      </c>
      <c r="B3947" t="s">
        <v>21529</v>
      </c>
      <c r="C3947" t="s">
        <v>21530</v>
      </c>
      <c r="E3947" t="s">
        <v>21531</v>
      </c>
      <c r="F3947" t="s">
        <v>2668</v>
      </c>
      <c r="G3947" t="s">
        <v>2289</v>
      </c>
      <c r="H3947" t="s">
        <v>343</v>
      </c>
      <c r="J3947" t="s">
        <v>518</v>
      </c>
      <c r="K3947" t="s">
        <v>519</v>
      </c>
      <c r="L3947" t="s">
        <v>4205</v>
      </c>
      <c r="M3947" t="s">
        <v>2287</v>
      </c>
      <c r="N3947" t="s">
        <v>571</v>
      </c>
      <c r="O3947" t="s">
        <v>2536</v>
      </c>
      <c r="P3947" t="s">
        <v>654</v>
      </c>
      <c r="Q3947" t="s">
        <v>2319</v>
      </c>
      <c r="R3947" t="s">
        <v>2289</v>
      </c>
      <c r="S3947" t="s">
        <v>2537</v>
      </c>
      <c r="T3947" t="s">
        <v>2448</v>
      </c>
      <c r="U3947">
        <v>253600</v>
      </c>
      <c r="V3947" t="s">
        <v>2811</v>
      </c>
      <c r="W3947" t="s">
        <v>2538</v>
      </c>
      <c r="X3947" t="s">
        <v>10329</v>
      </c>
      <c r="Y3947" t="s">
        <v>4208</v>
      </c>
      <c r="Z3947" t="s">
        <v>4209</v>
      </c>
      <c r="AA3947" t="s">
        <v>4210</v>
      </c>
      <c r="AB3947" t="s">
        <v>10330</v>
      </c>
      <c r="AE3947">
        <v>-41.316379300000001</v>
      </c>
      <c r="AF3947">
        <v>174.7856645</v>
      </c>
      <c r="AG3947">
        <v>40</v>
      </c>
      <c r="AH3947">
        <v>20</v>
      </c>
      <c r="AI3947">
        <v>0</v>
      </c>
      <c r="AJ3947">
        <v>7</v>
      </c>
      <c r="AK3947">
        <v>3</v>
      </c>
      <c r="AL3947">
        <v>11</v>
      </c>
      <c r="AM3947">
        <v>6</v>
      </c>
      <c r="AN3947">
        <v>0</v>
      </c>
      <c r="AO3947">
        <v>27</v>
      </c>
      <c r="AP3947">
        <v>0</v>
      </c>
      <c r="AQ3947">
        <v>27</v>
      </c>
      <c r="AR3947">
        <v>0</v>
      </c>
      <c r="AS3947">
        <v>0</v>
      </c>
      <c r="AT3947">
        <v>0</v>
      </c>
    </row>
    <row r="3948" spans="1:46">
      <c r="A3948">
        <v>64031</v>
      </c>
      <c r="B3948" t="s">
        <v>21532</v>
      </c>
      <c r="C3948" t="s">
        <v>21533</v>
      </c>
      <c r="E3948" t="s">
        <v>21534</v>
      </c>
      <c r="F3948" t="s">
        <v>12904</v>
      </c>
      <c r="G3948" t="s">
        <v>2427</v>
      </c>
      <c r="H3948" t="s">
        <v>343</v>
      </c>
      <c r="J3948" t="s">
        <v>518</v>
      </c>
      <c r="K3948" t="s">
        <v>519</v>
      </c>
      <c r="L3948" t="s">
        <v>4205</v>
      </c>
      <c r="M3948" t="s">
        <v>2287</v>
      </c>
      <c r="N3948" t="s">
        <v>571</v>
      </c>
      <c r="O3948" t="s">
        <v>2428</v>
      </c>
      <c r="P3948" t="s">
        <v>654</v>
      </c>
      <c r="Q3948" t="s">
        <v>2319</v>
      </c>
      <c r="R3948" t="s">
        <v>2289</v>
      </c>
      <c r="S3948" t="s">
        <v>2429</v>
      </c>
      <c r="T3948" t="s">
        <v>2448</v>
      </c>
      <c r="U3948">
        <v>246001</v>
      </c>
      <c r="V3948" t="s">
        <v>3808</v>
      </c>
      <c r="W3948" t="s">
        <v>2455</v>
      </c>
      <c r="X3948" t="s">
        <v>21535</v>
      </c>
      <c r="Y3948" t="s">
        <v>4208</v>
      </c>
      <c r="Z3948" t="s">
        <v>4209</v>
      </c>
      <c r="AA3948" t="s">
        <v>4210</v>
      </c>
      <c r="AB3948" t="s">
        <v>21536</v>
      </c>
      <c r="AE3948">
        <v>-41.224061509999999</v>
      </c>
      <c r="AF3948">
        <v>174.9197897</v>
      </c>
      <c r="AG3948">
        <v>33</v>
      </c>
      <c r="AH3948">
        <v>8</v>
      </c>
      <c r="AI3948">
        <v>2</v>
      </c>
      <c r="AJ3948">
        <v>7</v>
      </c>
      <c r="AK3948">
        <v>9</v>
      </c>
      <c r="AL3948">
        <v>9</v>
      </c>
      <c r="AM3948">
        <v>4</v>
      </c>
      <c r="AN3948">
        <v>0</v>
      </c>
      <c r="AO3948">
        <v>31</v>
      </c>
      <c r="AP3948">
        <v>0</v>
      </c>
      <c r="AQ3948">
        <v>30</v>
      </c>
      <c r="AR3948">
        <v>1</v>
      </c>
      <c r="AS3948">
        <v>0</v>
      </c>
      <c r="AT3948">
        <v>0</v>
      </c>
    </row>
    <row r="3949" spans="1:46">
      <c r="A3949">
        <v>64033</v>
      </c>
      <c r="B3949" t="s">
        <v>21537</v>
      </c>
      <c r="C3949" t="s">
        <v>21538</v>
      </c>
      <c r="D3949" t="s">
        <v>21539</v>
      </c>
      <c r="E3949" t="s">
        <v>21540</v>
      </c>
      <c r="F3949" t="s">
        <v>21514</v>
      </c>
      <c r="G3949" t="s">
        <v>2317</v>
      </c>
      <c r="H3949" t="s">
        <v>343</v>
      </c>
      <c r="J3949" t="s">
        <v>518</v>
      </c>
      <c r="K3949" t="s">
        <v>519</v>
      </c>
      <c r="L3949" t="s">
        <v>4205</v>
      </c>
      <c r="M3949" t="s">
        <v>1297</v>
      </c>
      <c r="N3949" t="s">
        <v>521</v>
      </c>
      <c r="O3949" t="s">
        <v>2318</v>
      </c>
      <c r="P3949" t="s">
        <v>1262</v>
      </c>
      <c r="Q3949" t="s">
        <v>2319</v>
      </c>
      <c r="R3949" t="s">
        <v>2084</v>
      </c>
      <c r="S3949" t="s">
        <v>2269</v>
      </c>
      <c r="T3949" t="s">
        <v>2085</v>
      </c>
      <c r="U3949">
        <v>256700</v>
      </c>
      <c r="V3949" t="s">
        <v>20923</v>
      </c>
      <c r="W3949" t="s">
        <v>2321</v>
      </c>
      <c r="X3949" t="s">
        <v>19889</v>
      </c>
      <c r="Y3949" t="s">
        <v>4208</v>
      </c>
      <c r="Z3949" t="s">
        <v>4209</v>
      </c>
      <c r="AA3949" t="s">
        <v>4210</v>
      </c>
      <c r="AB3949" t="s">
        <v>8805</v>
      </c>
      <c r="AE3949">
        <v>-40.961116369999999</v>
      </c>
      <c r="AF3949">
        <v>175.66921679000001</v>
      </c>
      <c r="AG3949">
        <v>45</v>
      </c>
      <c r="AH3949">
        <v>13</v>
      </c>
      <c r="AI3949">
        <v>2</v>
      </c>
      <c r="AJ3949">
        <v>5</v>
      </c>
      <c r="AK3949">
        <v>8</v>
      </c>
      <c r="AL3949">
        <v>13</v>
      </c>
      <c r="AM3949">
        <v>7</v>
      </c>
      <c r="AN3949">
        <v>0</v>
      </c>
      <c r="AO3949">
        <v>35</v>
      </c>
      <c r="AP3949">
        <v>0</v>
      </c>
      <c r="AQ3949">
        <v>32</v>
      </c>
      <c r="AR3949">
        <v>0</v>
      </c>
      <c r="AS3949">
        <v>0</v>
      </c>
      <c r="AT3949">
        <v>3</v>
      </c>
    </row>
    <row r="3950" spans="1:46">
      <c r="A3950">
        <v>64034</v>
      </c>
      <c r="B3950" t="s">
        <v>21541</v>
      </c>
      <c r="C3950" t="s">
        <v>21542</v>
      </c>
      <c r="D3950" t="s">
        <v>21504</v>
      </c>
      <c r="E3950" t="s">
        <v>21543</v>
      </c>
      <c r="F3950" t="s">
        <v>21544</v>
      </c>
      <c r="G3950" t="s">
        <v>2427</v>
      </c>
      <c r="H3950" t="s">
        <v>343</v>
      </c>
      <c r="J3950" t="s">
        <v>518</v>
      </c>
      <c r="K3950" t="s">
        <v>519</v>
      </c>
      <c r="L3950" t="s">
        <v>4205</v>
      </c>
      <c r="M3950" t="s">
        <v>2287</v>
      </c>
      <c r="N3950" t="s">
        <v>539</v>
      </c>
      <c r="O3950" t="s">
        <v>2428</v>
      </c>
      <c r="P3950" t="s">
        <v>654</v>
      </c>
      <c r="Q3950" t="s">
        <v>2319</v>
      </c>
      <c r="R3950" t="s">
        <v>2289</v>
      </c>
      <c r="S3950" t="s">
        <v>2429</v>
      </c>
      <c r="T3950" t="s">
        <v>2448</v>
      </c>
      <c r="U3950">
        <v>245700</v>
      </c>
      <c r="V3950" t="s">
        <v>21109</v>
      </c>
      <c r="W3950" t="s">
        <v>2491</v>
      </c>
      <c r="X3950" t="s">
        <v>20858</v>
      </c>
      <c r="Y3950" t="s">
        <v>4208</v>
      </c>
      <c r="Z3950" t="s">
        <v>4209</v>
      </c>
      <c r="AA3950" t="s">
        <v>4210</v>
      </c>
      <c r="AB3950" t="s">
        <v>20859</v>
      </c>
      <c r="AE3950">
        <v>-41.242262760000003</v>
      </c>
      <c r="AF3950">
        <v>174.90217981000001</v>
      </c>
      <c r="AG3950">
        <v>75</v>
      </c>
      <c r="AH3950">
        <v>25</v>
      </c>
      <c r="AI3950">
        <v>0</v>
      </c>
      <c r="AJ3950">
        <v>15</v>
      </c>
      <c r="AK3950">
        <v>13</v>
      </c>
      <c r="AL3950">
        <v>14</v>
      </c>
      <c r="AM3950">
        <v>18</v>
      </c>
      <c r="AN3950">
        <v>0</v>
      </c>
      <c r="AO3950">
        <v>60</v>
      </c>
      <c r="AP3950">
        <v>0</v>
      </c>
      <c r="AQ3950">
        <v>57</v>
      </c>
      <c r="AR3950">
        <v>0</v>
      </c>
      <c r="AS3950">
        <v>0</v>
      </c>
      <c r="AT3950">
        <v>3</v>
      </c>
    </row>
    <row r="3951" spans="1:46">
      <c r="A3951">
        <v>64035</v>
      </c>
      <c r="B3951" t="s">
        <v>21545</v>
      </c>
      <c r="C3951" t="s">
        <v>21546</v>
      </c>
      <c r="D3951" t="s">
        <v>21547</v>
      </c>
      <c r="E3951" t="s">
        <v>21548</v>
      </c>
      <c r="F3951" t="s">
        <v>2426</v>
      </c>
      <c r="G3951" t="s">
        <v>2427</v>
      </c>
      <c r="H3951" t="s">
        <v>343</v>
      </c>
      <c r="J3951" t="s">
        <v>518</v>
      </c>
      <c r="K3951" t="s">
        <v>519</v>
      </c>
      <c r="L3951" t="s">
        <v>4205</v>
      </c>
      <c r="M3951" t="s">
        <v>2287</v>
      </c>
      <c r="N3951" t="s">
        <v>539</v>
      </c>
      <c r="O3951" t="s">
        <v>2428</v>
      </c>
      <c r="P3951" t="s">
        <v>654</v>
      </c>
      <c r="Q3951" t="s">
        <v>2319</v>
      </c>
      <c r="R3951" t="s">
        <v>2289</v>
      </c>
      <c r="S3951" t="s">
        <v>2429</v>
      </c>
      <c r="T3951" t="s">
        <v>2085</v>
      </c>
      <c r="U3951">
        <v>247000</v>
      </c>
      <c r="V3951" t="s">
        <v>2515</v>
      </c>
      <c r="W3951" t="s">
        <v>2431</v>
      </c>
      <c r="X3951" t="s">
        <v>20858</v>
      </c>
      <c r="Y3951" t="s">
        <v>4208</v>
      </c>
      <c r="Z3951" t="s">
        <v>4209</v>
      </c>
      <c r="AA3951" t="s">
        <v>4210</v>
      </c>
      <c r="AB3951" t="s">
        <v>20859</v>
      </c>
      <c r="AE3951">
        <v>-41.247840629999999</v>
      </c>
      <c r="AF3951">
        <v>174.95376145</v>
      </c>
      <c r="AG3951">
        <v>25</v>
      </c>
      <c r="AH3951">
        <v>10</v>
      </c>
      <c r="AI3951">
        <v>3</v>
      </c>
      <c r="AJ3951">
        <v>2</v>
      </c>
      <c r="AK3951">
        <v>6</v>
      </c>
      <c r="AL3951">
        <v>6</v>
      </c>
      <c r="AM3951">
        <v>6</v>
      </c>
      <c r="AN3951">
        <v>0</v>
      </c>
      <c r="AO3951">
        <v>23</v>
      </c>
      <c r="AP3951">
        <v>0</v>
      </c>
      <c r="AQ3951">
        <v>21</v>
      </c>
      <c r="AR3951">
        <v>0</v>
      </c>
      <c r="AS3951">
        <v>0</v>
      </c>
      <c r="AT3951">
        <v>2</v>
      </c>
    </row>
    <row r="3952" spans="1:46">
      <c r="A3952">
        <v>64036</v>
      </c>
      <c r="B3952" t="s">
        <v>21549</v>
      </c>
      <c r="C3952" t="s">
        <v>21550</v>
      </c>
      <c r="D3952" t="s">
        <v>21551</v>
      </c>
      <c r="E3952" t="s">
        <v>21552</v>
      </c>
      <c r="F3952" t="s">
        <v>2380</v>
      </c>
      <c r="G3952" t="s">
        <v>2371</v>
      </c>
      <c r="H3952" t="s">
        <v>343</v>
      </c>
      <c r="J3952" t="s">
        <v>518</v>
      </c>
      <c r="K3952" t="s">
        <v>519</v>
      </c>
      <c r="L3952" t="s">
        <v>4205</v>
      </c>
      <c r="M3952" t="s">
        <v>2287</v>
      </c>
      <c r="N3952" t="s">
        <v>557</v>
      </c>
      <c r="O3952" t="s">
        <v>2372</v>
      </c>
      <c r="P3952" t="s">
        <v>584</v>
      </c>
      <c r="Q3952" t="s">
        <v>2319</v>
      </c>
      <c r="R3952" t="s">
        <v>2289</v>
      </c>
      <c r="S3952" t="s">
        <v>2373</v>
      </c>
      <c r="T3952" t="s">
        <v>2085</v>
      </c>
      <c r="U3952">
        <v>242600</v>
      </c>
      <c r="V3952" t="s">
        <v>2380</v>
      </c>
      <c r="W3952" t="s">
        <v>1652</v>
      </c>
      <c r="X3952" t="s">
        <v>21553</v>
      </c>
      <c r="Y3952" t="s">
        <v>4208</v>
      </c>
      <c r="Z3952" t="s">
        <v>4209</v>
      </c>
      <c r="AA3952" t="s">
        <v>4210</v>
      </c>
      <c r="AB3952" t="s">
        <v>21554</v>
      </c>
      <c r="AE3952">
        <v>-41.113032099999998</v>
      </c>
      <c r="AF3952">
        <v>175.1006051</v>
      </c>
      <c r="AG3952">
        <v>30</v>
      </c>
      <c r="AH3952">
        <v>10</v>
      </c>
      <c r="AI3952">
        <v>0</v>
      </c>
      <c r="AJ3952">
        <v>7</v>
      </c>
      <c r="AK3952">
        <v>7</v>
      </c>
      <c r="AL3952">
        <v>3</v>
      </c>
      <c r="AM3952">
        <v>7</v>
      </c>
      <c r="AN3952">
        <v>0</v>
      </c>
      <c r="AO3952">
        <v>24</v>
      </c>
      <c r="AP3952">
        <v>0</v>
      </c>
      <c r="AQ3952">
        <v>20</v>
      </c>
      <c r="AR3952">
        <v>0</v>
      </c>
      <c r="AS3952">
        <v>0</v>
      </c>
      <c r="AT3952">
        <v>4</v>
      </c>
    </row>
    <row r="3953" spans="1:46">
      <c r="A3953">
        <v>64037</v>
      </c>
      <c r="B3953" t="s">
        <v>21555</v>
      </c>
      <c r="C3953" t="s">
        <v>21556</v>
      </c>
      <c r="D3953" t="s">
        <v>21557</v>
      </c>
      <c r="E3953" t="s">
        <v>21558</v>
      </c>
      <c r="F3953" t="s">
        <v>2767</v>
      </c>
      <c r="G3953" t="s">
        <v>2526</v>
      </c>
      <c r="H3953" t="s">
        <v>343</v>
      </c>
      <c r="J3953" t="s">
        <v>518</v>
      </c>
      <c r="K3953" t="s">
        <v>519</v>
      </c>
      <c r="L3953" t="s">
        <v>4205</v>
      </c>
      <c r="M3953" t="s">
        <v>2287</v>
      </c>
      <c r="N3953" t="s">
        <v>521</v>
      </c>
      <c r="O3953" t="s">
        <v>2527</v>
      </c>
      <c r="P3953" t="s">
        <v>584</v>
      </c>
      <c r="Q3953" t="s">
        <v>2319</v>
      </c>
      <c r="R3953" t="s">
        <v>2289</v>
      </c>
      <c r="S3953" t="s">
        <v>2528</v>
      </c>
      <c r="T3953" t="s">
        <v>1485</v>
      </c>
      <c r="U3953">
        <v>240802</v>
      </c>
      <c r="V3953" t="s">
        <v>2806</v>
      </c>
      <c r="W3953" t="s">
        <v>2529</v>
      </c>
      <c r="X3953" t="s">
        <v>10329</v>
      </c>
      <c r="Y3953" t="s">
        <v>4208</v>
      </c>
      <c r="Z3953" t="s">
        <v>4209</v>
      </c>
      <c r="AA3953" t="s">
        <v>4210</v>
      </c>
      <c r="AB3953" t="s">
        <v>10330</v>
      </c>
      <c r="AE3953">
        <v>-41.131218820000001</v>
      </c>
      <c r="AF3953">
        <v>174.88023127</v>
      </c>
      <c r="AG3953">
        <v>28</v>
      </c>
      <c r="AH3953">
        <v>8</v>
      </c>
      <c r="AI3953">
        <v>0</v>
      </c>
      <c r="AJ3953">
        <v>5</v>
      </c>
      <c r="AK3953">
        <v>4</v>
      </c>
      <c r="AL3953">
        <v>6</v>
      </c>
      <c r="AM3953">
        <v>2</v>
      </c>
      <c r="AN3953">
        <v>0</v>
      </c>
      <c r="AO3953">
        <v>17</v>
      </c>
      <c r="AP3953">
        <v>0</v>
      </c>
      <c r="AQ3953">
        <v>15</v>
      </c>
      <c r="AR3953">
        <v>0</v>
      </c>
      <c r="AS3953">
        <v>0</v>
      </c>
      <c r="AT3953">
        <v>2</v>
      </c>
    </row>
    <row r="3954" spans="1:46">
      <c r="A3954">
        <v>64039</v>
      </c>
      <c r="B3954" t="s">
        <v>21559</v>
      </c>
      <c r="C3954" t="s">
        <v>21560</v>
      </c>
      <c r="D3954" t="s">
        <v>21561</v>
      </c>
      <c r="E3954" t="s">
        <v>21562</v>
      </c>
      <c r="F3954" t="s">
        <v>2544</v>
      </c>
      <c r="G3954" t="s">
        <v>2289</v>
      </c>
      <c r="H3954" t="s">
        <v>343</v>
      </c>
      <c r="J3954" t="s">
        <v>518</v>
      </c>
      <c r="K3954" t="s">
        <v>519</v>
      </c>
      <c r="L3954" t="s">
        <v>4205</v>
      </c>
      <c r="M3954" t="s">
        <v>2287</v>
      </c>
      <c r="N3954" t="s">
        <v>557</v>
      </c>
      <c r="O3954" t="s">
        <v>2536</v>
      </c>
      <c r="P3954" t="s">
        <v>654</v>
      </c>
      <c r="Q3954" t="s">
        <v>2319</v>
      </c>
      <c r="R3954" t="s">
        <v>2289</v>
      </c>
      <c r="S3954" t="s">
        <v>2545</v>
      </c>
      <c r="T3954" t="s">
        <v>1485</v>
      </c>
      <c r="U3954">
        <v>247600</v>
      </c>
      <c r="V3954" t="s">
        <v>2546</v>
      </c>
      <c r="W3954" t="s">
        <v>2547</v>
      </c>
      <c r="X3954" t="s">
        <v>10329</v>
      </c>
      <c r="Y3954" t="s">
        <v>4208</v>
      </c>
      <c r="Z3954" t="s">
        <v>4209</v>
      </c>
      <c r="AA3954" t="s">
        <v>4210</v>
      </c>
      <c r="AB3954" t="s">
        <v>10330</v>
      </c>
      <c r="AE3954">
        <v>-41.162866270000002</v>
      </c>
      <c r="AF3954">
        <v>174.82309294000001</v>
      </c>
      <c r="AG3954">
        <v>20</v>
      </c>
      <c r="AH3954">
        <v>8</v>
      </c>
      <c r="AI3954">
        <v>2</v>
      </c>
      <c r="AJ3954">
        <v>6</v>
      </c>
      <c r="AK3954">
        <v>4</v>
      </c>
      <c r="AL3954">
        <v>5</v>
      </c>
      <c r="AM3954">
        <v>4</v>
      </c>
      <c r="AN3954">
        <v>0</v>
      </c>
      <c r="AO3954">
        <v>21</v>
      </c>
      <c r="AP3954">
        <v>0</v>
      </c>
      <c r="AQ3954">
        <v>18</v>
      </c>
      <c r="AR3954">
        <v>2</v>
      </c>
      <c r="AS3954">
        <v>0</v>
      </c>
      <c r="AT3954">
        <v>1</v>
      </c>
    </row>
    <row r="3955" spans="1:46">
      <c r="A3955">
        <v>64040</v>
      </c>
      <c r="B3955" t="s">
        <v>21563</v>
      </c>
      <c r="C3955" t="s">
        <v>21564</v>
      </c>
      <c r="D3955" t="s">
        <v>21565</v>
      </c>
      <c r="E3955" t="s">
        <v>21566</v>
      </c>
      <c r="F3955" t="s">
        <v>2767</v>
      </c>
      <c r="G3955" t="s">
        <v>2526</v>
      </c>
      <c r="H3955" t="s">
        <v>343</v>
      </c>
      <c r="J3955" t="s">
        <v>518</v>
      </c>
      <c r="K3955" t="s">
        <v>519</v>
      </c>
      <c r="L3955" t="s">
        <v>4205</v>
      </c>
      <c r="M3955" t="s">
        <v>2287</v>
      </c>
      <c r="N3955" t="s">
        <v>521</v>
      </c>
      <c r="O3955" t="s">
        <v>2527</v>
      </c>
      <c r="P3955" t="s">
        <v>584</v>
      </c>
      <c r="Q3955" t="s">
        <v>2319</v>
      </c>
      <c r="R3955" t="s">
        <v>2289</v>
      </c>
      <c r="S3955" t="s">
        <v>2528</v>
      </c>
      <c r="T3955" t="s">
        <v>1485</v>
      </c>
      <c r="U3955">
        <v>240802</v>
      </c>
      <c r="V3955" t="s">
        <v>2806</v>
      </c>
      <c r="W3955" t="s">
        <v>2529</v>
      </c>
      <c r="X3955" t="s">
        <v>10329</v>
      </c>
      <c r="Y3955" t="s">
        <v>4208</v>
      </c>
      <c r="Z3955" t="s">
        <v>4209</v>
      </c>
      <c r="AA3955" t="s">
        <v>4210</v>
      </c>
      <c r="AB3955" t="s">
        <v>10330</v>
      </c>
      <c r="AE3955">
        <v>-41.132967700000002</v>
      </c>
      <c r="AF3955">
        <v>174.8800875</v>
      </c>
      <c r="AG3955">
        <v>12</v>
      </c>
      <c r="AH3955">
        <v>4</v>
      </c>
      <c r="AI3955">
        <v>1</v>
      </c>
      <c r="AJ3955">
        <v>3</v>
      </c>
      <c r="AK3955">
        <v>4</v>
      </c>
      <c r="AL3955">
        <v>3</v>
      </c>
      <c r="AM3955">
        <v>0</v>
      </c>
      <c r="AN3955">
        <v>0</v>
      </c>
      <c r="AO3955">
        <v>11</v>
      </c>
      <c r="AP3955">
        <v>0</v>
      </c>
      <c r="AQ3955">
        <v>9</v>
      </c>
      <c r="AR3955">
        <v>2</v>
      </c>
      <c r="AS3955">
        <v>0</v>
      </c>
      <c r="AT3955">
        <v>0</v>
      </c>
    </row>
    <row r="3956" spans="1:46">
      <c r="A3956">
        <v>64044</v>
      </c>
      <c r="B3956" t="s">
        <v>21567</v>
      </c>
      <c r="C3956" t="s">
        <v>21568</v>
      </c>
      <c r="E3956" t="s">
        <v>21569</v>
      </c>
      <c r="F3956" t="s">
        <v>2490</v>
      </c>
      <c r="G3956" t="s">
        <v>2427</v>
      </c>
      <c r="H3956" t="s">
        <v>343</v>
      </c>
      <c r="J3956" t="s">
        <v>518</v>
      </c>
      <c r="K3956" t="s">
        <v>519</v>
      </c>
      <c r="L3956" t="s">
        <v>4205</v>
      </c>
      <c r="M3956" t="s">
        <v>2287</v>
      </c>
      <c r="N3956" t="s">
        <v>557</v>
      </c>
      <c r="O3956" t="s">
        <v>2428</v>
      </c>
      <c r="P3956" t="s">
        <v>654</v>
      </c>
      <c r="Q3956" t="s">
        <v>2319</v>
      </c>
      <c r="R3956" t="s">
        <v>2289</v>
      </c>
      <c r="S3956" t="s">
        <v>2429</v>
      </c>
      <c r="T3956" t="s">
        <v>2448</v>
      </c>
      <c r="U3956">
        <v>245800</v>
      </c>
      <c r="V3956" t="s">
        <v>2490</v>
      </c>
      <c r="W3956" t="s">
        <v>2491</v>
      </c>
      <c r="X3956" t="s">
        <v>10329</v>
      </c>
      <c r="Y3956" t="s">
        <v>4208</v>
      </c>
      <c r="Z3956" t="s">
        <v>4209</v>
      </c>
      <c r="AA3956" t="s">
        <v>4210</v>
      </c>
      <c r="AB3956" t="s">
        <v>10330</v>
      </c>
      <c r="AE3956">
        <v>-41.226991329999997</v>
      </c>
      <c r="AF3956">
        <v>174.90472442000001</v>
      </c>
      <c r="AG3956">
        <v>40</v>
      </c>
      <c r="AH3956">
        <v>15</v>
      </c>
      <c r="AI3956">
        <v>2</v>
      </c>
      <c r="AJ3956">
        <v>6</v>
      </c>
      <c r="AK3956">
        <v>7</v>
      </c>
      <c r="AL3956">
        <v>9</v>
      </c>
      <c r="AM3956">
        <v>3</v>
      </c>
      <c r="AN3956">
        <v>0</v>
      </c>
      <c r="AO3956">
        <v>27</v>
      </c>
      <c r="AP3956">
        <v>0</v>
      </c>
      <c r="AQ3956">
        <v>26</v>
      </c>
      <c r="AR3956">
        <v>1</v>
      </c>
      <c r="AS3956">
        <v>0</v>
      </c>
      <c r="AT3956">
        <v>0</v>
      </c>
    </row>
    <row r="3957" spans="1:46">
      <c r="A3957">
        <v>64046</v>
      </c>
      <c r="B3957" t="s">
        <v>21570</v>
      </c>
      <c r="C3957" t="s">
        <v>21571</v>
      </c>
      <c r="D3957" t="s">
        <v>21572</v>
      </c>
      <c r="E3957" t="s">
        <v>21573</v>
      </c>
      <c r="F3957" t="s">
        <v>2630</v>
      </c>
      <c r="G3957" t="s">
        <v>2526</v>
      </c>
      <c r="H3957" t="s">
        <v>343</v>
      </c>
      <c r="J3957" t="s">
        <v>518</v>
      </c>
      <c r="K3957" t="s">
        <v>519</v>
      </c>
      <c r="L3957" t="s">
        <v>4205</v>
      </c>
      <c r="M3957" t="s">
        <v>2287</v>
      </c>
      <c r="N3957" t="s">
        <v>727</v>
      </c>
      <c r="O3957" t="s">
        <v>2527</v>
      </c>
      <c r="P3957" t="s">
        <v>584</v>
      </c>
      <c r="Q3957" t="s">
        <v>2319</v>
      </c>
      <c r="R3957" t="s">
        <v>2289</v>
      </c>
      <c r="S3957" t="s">
        <v>2528</v>
      </c>
      <c r="T3957" t="s">
        <v>1485</v>
      </c>
      <c r="U3957">
        <v>240700</v>
      </c>
      <c r="V3957" t="s">
        <v>19069</v>
      </c>
      <c r="W3957" t="s">
        <v>2529</v>
      </c>
      <c r="X3957" t="s">
        <v>10329</v>
      </c>
      <c r="Y3957" t="s">
        <v>4208</v>
      </c>
      <c r="Z3957" t="s">
        <v>4209</v>
      </c>
      <c r="AA3957" t="s">
        <v>4210</v>
      </c>
      <c r="AB3957" t="s">
        <v>10330</v>
      </c>
      <c r="AE3957">
        <v>-41.147128549999998</v>
      </c>
      <c r="AF3957">
        <v>174.86657893</v>
      </c>
      <c r="AG3957">
        <v>45</v>
      </c>
      <c r="AH3957">
        <v>10</v>
      </c>
      <c r="AI3957">
        <v>2</v>
      </c>
      <c r="AJ3957">
        <v>6</v>
      </c>
      <c r="AK3957">
        <v>5</v>
      </c>
      <c r="AL3957">
        <v>3</v>
      </c>
      <c r="AM3957">
        <v>9</v>
      </c>
      <c r="AN3957">
        <v>0</v>
      </c>
      <c r="AO3957">
        <v>25</v>
      </c>
      <c r="AP3957">
        <v>0</v>
      </c>
      <c r="AQ3957">
        <v>18</v>
      </c>
      <c r="AR3957">
        <v>7</v>
      </c>
      <c r="AS3957">
        <v>0</v>
      </c>
      <c r="AT3957">
        <v>0</v>
      </c>
    </row>
    <row r="3958" spans="1:46">
      <c r="A3958">
        <v>64047</v>
      </c>
      <c r="B3958" t="s">
        <v>21574</v>
      </c>
      <c r="C3958" t="s">
        <v>21575</v>
      </c>
      <c r="D3958" t="s">
        <v>21576</v>
      </c>
      <c r="E3958" t="s">
        <v>21577</v>
      </c>
      <c r="F3958" t="s">
        <v>2789</v>
      </c>
      <c r="G3958" t="s">
        <v>2289</v>
      </c>
      <c r="H3958" t="s">
        <v>343</v>
      </c>
      <c r="J3958" t="s">
        <v>518</v>
      </c>
      <c r="K3958" t="s">
        <v>519</v>
      </c>
      <c r="L3958" t="s">
        <v>4205</v>
      </c>
      <c r="M3958" t="s">
        <v>2287</v>
      </c>
      <c r="N3958" t="s">
        <v>727</v>
      </c>
      <c r="O3958" t="s">
        <v>2536</v>
      </c>
      <c r="P3958" t="s">
        <v>654</v>
      </c>
      <c r="Q3958" t="s">
        <v>2319</v>
      </c>
      <c r="R3958" t="s">
        <v>2289</v>
      </c>
      <c r="S3958" t="s">
        <v>2528</v>
      </c>
      <c r="T3958" t="s">
        <v>1485</v>
      </c>
      <c r="U3958">
        <v>247700</v>
      </c>
      <c r="V3958" t="s">
        <v>2789</v>
      </c>
      <c r="W3958" t="s">
        <v>2547</v>
      </c>
      <c r="X3958" t="s">
        <v>10329</v>
      </c>
      <c r="Y3958" t="s">
        <v>4208</v>
      </c>
      <c r="Z3958" t="s">
        <v>4209</v>
      </c>
      <c r="AA3958" t="s">
        <v>4210</v>
      </c>
      <c r="AB3958" t="s">
        <v>10330</v>
      </c>
      <c r="AE3958">
        <v>-41.153416380000003</v>
      </c>
      <c r="AF3958">
        <v>174.83701139999999</v>
      </c>
      <c r="AG3958">
        <v>25</v>
      </c>
      <c r="AH3958">
        <v>4</v>
      </c>
      <c r="AI3958">
        <v>0</v>
      </c>
      <c r="AJ3958">
        <v>3</v>
      </c>
      <c r="AK3958">
        <v>7</v>
      </c>
      <c r="AL3958">
        <v>4</v>
      </c>
      <c r="AM3958">
        <v>5</v>
      </c>
      <c r="AN3958">
        <v>0</v>
      </c>
      <c r="AO3958">
        <v>19</v>
      </c>
      <c r="AP3958">
        <v>0</v>
      </c>
      <c r="AQ3958">
        <v>17</v>
      </c>
      <c r="AR3958">
        <v>2</v>
      </c>
      <c r="AS3958">
        <v>0</v>
      </c>
      <c r="AT3958">
        <v>0</v>
      </c>
    </row>
    <row r="3959" spans="1:46">
      <c r="A3959">
        <v>64048</v>
      </c>
      <c r="B3959" t="s">
        <v>21578</v>
      </c>
      <c r="C3959" t="s">
        <v>21579</v>
      </c>
      <c r="D3959" t="s">
        <v>21580</v>
      </c>
      <c r="E3959" t="s">
        <v>21581</v>
      </c>
      <c r="G3959" t="s">
        <v>21582</v>
      </c>
      <c r="H3959" t="s">
        <v>343</v>
      </c>
      <c r="J3959" t="s">
        <v>518</v>
      </c>
      <c r="K3959" t="s">
        <v>519</v>
      </c>
      <c r="L3959" t="s">
        <v>4205</v>
      </c>
      <c r="M3959" t="s">
        <v>2287</v>
      </c>
      <c r="N3959" t="s">
        <v>539</v>
      </c>
      <c r="O3959" t="s">
        <v>2066</v>
      </c>
      <c r="P3959" t="s">
        <v>572</v>
      </c>
      <c r="Q3959" t="s">
        <v>1636</v>
      </c>
      <c r="R3959" t="s">
        <v>2289</v>
      </c>
      <c r="S3959" t="s">
        <v>2067</v>
      </c>
      <c r="T3959" t="s">
        <v>1485</v>
      </c>
      <c r="U3959">
        <v>234801</v>
      </c>
      <c r="V3959" t="s">
        <v>10411</v>
      </c>
      <c r="W3959" t="s">
        <v>10412</v>
      </c>
      <c r="X3959" t="s">
        <v>10329</v>
      </c>
      <c r="Y3959" t="s">
        <v>4208</v>
      </c>
      <c r="Z3959" t="s">
        <v>4209</v>
      </c>
      <c r="AA3959" t="s">
        <v>4210</v>
      </c>
      <c r="AB3959" t="s">
        <v>10330</v>
      </c>
      <c r="AE3959">
        <v>-40.701002670000001</v>
      </c>
      <c r="AF3959">
        <v>175.22213976</v>
      </c>
      <c r="AG3959">
        <v>16</v>
      </c>
      <c r="AH3959">
        <v>4</v>
      </c>
      <c r="AI3959">
        <v>0</v>
      </c>
      <c r="AJ3959">
        <v>2</v>
      </c>
      <c r="AK3959">
        <v>4</v>
      </c>
      <c r="AL3959">
        <v>6</v>
      </c>
      <c r="AM3959">
        <v>3</v>
      </c>
      <c r="AN3959">
        <v>0</v>
      </c>
      <c r="AO3959">
        <v>15</v>
      </c>
      <c r="AP3959">
        <v>0</v>
      </c>
      <c r="AQ3959">
        <v>13</v>
      </c>
      <c r="AR3959">
        <v>0</v>
      </c>
      <c r="AS3959">
        <v>0</v>
      </c>
      <c r="AT3959">
        <v>2</v>
      </c>
    </row>
    <row r="3960" spans="1:46">
      <c r="A3960">
        <v>64054</v>
      </c>
      <c r="B3960" t="s">
        <v>21583</v>
      </c>
      <c r="C3960" t="s">
        <v>21584</v>
      </c>
      <c r="D3960" t="s">
        <v>21585</v>
      </c>
      <c r="E3960" t="s">
        <v>21586</v>
      </c>
      <c r="F3960" t="s">
        <v>2767</v>
      </c>
      <c r="G3960" t="s">
        <v>2526</v>
      </c>
      <c r="H3960" t="s">
        <v>343</v>
      </c>
      <c r="J3960" t="s">
        <v>518</v>
      </c>
      <c r="K3960" t="s">
        <v>519</v>
      </c>
      <c r="L3960" t="s">
        <v>4205</v>
      </c>
      <c r="M3960" t="s">
        <v>2287</v>
      </c>
      <c r="N3960" t="s">
        <v>539</v>
      </c>
      <c r="O3960" t="s">
        <v>2527</v>
      </c>
      <c r="P3960" t="s">
        <v>584</v>
      </c>
      <c r="Q3960" t="s">
        <v>2319</v>
      </c>
      <c r="R3960" t="s">
        <v>2289</v>
      </c>
      <c r="S3960" t="s">
        <v>2528</v>
      </c>
      <c r="T3960" t="s">
        <v>1485</v>
      </c>
      <c r="U3960">
        <v>241000</v>
      </c>
      <c r="V3960" t="s">
        <v>2631</v>
      </c>
      <c r="W3960" t="s">
        <v>2529</v>
      </c>
      <c r="X3960" t="s">
        <v>10329</v>
      </c>
      <c r="Y3960" t="s">
        <v>4208</v>
      </c>
      <c r="Z3960" t="s">
        <v>4209</v>
      </c>
      <c r="AA3960" t="s">
        <v>4210</v>
      </c>
      <c r="AB3960" t="s">
        <v>10330</v>
      </c>
      <c r="AE3960">
        <v>-41.134766190000001</v>
      </c>
      <c r="AF3960">
        <v>174.87218322999999</v>
      </c>
      <c r="AG3960">
        <v>26</v>
      </c>
      <c r="AH3960">
        <v>5</v>
      </c>
      <c r="AI3960">
        <v>1</v>
      </c>
      <c r="AJ3960">
        <v>3</v>
      </c>
      <c r="AK3960">
        <v>3</v>
      </c>
      <c r="AL3960">
        <v>5</v>
      </c>
      <c r="AM3960">
        <v>4</v>
      </c>
      <c r="AN3960">
        <v>0</v>
      </c>
      <c r="AO3960">
        <v>16</v>
      </c>
      <c r="AP3960">
        <v>0</v>
      </c>
      <c r="AQ3960">
        <v>13</v>
      </c>
      <c r="AR3960">
        <v>2</v>
      </c>
      <c r="AS3960">
        <v>0</v>
      </c>
      <c r="AT3960">
        <v>1</v>
      </c>
    </row>
    <row r="3961" spans="1:46">
      <c r="A3961">
        <v>64056</v>
      </c>
      <c r="B3961" t="s">
        <v>21587</v>
      </c>
      <c r="C3961" t="s">
        <v>21588</v>
      </c>
      <c r="D3961" t="s">
        <v>21589</v>
      </c>
      <c r="E3961" t="s">
        <v>21590</v>
      </c>
      <c r="F3961" t="s">
        <v>20503</v>
      </c>
      <c r="G3961" t="s">
        <v>2427</v>
      </c>
      <c r="H3961" t="s">
        <v>343</v>
      </c>
      <c r="J3961" t="s">
        <v>518</v>
      </c>
      <c r="K3961" t="s">
        <v>519</v>
      </c>
      <c r="L3961" t="s">
        <v>4205</v>
      </c>
      <c r="M3961" t="s">
        <v>2287</v>
      </c>
      <c r="N3961" t="s">
        <v>539</v>
      </c>
      <c r="O3961" t="s">
        <v>2428</v>
      </c>
      <c r="P3961" t="s">
        <v>654</v>
      </c>
      <c r="Q3961" t="s">
        <v>2319</v>
      </c>
      <c r="R3961" t="s">
        <v>2289</v>
      </c>
      <c r="S3961" t="s">
        <v>2373</v>
      </c>
      <c r="T3961" t="s">
        <v>2085</v>
      </c>
      <c r="U3961">
        <v>244400</v>
      </c>
      <c r="V3961" t="s">
        <v>21591</v>
      </c>
      <c r="W3961" t="s">
        <v>2443</v>
      </c>
      <c r="X3961" t="s">
        <v>10329</v>
      </c>
      <c r="Y3961" t="s">
        <v>4208</v>
      </c>
      <c r="Z3961" t="s">
        <v>4209</v>
      </c>
      <c r="AA3961" t="s">
        <v>4210</v>
      </c>
      <c r="AB3961" t="s">
        <v>10330</v>
      </c>
      <c r="AE3961">
        <v>-41.18944587</v>
      </c>
      <c r="AF3961">
        <v>174.95031560000001</v>
      </c>
      <c r="AG3961">
        <v>30</v>
      </c>
      <c r="AH3961">
        <v>7</v>
      </c>
      <c r="AI3961">
        <v>0</v>
      </c>
      <c r="AJ3961">
        <v>2</v>
      </c>
      <c r="AK3961">
        <v>7</v>
      </c>
      <c r="AL3961">
        <v>5</v>
      </c>
      <c r="AM3961">
        <v>6</v>
      </c>
      <c r="AN3961">
        <v>0</v>
      </c>
      <c r="AO3961">
        <v>20</v>
      </c>
      <c r="AP3961">
        <v>0</v>
      </c>
      <c r="AQ3961">
        <v>20</v>
      </c>
      <c r="AR3961">
        <v>0</v>
      </c>
      <c r="AS3961">
        <v>0</v>
      </c>
      <c r="AT3961">
        <v>0</v>
      </c>
    </row>
    <row r="3962" spans="1:46">
      <c r="A3962">
        <v>64057</v>
      </c>
      <c r="B3962" t="s">
        <v>21592</v>
      </c>
      <c r="C3962" t="s">
        <v>21593</v>
      </c>
      <c r="D3962" t="s">
        <v>21594</v>
      </c>
      <c r="E3962" t="s">
        <v>21595</v>
      </c>
      <c r="F3962" t="s">
        <v>2426</v>
      </c>
      <c r="G3962" t="s">
        <v>2427</v>
      </c>
      <c r="H3962" t="s">
        <v>343</v>
      </c>
      <c r="J3962" t="s">
        <v>518</v>
      </c>
      <c r="K3962" t="s">
        <v>519</v>
      </c>
      <c r="L3962" t="s">
        <v>4205</v>
      </c>
      <c r="M3962" t="s">
        <v>2287</v>
      </c>
      <c r="N3962" t="s">
        <v>557</v>
      </c>
      <c r="O3962" t="s">
        <v>2428</v>
      </c>
      <c r="P3962" t="s">
        <v>654</v>
      </c>
      <c r="Q3962" t="s">
        <v>2319</v>
      </c>
      <c r="R3962" t="s">
        <v>2289</v>
      </c>
      <c r="S3962" t="s">
        <v>2429</v>
      </c>
      <c r="T3962" t="s">
        <v>2085</v>
      </c>
      <c r="U3962">
        <v>247400</v>
      </c>
      <c r="V3962" t="s">
        <v>20739</v>
      </c>
      <c r="W3962" t="s">
        <v>2431</v>
      </c>
      <c r="X3962" t="s">
        <v>10329</v>
      </c>
      <c r="Y3962" t="s">
        <v>4208</v>
      </c>
      <c r="Z3962" t="s">
        <v>4209</v>
      </c>
      <c r="AA3962" t="s">
        <v>4210</v>
      </c>
      <c r="AB3962" t="s">
        <v>10330</v>
      </c>
      <c r="AC3962">
        <v>99090</v>
      </c>
      <c r="AD3962" t="s">
        <v>2436</v>
      </c>
      <c r="AE3962">
        <v>-41.276977860000002</v>
      </c>
      <c r="AF3962">
        <v>174.94891081</v>
      </c>
      <c r="AG3962">
        <v>50</v>
      </c>
      <c r="AH3962">
        <v>20</v>
      </c>
      <c r="AI3962">
        <v>0</v>
      </c>
      <c r="AJ3962">
        <v>9</v>
      </c>
      <c r="AK3962">
        <v>12</v>
      </c>
      <c r="AL3962">
        <v>10</v>
      </c>
      <c r="AM3962">
        <v>9</v>
      </c>
      <c r="AN3962">
        <v>0</v>
      </c>
      <c r="AO3962">
        <v>40</v>
      </c>
      <c r="AP3962">
        <v>0</v>
      </c>
      <c r="AQ3962">
        <v>39</v>
      </c>
      <c r="AR3962">
        <v>0</v>
      </c>
      <c r="AS3962">
        <v>0</v>
      </c>
      <c r="AT3962">
        <v>1</v>
      </c>
    </row>
    <row r="3963" spans="1:46">
      <c r="A3963">
        <v>64058</v>
      </c>
      <c r="B3963" t="s">
        <v>21596</v>
      </c>
      <c r="C3963" t="s">
        <v>21597</v>
      </c>
      <c r="D3963" t="s">
        <v>21598</v>
      </c>
      <c r="E3963" t="s">
        <v>21599</v>
      </c>
      <c r="G3963" t="s">
        <v>16385</v>
      </c>
      <c r="H3963" t="s">
        <v>343</v>
      </c>
      <c r="J3963" t="s">
        <v>518</v>
      </c>
      <c r="K3963" t="s">
        <v>519</v>
      </c>
      <c r="L3963" t="s">
        <v>4205</v>
      </c>
      <c r="M3963" t="s">
        <v>2287</v>
      </c>
      <c r="N3963" t="s">
        <v>571</v>
      </c>
      <c r="O3963" t="s">
        <v>2675</v>
      </c>
      <c r="P3963" t="s">
        <v>1262</v>
      </c>
      <c r="Q3963" t="s">
        <v>2319</v>
      </c>
      <c r="R3963" t="s">
        <v>2289</v>
      </c>
      <c r="S3963" t="s">
        <v>2528</v>
      </c>
      <c r="T3963" t="s">
        <v>1485</v>
      </c>
      <c r="U3963">
        <v>238500</v>
      </c>
      <c r="V3963" t="s">
        <v>16385</v>
      </c>
      <c r="W3963" t="s">
        <v>2751</v>
      </c>
      <c r="X3963" t="s">
        <v>10329</v>
      </c>
      <c r="Y3963" t="s">
        <v>4208</v>
      </c>
      <c r="Z3963" t="s">
        <v>4209</v>
      </c>
      <c r="AA3963" t="s">
        <v>4210</v>
      </c>
      <c r="AB3963" t="s">
        <v>10330</v>
      </c>
      <c r="AE3963">
        <v>-40.938745580000003</v>
      </c>
      <c r="AF3963">
        <v>174.97733428000001</v>
      </c>
      <c r="AG3963">
        <v>21</v>
      </c>
      <c r="AH3963">
        <v>5</v>
      </c>
      <c r="AI3963">
        <v>0</v>
      </c>
      <c r="AJ3963">
        <v>3</v>
      </c>
      <c r="AK3963">
        <v>6</v>
      </c>
      <c r="AL3963">
        <v>2</v>
      </c>
      <c r="AM3963">
        <v>5</v>
      </c>
      <c r="AN3963">
        <v>0</v>
      </c>
      <c r="AO3963">
        <v>16</v>
      </c>
      <c r="AP3963">
        <v>0</v>
      </c>
      <c r="AQ3963">
        <v>13</v>
      </c>
      <c r="AR3963">
        <v>1</v>
      </c>
      <c r="AS3963">
        <v>0</v>
      </c>
      <c r="AT3963">
        <v>2</v>
      </c>
    </row>
    <row r="3964" spans="1:46">
      <c r="A3964">
        <v>65001</v>
      </c>
      <c r="B3964" t="s">
        <v>21600</v>
      </c>
      <c r="C3964" t="s">
        <v>21601</v>
      </c>
      <c r="D3964" t="s">
        <v>21602</v>
      </c>
      <c r="E3964" t="s">
        <v>21603</v>
      </c>
      <c r="G3964" t="s">
        <v>13256</v>
      </c>
      <c r="H3964" t="s">
        <v>298</v>
      </c>
      <c r="J3964" t="s">
        <v>518</v>
      </c>
      <c r="K3964" t="s">
        <v>519</v>
      </c>
      <c r="M3964" t="s">
        <v>2287</v>
      </c>
      <c r="N3964" t="s">
        <v>571</v>
      </c>
      <c r="O3964" t="s">
        <v>2822</v>
      </c>
      <c r="P3964" t="s">
        <v>540</v>
      </c>
      <c r="Q3964" t="s">
        <v>2823</v>
      </c>
      <c r="R3964" t="s">
        <v>2824</v>
      </c>
      <c r="S3964" t="s">
        <v>2825</v>
      </c>
      <c r="T3964" t="s">
        <v>2448</v>
      </c>
      <c r="U3964">
        <v>307000</v>
      </c>
      <c r="V3964" t="s">
        <v>13257</v>
      </c>
      <c r="W3964" t="s">
        <v>3868</v>
      </c>
      <c r="X3964" t="s">
        <v>21604</v>
      </c>
      <c r="Y3964" t="s">
        <v>5187</v>
      </c>
      <c r="AA3964" t="s">
        <v>5188</v>
      </c>
      <c r="AB3964" t="s">
        <v>11017</v>
      </c>
      <c r="AE3964">
        <v>-41.675046100000003</v>
      </c>
      <c r="AF3964">
        <v>174.07310390000001</v>
      </c>
      <c r="AG3964">
        <v>24</v>
      </c>
      <c r="AH3964">
        <v>15</v>
      </c>
      <c r="AI3964">
        <v>1</v>
      </c>
      <c r="AJ3964">
        <v>5</v>
      </c>
      <c r="AK3964">
        <v>1</v>
      </c>
      <c r="AL3964">
        <v>3</v>
      </c>
      <c r="AM3964">
        <v>2</v>
      </c>
      <c r="AN3964">
        <v>0</v>
      </c>
      <c r="AO3964">
        <v>12</v>
      </c>
      <c r="AP3964">
        <v>12</v>
      </c>
      <c r="AQ3964">
        <v>1</v>
      </c>
      <c r="AR3964">
        <v>0</v>
      </c>
      <c r="AS3964">
        <v>0</v>
      </c>
      <c r="AT3964">
        <v>0</v>
      </c>
    </row>
    <row r="3965" spans="1:46">
      <c r="A3965">
        <v>65002</v>
      </c>
      <c r="B3965" t="s">
        <v>21605</v>
      </c>
      <c r="C3965" t="s">
        <v>21606</v>
      </c>
      <c r="D3965" t="s">
        <v>21602</v>
      </c>
      <c r="E3965" t="s">
        <v>21607</v>
      </c>
      <c r="F3965" t="s">
        <v>2821</v>
      </c>
      <c r="G3965" t="s">
        <v>2821</v>
      </c>
      <c r="H3965" t="s">
        <v>298</v>
      </c>
      <c r="J3965" t="s">
        <v>518</v>
      </c>
      <c r="K3965" t="s">
        <v>519</v>
      </c>
      <c r="M3965" t="s">
        <v>2287</v>
      </c>
      <c r="N3965" t="s">
        <v>571</v>
      </c>
      <c r="O3965" t="s">
        <v>2822</v>
      </c>
      <c r="P3965" t="s">
        <v>1262</v>
      </c>
      <c r="Q3965" t="s">
        <v>2823</v>
      </c>
      <c r="R3965" t="s">
        <v>2824</v>
      </c>
      <c r="S3965" t="s">
        <v>2825</v>
      </c>
      <c r="T3965" t="s">
        <v>2448</v>
      </c>
      <c r="U3965">
        <v>307801</v>
      </c>
      <c r="V3965" t="s">
        <v>21608</v>
      </c>
      <c r="W3965" t="s">
        <v>2826</v>
      </c>
      <c r="X3965" t="s">
        <v>11016</v>
      </c>
      <c r="Y3965" t="s">
        <v>5187</v>
      </c>
      <c r="AA3965" t="s">
        <v>5188</v>
      </c>
      <c r="AB3965" t="s">
        <v>11017</v>
      </c>
      <c r="AE3965">
        <v>-41.520111399999998</v>
      </c>
      <c r="AF3965">
        <v>173.94750400000001</v>
      </c>
      <c r="AG3965">
        <v>30</v>
      </c>
      <c r="AH3965">
        <v>20</v>
      </c>
      <c r="AI3965">
        <v>14</v>
      </c>
      <c r="AJ3965">
        <v>7</v>
      </c>
      <c r="AK3965">
        <v>4</v>
      </c>
      <c r="AL3965">
        <v>4</v>
      </c>
      <c r="AM3965">
        <v>1</v>
      </c>
      <c r="AN3965">
        <v>1</v>
      </c>
      <c r="AO3965">
        <v>31</v>
      </c>
      <c r="AP3965">
        <v>29</v>
      </c>
      <c r="AQ3965">
        <v>9</v>
      </c>
      <c r="AR3965">
        <v>0</v>
      </c>
      <c r="AS3965">
        <v>3</v>
      </c>
      <c r="AT3965">
        <v>0</v>
      </c>
    </row>
    <row r="3966" spans="1:46">
      <c r="A3966">
        <v>65003</v>
      </c>
      <c r="B3966" t="s">
        <v>21609</v>
      </c>
      <c r="C3966" t="s">
        <v>21610</v>
      </c>
      <c r="D3966" t="s">
        <v>21602</v>
      </c>
      <c r="E3966" t="s">
        <v>21611</v>
      </c>
      <c r="G3966" t="s">
        <v>21612</v>
      </c>
      <c r="H3966" t="s">
        <v>298</v>
      </c>
      <c r="J3966" t="s">
        <v>518</v>
      </c>
      <c r="K3966" t="s">
        <v>519</v>
      </c>
      <c r="M3966" t="s">
        <v>2287</v>
      </c>
      <c r="N3966" t="s">
        <v>571</v>
      </c>
      <c r="O3966" t="s">
        <v>2822</v>
      </c>
      <c r="P3966" t="s">
        <v>523</v>
      </c>
      <c r="Q3966" t="s">
        <v>2823</v>
      </c>
      <c r="R3966" t="s">
        <v>2824</v>
      </c>
      <c r="S3966" t="s">
        <v>2825</v>
      </c>
      <c r="T3966" t="s">
        <v>2448</v>
      </c>
      <c r="U3966">
        <v>306801</v>
      </c>
      <c r="V3966" t="s">
        <v>21613</v>
      </c>
      <c r="W3966" t="s">
        <v>21614</v>
      </c>
      <c r="X3966" t="s">
        <v>21604</v>
      </c>
      <c r="Y3966" t="s">
        <v>5187</v>
      </c>
      <c r="AA3966" t="s">
        <v>5188</v>
      </c>
      <c r="AB3966" t="s">
        <v>11017</v>
      </c>
      <c r="AE3966">
        <v>-41.294935770000002</v>
      </c>
      <c r="AF3966">
        <v>174.00439556000001</v>
      </c>
      <c r="AG3966">
        <v>30</v>
      </c>
      <c r="AH3966">
        <v>15</v>
      </c>
      <c r="AI3966">
        <v>3</v>
      </c>
      <c r="AJ3966">
        <v>4</v>
      </c>
      <c r="AK3966">
        <v>2</v>
      </c>
      <c r="AL3966">
        <v>3</v>
      </c>
      <c r="AM3966">
        <v>1</v>
      </c>
      <c r="AN3966">
        <v>0</v>
      </c>
      <c r="AO3966">
        <v>13</v>
      </c>
      <c r="AP3966">
        <v>13</v>
      </c>
      <c r="AQ3966">
        <v>5</v>
      </c>
      <c r="AR3966">
        <v>0</v>
      </c>
      <c r="AS3966">
        <v>0</v>
      </c>
      <c r="AT3966">
        <v>0</v>
      </c>
    </row>
    <row r="3967" spans="1:46">
      <c r="A3967">
        <v>65004</v>
      </c>
      <c r="B3967" t="s">
        <v>21615</v>
      </c>
      <c r="C3967" t="s">
        <v>21616</v>
      </c>
      <c r="D3967" t="s">
        <v>21602</v>
      </c>
      <c r="E3967" t="s">
        <v>21617</v>
      </c>
      <c r="G3967" t="s">
        <v>3867</v>
      </c>
      <c r="H3967" t="s">
        <v>298</v>
      </c>
      <c r="J3967" t="s">
        <v>518</v>
      </c>
      <c r="K3967" t="s">
        <v>519</v>
      </c>
      <c r="M3967" t="s">
        <v>2287</v>
      </c>
      <c r="N3967" t="s">
        <v>571</v>
      </c>
      <c r="O3967" t="s">
        <v>2822</v>
      </c>
      <c r="P3967" t="s">
        <v>523</v>
      </c>
      <c r="Q3967" t="s">
        <v>2823</v>
      </c>
      <c r="R3967" t="s">
        <v>2824</v>
      </c>
      <c r="S3967" t="s">
        <v>2825</v>
      </c>
      <c r="T3967" t="s">
        <v>2448</v>
      </c>
      <c r="U3967">
        <v>307100</v>
      </c>
      <c r="V3967" t="s">
        <v>3867</v>
      </c>
      <c r="W3967" t="s">
        <v>3868</v>
      </c>
      <c r="X3967" t="s">
        <v>21604</v>
      </c>
      <c r="Y3967" t="s">
        <v>5187</v>
      </c>
      <c r="AA3967" t="s">
        <v>5188</v>
      </c>
      <c r="AB3967" t="s">
        <v>11017</v>
      </c>
      <c r="AE3967">
        <v>-41.508850649999999</v>
      </c>
      <c r="AF3967">
        <v>173.83162770000001</v>
      </c>
      <c r="AG3967">
        <v>26</v>
      </c>
      <c r="AH3967">
        <v>20</v>
      </c>
      <c r="AI3967">
        <v>3</v>
      </c>
      <c r="AJ3967">
        <v>4</v>
      </c>
      <c r="AK3967">
        <v>2</v>
      </c>
      <c r="AL3967">
        <v>3</v>
      </c>
      <c r="AM3967">
        <v>1</v>
      </c>
      <c r="AN3967">
        <v>0</v>
      </c>
      <c r="AO3967">
        <v>13</v>
      </c>
      <c r="AP3967">
        <v>12</v>
      </c>
      <c r="AQ3967">
        <v>1</v>
      </c>
      <c r="AR3967">
        <v>0</v>
      </c>
      <c r="AS3967">
        <v>0</v>
      </c>
      <c r="AT3967">
        <v>0</v>
      </c>
    </row>
    <row r="3968" spans="1:46">
      <c r="A3968">
        <v>65008</v>
      </c>
      <c r="B3968" t="s">
        <v>21618</v>
      </c>
      <c r="C3968" t="s">
        <v>21619</v>
      </c>
      <c r="D3968" t="s">
        <v>21620</v>
      </c>
      <c r="E3968" t="s">
        <v>21621</v>
      </c>
      <c r="F3968" t="s">
        <v>21622</v>
      </c>
      <c r="G3968" t="s">
        <v>2853</v>
      </c>
      <c r="H3968" t="s">
        <v>298</v>
      </c>
      <c r="J3968" t="s">
        <v>518</v>
      </c>
      <c r="K3968" t="s">
        <v>519</v>
      </c>
      <c r="M3968" t="s">
        <v>2287</v>
      </c>
      <c r="N3968" t="s">
        <v>571</v>
      </c>
      <c r="O3968" t="s">
        <v>2854</v>
      </c>
      <c r="P3968" t="s">
        <v>584</v>
      </c>
      <c r="Q3968" t="s">
        <v>2855</v>
      </c>
      <c r="R3968" t="s">
        <v>2824</v>
      </c>
      <c r="S3968" t="s">
        <v>2853</v>
      </c>
      <c r="T3968" t="s">
        <v>2448</v>
      </c>
      <c r="U3968">
        <v>306000</v>
      </c>
      <c r="V3968" t="s">
        <v>15044</v>
      </c>
      <c r="W3968" t="s">
        <v>2857</v>
      </c>
      <c r="X3968" t="s">
        <v>21623</v>
      </c>
      <c r="Y3968" t="s">
        <v>5187</v>
      </c>
      <c r="AA3968" t="s">
        <v>5188</v>
      </c>
      <c r="AB3968" t="s">
        <v>21624</v>
      </c>
      <c r="AC3968">
        <v>99142</v>
      </c>
      <c r="AD3968" t="s">
        <v>2885</v>
      </c>
      <c r="AE3968">
        <v>-41.305615230000001</v>
      </c>
      <c r="AF3968">
        <v>173.25644990000001</v>
      </c>
      <c r="AG3968">
        <v>30</v>
      </c>
      <c r="AH3968">
        <v>20</v>
      </c>
      <c r="AI3968">
        <v>30</v>
      </c>
      <c r="AJ3968">
        <v>12</v>
      </c>
      <c r="AK3968">
        <v>5</v>
      </c>
      <c r="AL3968">
        <v>6</v>
      </c>
      <c r="AM3968">
        <v>3</v>
      </c>
      <c r="AN3968">
        <v>0</v>
      </c>
      <c r="AO3968">
        <v>56</v>
      </c>
      <c r="AP3968">
        <v>55</v>
      </c>
      <c r="AQ3968">
        <v>9</v>
      </c>
      <c r="AR3968">
        <v>0</v>
      </c>
      <c r="AS3968">
        <v>2</v>
      </c>
      <c r="AT3968">
        <v>0</v>
      </c>
    </row>
    <row r="3969" spans="1:46">
      <c r="A3969">
        <v>65009</v>
      </c>
      <c r="B3969" t="s">
        <v>21625</v>
      </c>
      <c r="C3969" t="s">
        <v>21626</v>
      </c>
      <c r="E3969" t="s">
        <v>21627</v>
      </c>
      <c r="G3969" t="s">
        <v>3608</v>
      </c>
      <c r="H3969" t="s">
        <v>3942</v>
      </c>
      <c r="J3969" t="s">
        <v>3962</v>
      </c>
      <c r="K3969" t="s">
        <v>519</v>
      </c>
      <c r="M3969" t="s">
        <v>2287</v>
      </c>
      <c r="N3969" t="s">
        <v>571</v>
      </c>
      <c r="O3969" t="s">
        <v>2942</v>
      </c>
      <c r="P3969" t="s">
        <v>654</v>
      </c>
      <c r="Q3969" t="s">
        <v>2943</v>
      </c>
      <c r="R3969" t="s">
        <v>2944</v>
      </c>
      <c r="S3969" t="s">
        <v>2965</v>
      </c>
      <c r="T3969" t="s">
        <v>2448</v>
      </c>
      <c r="U3969">
        <v>317301</v>
      </c>
      <c r="V3969" t="s">
        <v>3609</v>
      </c>
      <c r="W3969" t="s">
        <v>2986</v>
      </c>
      <c r="X3969" t="s">
        <v>21628</v>
      </c>
      <c r="Y3969" t="s">
        <v>21629</v>
      </c>
      <c r="Z3969" t="s">
        <v>12994</v>
      </c>
      <c r="AA3969" t="s">
        <v>18026</v>
      </c>
      <c r="AB3969" t="s">
        <v>21630</v>
      </c>
      <c r="AE3969">
        <v>-43.446350940000002</v>
      </c>
      <c r="AF3969">
        <v>172.63183946999999</v>
      </c>
      <c r="AG3969">
        <v>42</v>
      </c>
      <c r="AH3969">
        <v>12</v>
      </c>
    </row>
    <row r="3970" spans="1:46">
      <c r="A3970">
        <v>65011</v>
      </c>
      <c r="B3970" t="s">
        <v>21631</v>
      </c>
      <c r="C3970" t="s">
        <v>21632</v>
      </c>
      <c r="D3970" t="s">
        <v>21633</v>
      </c>
      <c r="E3970" t="s">
        <v>21634</v>
      </c>
      <c r="F3970" t="s">
        <v>13207</v>
      </c>
      <c r="G3970" t="s">
        <v>2941</v>
      </c>
      <c r="H3970" t="s">
        <v>3942</v>
      </c>
      <c r="J3970" t="s">
        <v>3962</v>
      </c>
      <c r="K3970" t="s">
        <v>519</v>
      </c>
      <c r="M3970" t="s">
        <v>2287</v>
      </c>
      <c r="N3970" t="s">
        <v>571</v>
      </c>
      <c r="O3970" t="s">
        <v>2942</v>
      </c>
      <c r="P3970" t="s">
        <v>654</v>
      </c>
      <c r="Q3970" t="s">
        <v>2943</v>
      </c>
      <c r="R3970" t="s">
        <v>2944</v>
      </c>
      <c r="S3970" t="s">
        <v>3019</v>
      </c>
      <c r="T3970" t="s">
        <v>2448</v>
      </c>
      <c r="U3970">
        <v>319800</v>
      </c>
      <c r="V3970" t="s">
        <v>18634</v>
      </c>
      <c r="W3970" t="s">
        <v>3020</v>
      </c>
      <c r="X3970" t="s">
        <v>21635</v>
      </c>
      <c r="Y3970" t="s">
        <v>21636</v>
      </c>
      <c r="Z3970" t="s">
        <v>13207</v>
      </c>
      <c r="AA3970" t="s">
        <v>11419</v>
      </c>
      <c r="AB3970" t="s">
        <v>21637</v>
      </c>
      <c r="AC3970">
        <v>99045</v>
      </c>
      <c r="AD3970" t="s">
        <v>3021</v>
      </c>
      <c r="AE3970">
        <v>-43.53369163</v>
      </c>
      <c r="AF3970">
        <v>172.54647052999999</v>
      </c>
      <c r="AG3970">
        <v>27</v>
      </c>
      <c r="AH3970">
        <v>0</v>
      </c>
      <c r="AI3970">
        <v>0</v>
      </c>
      <c r="AJ3970">
        <v>0</v>
      </c>
      <c r="AK3970">
        <v>2</v>
      </c>
      <c r="AL3970">
        <v>13</v>
      </c>
      <c r="AM3970">
        <v>5</v>
      </c>
      <c r="AN3970">
        <v>2</v>
      </c>
      <c r="AO3970">
        <v>22</v>
      </c>
      <c r="AP3970">
        <v>4</v>
      </c>
      <c r="AQ3970">
        <v>0</v>
      </c>
      <c r="AR3970">
        <v>1</v>
      </c>
      <c r="AS3970">
        <v>20</v>
      </c>
      <c r="AT3970">
        <v>1</v>
      </c>
    </row>
    <row r="3971" spans="1:46">
      <c r="A3971">
        <v>65014</v>
      </c>
      <c r="B3971" t="s">
        <v>21638</v>
      </c>
      <c r="C3971" t="s">
        <v>21639</v>
      </c>
      <c r="D3971" t="s">
        <v>21640</v>
      </c>
      <c r="E3971" t="s">
        <v>21641</v>
      </c>
      <c r="G3971" t="s">
        <v>10911</v>
      </c>
      <c r="H3971" t="s">
        <v>3942</v>
      </c>
      <c r="J3971" t="s">
        <v>518</v>
      </c>
      <c r="K3971" t="s">
        <v>519</v>
      </c>
      <c r="M3971" t="s">
        <v>2287</v>
      </c>
      <c r="N3971" t="s">
        <v>571</v>
      </c>
      <c r="O3971" t="s">
        <v>3208</v>
      </c>
      <c r="P3971" t="s">
        <v>1262</v>
      </c>
      <c r="Q3971" t="s">
        <v>2943</v>
      </c>
      <c r="R3971" t="s">
        <v>2944</v>
      </c>
      <c r="S3971" t="s">
        <v>3179</v>
      </c>
      <c r="T3971" t="s">
        <v>2448</v>
      </c>
      <c r="U3971">
        <v>335101</v>
      </c>
      <c r="V3971" t="s">
        <v>11571</v>
      </c>
      <c r="W3971" t="s">
        <v>10914</v>
      </c>
      <c r="X3971" t="s">
        <v>10801</v>
      </c>
      <c r="Y3971" t="s">
        <v>3944</v>
      </c>
      <c r="Z3971" t="s">
        <v>3945</v>
      </c>
      <c r="AA3971" t="s">
        <v>3946</v>
      </c>
      <c r="AC3971">
        <v>99206</v>
      </c>
      <c r="AD3971" t="s">
        <v>3211</v>
      </c>
      <c r="AE3971">
        <v>-43.597834390000003</v>
      </c>
      <c r="AF3971">
        <v>172.38365777000001</v>
      </c>
      <c r="AG3971">
        <v>50</v>
      </c>
      <c r="AH3971">
        <v>20</v>
      </c>
      <c r="AI3971">
        <v>2</v>
      </c>
      <c r="AJ3971">
        <v>14</v>
      </c>
      <c r="AK3971">
        <v>11</v>
      </c>
      <c r="AL3971">
        <v>20</v>
      </c>
      <c r="AM3971">
        <v>10</v>
      </c>
      <c r="AN3971">
        <v>0</v>
      </c>
      <c r="AO3971">
        <v>57</v>
      </c>
      <c r="AP3971">
        <v>37</v>
      </c>
      <c r="AQ3971">
        <v>10</v>
      </c>
      <c r="AR3971">
        <v>1</v>
      </c>
      <c r="AS3971">
        <v>15</v>
      </c>
      <c r="AT3971">
        <v>8</v>
      </c>
    </row>
    <row r="3972" spans="1:46">
      <c r="A3972">
        <v>65015</v>
      </c>
      <c r="B3972" t="s">
        <v>21642</v>
      </c>
      <c r="C3972" t="s">
        <v>21643</v>
      </c>
      <c r="D3972" t="s">
        <v>21644</v>
      </c>
      <c r="E3972" t="s">
        <v>21645</v>
      </c>
      <c r="G3972" t="s">
        <v>2963</v>
      </c>
      <c r="H3972" t="s">
        <v>3942</v>
      </c>
      <c r="J3972" t="s">
        <v>3962</v>
      </c>
      <c r="K3972" t="s">
        <v>519</v>
      </c>
      <c r="M3972" t="s">
        <v>2287</v>
      </c>
      <c r="N3972" t="s">
        <v>571</v>
      </c>
      <c r="O3972" t="s">
        <v>2964</v>
      </c>
      <c r="P3972" t="s">
        <v>1262</v>
      </c>
      <c r="Q3972" t="s">
        <v>2943</v>
      </c>
      <c r="R3972" t="s">
        <v>2944</v>
      </c>
      <c r="S3972" t="s">
        <v>2965</v>
      </c>
      <c r="T3972" t="s">
        <v>2448</v>
      </c>
      <c r="U3972">
        <v>314501</v>
      </c>
      <c r="V3972" t="s">
        <v>2966</v>
      </c>
      <c r="W3972" t="s">
        <v>2967</v>
      </c>
      <c r="X3972" t="s">
        <v>21646</v>
      </c>
      <c r="Y3972" t="s">
        <v>21647</v>
      </c>
      <c r="Z3972" t="s">
        <v>21648</v>
      </c>
      <c r="AA3972" t="s">
        <v>3343</v>
      </c>
      <c r="AB3972" t="s">
        <v>21649</v>
      </c>
      <c r="AE3972">
        <v>-43.312355699999998</v>
      </c>
      <c r="AF3972">
        <v>172.58621894999999</v>
      </c>
      <c r="AG3972">
        <v>56</v>
      </c>
      <c r="AH3972">
        <v>8</v>
      </c>
      <c r="AI3972">
        <v>5</v>
      </c>
      <c r="AJ3972">
        <v>7</v>
      </c>
      <c r="AK3972">
        <v>14</v>
      </c>
      <c r="AL3972">
        <v>21</v>
      </c>
      <c r="AM3972">
        <v>19</v>
      </c>
      <c r="AN3972">
        <v>5</v>
      </c>
      <c r="AO3972">
        <v>71</v>
      </c>
      <c r="AP3972">
        <v>65</v>
      </c>
      <c r="AQ3972">
        <v>15</v>
      </c>
      <c r="AR3972">
        <v>5</v>
      </c>
      <c r="AS3972">
        <v>3</v>
      </c>
      <c r="AT3972">
        <v>2</v>
      </c>
    </row>
    <row r="3973" spans="1:46">
      <c r="A3973">
        <v>65016</v>
      </c>
      <c r="B3973" t="s">
        <v>21650</v>
      </c>
      <c r="C3973" t="s">
        <v>21651</v>
      </c>
      <c r="E3973" t="s">
        <v>21652</v>
      </c>
      <c r="F3973" t="s">
        <v>14659</v>
      </c>
      <c r="G3973" t="s">
        <v>2941</v>
      </c>
      <c r="H3973" t="s">
        <v>3942</v>
      </c>
      <c r="I3973" t="s">
        <v>4165</v>
      </c>
      <c r="J3973" t="s">
        <v>518</v>
      </c>
      <c r="K3973" t="s">
        <v>519</v>
      </c>
      <c r="M3973" t="s">
        <v>2287</v>
      </c>
      <c r="N3973" t="s">
        <v>521</v>
      </c>
      <c r="O3973" t="s">
        <v>2942</v>
      </c>
      <c r="P3973" t="s">
        <v>654</v>
      </c>
      <c r="Q3973" t="s">
        <v>2943</v>
      </c>
      <c r="R3973" t="s">
        <v>2944</v>
      </c>
      <c r="S3973" t="s">
        <v>2979</v>
      </c>
      <c r="T3973" t="s">
        <v>2448</v>
      </c>
      <c r="U3973">
        <v>331100</v>
      </c>
      <c r="V3973" t="s">
        <v>21653</v>
      </c>
      <c r="W3973" t="s">
        <v>2993</v>
      </c>
      <c r="X3973" t="s">
        <v>21654</v>
      </c>
      <c r="Y3973" t="s">
        <v>21655</v>
      </c>
      <c r="Z3973" t="s">
        <v>21656</v>
      </c>
      <c r="AA3973" t="s">
        <v>21657</v>
      </c>
      <c r="AE3973">
        <v>-43.547076949999997</v>
      </c>
      <c r="AF3973">
        <v>172.69352623</v>
      </c>
      <c r="AG3973">
        <v>25</v>
      </c>
      <c r="AH3973">
        <v>5</v>
      </c>
      <c r="AI3973">
        <v>1</v>
      </c>
      <c r="AJ3973">
        <v>3</v>
      </c>
      <c r="AK3973">
        <v>6</v>
      </c>
      <c r="AL3973">
        <v>4</v>
      </c>
      <c r="AM3973">
        <v>4</v>
      </c>
      <c r="AN3973">
        <v>0</v>
      </c>
      <c r="AO3973">
        <v>18</v>
      </c>
      <c r="AP3973">
        <v>7</v>
      </c>
      <c r="AQ3973">
        <v>2</v>
      </c>
      <c r="AR3973">
        <v>18</v>
      </c>
      <c r="AS3973">
        <v>0</v>
      </c>
      <c r="AT3973">
        <v>0</v>
      </c>
    </row>
    <row r="3974" spans="1:46">
      <c r="A3974">
        <v>65019</v>
      </c>
      <c r="B3974" t="s">
        <v>21658</v>
      </c>
      <c r="C3974" t="s">
        <v>21659</v>
      </c>
      <c r="D3974" t="s">
        <v>21660</v>
      </c>
      <c r="E3974" t="s">
        <v>21661</v>
      </c>
      <c r="G3974" t="s">
        <v>2963</v>
      </c>
      <c r="H3974" t="s">
        <v>3942</v>
      </c>
      <c r="J3974" t="s">
        <v>3962</v>
      </c>
      <c r="K3974" t="s">
        <v>519</v>
      </c>
      <c r="M3974" t="s">
        <v>2287</v>
      </c>
      <c r="N3974" t="s">
        <v>571</v>
      </c>
      <c r="O3974" t="s">
        <v>2964</v>
      </c>
      <c r="P3974" t="s">
        <v>1262</v>
      </c>
      <c r="Q3974" t="s">
        <v>2943</v>
      </c>
      <c r="R3974" t="s">
        <v>2944</v>
      </c>
      <c r="S3974" t="s">
        <v>2965</v>
      </c>
      <c r="T3974" t="s">
        <v>2448</v>
      </c>
      <c r="U3974">
        <v>314200</v>
      </c>
      <c r="V3974" t="s">
        <v>3053</v>
      </c>
      <c r="W3974" t="s">
        <v>2967</v>
      </c>
      <c r="X3974" t="s">
        <v>21662</v>
      </c>
      <c r="Y3974" t="s">
        <v>21663</v>
      </c>
      <c r="Z3974" t="s">
        <v>2963</v>
      </c>
      <c r="AA3974" t="s">
        <v>21664</v>
      </c>
      <c r="AC3974">
        <v>99077</v>
      </c>
      <c r="AD3974" t="s">
        <v>2968</v>
      </c>
      <c r="AE3974">
        <v>-43.296423259999997</v>
      </c>
      <c r="AF3974">
        <v>172.5971212</v>
      </c>
      <c r="AG3974">
        <v>44</v>
      </c>
      <c r="AH3974">
        <v>12</v>
      </c>
      <c r="AI3974">
        <v>3</v>
      </c>
      <c r="AJ3974">
        <v>7</v>
      </c>
      <c r="AK3974">
        <v>12</v>
      </c>
      <c r="AL3974">
        <v>14</v>
      </c>
      <c r="AM3974">
        <v>12</v>
      </c>
      <c r="AN3974">
        <v>1</v>
      </c>
      <c r="AO3974">
        <v>49</v>
      </c>
      <c r="AP3974">
        <v>37</v>
      </c>
      <c r="AQ3974">
        <v>10</v>
      </c>
      <c r="AR3974">
        <v>1</v>
      </c>
      <c r="AS3974">
        <v>1</v>
      </c>
      <c r="AT3974">
        <v>11</v>
      </c>
    </row>
    <row r="3975" spans="1:46">
      <c r="A3975">
        <v>65021</v>
      </c>
      <c r="B3975" t="s">
        <v>21665</v>
      </c>
      <c r="C3975" t="s">
        <v>21666</v>
      </c>
      <c r="D3975" t="s">
        <v>21667</v>
      </c>
      <c r="E3975" t="s">
        <v>21668</v>
      </c>
      <c r="G3975" t="s">
        <v>21669</v>
      </c>
      <c r="H3975" t="s">
        <v>3942</v>
      </c>
      <c r="J3975" t="s">
        <v>3962</v>
      </c>
      <c r="K3975" t="s">
        <v>519</v>
      </c>
      <c r="M3975" t="s">
        <v>2287</v>
      </c>
      <c r="N3975" t="s">
        <v>571</v>
      </c>
      <c r="O3975" t="s">
        <v>3208</v>
      </c>
      <c r="P3975" t="s">
        <v>523</v>
      </c>
      <c r="Q3975" t="s">
        <v>2943</v>
      </c>
      <c r="R3975" t="s">
        <v>2944</v>
      </c>
      <c r="S3975" t="s">
        <v>3179</v>
      </c>
      <c r="T3975" t="s">
        <v>2448</v>
      </c>
      <c r="U3975">
        <v>334001</v>
      </c>
      <c r="V3975" t="s">
        <v>21669</v>
      </c>
      <c r="W3975" t="s">
        <v>12606</v>
      </c>
      <c r="X3975" t="s">
        <v>11071</v>
      </c>
      <c r="Y3975" t="s">
        <v>21670</v>
      </c>
      <c r="Z3975" t="s">
        <v>21669</v>
      </c>
      <c r="AA3975" t="s">
        <v>21671</v>
      </c>
      <c r="AC3975">
        <v>99008</v>
      </c>
      <c r="AD3975" t="s">
        <v>17593</v>
      </c>
      <c r="AE3975">
        <v>-43.490031879999997</v>
      </c>
      <c r="AF3975">
        <v>172.11610099999999</v>
      </c>
      <c r="AG3975">
        <v>36</v>
      </c>
      <c r="AH3975">
        <v>0</v>
      </c>
      <c r="AI3975">
        <v>0</v>
      </c>
      <c r="AJ3975">
        <v>0</v>
      </c>
      <c r="AK3975">
        <v>0</v>
      </c>
      <c r="AL3975">
        <v>0</v>
      </c>
      <c r="AM3975">
        <v>39</v>
      </c>
      <c r="AN3975">
        <v>1</v>
      </c>
      <c r="AO3975">
        <v>40</v>
      </c>
      <c r="AP3975">
        <v>36</v>
      </c>
      <c r="AQ3975">
        <v>4</v>
      </c>
      <c r="AR3975">
        <v>0</v>
      </c>
      <c r="AS3975">
        <v>3</v>
      </c>
      <c r="AT3975">
        <v>2</v>
      </c>
    </row>
    <row r="3976" spans="1:46">
      <c r="A3976">
        <v>65025</v>
      </c>
      <c r="B3976" t="s">
        <v>21672</v>
      </c>
      <c r="C3976" t="s">
        <v>21673</v>
      </c>
      <c r="D3976" t="s">
        <v>21674</v>
      </c>
      <c r="E3976" t="s">
        <v>21675</v>
      </c>
      <c r="F3976" t="s">
        <v>21676</v>
      </c>
      <c r="G3976" t="s">
        <v>2853</v>
      </c>
      <c r="H3976" t="s">
        <v>517</v>
      </c>
      <c r="J3976" t="s">
        <v>518</v>
      </c>
      <c r="K3976" t="s">
        <v>519</v>
      </c>
      <c r="M3976" t="s">
        <v>2287</v>
      </c>
      <c r="N3976" t="s">
        <v>571</v>
      </c>
      <c r="O3976" t="s">
        <v>2868</v>
      </c>
      <c r="P3976" t="s">
        <v>523</v>
      </c>
      <c r="Q3976" t="s">
        <v>2869</v>
      </c>
      <c r="R3976" t="s">
        <v>2824</v>
      </c>
      <c r="S3976" t="s">
        <v>2870</v>
      </c>
      <c r="T3976" t="s">
        <v>2448</v>
      </c>
      <c r="U3976">
        <v>302600</v>
      </c>
      <c r="V3976" t="s">
        <v>21677</v>
      </c>
      <c r="W3976" t="s">
        <v>11292</v>
      </c>
      <c r="X3976" t="s">
        <v>2858</v>
      </c>
      <c r="Y3976" t="s">
        <v>2859</v>
      </c>
      <c r="Z3976" t="s">
        <v>2853</v>
      </c>
      <c r="AA3976" t="s">
        <v>2860</v>
      </c>
      <c r="AB3976" t="s">
        <v>2861</v>
      </c>
      <c r="AC3976">
        <v>99142</v>
      </c>
      <c r="AD3976" t="s">
        <v>2885</v>
      </c>
      <c r="AE3976">
        <v>-41.376022640000002</v>
      </c>
      <c r="AF3976">
        <v>173.10854309000001</v>
      </c>
      <c r="AG3976">
        <v>44</v>
      </c>
      <c r="AH3976">
        <v>0</v>
      </c>
      <c r="AI3976">
        <v>0</v>
      </c>
      <c r="AJ3976">
        <v>0</v>
      </c>
      <c r="AK3976">
        <v>0</v>
      </c>
      <c r="AL3976">
        <v>19</v>
      </c>
      <c r="AM3976">
        <v>28</v>
      </c>
      <c r="AN3976">
        <v>2</v>
      </c>
      <c r="AO3976">
        <v>49</v>
      </c>
      <c r="AP3976">
        <v>45</v>
      </c>
      <c r="AQ3976">
        <v>10</v>
      </c>
      <c r="AR3976">
        <v>0</v>
      </c>
      <c r="AS3976">
        <v>2</v>
      </c>
      <c r="AT3976">
        <v>1</v>
      </c>
    </row>
    <row r="3977" spans="1:46">
      <c r="A3977">
        <v>65026</v>
      </c>
      <c r="B3977" t="s">
        <v>21678</v>
      </c>
      <c r="C3977" t="s">
        <v>21679</v>
      </c>
      <c r="E3977" t="s">
        <v>21680</v>
      </c>
      <c r="G3977" t="s">
        <v>2867</v>
      </c>
      <c r="H3977" t="s">
        <v>3942</v>
      </c>
      <c r="I3977" t="s">
        <v>4065</v>
      </c>
      <c r="J3977" t="s">
        <v>3962</v>
      </c>
      <c r="K3977" t="s">
        <v>519</v>
      </c>
      <c r="M3977" t="s">
        <v>2287</v>
      </c>
      <c r="N3977" t="s">
        <v>557</v>
      </c>
      <c r="O3977" t="s">
        <v>2868</v>
      </c>
      <c r="P3977" t="s">
        <v>540</v>
      </c>
      <c r="Q3977" t="s">
        <v>2869</v>
      </c>
      <c r="R3977" t="s">
        <v>2824</v>
      </c>
      <c r="S3977" t="s">
        <v>2870</v>
      </c>
      <c r="T3977" t="s">
        <v>2448</v>
      </c>
      <c r="U3977">
        <v>300801</v>
      </c>
      <c r="V3977" t="s">
        <v>21681</v>
      </c>
      <c r="W3977" t="s">
        <v>2872</v>
      </c>
      <c r="X3977" t="s">
        <v>21682</v>
      </c>
      <c r="Y3977" t="s">
        <v>21683</v>
      </c>
      <c r="Z3977" t="s">
        <v>21684</v>
      </c>
      <c r="AA3977" t="s">
        <v>21685</v>
      </c>
      <c r="AC3977">
        <v>99115</v>
      </c>
      <c r="AD3977" t="s">
        <v>2873</v>
      </c>
      <c r="AE3977">
        <v>-41.084064310000002</v>
      </c>
      <c r="AF3977">
        <v>172.99723295000001</v>
      </c>
      <c r="AG3977">
        <v>55</v>
      </c>
      <c r="AH3977">
        <v>12</v>
      </c>
      <c r="AI3977">
        <v>2</v>
      </c>
      <c r="AJ3977">
        <v>8</v>
      </c>
      <c r="AK3977">
        <v>14</v>
      </c>
      <c r="AL3977">
        <v>23</v>
      </c>
      <c r="AM3977">
        <v>15</v>
      </c>
      <c r="AN3977">
        <v>0</v>
      </c>
      <c r="AO3977">
        <v>62</v>
      </c>
      <c r="AP3977">
        <v>54</v>
      </c>
      <c r="AQ3977">
        <v>12</v>
      </c>
      <c r="AR3977">
        <v>2</v>
      </c>
      <c r="AS3977">
        <v>7</v>
      </c>
      <c r="AT3977">
        <v>3</v>
      </c>
    </row>
    <row r="3978" spans="1:46">
      <c r="A3978">
        <v>65030</v>
      </c>
      <c r="B3978" t="s">
        <v>21686</v>
      </c>
      <c r="C3978" t="s">
        <v>21687</v>
      </c>
      <c r="E3978" t="s">
        <v>21688</v>
      </c>
      <c r="G3978" t="s">
        <v>12839</v>
      </c>
      <c r="H3978" t="s">
        <v>3942</v>
      </c>
      <c r="J3978" t="s">
        <v>3962</v>
      </c>
      <c r="K3978" t="s">
        <v>519</v>
      </c>
      <c r="M3978" t="s">
        <v>2287</v>
      </c>
      <c r="N3978" t="s">
        <v>571</v>
      </c>
      <c r="O3978" t="s">
        <v>2964</v>
      </c>
      <c r="P3978" t="s">
        <v>523</v>
      </c>
      <c r="Q3978" t="s">
        <v>2943</v>
      </c>
      <c r="R3978" t="s">
        <v>2944</v>
      </c>
      <c r="S3978" t="s">
        <v>2965</v>
      </c>
      <c r="T3978" t="s">
        <v>2448</v>
      </c>
      <c r="U3978">
        <v>315301</v>
      </c>
      <c r="V3978" t="s">
        <v>12839</v>
      </c>
      <c r="W3978" t="s">
        <v>3189</v>
      </c>
      <c r="X3978" t="s">
        <v>21689</v>
      </c>
      <c r="Y3978" t="s">
        <v>4107</v>
      </c>
      <c r="AA3978" t="s">
        <v>3982</v>
      </c>
      <c r="AB3978" t="s">
        <v>21690</v>
      </c>
      <c r="AC3978">
        <v>99061</v>
      </c>
      <c r="AD3978" t="s">
        <v>3190</v>
      </c>
      <c r="AE3978">
        <v>-43.325336550000003</v>
      </c>
      <c r="AF3978">
        <v>172.66612216999999</v>
      </c>
      <c r="AG3978">
        <v>50</v>
      </c>
      <c r="AH3978">
        <v>12</v>
      </c>
      <c r="AI3978">
        <v>3</v>
      </c>
      <c r="AJ3978">
        <v>13</v>
      </c>
      <c r="AK3978">
        <v>11</v>
      </c>
      <c r="AL3978">
        <v>27</v>
      </c>
      <c r="AM3978">
        <v>19</v>
      </c>
      <c r="AN3978">
        <v>1</v>
      </c>
      <c r="AO3978">
        <v>74</v>
      </c>
      <c r="AP3978">
        <v>66</v>
      </c>
      <c r="AQ3978">
        <v>20</v>
      </c>
      <c r="AR3978">
        <v>3</v>
      </c>
      <c r="AS3978">
        <v>1</v>
      </c>
      <c r="AT3978">
        <v>2</v>
      </c>
    </row>
    <row r="3979" spans="1:46">
      <c r="A3979">
        <v>65031</v>
      </c>
      <c r="B3979" t="s">
        <v>21691</v>
      </c>
      <c r="C3979" t="s">
        <v>21692</v>
      </c>
      <c r="D3979" t="s">
        <v>21693</v>
      </c>
      <c r="E3979" t="s">
        <v>21694</v>
      </c>
      <c r="G3979" t="s">
        <v>3261</v>
      </c>
      <c r="H3979" t="s">
        <v>3942</v>
      </c>
      <c r="J3979" t="s">
        <v>3962</v>
      </c>
      <c r="K3979" t="s">
        <v>519</v>
      </c>
      <c r="M3979" t="s">
        <v>2287</v>
      </c>
      <c r="N3979" t="s">
        <v>571</v>
      </c>
      <c r="O3979" t="s">
        <v>3249</v>
      </c>
      <c r="P3979" t="s">
        <v>1262</v>
      </c>
      <c r="Q3979" t="s">
        <v>2943</v>
      </c>
      <c r="R3979" t="s">
        <v>2944</v>
      </c>
      <c r="S3979" t="s">
        <v>3219</v>
      </c>
      <c r="T3979" t="s">
        <v>2448</v>
      </c>
      <c r="U3979">
        <v>340100</v>
      </c>
      <c r="V3979" t="s">
        <v>13536</v>
      </c>
      <c r="W3979" t="s">
        <v>3263</v>
      </c>
      <c r="X3979" t="s">
        <v>14124</v>
      </c>
      <c r="Y3979" t="s">
        <v>21695</v>
      </c>
      <c r="AA3979" t="s">
        <v>21696</v>
      </c>
      <c r="AC3979">
        <v>99178</v>
      </c>
      <c r="AD3979" t="s">
        <v>3273</v>
      </c>
      <c r="AE3979">
        <v>-44.39004173</v>
      </c>
      <c r="AF3979">
        <v>171.20966103000001</v>
      </c>
      <c r="AG3979">
        <v>39</v>
      </c>
      <c r="AH3979">
        <v>0</v>
      </c>
      <c r="AI3979">
        <v>0</v>
      </c>
      <c r="AJ3979">
        <v>0</v>
      </c>
      <c r="AK3979">
        <v>6</v>
      </c>
      <c r="AL3979">
        <v>23</v>
      </c>
      <c r="AM3979">
        <v>20</v>
      </c>
      <c r="AN3979">
        <v>0</v>
      </c>
      <c r="AO3979">
        <v>49</v>
      </c>
      <c r="AP3979">
        <v>35</v>
      </c>
      <c r="AQ3979">
        <v>4</v>
      </c>
      <c r="AR3979">
        <v>1</v>
      </c>
      <c r="AS3979">
        <v>19</v>
      </c>
      <c r="AT3979">
        <v>4</v>
      </c>
    </row>
    <row r="3980" spans="1:46">
      <c r="A3980">
        <v>65034</v>
      </c>
      <c r="B3980" t="s">
        <v>21697</v>
      </c>
      <c r="C3980" t="s">
        <v>21698</v>
      </c>
      <c r="D3980" t="s">
        <v>21699</v>
      </c>
      <c r="E3980" t="s">
        <v>21700</v>
      </c>
      <c r="G3980" t="s">
        <v>18491</v>
      </c>
      <c r="H3980" t="s">
        <v>3942</v>
      </c>
      <c r="J3980" t="s">
        <v>518</v>
      </c>
      <c r="K3980" t="s">
        <v>519</v>
      </c>
      <c r="M3980" t="s">
        <v>2287</v>
      </c>
      <c r="N3980" t="s">
        <v>571</v>
      </c>
      <c r="O3980" t="s">
        <v>18492</v>
      </c>
      <c r="P3980" t="s">
        <v>523</v>
      </c>
      <c r="Q3980" t="s">
        <v>2943</v>
      </c>
      <c r="R3980" t="s">
        <v>2824</v>
      </c>
      <c r="S3980" t="s">
        <v>2825</v>
      </c>
      <c r="T3980" t="s">
        <v>2448</v>
      </c>
      <c r="U3980">
        <v>308900</v>
      </c>
      <c r="V3980" t="s">
        <v>2825</v>
      </c>
      <c r="W3980" t="s">
        <v>1652</v>
      </c>
      <c r="X3980" t="s">
        <v>21701</v>
      </c>
      <c r="Y3980" t="s">
        <v>6369</v>
      </c>
      <c r="Z3980" t="s">
        <v>4555</v>
      </c>
      <c r="AA3980" t="s">
        <v>4556</v>
      </c>
      <c r="AB3980" t="s">
        <v>21702</v>
      </c>
      <c r="AC3980">
        <v>99025</v>
      </c>
      <c r="AD3980" t="s">
        <v>21703</v>
      </c>
      <c r="AE3980">
        <v>-42.40071631</v>
      </c>
      <c r="AF3980">
        <v>173.67431619999999</v>
      </c>
      <c r="AG3980">
        <v>47</v>
      </c>
      <c r="AH3980">
        <v>15</v>
      </c>
      <c r="AI3980">
        <v>0</v>
      </c>
      <c r="AJ3980">
        <v>2</v>
      </c>
      <c r="AK3980">
        <v>12</v>
      </c>
      <c r="AL3980">
        <v>12</v>
      </c>
      <c r="AM3980">
        <v>16</v>
      </c>
      <c r="AN3980">
        <v>0</v>
      </c>
      <c r="AO3980">
        <v>42</v>
      </c>
      <c r="AP3980">
        <v>33</v>
      </c>
      <c r="AQ3980">
        <v>20</v>
      </c>
      <c r="AR3980">
        <v>0</v>
      </c>
      <c r="AS3980">
        <v>5</v>
      </c>
      <c r="AT3980">
        <v>0</v>
      </c>
    </row>
    <row r="3981" spans="1:46">
      <c r="A3981">
        <v>65039</v>
      </c>
      <c r="B3981" t="s">
        <v>21704</v>
      </c>
      <c r="C3981" t="s">
        <v>21705</v>
      </c>
      <c r="E3981" t="s">
        <v>21706</v>
      </c>
      <c r="F3981" t="s">
        <v>3068</v>
      </c>
      <c r="G3981" t="s">
        <v>2941</v>
      </c>
      <c r="H3981" t="s">
        <v>3942</v>
      </c>
      <c r="I3981" t="s">
        <v>4065</v>
      </c>
      <c r="J3981" t="s">
        <v>3962</v>
      </c>
      <c r="K3981" t="s">
        <v>519</v>
      </c>
      <c r="M3981" t="s">
        <v>2287</v>
      </c>
      <c r="N3981" t="s">
        <v>571</v>
      </c>
      <c r="O3981" t="s">
        <v>2942</v>
      </c>
      <c r="P3981" t="s">
        <v>654</v>
      </c>
      <c r="Q3981" t="s">
        <v>2943</v>
      </c>
      <c r="R3981" t="s">
        <v>2944</v>
      </c>
      <c r="S3981" t="s">
        <v>2957</v>
      </c>
      <c r="T3981" t="s">
        <v>2448</v>
      </c>
      <c r="U3981">
        <v>322100</v>
      </c>
      <c r="V3981" t="s">
        <v>3152</v>
      </c>
      <c r="W3981" t="s">
        <v>3098</v>
      </c>
      <c r="X3981" t="s">
        <v>21707</v>
      </c>
      <c r="Y3981" t="s">
        <v>18485</v>
      </c>
      <c r="AE3981">
        <v>-43.499781329999998</v>
      </c>
      <c r="AF3981">
        <v>172.62833658</v>
      </c>
      <c r="AG3981">
        <v>24</v>
      </c>
      <c r="AH3981">
        <v>0</v>
      </c>
      <c r="AI3981">
        <v>0</v>
      </c>
      <c r="AJ3981">
        <v>1</v>
      </c>
      <c r="AK3981">
        <v>2</v>
      </c>
      <c r="AL3981">
        <v>16</v>
      </c>
      <c r="AM3981">
        <v>8</v>
      </c>
      <c r="AN3981">
        <v>2</v>
      </c>
      <c r="AO3981">
        <v>29</v>
      </c>
      <c r="AP3981">
        <v>24</v>
      </c>
      <c r="AQ3981">
        <v>1</v>
      </c>
      <c r="AR3981">
        <v>3</v>
      </c>
      <c r="AS3981">
        <v>3</v>
      </c>
      <c r="AT3981">
        <v>4</v>
      </c>
    </row>
    <row r="3982" spans="1:46">
      <c r="A3982">
        <v>65042</v>
      </c>
      <c r="B3982" t="s">
        <v>21708</v>
      </c>
      <c r="C3982" t="s">
        <v>21709</v>
      </c>
      <c r="D3982" t="s">
        <v>21710</v>
      </c>
      <c r="E3982" t="s">
        <v>21711</v>
      </c>
      <c r="G3982" t="s">
        <v>3296</v>
      </c>
      <c r="H3982" t="s">
        <v>3942</v>
      </c>
      <c r="J3982" t="s">
        <v>518</v>
      </c>
      <c r="K3982" t="s">
        <v>519</v>
      </c>
      <c r="M3982" t="s">
        <v>2287</v>
      </c>
      <c r="N3982" t="s">
        <v>571</v>
      </c>
      <c r="O3982" t="s">
        <v>3249</v>
      </c>
      <c r="P3982" t="s">
        <v>523</v>
      </c>
      <c r="Q3982" t="s">
        <v>2943</v>
      </c>
      <c r="R3982" t="s">
        <v>2944</v>
      </c>
      <c r="S3982" t="s">
        <v>3219</v>
      </c>
      <c r="T3982" t="s">
        <v>2448</v>
      </c>
      <c r="U3982">
        <v>339300</v>
      </c>
      <c r="V3982" t="s">
        <v>3297</v>
      </c>
      <c r="W3982" t="s">
        <v>3298</v>
      </c>
      <c r="X3982" t="s">
        <v>10801</v>
      </c>
      <c r="Y3982" t="s">
        <v>3944</v>
      </c>
      <c r="Z3982" t="s">
        <v>3945</v>
      </c>
      <c r="AA3982" t="s">
        <v>3946</v>
      </c>
      <c r="AC3982">
        <v>99178</v>
      </c>
      <c r="AD3982" t="s">
        <v>3273</v>
      </c>
      <c r="AE3982">
        <v>-44.239707469999999</v>
      </c>
      <c r="AF3982">
        <v>171.28330439000001</v>
      </c>
      <c r="AG3982">
        <v>50</v>
      </c>
      <c r="AH3982">
        <v>14</v>
      </c>
      <c r="AI3982">
        <v>2</v>
      </c>
      <c r="AJ3982">
        <v>10</v>
      </c>
      <c r="AK3982">
        <v>10</v>
      </c>
      <c r="AL3982">
        <v>10</v>
      </c>
      <c r="AM3982">
        <v>16</v>
      </c>
      <c r="AN3982">
        <v>1</v>
      </c>
      <c r="AO3982">
        <v>49</v>
      </c>
      <c r="AP3982">
        <v>39</v>
      </c>
      <c r="AQ3982">
        <v>11</v>
      </c>
      <c r="AR3982">
        <v>3</v>
      </c>
      <c r="AS3982">
        <v>3</v>
      </c>
      <c r="AT3982">
        <v>3</v>
      </c>
    </row>
    <row r="3983" spans="1:46">
      <c r="A3983">
        <v>65043</v>
      </c>
      <c r="B3983" t="s">
        <v>21712</v>
      </c>
      <c r="C3983" t="s">
        <v>21713</v>
      </c>
      <c r="D3983" t="s">
        <v>21714</v>
      </c>
      <c r="E3983" t="s">
        <v>21715</v>
      </c>
      <c r="F3983" t="s">
        <v>3124</v>
      </c>
      <c r="G3983" t="s">
        <v>2941</v>
      </c>
      <c r="H3983" t="s">
        <v>3942</v>
      </c>
      <c r="J3983" t="s">
        <v>3962</v>
      </c>
      <c r="K3983" t="s">
        <v>519</v>
      </c>
      <c r="M3983" t="s">
        <v>2287</v>
      </c>
      <c r="N3983" t="s">
        <v>539</v>
      </c>
      <c r="O3983" t="s">
        <v>2942</v>
      </c>
      <c r="P3983" t="s">
        <v>654</v>
      </c>
      <c r="Q3983" t="s">
        <v>2943</v>
      </c>
      <c r="R3983" t="s">
        <v>2944</v>
      </c>
      <c r="S3983" t="s">
        <v>2973</v>
      </c>
      <c r="T3983" t="s">
        <v>2448</v>
      </c>
      <c r="U3983">
        <v>328400</v>
      </c>
      <c r="V3983" t="s">
        <v>3124</v>
      </c>
      <c r="W3983" t="s">
        <v>2993</v>
      </c>
      <c r="X3983" t="s">
        <v>21716</v>
      </c>
      <c r="Y3983" t="s">
        <v>21717</v>
      </c>
      <c r="Z3983" t="s">
        <v>3124</v>
      </c>
      <c r="AA3983" t="s">
        <v>15995</v>
      </c>
      <c r="AE3983">
        <v>-43.519618180000002</v>
      </c>
      <c r="AF3983">
        <v>172.69059059</v>
      </c>
      <c r="AG3983">
        <v>20</v>
      </c>
      <c r="AH3983">
        <v>4</v>
      </c>
      <c r="AI3983">
        <v>0</v>
      </c>
      <c r="AJ3983">
        <v>3</v>
      </c>
      <c r="AK3983">
        <v>5</v>
      </c>
      <c r="AL3983">
        <v>7</v>
      </c>
      <c r="AM3983">
        <v>4</v>
      </c>
      <c r="AN3983">
        <v>1</v>
      </c>
      <c r="AO3983">
        <v>20</v>
      </c>
      <c r="AP3983">
        <v>15</v>
      </c>
      <c r="AQ3983">
        <v>5</v>
      </c>
      <c r="AR3983">
        <v>1</v>
      </c>
      <c r="AS3983">
        <v>3</v>
      </c>
      <c r="AT3983">
        <v>1</v>
      </c>
    </row>
    <row r="3984" spans="1:46">
      <c r="A3984">
        <v>65048</v>
      </c>
      <c r="B3984" t="s">
        <v>21718</v>
      </c>
      <c r="C3984" t="s">
        <v>21719</v>
      </c>
      <c r="D3984" t="s">
        <v>21720</v>
      </c>
      <c r="E3984" t="s">
        <v>21721</v>
      </c>
      <c r="F3984" t="s">
        <v>18456</v>
      </c>
      <c r="G3984" t="s">
        <v>2941</v>
      </c>
      <c r="H3984" t="s">
        <v>3942</v>
      </c>
      <c r="J3984" t="s">
        <v>3962</v>
      </c>
      <c r="K3984" t="s">
        <v>519</v>
      </c>
      <c r="M3984" t="s">
        <v>2287</v>
      </c>
      <c r="N3984" t="s">
        <v>571</v>
      </c>
      <c r="O3984" t="s">
        <v>2942</v>
      </c>
      <c r="P3984" t="s">
        <v>654</v>
      </c>
      <c r="Q3984" t="s">
        <v>2943</v>
      </c>
      <c r="R3984" t="s">
        <v>2944</v>
      </c>
      <c r="S3984" t="s">
        <v>3019</v>
      </c>
      <c r="T3984" t="s">
        <v>2448</v>
      </c>
      <c r="U3984">
        <v>325000</v>
      </c>
      <c r="V3984" t="s">
        <v>18456</v>
      </c>
      <c r="W3984" t="s">
        <v>3088</v>
      </c>
      <c r="X3984" t="s">
        <v>21722</v>
      </c>
      <c r="Y3984" t="s">
        <v>21721</v>
      </c>
      <c r="Z3984" t="s">
        <v>3156</v>
      </c>
      <c r="AA3984" t="s">
        <v>12954</v>
      </c>
      <c r="AB3984" t="s">
        <v>21723</v>
      </c>
      <c r="AE3984">
        <v>-43.556228939999997</v>
      </c>
      <c r="AF3984">
        <v>172.59007978</v>
      </c>
      <c r="AG3984">
        <v>30</v>
      </c>
      <c r="AH3984">
        <v>7</v>
      </c>
      <c r="AI3984">
        <v>0</v>
      </c>
      <c r="AJ3984">
        <v>6</v>
      </c>
      <c r="AK3984">
        <v>6</v>
      </c>
      <c r="AL3984">
        <v>13</v>
      </c>
      <c r="AM3984">
        <v>13</v>
      </c>
      <c r="AN3984">
        <v>2</v>
      </c>
      <c r="AO3984">
        <v>40</v>
      </c>
      <c r="AP3984">
        <v>21</v>
      </c>
      <c r="AQ3984">
        <v>2</v>
      </c>
      <c r="AR3984">
        <v>0</v>
      </c>
      <c r="AS3984">
        <v>19</v>
      </c>
      <c r="AT3984">
        <v>6</v>
      </c>
    </row>
    <row r="3985" spans="1:46">
      <c r="A3985">
        <v>65056</v>
      </c>
      <c r="B3985" t="s">
        <v>21724</v>
      </c>
      <c r="C3985" t="s">
        <v>21725</v>
      </c>
      <c r="E3985" t="s">
        <v>21726</v>
      </c>
      <c r="G3985" t="s">
        <v>3248</v>
      </c>
      <c r="H3985" t="s">
        <v>3942</v>
      </c>
      <c r="J3985" t="s">
        <v>518</v>
      </c>
      <c r="K3985" t="s">
        <v>519</v>
      </c>
      <c r="M3985" t="s">
        <v>2287</v>
      </c>
      <c r="N3985" t="s">
        <v>571</v>
      </c>
      <c r="O3985" t="s">
        <v>3249</v>
      </c>
      <c r="P3985" t="s">
        <v>572</v>
      </c>
      <c r="Q3985" t="s">
        <v>2943</v>
      </c>
      <c r="R3985" t="s">
        <v>2944</v>
      </c>
      <c r="S3985" t="s">
        <v>3250</v>
      </c>
      <c r="T3985" t="s">
        <v>2448</v>
      </c>
      <c r="U3985">
        <v>338700</v>
      </c>
      <c r="V3985" t="s">
        <v>21727</v>
      </c>
      <c r="W3985" t="s">
        <v>3251</v>
      </c>
      <c r="X3985" t="s">
        <v>21728</v>
      </c>
      <c r="Y3985" t="s">
        <v>21729</v>
      </c>
      <c r="Z3985" t="s">
        <v>3248</v>
      </c>
      <c r="AA3985" t="s">
        <v>21730</v>
      </c>
      <c r="AB3985" t="s">
        <v>21731</v>
      </c>
      <c r="AC3985">
        <v>99053</v>
      </c>
      <c r="AD3985" t="s">
        <v>3256</v>
      </c>
      <c r="AE3985">
        <v>-43.916155709999998</v>
      </c>
      <c r="AF3985">
        <v>171.26269984000001</v>
      </c>
      <c r="AG3985">
        <v>20</v>
      </c>
      <c r="AH3985">
        <v>4</v>
      </c>
      <c r="AI3985">
        <v>0</v>
      </c>
      <c r="AJ3985">
        <v>0</v>
      </c>
      <c r="AK3985">
        <v>5</v>
      </c>
      <c r="AL3985">
        <v>10</v>
      </c>
      <c r="AM3985">
        <v>7</v>
      </c>
      <c r="AN3985">
        <v>1</v>
      </c>
      <c r="AO3985">
        <v>23</v>
      </c>
      <c r="AP3985">
        <v>22</v>
      </c>
      <c r="AQ3985">
        <v>0</v>
      </c>
      <c r="AR3985">
        <v>0</v>
      </c>
      <c r="AS3985">
        <v>1</v>
      </c>
      <c r="AT3985">
        <v>2</v>
      </c>
    </row>
    <row r="3986" spans="1:46">
      <c r="A3986">
        <v>65057</v>
      </c>
      <c r="B3986" t="s">
        <v>21732</v>
      </c>
      <c r="C3986" t="s">
        <v>21733</v>
      </c>
      <c r="D3986" t="s">
        <v>21734</v>
      </c>
      <c r="E3986" t="s">
        <v>21735</v>
      </c>
      <c r="G3986" t="s">
        <v>21736</v>
      </c>
      <c r="H3986" t="s">
        <v>3942</v>
      </c>
      <c r="J3986" t="s">
        <v>3962</v>
      </c>
      <c r="K3986" t="s">
        <v>519</v>
      </c>
      <c r="M3986" t="s">
        <v>2287</v>
      </c>
      <c r="N3986" t="s">
        <v>571</v>
      </c>
      <c r="O3986" t="s">
        <v>13482</v>
      </c>
      <c r="P3986" t="s">
        <v>540</v>
      </c>
      <c r="Q3986" t="s">
        <v>2943</v>
      </c>
      <c r="R3986" t="s">
        <v>2944</v>
      </c>
      <c r="S3986" t="s">
        <v>2825</v>
      </c>
      <c r="T3986" t="s">
        <v>2448</v>
      </c>
      <c r="U3986">
        <v>312500</v>
      </c>
      <c r="V3986" t="s">
        <v>21737</v>
      </c>
      <c r="W3986" t="s">
        <v>21738</v>
      </c>
      <c r="X3986" t="s">
        <v>15853</v>
      </c>
      <c r="Y3986" t="s">
        <v>9329</v>
      </c>
      <c r="AA3986" t="s">
        <v>21739</v>
      </c>
      <c r="AB3986" t="s">
        <v>15856</v>
      </c>
      <c r="AE3986">
        <v>-42.81205155</v>
      </c>
      <c r="AF3986">
        <v>173.2733404</v>
      </c>
      <c r="AG3986">
        <v>30</v>
      </c>
      <c r="AH3986">
        <v>8</v>
      </c>
      <c r="AI3986">
        <v>0</v>
      </c>
      <c r="AJ3986">
        <v>8</v>
      </c>
      <c r="AK3986">
        <v>9</v>
      </c>
      <c r="AL3986">
        <v>4</v>
      </c>
      <c r="AM3986">
        <v>3</v>
      </c>
      <c r="AN3986">
        <v>0</v>
      </c>
      <c r="AO3986">
        <v>24</v>
      </c>
      <c r="AP3986">
        <v>24</v>
      </c>
      <c r="AQ3986">
        <v>6</v>
      </c>
      <c r="AR3986">
        <v>0</v>
      </c>
      <c r="AS3986">
        <v>0</v>
      </c>
      <c r="AT3986">
        <v>1</v>
      </c>
    </row>
    <row r="3987" spans="1:46">
      <c r="A3987">
        <v>65058</v>
      </c>
      <c r="B3987" t="s">
        <v>21740</v>
      </c>
      <c r="C3987" t="s">
        <v>21741</v>
      </c>
      <c r="D3987" t="s">
        <v>21742</v>
      </c>
      <c r="E3987" t="s">
        <v>21743</v>
      </c>
      <c r="G3987" t="s">
        <v>3187</v>
      </c>
      <c r="H3987" t="s">
        <v>3942</v>
      </c>
      <c r="J3987" t="s">
        <v>518</v>
      </c>
      <c r="K3987" t="s">
        <v>519</v>
      </c>
      <c r="M3987" t="s">
        <v>2287</v>
      </c>
      <c r="N3987" t="s">
        <v>727</v>
      </c>
      <c r="O3987" t="s">
        <v>2964</v>
      </c>
      <c r="P3987" t="s">
        <v>1262</v>
      </c>
      <c r="Q3987" t="s">
        <v>2943</v>
      </c>
      <c r="R3987" t="s">
        <v>2944</v>
      </c>
      <c r="S3987" t="s">
        <v>2965</v>
      </c>
      <c r="T3987" t="s">
        <v>2448</v>
      </c>
      <c r="U3987">
        <v>316200</v>
      </c>
      <c r="V3987" t="s">
        <v>3188</v>
      </c>
      <c r="W3987" t="s">
        <v>3189</v>
      </c>
      <c r="X3987" t="s">
        <v>21744</v>
      </c>
      <c r="Y3987" t="s">
        <v>21745</v>
      </c>
      <c r="Z3987" t="s">
        <v>2963</v>
      </c>
      <c r="AA3987" t="s">
        <v>21746</v>
      </c>
      <c r="AB3987" t="s">
        <v>21747</v>
      </c>
      <c r="AC3987">
        <v>99061</v>
      </c>
      <c r="AD3987" t="s">
        <v>3190</v>
      </c>
      <c r="AE3987">
        <v>-43.387957929999999</v>
      </c>
      <c r="AF3987">
        <v>172.64445326000001</v>
      </c>
      <c r="AG3987">
        <v>29</v>
      </c>
      <c r="AH3987">
        <v>25</v>
      </c>
      <c r="AI3987">
        <v>2</v>
      </c>
      <c r="AJ3987">
        <v>9</v>
      </c>
      <c r="AK3987">
        <v>6</v>
      </c>
      <c r="AL3987">
        <v>7</v>
      </c>
      <c r="AM3987">
        <v>3</v>
      </c>
      <c r="AN3987">
        <v>1</v>
      </c>
      <c r="AO3987">
        <v>28</v>
      </c>
      <c r="AP3987">
        <v>17</v>
      </c>
      <c r="AQ3987">
        <v>18</v>
      </c>
      <c r="AR3987">
        <v>5</v>
      </c>
      <c r="AS3987">
        <v>0</v>
      </c>
      <c r="AT3987">
        <v>1</v>
      </c>
    </row>
    <row r="3988" spans="1:46">
      <c r="A3988">
        <v>65059</v>
      </c>
      <c r="B3988" t="s">
        <v>21748</v>
      </c>
      <c r="C3988" t="s">
        <v>21749</v>
      </c>
      <c r="D3988" t="s">
        <v>21750</v>
      </c>
      <c r="E3988" t="s">
        <v>21751</v>
      </c>
      <c r="F3988" t="s">
        <v>3130</v>
      </c>
      <c r="G3988" t="s">
        <v>2941</v>
      </c>
      <c r="H3988" t="s">
        <v>3942</v>
      </c>
      <c r="J3988" t="s">
        <v>3962</v>
      </c>
      <c r="K3988" t="s">
        <v>519</v>
      </c>
      <c r="M3988" t="s">
        <v>2287</v>
      </c>
      <c r="N3988" t="s">
        <v>571</v>
      </c>
      <c r="O3988" t="s">
        <v>2942</v>
      </c>
      <c r="P3988" t="s">
        <v>654</v>
      </c>
      <c r="Q3988" t="s">
        <v>2943</v>
      </c>
      <c r="R3988" t="s">
        <v>2944</v>
      </c>
      <c r="S3988" t="s">
        <v>2973</v>
      </c>
      <c r="T3988" t="s">
        <v>2448</v>
      </c>
      <c r="U3988">
        <v>324001</v>
      </c>
      <c r="V3988" t="s">
        <v>21752</v>
      </c>
      <c r="W3988" t="s">
        <v>3126</v>
      </c>
      <c r="X3988" t="s">
        <v>21753</v>
      </c>
      <c r="Y3988" t="s">
        <v>4107</v>
      </c>
      <c r="AA3988" t="s">
        <v>3982</v>
      </c>
      <c r="AB3988" t="s">
        <v>21754</v>
      </c>
      <c r="AC3988">
        <v>99175</v>
      </c>
      <c r="AD3988" t="s">
        <v>3071</v>
      </c>
      <c r="AE3988">
        <v>-43.491053530000002</v>
      </c>
      <c r="AF3988">
        <v>172.68369748000001</v>
      </c>
      <c r="AG3988">
        <v>65</v>
      </c>
      <c r="AH3988">
        <v>24</v>
      </c>
      <c r="AI3988">
        <v>3</v>
      </c>
      <c r="AJ3988">
        <v>8</v>
      </c>
      <c r="AK3988">
        <v>21</v>
      </c>
      <c r="AL3988">
        <v>21</v>
      </c>
      <c r="AM3988">
        <v>22</v>
      </c>
      <c r="AN3988">
        <v>1</v>
      </c>
      <c r="AO3988">
        <v>76</v>
      </c>
      <c r="AP3988">
        <v>59</v>
      </c>
      <c r="AQ3988">
        <v>27</v>
      </c>
      <c r="AR3988">
        <v>6</v>
      </c>
      <c r="AS3988">
        <v>6</v>
      </c>
      <c r="AT3988">
        <v>1</v>
      </c>
    </row>
    <row r="3989" spans="1:46">
      <c r="A3989">
        <v>65060</v>
      </c>
      <c r="B3989" t="s">
        <v>21755</v>
      </c>
      <c r="C3989" t="s">
        <v>21756</v>
      </c>
      <c r="D3989" t="s">
        <v>21757</v>
      </c>
      <c r="E3989" t="s">
        <v>21758</v>
      </c>
      <c r="G3989" t="s">
        <v>21669</v>
      </c>
      <c r="H3989" t="s">
        <v>3942</v>
      </c>
      <c r="J3989" t="s">
        <v>3962</v>
      </c>
      <c r="K3989" t="s">
        <v>519</v>
      </c>
      <c r="M3989" t="s">
        <v>2287</v>
      </c>
      <c r="N3989" t="s">
        <v>571</v>
      </c>
      <c r="O3989" t="s">
        <v>3208</v>
      </c>
      <c r="P3989" t="s">
        <v>523</v>
      </c>
      <c r="Q3989" t="s">
        <v>2943</v>
      </c>
      <c r="R3989" t="s">
        <v>2944</v>
      </c>
      <c r="S3989" t="s">
        <v>3179</v>
      </c>
      <c r="T3989" t="s">
        <v>2448</v>
      </c>
      <c r="U3989">
        <v>334001</v>
      </c>
      <c r="V3989" t="s">
        <v>21669</v>
      </c>
      <c r="W3989" t="s">
        <v>12606</v>
      </c>
      <c r="X3989" t="s">
        <v>11071</v>
      </c>
      <c r="Y3989" t="s">
        <v>21670</v>
      </c>
      <c r="Z3989" t="s">
        <v>21669</v>
      </c>
      <c r="AA3989" t="s">
        <v>21671</v>
      </c>
      <c r="AC3989">
        <v>99008</v>
      </c>
      <c r="AD3989" t="s">
        <v>17593</v>
      </c>
      <c r="AE3989">
        <v>-43.489934519999998</v>
      </c>
      <c r="AF3989">
        <v>172.11559528000001</v>
      </c>
      <c r="AG3989">
        <v>50</v>
      </c>
      <c r="AH3989">
        <v>12</v>
      </c>
      <c r="AI3989">
        <v>1</v>
      </c>
      <c r="AJ3989">
        <v>13</v>
      </c>
      <c r="AK3989">
        <v>22</v>
      </c>
      <c r="AL3989">
        <v>21</v>
      </c>
      <c r="AM3989">
        <v>12</v>
      </c>
      <c r="AN3989">
        <v>1</v>
      </c>
      <c r="AO3989">
        <v>70</v>
      </c>
      <c r="AP3989">
        <v>62</v>
      </c>
      <c r="AQ3989">
        <v>6</v>
      </c>
      <c r="AR3989">
        <v>0</v>
      </c>
      <c r="AS3989">
        <v>7</v>
      </c>
      <c r="AT3989">
        <v>2</v>
      </c>
    </row>
    <row r="3990" spans="1:46">
      <c r="A3990">
        <v>65063</v>
      </c>
      <c r="B3990" t="s">
        <v>21759</v>
      </c>
      <c r="C3990" t="s">
        <v>11872</v>
      </c>
      <c r="E3990" t="s">
        <v>11869</v>
      </c>
      <c r="G3990" t="s">
        <v>11870</v>
      </c>
      <c r="H3990" t="s">
        <v>3942</v>
      </c>
      <c r="J3990" t="s">
        <v>3962</v>
      </c>
      <c r="K3990" t="s">
        <v>519</v>
      </c>
      <c r="M3990" t="s">
        <v>2287</v>
      </c>
      <c r="N3990" t="s">
        <v>571</v>
      </c>
      <c r="O3990" t="s">
        <v>3208</v>
      </c>
      <c r="P3990" t="s">
        <v>523</v>
      </c>
      <c r="Q3990" t="s">
        <v>2943</v>
      </c>
      <c r="R3990" t="s">
        <v>2944</v>
      </c>
      <c r="S3990" t="s">
        <v>3179</v>
      </c>
      <c r="T3990" t="s">
        <v>2448</v>
      </c>
      <c r="U3990">
        <v>335701</v>
      </c>
      <c r="V3990" t="s">
        <v>11867</v>
      </c>
      <c r="W3990" t="s">
        <v>3664</v>
      </c>
      <c r="X3990" t="s">
        <v>11868</v>
      </c>
      <c r="Y3990" t="s">
        <v>11869</v>
      </c>
      <c r="Z3990" t="s">
        <v>11870</v>
      </c>
      <c r="AA3990" t="s">
        <v>11871</v>
      </c>
      <c r="AB3990" t="s">
        <v>11872</v>
      </c>
      <c r="AC3990">
        <v>99113</v>
      </c>
      <c r="AD3990" t="s">
        <v>3665</v>
      </c>
      <c r="AE3990">
        <v>-43.581097649999997</v>
      </c>
      <c r="AF3990">
        <v>172.51178929</v>
      </c>
      <c r="AG3990">
        <v>45</v>
      </c>
      <c r="AH3990">
        <v>0</v>
      </c>
      <c r="AI3990">
        <v>0</v>
      </c>
      <c r="AJ3990">
        <v>0</v>
      </c>
      <c r="AK3990">
        <v>9</v>
      </c>
      <c r="AL3990">
        <v>30</v>
      </c>
      <c r="AM3990">
        <v>24</v>
      </c>
      <c r="AN3990">
        <v>1</v>
      </c>
      <c r="AO3990">
        <v>64</v>
      </c>
      <c r="AP3990">
        <v>56</v>
      </c>
      <c r="AQ3990">
        <v>8</v>
      </c>
      <c r="AR3990">
        <v>0</v>
      </c>
      <c r="AS3990">
        <v>12</v>
      </c>
      <c r="AT3990">
        <v>2</v>
      </c>
    </row>
    <row r="3991" spans="1:46">
      <c r="A3991">
        <v>65064</v>
      </c>
      <c r="B3991" t="s">
        <v>21760</v>
      </c>
      <c r="C3991" t="s">
        <v>21761</v>
      </c>
      <c r="E3991" t="s">
        <v>21762</v>
      </c>
      <c r="F3991" t="s">
        <v>3173</v>
      </c>
      <c r="G3991" t="s">
        <v>2941</v>
      </c>
      <c r="H3991" t="s">
        <v>3942</v>
      </c>
      <c r="J3991" t="s">
        <v>3962</v>
      </c>
      <c r="K3991" t="s">
        <v>519</v>
      </c>
      <c r="M3991" t="s">
        <v>2287</v>
      </c>
      <c r="N3991" t="s">
        <v>571</v>
      </c>
      <c r="O3991" t="s">
        <v>2942</v>
      </c>
      <c r="P3991" t="s">
        <v>654</v>
      </c>
      <c r="Q3991" t="s">
        <v>2943</v>
      </c>
      <c r="R3991" t="s">
        <v>2944</v>
      </c>
      <c r="S3991" t="s">
        <v>2957</v>
      </c>
      <c r="T3991" t="s">
        <v>2448</v>
      </c>
      <c r="U3991">
        <v>322100</v>
      </c>
      <c r="V3991" t="s">
        <v>3152</v>
      </c>
      <c r="W3991" t="s">
        <v>3098</v>
      </c>
      <c r="X3991" t="s">
        <v>21763</v>
      </c>
      <c r="Y3991" t="s">
        <v>21764</v>
      </c>
      <c r="Z3991" t="s">
        <v>11700</v>
      </c>
      <c r="AA3991" t="s">
        <v>11701</v>
      </c>
      <c r="AB3991" t="s">
        <v>21765</v>
      </c>
      <c r="AE3991">
        <v>-43.498438370000002</v>
      </c>
      <c r="AF3991">
        <v>172.62945533000001</v>
      </c>
      <c r="AG3991">
        <v>37</v>
      </c>
      <c r="AH3991">
        <v>12</v>
      </c>
      <c r="AI3991">
        <v>4</v>
      </c>
      <c r="AJ3991">
        <v>9</v>
      </c>
      <c r="AK3991">
        <v>6</v>
      </c>
      <c r="AL3991">
        <v>7</v>
      </c>
      <c r="AM3991">
        <v>4</v>
      </c>
      <c r="AN3991">
        <v>0</v>
      </c>
      <c r="AO3991">
        <v>30</v>
      </c>
      <c r="AP3991">
        <v>23</v>
      </c>
      <c r="AQ3991">
        <v>1</v>
      </c>
      <c r="AR3991">
        <v>3</v>
      </c>
      <c r="AS3991">
        <v>6</v>
      </c>
      <c r="AT3991">
        <v>2</v>
      </c>
    </row>
    <row r="3992" spans="1:46">
      <c r="A3992">
        <v>65068</v>
      </c>
      <c r="B3992" t="s">
        <v>21766</v>
      </c>
      <c r="C3992" t="s">
        <v>21767</v>
      </c>
      <c r="D3992" t="s">
        <v>21768</v>
      </c>
      <c r="E3992" t="s">
        <v>21769</v>
      </c>
      <c r="F3992" t="s">
        <v>3115</v>
      </c>
      <c r="G3992" t="s">
        <v>2941</v>
      </c>
      <c r="H3992" t="s">
        <v>3942</v>
      </c>
      <c r="J3992" t="s">
        <v>518</v>
      </c>
      <c r="K3992" t="s">
        <v>519</v>
      </c>
      <c r="M3992" t="s">
        <v>2287</v>
      </c>
      <c r="N3992" t="s">
        <v>571</v>
      </c>
      <c r="O3992" t="s">
        <v>2942</v>
      </c>
      <c r="P3992" t="s">
        <v>654</v>
      </c>
      <c r="Q3992" t="s">
        <v>2943</v>
      </c>
      <c r="R3992" t="s">
        <v>2944</v>
      </c>
      <c r="S3992" t="s">
        <v>2945</v>
      </c>
      <c r="T3992" t="s">
        <v>2448</v>
      </c>
      <c r="U3992">
        <v>321400</v>
      </c>
      <c r="V3992" t="s">
        <v>21770</v>
      </c>
      <c r="W3992" t="s">
        <v>2999</v>
      </c>
      <c r="X3992" t="s">
        <v>21771</v>
      </c>
      <c r="Y3992" t="s">
        <v>21769</v>
      </c>
      <c r="Z3992" t="s">
        <v>21770</v>
      </c>
      <c r="AA3992" t="s">
        <v>11701</v>
      </c>
      <c r="AB3992" t="s">
        <v>21772</v>
      </c>
      <c r="AE3992">
        <v>-43.507608619999999</v>
      </c>
      <c r="AF3992">
        <v>172.61314161000001</v>
      </c>
      <c r="AG3992">
        <v>42</v>
      </c>
      <c r="AH3992">
        <v>0</v>
      </c>
      <c r="AI3992">
        <v>0</v>
      </c>
      <c r="AJ3992">
        <v>0</v>
      </c>
      <c r="AK3992">
        <v>5</v>
      </c>
      <c r="AL3992">
        <v>15</v>
      </c>
      <c r="AM3992">
        <v>21</v>
      </c>
      <c r="AN3992">
        <v>0</v>
      </c>
      <c r="AO3992">
        <v>41</v>
      </c>
      <c r="AP3992">
        <v>30</v>
      </c>
      <c r="AQ3992">
        <v>2</v>
      </c>
      <c r="AR3992">
        <v>0</v>
      </c>
      <c r="AS3992">
        <v>11</v>
      </c>
      <c r="AT3992">
        <v>6</v>
      </c>
    </row>
    <row r="3993" spans="1:46">
      <c r="A3993">
        <v>65069</v>
      </c>
      <c r="B3993" t="s">
        <v>21773</v>
      </c>
      <c r="C3993" t="s">
        <v>21774</v>
      </c>
      <c r="D3993" t="s">
        <v>21775</v>
      </c>
      <c r="E3993" t="s">
        <v>21776</v>
      </c>
      <c r="F3993" t="s">
        <v>2877</v>
      </c>
      <c r="G3993" t="s">
        <v>2853</v>
      </c>
      <c r="H3993" t="s">
        <v>3942</v>
      </c>
      <c r="J3993" t="s">
        <v>3962</v>
      </c>
      <c r="K3993" t="s">
        <v>519</v>
      </c>
      <c r="M3993" t="s">
        <v>2287</v>
      </c>
      <c r="N3993" t="s">
        <v>571</v>
      </c>
      <c r="O3993" t="s">
        <v>2854</v>
      </c>
      <c r="P3993" t="s">
        <v>584</v>
      </c>
      <c r="Q3993" t="s">
        <v>2855</v>
      </c>
      <c r="R3993" t="s">
        <v>2824</v>
      </c>
      <c r="S3993" t="s">
        <v>2853</v>
      </c>
      <c r="T3993" t="s">
        <v>2448</v>
      </c>
      <c r="U3993">
        <v>304800</v>
      </c>
      <c r="V3993" t="s">
        <v>2877</v>
      </c>
      <c r="W3993" t="s">
        <v>2033</v>
      </c>
      <c r="X3993" t="s">
        <v>21777</v>
      </c>
      <c r="Y3993" t="s">
        <v>21778</v>
      </c>
      <c r="AA3993" t="s">
        <v>16315</v>
      </c>
      <c r="AB3993" t="s">
        <v>21779</v>
      </c>
      <c r="AC3993">
        <v>99005</v>
      </c>
      <c r="AD3993" t="s">
        <v>2878</v>
      </c>
      <c r="AE3993">
        <v>-41.270364170000001</v>
      </c>
      <c r="AF3993">
        <v>173.29149511</v>
      </c>
      <c r="AG3993">
        <v>25</v>
      </c>
      <c r="AH3993">
        <v>5</v>
      </c>
      <c r="AI3993">
        <v>0</v>
      </c>
      <c r="AJ3993">
        <v>0</v>
      </c>
      <c r="AK3993">
        <v>4</v>
      </c>
      <c r="AL3993">
        <v>14</v>
      </c>
      <c r="AM3993">
        <v>7</v>
      </c>
      <c r="AN3993">
        <v>2</v>
      </c>
      <c r="AO3993">
        <v>27</v>
      </c>
      <c r="AP3993">
        <v>20</v>
      </c>
      <c r="AQ3993">
        <v>6</v>
      </c>
      <c r="AR3993">
        <v>0</v>
      </c>
      <c r="AS3993">
        <v>3</v>
      </c>
      <c r="AT3993">
        <v>0</v>
      </c>
    </row>
    <row r="3994" spans="1:46">
      <c r="A3994">
        <v>65070</v>
      </c>
      <c r="B3994" t="s">
        <v>21780</v>
      </c>
      <c r="C3994" t="s">
        <v>21781</v>
      </c>
      <c r="D3994" t="s">
        <v>21782</v>
      </c>
      <c r="E3994" t="s">
        <v>21783</v>
      </c>
      <c r="F3994" t="s">
        <v>3033</v>
      </c>
      <c r="G3994" t="s">
        <v>2941</v>
      </c>
      <c r="H3994" t="s">
        <v>3942</v>
      </c>
      <c r="J3994" t="s">
        <v>518</v>
      </c>
      <c r="K3994" t="s">
        <v>519</v>
      </c>
      <c r="M3994" t="s">
        <v>2287</v>
      </c>
      <c r="N3994" t="s">
        <v>571</v>
      </c>
      <c r="O3994" t="s">
        <v>2942</v>
      </c>
      <c r="P3994" t="s">
        <v>654</v>
      </c>
      <c r="Q3994" t="s">
        <v>2943</v>
      </c>
      <c r="R3994" t="s">
        <v>2944</v>
      </c>
      <c r="S3994" t="s">
        <v>3019</v>
      </c>
      <c r="T3994" t="s">
        <v>2448</v>
      </c>
      <c r="U3994">
        <v>321101</v>
      </c>
      <c r="V3994" t="s">
        <v>3034</v>
      </c>
      <c r="W3994" t="s">
        <v>3020</v>
      </c>
      <c r="X3994" t="s">
        <v>21784</v>
      </c>
      <c r="Y3994" t="s">
        <v>21783</v>
      </c>
      <c r="Z3994" t="s">
        <v>3033</v>
      </c>
      <c r="AA3994" t="s">
        <v>11419</v>
      </c>
      <c r="AB3994" t="s">
        <v>21781</v>
      </c>
      <c r="AC3994">
        <v>99045</v>
      </c>
      <c r="AD3994" t="s">
        <v>3021</v>
      </c>
      <c r="AE3994">
        <v>-43.547211679999997</v>
      </c>
      <c r="AF3994">
        <v>172.54148035</v>
      </c>
      <c r="AG3994">
        <v>38</v>
      </c>
      <c r="AH3994">
        <v>8</v>
      </c>
      <c r="AI3994">
        <v>0</v>
      </c>
      <c r="AJ3994">
        <v>5</v>
      </c>
      <c r="AK3994">
        <v>4</v>
      </c>
      <c r="AL3994">
        <v>9</v>
      </c>
      <c r="AM3994">
        <v>12</v>
      </c>
      <c r="AN3994">
        <v>1</v>
      </c>
      <c r="AO3994">
        <v>31</v>
      </c>
      <c r="AP3994">
        <v>1</v>
      </c>
      <c r="AQ3994">
        <v>1</v>
      </c>
      <c r="AR3994">
        <v>0</v>
      </c>
      <c r="AS3994">
        <v>11</v>
      </c>
      <c r="AT3994">
        <v>21</v>
      </c>
    </row>
    <row r="3995" spans="1:46">
      <c r="A3995">
        <v>65071</v>
      </c>
      <c r="B3995" t="s">
        <v>21785</v>
      </c>
      <c r="C3995" t="s">
        <v>21786</v>
      </c>
      <c r="D3995" t="s">
        <v>12320</v>
      </c>
      <c r="E3995" t="s">
        <v>12321</v>
      </c>
      <c r="F3995" t="s">
        <v>12322</v>
      </c>
      <c r="G3995" t="s">
        <v>2941</v>
      </c>
      <c r="H3995" t="s">
        <v>4716</v>
      </c>
      <c r="J3995" t="s">
        <v>3962</v>
      </c>
      <c r="K3995" t="s">
        <v>519</v>
      </c>
      <c r="M3995" t="s">
        <v>2287</v>
      </c>
      <c r="N3995" t="s">
        <v>571</v>
      </c>
      <c r="O3995" t="s">
        <v>2942</v>
      </c>
      <c r="P3995" t="s">
        <v>654</v>
      </c>
      <c r="Q3995" t="s">
        <v>2943</v>
      </c>
      <c r="R3995" t="s">
        <v>2944</v>
      </c>
      <c r="S3995" t="s">
        <v>2973</v>
      </c>
      <c r="T3995" t="s">
        <v>2448</v>
      </c>
      <c r="U3995">
        <v>326000</v>
      </c>
      <c r="V3995" t="s">
        <v>12322</v>
      </c>
      <c r="W3995" t="s">
        <v>2974</v>
      </c>
      <c r="X3995" t="s">
        <v>12323</v>
      </c>
      <c r="Y3995" t="s">
        <v>12324</v>
      </c>
      <c r="Z3995" t="s">
        <v>2972</v>
      </c>
      <c r="AA3995" t="s">
        <v>12325</v>
      </c>
      <c r="AB3995" t="s">
        <v>12326</v>
      </c>
      <c r="AE3995">
        <v>-43.483212909999999</v>
      </c>
      <c r="AF3995">
        <v>172.71902532999999</v>
      </c>
      <c r="AG3995">
        <v>80</v>
      </c>
      <c r="AH3995">
        <v>80</v>
      </c>
      <c r="AI3995">
        <v>6</v>
      </c>
      <c r="AJ3995">
        <v>7</v>
      </c>
      <c r="AK3995">
        <v>11</v>
      </c>
      <c r="AL3995">
        <v>4</v>
      </c>
      <c r="AM3995">
        <v>4</v>
      </c>
      <c r="AN3995">
        <v>0</v>
      </c>
      <c r="AO3995">
        <v>32</v>
      </c>
      <c r="AP3995">
        <v>5</v>
      </c>
      <c r="AQ3995">
        <v>1</v>
      </c>
      <c r="AR3995">
        <v>3</v>
      </c>
      <c r="AS3995">
        <v>24</v>
      </c>
      <c r="AT3995">
        <v>2</v>
      </c>
    </row>
    <row r="3996" spans="1:46">
      <c r="A3996">
        <v>65072</v>
      </c>
      <c r="B3996" t="s">
        <v>21787</v>
      </c>
      <c r="C3996" t="s">
        <v>21788</v>
      </c>
      <c r="D3996" t="s">
        <v>21789</v>
      </c>
      <c r="E3996" t="s">
        <v>21790</v>
      </c>
      <c r="G3996" t="s">
        <v>3178</v>
      </c>
      <c r="H3996" t="s">
        <v>3942</v>
      </c>
      <c r="J3996" t="s">
        <v>3962</v>
      </c>
      <c r="K3996" t="s">
        <v>519</v>
      </c>
      <c r="M3996" t="s">
        <v>2287</v>
      </c>
      <c r="N3996" t="s">
        <v>571</v>
      </c>
      <c r="O3996" t="s">
        <v>2942</v>
      </c>
      <c r="P3996" t="s">
        <v>654</v>
      </c>
      <c r="Q3996" t="s">
        <v>2943</v>
      </c>
      <c r="R3996" t="s">
        <v>2944</v>
      </c>
      <c r="S3996" t="s">
        <v>3179</v>
      </c>
      <c r="T3996" t="s">
        <v>2448</v>
      </c>
      <c r="U3996">
        <v>318100</v>
      </c>
      <c r="V3996" t="s">
        <v>3178</v>
      </c>
      <c r="W3996" t="s">
        <v>3020</v>
      </c>
      <c r="X3996" t="s">
        <v>21791</v>
      </c>
      <c r="Y3996" t="s">
        <v>21792</v>
      </c>
      <c r="Z3996" t="s">
        <v>2978</v>
      </c>
      <c r="AA3996" t="s">
        <v>10814</v>
      </c>
      <c r="AB3996" t="s">
        <v>21793</v>
      </c>
      <c r="AE3996">
        <v>-43.550832200000002</v>
      </c>
      <c r="AF3996">
        <v>172.47126929999999</v>
      </c>
      <c r="AG3996">
        <v>50</v>
      </c>
      <c r="AH3996">
        <v>12</v>
      </c>
      <c r="AI3996">
        <v>0</v>
      </c>
      <c r="AJ3996">
        <v>9</v>
      </c>
      <c r="AK3996">
        <v>12</v>
      </c>
      <c r="AL3996">
        <v>15</v>
      </c>
      <c r="AM3996">
        <v>13</v>
      </c>
      <c r="AN3996">
        <v>1</v>
      </c>
      <c r="AO3996">
        <v>50</v>
      </c>
      <c r="AP3996">
        <v>47</v>
      </c>
      <c r="AQ3996">
        <v>10</v>
      </c>
      <c r="AR3996">
        <v>2</v>
      </c>
      <c r="AS3996">
        <v>2</v>
      </c>
      <c r="AT3996">
        <v>1</v>
      </c>
    </row>
    <row r="3997" spans="1:46">
      <c r="A3997">
        <v>65073</v>
      </c>
      <c r="B3997" t="s">
        <v>21794</v>
      </c>
      <c r="C3997" t="s">
        <v>21795</v>
      </c>
      <c r="D3997" t="s">
        <v>21796</v>
      </c>
      <c r="E3997" t="s">
        <v>21797</v>
      </c>
      <c r="G3997" t="s">
        <v>10911</v>
      </c>
      <c r="H3997" t="s">
        <v>3942</v>
      </c>
      <c r="J3997" t="s">
        <v>3962</v>
      </c>
      <c r="K3997" t="s">
        <v>519</v>
      </c>
      <c r="M3997" t="s">
        <v>2287</v>
      </c>
      <c r="N3997" t="s">
        <v>571</v>
      </c>
      <c r="O3997" t="s">
        <v>3208</v>
      </c>
      <c r="P3997" t="s">
        <v>1262</v>
      </c>
      <c r="Q3997" t="s">
        <v>2943</v>
      </c>
      <c r="R3997" t="s">
        <v>2944</v>
      </c>
      <c r="S3997" t="s">
        <v>3179</v>
      </c>
      <c r="T3997" t="s">
        <v>2448</v>
      </c>
      <c r="U3997">
        <v>334901</v>
      </c>
      <c r="V3997" t="s">
        <v>11591</v>
      </c>
      <c r="W3997" t="s">
        <v>10914</v>
      </c>
      <c r="X3997" t="s">
        <v>21798</v>
      </c>
      <c r="Y3997" t="s">
        <v>21799</v>
      </c>
      <c r="Z3997" t="s">
        <v>2957</v>
      </c>
      <c r="AA3997" t="s">
        <v>21800</v>
      </c>
      <c r="AC3997">
        <v>99206</v>
      </c>
      <c r="AD3997" t="s">
        <v>3211</v>
      </c>
      <c r="AE3997">
        <v>-43.594822460000003</v>
      </c>
      <c r="AF3997">
        <v>172.37381139999999</v>
      </c>
      <c r="AG3997">
        <v>53</v>
      </c>
      <c r="AH3997">
        <v>10</v>
      </c>
      <c r="AI3997">
        <v>1</v>
      </c>
      <c r="AJ3997">
        <v>8</v>
      </c>
      <c r="AK3997">
        <v>9</v>
      </c>
      <c r="AL3997">
        <v>19</v>
      </c>
      <c r="AM3997">
        <v>21</v>
      </c>
      <c r="AN3997">
        <v>1</v>
      </c>
      <c r="AO3997">
        <v>59</v>
      </c>
      <c r="AP3997">
        <v>43</v>
      </c>
      <c r="AQ3997">
        <v>17</v>
      </c>
      <c r="AR3997">
        <v>9</v>
      </c>
      <c r="AS3997">
        <v>9</v>
      </c>
      <c r="AT3997">
        <v>3</v>
      </c>
    </row>
    <row r="3998" spans="1:46">
      <c r="A3998">
        <v>65077</v>
      </c>
      <c r="B3998" t="s">
        <v>21801</v>
      </c>
      <c r="C3998" t="s">
        <v>21802</v>
      </c>
      <c r="E3998" t="s">
        <v>21803</v>
      </c>
      <c r="F3998" t="s">
        <v>2956</v>
      </c>
      <c r="G3998" t="s">
        <v>2941</v>
      </c>
      <c r="H3998" t="s">
        <v>3942</v>
      </c>
      <c r="J3998" t="s">
        <v>518</v>
      </c>
      <c r="K3998" t="s">
        <v>519</v>
      </c>
      <c r="M3998" t="s">
        <v>2287</v>
      </c>
      <c r="N3998" t="s">
        <v>571</v>
      </c>
      <c r="O3998" t="s">
        <v>2942</v>
      </c>
      <c r="P3998" t="s">
        <v>654</v>
      </c>
      <c r="Q3998" t="s">
        <v>2943</v>
      </c>
      <c r="R3998" t="s">
        <v>2944</v>
      </c>
      <c r="S3998" t="s">
        <v>2957</v>
      </c>
      <c r="T3998" t="s">
        <v>2448</v>
      </c>
      <c r="U3998">
        <v>330600</v>
      </c>
      <c r="V3998" t="s">
        <v>2956</v>
      </c>
      <c r="W3998" t="s">
        <v>2958</v>
      </c>
      <c r="X3998" t="s">
        <v>10801</v>
      </c>
      <c r="Y3998" t="s">
        <v>3944</v>
      </c>
      <c r="Z3998" t="s">
        <v>3945</v>
      </c>
      <c r="AA3998" t="s">
        <v>3946</v>
      </c>
      <c r="AE3998">
        <v>-43.558961719999999</v>
      </c>
      <c r="AF3998">
        <v>172.63707292000001</v>
      </c>
      <c r="AG3998">
        <v>74</v>
      </c>
      <c r="AH3998">
        <v>24</v>
      </c>
      <c r="AI3998">
        <v>6</v>
      </c>
      <c r="AJ3998">
        <v>16</v>
      </c>
      <c r="AK3998">
        <v>15</v>
      </c>
      <c r="AL3998">
        <v>16</v>
      </c>
      <c r="AM3998">
        <v>20</v>
      </c>
      <c r="AN3998">
        <v>1</v>
      </c>
      <c r="AO3998">
        <v>74</v>
      </c>
      <c r="AP3998">
        <v>59</v>
      </c>
      <c r="AQ3998">
        <v>14</v>
      </c>
      <c r="AR3998">
        <v>7</v>
      </c>
      <c r="AS3998">
        <v>11</v>
      </c>
      <c r="AT3998">
        <v>5</v>
      </c>
    </row>
    <row r="3999" spans="1:46">
      <c r="A3999">
        <v>65078</v>
      </c>
      <c r="B3999" t="s">
        <v>21804</v>
      </c>
      <c r="C3999" t="s">
        <v>21805</v>
      </c>
      <c r="D3999" t="s">
        <v>21806</v>
      </c>
      <c r="E3999" t="s">
        <v>21807</v>
      </c>
      <c r="G3999" t="s">
        <v>2963</v>
      </c>
      <c r="H3999" t="s">
        <v>3942</v>
      </c>
      <c r="J3999" t="s">
        <v>3962</v>
      </c>
      <c r="K3999" t="s">
        <v>519</v>
      </c>
      <c r="M3999" t="s">
        <v>2287</v>
      </c>
      <c r="N3999" t="s">
        <v>4519</v>
      </c>
      <c r="O3999" t="s">
        <v>2964</v>
      </c>
      <c r="P3999" t="s">
        <v>1262</v>
      </c>
      <c r="Q3999" t="s">
        <v>2943</v>
      </c>
      <c r="R3999" t="s">
        <v>2944</v>
      </c>
      <c r="S3999" t="s">
        <v>2965</v>
      </c>
      <c r="T3999" t="s">
        <v>2448</v>
      </c>
      <c r="U3999">
        <v>314900</v>
      </c>
      <c r="V3999" t="s">
        <v>21808</v>
      </c>
      <c r="W3999" t="s">
        <v>2967</v>
      </c>
      <c r="X3999" t="s">
        <v>14275</v>
      </c>
      <c r="Y3999" t="s">
        <v>14276</v>
      </c>
      <c r="AA3999" t="s">
        <v>14277</v>
      </c>
      <c r="AB3999" t="s">
        <v>14278</v>
      </c>
      <c r="AC3999">
        <v>99077</v>
      </c>
      <c r="AD3999" t="s">
        <v>2968</v>
      </c>
      <c r="AE3999">
        <v>-43.302778340000003</v>
      </c>
      <c r="AF3999">
        <v>172.60157185</v>
      </c>
      <c r="AG3999">
        <v>60</v>
      </c>
      <c r="AH3999">
        <v>20</v>
      </c>
      <c r="AI3999">
        <v>2</v>
      </c>
      <c r="AJ3999">
        <v>12</v>
      </c>
      <c r="AK3999">
        <v>11</v>
      </c>
      <c r="AL3999">
        <v>20</v>
      </c>
      <c r="AM3999">
        <v>13</v>
      </c>
      <c r="AN3999">
        <v>3</v>
      </c>
      <c r="AO3999">
        <v>61</v>
      </c>
      <c r="AP3999">
        <v>58</v>
      </c>
      <c r="AQ3999">
        <v>12</v>
      </c>
      <c r="AR3999">
        <v>0</v>
      </c>
      <c r="AS3999">
        <v>1</v>
      </c>
      <c r="AT3999">
        <v>0</v>
      </c>
    </row>
    <row r="4000" spans="1:46">
      <c r="A4000">
        <v>65079</v>
      </c>
      <c r="B4000" t="s">
        <v>21809</v>
      </c>
      <c r="C4000" t="s">
        <v>21810</v>
      </c>
      <c r="D4000" t="s">
        <v>21811</v>
      </c>
      <c r="E4000" t="s">
        <v>21812</v>
      </c>
      <c r="G4000" t="s">
        <v>13793</v>
      </c>
      <c r="H4000" t="s">
        <v>3942</v>
      </c>
      <c r="J4000" t="s">
        <v>3962</v>
      </c>
      <c r="K4000" t="s">
        <v>519</v>
      </c>
      <c r="M4000" t="s">
        <v>2287</v>
      </c>
      <c r="N4000" t="s">
        <v>571</v>
      </c>
      <c r="O4000" t="s">
        <v>13482</v>
      </c>
      <c r="P4000" t="s">
        <v>523</v>
      </c>
      <c r="Q4000" t="s">
        <v>2943</v>
      </c>
      <c r="R4000" t="s">
        <v>2944</v>
      </c>
      <c r="S4000" t="s">
        <v>2825</v>
      </c>
      <c r="T4000" t="s">
        <v>2448</v>
      </c>
      <c r="U4000">
        <v>312300</v>
      </c>
      <c r="V4000" t="s">
        <v>13793</v>
      </c>
      <c r="W4000" t="s">
        <v>13794</v>
      </c>
      <c r="X4000" t="s">
        <v>21813</v>
      </c>
      <c r="Y4000" t="s">
        <v>21814</v>
      </c>
      <c r="AA4000" t="s">
        <v>21815</v>
      </c>
      <c r="AB4000" t="s">
        <v>21810</v>
      </c>
      <c r="AE4000">
        <v>-42.528333379999999</v>
      </c>
      <c r="AF4000">
        <v>172.82872420000001</v>
      </c>
      <c r="AG4000">
        <v>26</v>
      </c>
      <c r="AH4000">
        <v>8</v>
      </c>
      <c r="AI4000">
        <v>0</v>
      </c>
      <c r="AJ4000">
        <v>6</v>
      </c>
      <c r="AK4000">
        <v>6</v>
      </c>
      <c r="AL4000">
        <v>10</v>
      </c>
      <c r="AM4000">
        <v>10</v>
      </c>
      <c r="AN4000">
        <v>0</v>
      </c>
      <c r="AO4000">
        <v>32</v>
      </c>
      <c r="AP4000">
        <v>27</v>
      </c>
      <c r="AQ4000">
        <v>4</v>
      </c>
      <c r="AR4000">
        <v>0</v>
      </c>
      <c r="AS4000">
        <v>5</v>
      </c>
      <c r="AT4000">
        <v>4</v>
      </c>
    </row>
    <row r="4001" spans="1:46">
      <c r="A4001">
        <v>65081</v>
      </c>
      <c r="B4001" t="s">
        <v>21816</v>
      </c>
      <c r="C4001" t="s">
        <v>21817</v>
      </c>
      <c r="D4001" t="s">
        <v>21818</v>
      </c>
      <c r="E4001" t="s">
        <v>21819</v>
      </c>
      <c r="G4001" t="s">
        <v>2867</v>
      </c>
      <c r="H4001" t="s">
        <v>3942</v>
      </c>
      <c r="J4001" t="s">
        <v>3962</v>
      </c>
      <c r="K4001" t="s">
        <v>519</v>
      </c>
      <c r="M4001" t="s">
        <v>2287</v>
      </c>
      <c r="N4001" t="s">
        <v>557</v>
      </c>
      <c r="O4001" t="s">
        <v>2868</v>
      </c>
      <c r="P4001" t="s">
        <v>523</v>
      </c>
      <c r="Q4001" t="s">
        <v>2869</v>
      </c>
      <c r="R4001" t="s">
        <v>2824</v>
      </c>
      <c r="S4001" t="s">
        <v>2870</v>
      </c>
      <c r="T4001" t="s">
        <v>2448</v>
      </c>
      <c r="U4001">
        <v>301301</v>
      </c>
      <c r="V4001" t="s">
        <v>2871</v>
      </c>
      <c r="W4001" t="s">
        <v>2872</v>
      </c>
      <c r="X4001" t="s">
        <v>10938</v>
      </c>
      <c r="Y4001" t="s">
        <v>10939</v>
      </c>
      <c r="AA4001" t="s">
        <v>10940</v>
      </c>
      <c r="AB4001" t="s">
        <v>10941</v>
      </c>
      <c r="AC4001">
        <v>99115</v>
      </c>
      <c r="AD4001" t="s">
        <v>2873</v>
      </c>
      <c r="AE4001">
        <v>-41.111451520000003</v>
      </c>
      <c r="AF4001">
        <v>173.01387149999999</v>
      </c>
      <c r="AG4001">
        <v>30</v>
      </c>
      <c r="AH4001">
        <v>0</v>
      </c>
      <c r="AI4001">
        <v>0</v>
      </c>
      <c r="AJ4001">
        <v>0</v>
      </c>
      <c r="AK4001">
        <v>1</v>
      </c>
      <c r="AL4001">
        <v>10</v>
      </c>
      <c r="AM4001">
        <v>18</v>
      </c>
      <c r="AN4001">
        <v>0</v>
      </c>
      <c r="AO4001">
        <v>29</v>
      </c>
      <c r="AP4001">
        <v>29</v>
      </c>
      <c r="AQ4001">
        <v>4</v>
      </c>
      <c r="AR4001">
        <v>0</v>
      </c>
      <c r="AS4001">
        <v>1</v>
      </c>
      <c r="AT4001">
        <v>0</v>
      </c>
    </row>
    <row r="4002" spans="1:46">
      <c r="A4002">
        <v>65083</v>
      </c>
      <c r="B4002" t="s">
        <v>21820</v>
      </c>
      <c r="C4002" t="s">
        <v>21821</v>
      </c>
      <c r="D4002" t="s">
        <v>2938</v>
      </c>
      <c r="E4002" t="s">
        <v>21822</v>
      </c>
      <c r="F4002" t="s">
        <v>3057</v>
      </c>
      <c r="G4002" t="s">
        <v>2941</v>
      </c>
      <c r="H4002" t="s">
        <v>517</v>
      </c>
      <c r="I4002" t="s">
        <v>4253</v>
      </c>
      <c r="J4002" t="s">
        <v>518</v>
      </c>
      <c r="K4002" t="s">
        <v>519</v>
      </c>
      <c r="M4002" t="s">
        <v>2287</v>
      </c>
      <c r="N4002" t="s">
        <v>539</v>
      </c>
      <c r="O4002" t="s">
        <v>2942</v>
      </c>
      <c r="P4002" t="s">
        <v>654</v>
      </c>
      <c r="Q4002" t="s">
        <v>2943</v>
      </c>
      <c r="R4002" t="s">
        <v>2944</v>
      </c>
      <c r="S4002" t="s">
        <v>2973</v>
      </c>
      <c r="T4002" t="s">
        <v>2448</v>
      </c>
      <c r="U4002">
        <v>327800</v>
      </c>
      <c r="V4002" t="s">
        <v>21823</v>
      </c>
      <c r="W4002" t="s">
        <v>2993</v>
      </c>
      <c r="X4002" t="s">
        <v>2948</v>
      </c>
      <c r="Y4002" t="s">
        <v>2949</v>
      </c>
      <c r="Z4002" t="s">
        <v>2950</v>
      </c>
      <c r="AA4002" t="s">
        <v>2951</v>
      </c>
      <c r="AB4002" t="s">
        <v>2952</v>
      </c>
      <c r="AC4002">
        <v>99063</v>
      </c>
      <c r="AD4002" t="s">
        <v>2994</v>
      </c>
      <c r="AE4002">
        <v>-43.525038219999999</v>
      </c>
      <c r="AF4002">
        <v>172.67572636</v>
      </c>
      <c r="AG4002">
        <v>50</v>
      </c>
      <c r="AH4002">
        <v>10</v>
      </c>
      <c r="AI4002">
        <v>1</v>
      </c>
      <c r="AJ4002">
        <v>3</v>
      </c>
      <c r="AK4002">
        <v>7</v>
      </c>
      <c r="AL4002">
        <v>8</v>
      </c>
      <c r="AM4002">
        <v>9</v>
      </c>
      <c r="AN4002">
        <v>1</v>
      </c>
      <c r="AO4002">
        <v>29</v>
      </c>
      <c r="AP4002">
        <v>14</v>
      </c>
      <c r="AQ4002">
        <v>14</v>
      </c>
      <c r="AR4002">
        <v>16</v>
      </c>
      <c r="AS4002">
        <v>1</v>
      </c>
      <c r="AT4002">
        <v>2</v>
      </c>
    </row>
    <row r="4003" spans="1:46">
      <c r="A4003">
        <v>65084</v>
      </c>
      <c r="B4003" t="s">
        <v>21824</v>
      </c>
      <c r="C4003" t="s">
        <v>21825</v>
      </c>
      <c r="D4003" t="s">
        <v>21826</v>
      </c>
      <c r="E4003" t="s">
        <v>21827</v>
      </c>
      <c r="F4003" t="s">
        <v>17339</v>
      </c>
      <c r="G4003" t="s">
        <v>3261</v>
      </c>
      <c r="H4003" t="s">
        <v>3942</v>
      </c>
      <c r="J4003" t="s">
        <v>3962</v>
      </c>
      <c r="K4003" t="s">
        <v>519</v>
      </c>
      <c r="M4003" t="s">
        <v>2287</v>
      </c>
      <c r="N4003" t="s">
        <v>571</v>
      </c>
      <c r="O4003" t="s">
        <v>3249</v>
      </c>
      <c r="P4003" t="s">
        <v>1262</v>
      </c>
      <c r="Q4003" t="s">
        <v>2943</v>
      </c>
      <c r="R4003" t="s">
        <v>2944</v>
      </c>
      <c r="S4003" t="s">
        <v>3219</v>
      </c>
      <c r="T4003" t="s">
        <v>2448</v>
      </c>
      <c r="U4003">
        <v>341101</v>
      </c>
      <c r="V4003" t="s">
        <v>21828</v>
      </c>
      <c r="W4003" t="s">
        <v>3263</v>
      </c>
      <c r="X4003" t="s">
        <v>21829</v>
      </c>
      <c r="Y4003" t="s">
        <v>4107</v>
      </c>
      <c r="AA4003" t="s">
        <v>3982</v>
      </c>
      <c r="AB4003" t="s">
        <v>21825</v>
      </c>
      <c r="AC4003">
        <v>99178</v>
      </c>
      <c r="AD4003" t="s">
        <v>3273</v>
      </c>
      <c r="AE4003">
        <v>-44.402295860000002</v>
      </c>
      <c r="AF4003">
        <v>171.25673753000001</v>
      </c>
      <c r="AG4003">
        <v>65</v>
      </c>
      <c r="AH4003">
        <v>17</v>
      </c>
      <c r="AI4003">
        <v>4</v>
      </c>
      <c r="AJ4003">
        <v>13</v>
      </c>
      <c r="AK4003">
        <v>15</v>
      </c>
      <c r="AL4003">
        <v>17</v>
      </c>
      <c r="AM4003">
        <v>19</v>
      </c>
      <c r="AN4003">
        <v>0</v>
      </c>
      <c r="AO4003">
        <v>68</v>
      </c>
      <c r="AP4003">
        <v>63</v>
      </c>
      <c r="AQ4003">
        <v>16</v>
      </c>
      <c r="AR4003">
        <v>2</v>
      </c>
      <c r="AS4003">
        <v>7</v>
      </c>
      <c r="AT4003">
        <v>1</v>
      </c>
    </row>
    <row r="4004" spans="1:46">
      <c r="A4004">
        <v>65085</v>
      </c>
      <c r="B4004" t="s">
        <v>21830</v>
      </c>
      <c r="C4004" t="s">
        <v>21831</v>
      </c>
      <c r="D4004" t="s">
        <v>21832</v>
      </c>
      <c r="E4004" t="s">
        <v>21833</v>
      </c>
      <c r="G4004" t="s">
        <v>3187</v>
      </c>
      <c r="H4004" t="s">
        <v>3942</v>
      </c>
      <c r="J4004" t="s">
        <v>518</v>
      </c>
      <c r="K4004" t="s">
        <v>519</v>
      </c>
      <c r="M4004" t="s">
        <v>2287</v>
      </c>
      <c r="N4004" t="s">
        <v>571</v>
      </c>
      <c r="O4004" t="s">
        <v>2964</v>
      </c>
      <c r="P4004" t="s">
        <v>572</v>
      </c>
      <c r="Q4004" t="s">
        <v>2943</v>
      </c>
      <c r="R4004" t="s">
        <v>2944</v>
      </c>
      <c r="S4004" t="s">
        <v>2965</v>
      </c>
      <c r="T4004" t="s">
        <v>2448</v>
      </c>
      <c r="U4004">
        <v>315500</v>
      </c>
      <c r="V4004" t="s">
        <v>21834</v>
      </c>
      <c r="W4004" t="s">
        <v>3189</v>
      </c>
      <c r="X4004" t="s">
        <v>21835</v>
      </c>
      <c r="Y4004" t="s">
        <v>21836</v>
      </c>
      <c r="AA4004" t="s">
        <v>15060</v>
      </c>
      <c r="AB4004" t="s">
        <v>21837</v>
      </c>
      <c r="AC4004">
        <v>99061</v>
      </c>
      <c r="AD4004" t="s">
        <v>3190</v>
      </c>
      <c r="AE4004">
        <v>-43.385422689999999</v>
      </c>
      <c r="AF4004">
        <v>172.63962079999999</v>
      </c>
      <c r="AG4004">
        <v>48</v>
      </c>
      <c r="AH4004">
        <v>12</v>
      </c>
      <c r="AI4004">
        <v>1</v>
      </c>
      <c r="AJ4004">
        <v>11</v>
      </c>
      <c r="AK4004">
        <v>13</v>
      </c>
      <c r="AL4004">
        <v>23</v>
      </c>
      <c r="AM4004">
        <v>14</v>
      </c>
      <c r="AN4004">
        <v>3</v>
      </c>
      <c r="AO4004">
        <v>65</v>
      </c>
      <c r="AP4004">
        <v>57</v>
      </c>
      <c r="AQ4004">
        <v>9</v>
      </c>
      <c r="AR4004">
        <v>2</v>
      </c>
      <c r="AS4004">
        <v>4</v>
      </c>
      <c r="AT4004">
        <v>7</v>
      </c>
    </row>
    <row r="4005" spans="1:46">
      <c r="A4005">
        <v>65086</v>
      </c>
      <c r="B4005" t="s">
        <v>21838</v>
      </c>
      <c r="C4005" t="s">
        <v>21839</v>
      </c>
      <c r="D4005" t="s">
        <v>21840</v>
      </c>
      <c r="E4005" t="s">
        <v>21841</v>
      </c>
      <c r="F4005" t="s">
        <v>3125</v>
      </c>
      <c r="G4005" t="s">
        <v>2941</v>
      </c>
      <c r="H4005" t="s">
        <v>4221</v>
      </c>
      <c r="I4005" t="s">
        <v>4165</v>
      </c>
      <c r="J4005" t="s">
        <v>3962</v>
      </c>
      <c r="K4005" t="s">
        <v>519</v>
      </c>
      <c r="M4005" t="s">
        <v>2287</v>
      </c>
      <c r="N4005" t="s">
        <v>521</v>
      </c>
      <c r="O4005" t="s">
        <v>2942</v>
      </c>
      <c r="P4005" t="s">
        <v>654</v>
      </c>
      <c r="Q4005" t="s">
        <v>2943</v>
      </c>
      <c r="R4005" t="s">
        <v>2944</v>
      </c>
      <c r="S4005" t="s">
        <v>2973</v>
      </c>
      <c r="T4005" t="s">
        <v>2448</v>
      </c>
      <c r="U4005">
        <v>328400</v>
      </c>
      <c r="V4005" t="s">
        <v>3124</v>
      </c>
      <c r="W4005" t="s">
        <v>3126</v>
      </c>
      <c r="X4005" t="s">
        <v>21842</v>
      </c>
      <c r="Y4005" t="s">
        <v>21841</v>
      </c>
      <c r="Z4005" t="s">
        <v>3057</v>
      </c>
      <c r="AA4005" t="s">
        <v>15995</v>
      </c>
      <c r="AB4005" t="s">
        <v>21843</v>
      </c>
      <c r="AE4005">
        <v>-43.51859881</v>
      </c>
      <c r="AF4005">
        <v>172.6967645</v>
      </c>
      <c r="AG4005">
        <v>49</v>
      </c>
      <c r="AH4005">
        <v>9</v>
      </c>
      <c r="AI4005">
        <v>1</v>
      </c>
      <c r="AJ4005">
        <v>4</v>
      </c>
      <c r="AK4005">
        <v>8</v>
      </c>
      <c r="AL4005">
        <v>11</v>
      </c>
      <c r="AM4005">
        <v>12</v>
      </c>
      <c r="AN4005">
        <v>0</v>
      </c>
      <c r="AO4005">
        <v>36</v>
      </c>
      <c r="AP4005">
        <v>6</v>
      </c>
      <c r="AQ4005">
        <v>9</v>
      </c>
      <c r="AR4005">
        <v>36</v>
      </c>
      <c r="AS4005">
        <v>0</v>
      </c>
      <c r="AT4005">
        <v>0</v>
      </c>
    </row>
    <row r="4006" spans="1:46">
      <c r="A4006">
        <v>65087</v>
      </c>
      <c r="B4006" t="s">
        <v>21844</v>
      </c>
      <c r="C4006" t="s">
        <v>21845</v>
      </c>
      <c r="E4006" t="s">
        <v>21846</v>
      </c>
      <c r="F4006" t="s">
        <v>12994</v>
      </c>
      <c r="G4006" t="s">
        <v>2941</v>
      </c>
      <c r="H4006" t="s">
        <v>3942</v>
      </c>
      <c r="J4006" t="s">
        <v>518</v>
      </c>
      <c r="K4006" t="s">
        <v>519</v>
      </c>
      <c r="M4006" t="s">
        <v>2287</v>
      </c>
      <c r="N4006" t="s">
        <v>571</v>
      </c>
      <c r="O4006" t="s">
        <v>2942</v>
      </c>
      <c r="P4006" t="s">
        <v>654</v>
      </c>
      <c r="Q4006" t="s">
        <v>2943</v>
      </c>
      <c r="R4006" t="s">
        <v>2944</v>
      </c>
      <c r="S4006" t="s">
        <v>2945</v>
      </c>
      <c r="T4006" t="s">
        <v>2448</v>
      </c>
      <c r="U4006">
        <v>323000</v>
      </c>
      <c r="V4006" t="s">
        <v>12994</v>
      </c>
      <c r="W4006" t="s">
        <v>2999</v>
      </c>
      <c r="X4006" t="s">
        <v>8501</v>
      </c>
      <c r="Y4006" t="s">
        <v>21847</v>
      </c>
      <c r="Z4006" t="s">
        <v>12994</v>
      </c>
      <c r="AA4006" t="s">
        <v>14532</v>
      </c>
      <c r="AB4006" t="s">
        <v>21848</v>
      </c>
      <c r="AE4006">
        <v>-43.51657823</v>
      </c>
      <c r="AF4006">
        <v>172.62282468000001</v>
      </c>
      <c r="AG4006">
        <v>50</v>
      </c>
      <c r="AH4006">
        <v>0</v>
      </c>
      <c r="AI4006">
        <v>0</v>
      </c>
      <c r="AJ4006">
        <v>0</v>
      </c>
      <c r="AK4006">
        <v>9</v>
      </c>
      <c r="AL4006">
        <v>16</v>
      </c>
      <c r="AM4006">
        <v>35</v>
      </c>
      <c r="AN4006">
        <v>2</v>
      </c>
      <c r="AO4006">
        <v>62</v>
      </c>
      <c r="AP4006">
        <v>52</v>
      </c>
      <c r="AQ4006">
        <v>6</v>
      </c>
      <c r="AR4006">
        <v>0</v>
      </c>
      <c r="AS4006">
        <v>16</v>
      </c>
      <c r="AT4006">
        <v>3</v>
      </c>
    </row>
    <row r="4007" spans="1:46">
      <c r="A4007">
        <v>65088</v>
      </c>
      <c r="B4007" t="s">
        <v>21849</v>
      </c>
      <c r="C4007" t="s">
        <v>21850</v>
      </c>
      <c r="D4007" t="s">
        <v>21851</v>
      </c>
      <c r="E4007" t="s">
        <v>21852</v>
      </c>
      <c r="F4007" t="s">
        <v>17874</v>
      </c>
      <c r="G4007" t="s">
        <v>2941</v>
      </c>
      <c r="H4007" t="s">
        <v>3942</v>
      </c>
      <c r="I4007" t="s">
        <v>21853</v>
      </c>
      <c r="J4007" t="s">
        <v>518</v>
      </c>
      <c r="K4007" t="s">
        <v>519</v>
      </c>
      <c r="M4007" t="s">
        <v>2287</v>
      </c>
      <c r="N4007" t="s">
        <v>571</v>
      </c>
      <c r="O4007" t="s">
        <v>2942</v>
      </c>
      <c r="P4007" t="s">
        <v>654</v>
      </c>
      <c r="Q4007" t="s">
        <v>2943</v>
      </c>
      <c r="R4007" t="s">
        <v>2944</v>
      </c>
      <c r="S4007" t="s">
        <v>3019</v>
      </c>
      <c r="T4007" t="s">
        <v>2448</v>
      </c>
      <c r="U4007">
        <v>327400</v>
      </c>
      <c r="V4007" t="s">
        <v>3157</v>
      </c>
      <c r="W4007" t="s">
        <v>3088</v>
      </c>
      <c r="X4007" t="s">
        <v>21854</v>
      </c>
      <c r="Y4007" t="s">
        <v>21855</v>
      </c>
      <c r="Z4007" t="s">
        <v>3115</v>
      </c>
      <c r="AA4007" t="s">
        <v>11521</v>
      </c>
      <c r="AB4007" t="s">
        <v>21856</v>
      </c>
      <c r="AE4007">
        <v>-43.547029389999999</v>
      </c>
      <c r="AF4007">
        <v>172.61891012000001</v>
      </c>
      <c r="AG4007">
        <v>38</v>
      </c>
      <c r="AH4007">
        <v>12</v>
      </c>
      <c r="AI4007">
        <v>1</v>
      </c>
      <c r="AJ4007">
        <v>2</v>
      </c>
      <c r="AK4007">
        <v>9</v>
      </c>
      <c r="AL4007">
        <v>8</v>
      </c>
      <c r="AM4007">
        <v>9</v>
      </c>
      <c r="AN4007">
        <v>2</v>
      </c>
      <c r="AO4007">
        <v>31</v>
      </c>
      <c r="AP4007">
        <v>4</v>
      </c>
      <c r="AQ4007">
        <v>0</v>
      </c>
      <c r="AR4007">
        <v>14</v>
      </c>
      <c r="AS4007">
        <v>15</v>
      </c>
      <c r="AT4007">
        <v>2</v>
      </c>
    </row>
    <row r="4008" spans="1:46">
      <c r="A4008">
        <v>65092</v>
      </c>
      <c r="B4008" t="s">
        <v>21857</v>
      </c>
      <c r="C4008" t="s">
        <v>21858</v>
      </c>
      <c r="D4008" t="s">
        <v>21859</v>
      </c>
      <c r="E4008" t="s">
        <v>21860</v>
      </c>
      <c r="F4008" t="s">
        <v>15765</v>
      </c>
      <c r="G4008" t="s">
        <v>2941</v>
      </c>
      <c r="H4008" t="s">
        <v>3942</v>
      </c>
      <c r="J4008" t="s">
        <v>3962</v>
      </c>
      <c r="K4008" t="s">
        <v>519</v>
      </c>
      <c r="M4008" t="s">
        <v>2287</v>
      </c>
      <c r="N4008" t="s">
        <v>571</v>
      </c>
      <c r="O4008" t="s">
        <v>2942</v>
      </c>
      <c r="P4008" t="s">
        <v>654</v>
      </c>
      <c r="Q4008" t="s">
        <v>2943</v>
      </c>
      <c r="R4008" t="s">
        <v>2944</v>
      </c>
      <c r="S4008" t="s">
        <v>2945</v>
      </c>
      <c r="T4008" t="s">
        <v>2448</v>
      </c>
      <c r="U4008">
        <v>321400</v>
      </c>
      <c r="V4008" t="s">
        <v>21770</v>
      </c>
      <c r="W4008" t="s">
        <v>2999</v>
      </c>
      <c r="X4008" t="s">
        <v>21861</v>
      </c>
      <c r="Y4008" t="s">
        <v>21860</v>
      </c>
      <c r="Z4008" t="s">
        <v>15765</v>
      </c>
      <c r="AA4008" t="s">
        <v>11701</v>
      </c>
      <c r="AC4008">
        <v>99027</v>
      </c>
      <c r="AD4008" t="s">
        <v>3000</v>
      </c>
      <c r="AE4008">
        <v>-43.510873859999997</v>
      </c>
      <c r="AF4008">
        <v>172.60273341999999</v>
      </c>
      <c r="AG4008">
        <v>50</v>
      </c>
      <c r="AH4008">
        <v>16</v>
      </c>
      <c r="AI4008">
        <v>1</v>
      </c>
      <c r="AJ4008">
        <v>17</v>
      </c>
      <c r="AK4008">
        <v>18</v>
      </c>
      <c r="AL4008">
        <v>13</v>
      </c>
      <c r="AM4008">
        <v>14</v>
      </c>
      <c r="AN4008">
        <v>1</v>
      </c>
      <c r="AO4008">
        <v>64</v>
      </c>
      <c r="AP4008">
        <v>59</v>
      </c>
      <c r="AQ4008">
        <v>8</v>
      </c>
      <c r="AR4008">
        <v>3</v>
      </c>
      <c r="AS4008">
        <v>2</v>
      </c>
      <c r="AT4008">
        <v>2</v>
      </c>
    </row>
    <row r="4009" spans="1:46">
      <c r="A4009">
        <v>65093</v>
      </c>
      <c r="B4009" t="s">
        <v>21862</v>
      </c>
      <c r="C4009" t="s">
        <v>21863</v>
      </c>
      <c r="D4009" t="s">
        <v>21864</v>
      </c>
      <c r="E4009" t="s">
        <v>21865</v>
      </c>
      <c r="G4009" t="s">
        <v>3498</v>
      </c>
      <c r="H4009" t="s">
        <v>3942</v>
      </c>
      <c r="I4009" t="s">
        <v>3644</v>
      </c>
      <c r="J4009" t="s">
        <v>518</v>
      </c>
      <c r="K4009" t="s">
        <v>519</v>
      </c>
      <c r="M4009" t="s">
        <v>2287</v>
      </c>
      <c r="N4009" t="s">
        <v>521</v>
      </c>
      <c r="O4009" t="s">
        <v>3496</v>
      </c>
      <c r="P4009" t="s">
        <v>584</v>
      </c>
      <c r="Q4009" t="s">
        <v>3497</v>
      </c>
      <c r="R4009" t="s">
        <v>3338</v>
      </c>
      <c r="S4009" t="s">
        <v>3498</v>
      </c>
      <c r="T4009" t="s">
        <v>2448</v>
      </c>
      <c r="U4009">
        <v>363001</v>
      </c>
      <c r="V4009" t="s">
        <v>21866</v>
      </c>
      <c r="W4009" t="s">
        <v>1652</v>
      </c>
      <c r="X4009" t="s">
        <v>21867</v>
      </c>
      <c r="Y4009" t="s">
        <v>21868</v>
      </c>
      <c r="AA4009" t="s">
        <v>15612</v>
      </c>
      <c r="AB4009" t="s">
        <v>21869</v>
      </c>
      <c r="AE4009">
        <v>-46.434289800000002</v>
      </c>
      <c r="AF4009">
        <v>168.35813565999999</v>
      </c>
      <c r="AG4009">
        <v>30</v>
      </c>
      <c r="AH4009">
        <v>10</v>
      </c>
      <c r="AI4009">
        <v>1</v>
      </c>
      <c r="AJ4009">
        <v>5</v>
      </c>
      <c r="AK4009">
        <v>6</v>
      </c>
      <c r="AL4009">
        <v>6</v>
      </c>
      <c r="AM4009">
        <v>7</v>
      </c>
      <c r="AN4009">
        <v>2</v>
      </c>
      <c r="AO4009">
        <v>27</v>
      </c>
      <c r="AP4009">
        <v>12</v>
      </c>
      <c r="AQ4009">
        <v>6</v>
      </c>
      <c r="AR4009">
        <v>15</v>
      </c>
      <c r="AS4009">
        <v>2</v>
      </c>
      <c r="AT4009">
        <v>0</v>
      </c>
    </row>
    <row r="4010" spans="1:46">
      <c r="A4010">
        <v>65096</v>
      </c>
      <c r="B4010" t="s">
        <v>21870</v>
      </c>
      <c r="C4010" t="s">
        <v>21871</v>
      </c>
      <c r="D4010" t="s">
        <v>21872</v>
      </c>
      <c r="E4010" t="s">
        <v>21873</v>
      </c>
      <c r="F4010" t="s">
        <v>2972</v>
      </c>
      <c r="G4010" t="s">
        <v>2941</v>
      </c>
      <c r="H4010" t="s">
        <v>3942</v>
      </c>
      <c r="J4010" t="s">
        <v>518</v>
      </c>
      <c r="K4010" t="s">
        <v>519</v>
      </c>
      <c r="M4010" t="s">
        <v>2287</v>
      </c>
      <c r="N4010" t="s">
        <v>571</v>
      </c>
      <c r="O4010" t="s">
        <v>2942</v>
      </c>
      <c r="P4010" t="s">
        <v>654</v>
      </c>
      <c r="Q4010" t="s">
        <v>2943</v>
      </c>
      <c r="R4010" t="s">
        <v>2944</v>
      </c>
      <c r="S4010" t="s">
        <v>2973</v>
      </c>
      <c r="T4010" t="s">
        <v>2448</v>
      </c>
      <c r="U4010">
        <v>325100</v>
      </c>
      <c r="V4010" t="s">
        <v>2972</v>
      </c>
      <c r="W4010" t="s">
        <v>2974</v>
      </c>
      <c r="X4010" t="s">
        <v>10801</v>
      </c>
      <c r="Y4010" t="s">
        <v>3944</v>
      </c>
      <c r="Z4010" t="s">
        <v>3945</v>
      </c>
      <c r="AA4010" t="s">
        <v>3946</v>
      </c>
      <c r="AE4010">
        <v>-43.47940775</v>
      </c>
      <c r="AF4010">
        <v>172.70509426999999</v>
      </c>
      <c r="AG4010">
        <v>50</v>
      </c>
      <c r="AH4010">
        <v>16</v>
      </c>
      <c r="AI4010">
        <v>1</v>
      </c>
      <c r="AJ4010">
        <v>17</v>
      </c>
      <c r="AK4010">
        <v>12</v>
      </c>
      <c r="AL4010">
        <v>11</v>
      </c>
      <c r="AM4010">
        <v>14</v>
      </c>
      <c r="AN4010">
        <v>1</v>
      </c>
      <c r="AO4010">
        <v>56</v>
      </c>
      <c r="AP4010">
        <v>42</v>
      </c>
      <c r="AQ4010">
        <v>15</v>
      </c>
      <c r="AR4010">
        <v>7</v>
      </c>
      <c r="AS4010">
        <v>1</v>
      </c>
      <c r="AT4010">
        <v>10</v>
      </c>
    </row>
    <row r="4011" spans="1:46">
      <c r="A4011">
        <v>65098</v>
      </c>
      <c r="B4011" t="s">
        <v>21874</v>
      </c>
      <c r="C4011" t="s">
        <v>21875</v>
      </c>
      <c r="D4011" t="s">
        <v>21876</v>
      </c>
      <c r="E4011" t="s">
        <v>21877</v>
      </c>
      <c r="F4011" t="s">
        <v>2950</v>
      </c>
      <c r="G4011" t="s">
        <v>2941</v>
      </c>
      <c r="H4011" t="s">
        <v>3942</v>
      </c>
      <c r="J4011" t="s">
        <v>518</v>
      </c>
      <c r="K4011" t="s">
        <v>519</v>
      </c>
      <c r="M4011" t="s">
        <v>2287</v>
      </c>
      <c r="N4011" t="s">
        <v>571</v>
      </c>
      <c r="O4011" t="s">
        <v>2942</v>
      </c>
      <c r="P4011" t="s">
        <v>654</v>
      </c>
      <c r="Q4011" t="s">
        <v>2943</v>
      </c>
      <c r="R4011" t="s">
        <v>2944</v>
      </c>
      <c r="S4011" t="s">
        <v>3019</v>
      </c>
      <c r="T4011" t="s">
        <v>2448</v>
      </c>
      <c r="U4011">
        <v>323300</v>
      </c>
      <c r="V4011" t="s">
        <v>3075</v>
      </c>
      <c r="W4011" t="s">
        <v>3076</v>
      </c>
      <c r="X4011" t="s">
        <v>10801</v>
      </c>
      <c r="Y4011" t="s">
        <v>3944</v>
      </c>
      <c r="Z4011" t="s">
        <v>3945</v>
      </c>
      <c r="AA4011" t="s">
        <v>3946</v>
      </c>
      <c r="AC4011">
        <v>99176</v>
      </c>
      <c r="AD4011" t="s">
        <v>3077</v>
      </c>
      <c r="AE4011">
        <v>-43.531576479999998</v>
      </c>
      <c r="AF4011">
        <v>172.5928864</v>
      </c>
      <c r="AG4011">
        <v>99</v>
      </c>
      <c r="AH4011">
        <v>16</v>
      </c>
      <c r="AI4011">
        <v>3</v>
      </c>
      <c r="AJ4011">
        <v>12</v>
      </c>
      <c r="AK4011">
        <v>14</v>
      </c>
      <c r="AL4011">
        <v>12</v>
      </c>
      <c r="AM4011">
        <v>30</v>
      </c>
      <c r="AN4011">
        <v>4</v>
      </c>
      <c r="AO4011">
        <v>75</v>
      </c>
      <c r="AP4011">
        <v>16</v>
      </c>
      <c r="AQ4011">
        <v>14</v>
      </c>
      <c r="AR4011">
        <v>2</v>
      </c>
      <c r="AS4011">
        <v>41</v>
      </c>
      <c r="AT4011">
        <v>13</v>
      </c>
    </row>
    <row r="4012" spans="1:46">
      <c r="A4012">
        <v>65099</v>
      </c>
      <c r="B4012" t="s">
        <v>21878</v>
      </c>
      <c r="C4012" t="s">
        <v>21879</v>
      </c>
      <c r="D4012" t="s">
        <v>21880</v>
      </c>
      <c r="E4012" t="s">
        <v>21881</v>
      </c>
      <c r="G4012" t="s">
        <v>12605</v>
      </c>
      <c r="H4012" t="s">
        <v>3942</v>
      </c>
      <c r="J4012" t="s">
        <v>3962</v>
      </c>
      <c r="K4012" t="s">
        <v>519</v>
      </c>
      <c r="M4012" t="s">
        <v>2287</v>
      </c>
      <c r="N4012" t="s">
        <v>571</v>
      </c>
      <c r="O4012" t="s">
        <v>3208</v>
      </c>
      <c r="P4012" t="s">
        <v>523</v>
      </c>
      <c r="Q4012" t="s">
        <v>2943</v>
      </c>
      <c r="R4012" t="s">
        <v>2944</v>
      </c>
      <c r="S4012" t="s">
        <v>3179</v>
      </c>
      <c r="T4012" t="s">
        <v>2448</v>
      </c>
      <c r="U4012">
        <v>334601</v>
      </c>
      <c r="V4012" t="s">
        <v>12605</v>
      </c>
      <c r="W4012" t="s">
        <v>12606</v>
      </c>
      <c r="X4012" t="s">
        <v>16860</v>
      </c>
      <c r="Y4012" t="s">
        <v>21882</v>
      </c>
      <c r="Z4012" t="s">
        <v>12605</v>
      </c>
      <c r="AA4012" t="s">
        <v>21883</v>
      </c>
      <c r="AC4012">
        <v>99206</v>
      </c>
      <c r="AD4012" t="s">
        <v>3211</v>
      </c>
      <c r="AE4012">
        <v>-43.522767520000002</v>
      </c>
      <c r="AF4012">
        <v>172.36945904999999</v>
      </c>
      <c r="AG4012">
        <v>82</v>
      </c>
      <c r="AH4012">
        <v>16</v>
      </c>
      <c r="AI4012">
        <v>4</v>
      </c>
      <c r="AJ4012">
        <v>12</v>
      </c>
      <c r="AK4012">
        <v>16</v>
      </c>
      <c r="AL4012">
        <v>17</v>
      </c>
      <c r="AM4012">
        <v>17</v>
      </c>
      <c r="AN4012">
        <v>4</v>
      </c>
      <c r="AO4012">
        <v>70</v>
      </c>
      <c r="AP4012">
        <v>67</v>
      </c>
      <c r="AQ4012">
        <v>11</v>
      </c>
      <c r="AR4012">
        <v>0</v>
      </c>
      <c r="AS4012">
        <v>4</v>
      </c>
      <c r="AT4012">
        <v>0</v>
      </c>
    </row>
    <row r="4013" spans="1:46">
      <c r="A4013">
        <v>65101</v>
      </c>
      <c r="B4013" t="s">
        <v>21884</v>
      </c>
      <c r="C4013" t="s">
        <v>21619</v>
      </c>
      <c r="D4013" t="s">
        <v>21620</v>
      </c>
      <c r="E4013" t="s">
        <v>21885</v>
      </c>
      <c r="G4013" t="s">
        <v>2882</v>
      </c>
      <c r="H4013" t="s">
        <v>298</v>
      </c>
      <c r="J4013" t="s">
        <v>518</v>
      </c>
      <c r="K4013" t="s">
        <v>519</v>
      </c>
      <c r="M4013" t="s">
        <v>2287</v>
      </c>
      <c r="N4013" t="s">
        <v>571</v>
      </c>
      <c r="O4013" t="s">
        <v>2868</v>
      </c>
      <c r="P4013" t="s">
        <v>572</v>
      </c>
      <c r="Q4013" t="s">
        <v>2869</v>
      </c>
      <c r="R4013" t="s">
        <v>2824</v>
      </c>
      <c r="S4013" t="s">
        <v>2870</v>
      </c>
      <c r="T4013" t="s">
        <v>2448</v>
      </c>
      <c r="U4013">
        <v>302101</v>
      </c>
      <c r="V4013" t="s">
        <v>21886</v>
      </c>
      <c r="W4013" t="s">
        <v>11292</v>
      </c>
      <c r="X4013" t="s">
        <v>21623</v>
      </c>
      <c r="Y4013" t="s">
        <v>5187</v>
      </c>
      <c r="AA4013" t="s">
        <v>5188</v>
      </c>
      <c r="AB4013" t="s">
        <v>21624</v>
      </c>
      <c r="AC4013">
        <v>99142</v>
      </c>
      <c r="AD4013" t="s">
        <v>2885</v>
      </c>
      <c r="AE4013">
        <v>-41.308552849999998</v>
      </c>
      <c r="AF4013">
        <v>173.12734811999999</v>
      </c>
      <c r="AG4013">
        <v>26</v>
      </c>
      <c r="AH4013">
        <v>15</v>
      </c>
      <c r="AI4013">
        <v>2</v>
      </c>
      <c r="AJ4013">
        <v>2</v>
      </c>
      <c r="AK4013">
        <v>0</v>
      </c>
      <c r="AL4013">
        <v>1</v>
      </c>
      <c r="AM4013">
        <v>1</v>
      </c>
      <c r="AN4013">
        <v>0</v>
      </c>
      <c r="AO4013">
        <v>6</v>
      </c>
      <c r="AP4013">
        <v>6</v>
      </c>
      <c r="AQ4013">
        <v>1</v>
      </c>
      <c r="AR4013">
        <v>0</v>
      </c>
      <c r="AS4013">
        <v>0</v>
      </c>
      <c r="AT4013">
        <v>0</v>
      </c>
    </row>
    <row r="4014" spans="1:46">
      <c r="A4014">
        <v>65102</v>
      </c>
      <c r="B4014" t="s">
        <v>21887</v>
      </c>
      <c r="C4014" t="s">
        <v>21619</v>
      </c>
      <c r="D4014" t="s">
        <v>21888</v>
      </c>
      <c r="E4014" t="s">
        <v>21889</v>
      </c>
      <c r="F4014" t="s">
        <v>16473</v>
      </c>
      <c r="G4014" t="s">
        <v>2853</v>
      </c>
      <c r="H4014" t="s">
        <v>298</v>
      </c>
      <c r="J4014" t="s">
        <v>518</v>
      </c>
      <c r="K4014" t="s">
        <v>519</v>
      </c>
      <c r="M4014" t="s">
        <v>2287</v>
      </c>
      <c r="N4014" t="s">
        <v>571</v>
      </c>
      <c r="O4014" t="s">
        <v>2854</v>
      </c>
      <c r="P4014" t="s">
        <v>584</v>
      </c>
      <c r="Q4014" t="s">
        <v>2855</v>
      </c>
      <c r="R4014" t="s">
        <v>2824</v>
      </c>
      <c r="S4014" t="s">
        <v>2853</v>
      </c>
      <c r="T4014" t="s">
        <v>2448</v>
      </c>
      <c r="U4014">
        <v>304300</v>
      </c>
      <c r="V4014" t="s">
        <v>16473</v>
      </c>
      <c r="W4014" t="s">
        <v>2033</v>
      </c>
      <c r="X4014" t="s">
        <v>21623</v>
      </c>
      <c r="Y4014" t="s">
        <v>5187</v>
      </c>
      <c r="AA4014" t="s">
        <v>5188</v>
      </c>
      <c r="AB4014" t="s">
        <v>21624</v>
      </c>
      <c r="AE4014">
        <v>-41.236551669999997</v>
      </c>
      <c r="AF4014">
        <v>173.31687557999999</v>
      </c>
      <c r="AG4014">
        <v>30</v>
      </c>
      <c r="AH4014">
        <v>15</v>
      </c>
      <c r="AI4014">
        <v>5</v>
      </c>
      <c r="AJ4014">
        <v>9</v>
      </c>
      <c r="AK4014">
        <v>10</v>
      </c>
      <c r="AL4014">
        <v>5</v>
      </c>
      <c r="AM4014">
        <v>1</v>
      </c>
      <c r="AN4014">
        <v>0</v>
      </c>
      <c r="AO4014">
        <v>30</v>
      </c>
      <c r="AP4014">
        <v>29</v>
      </c>
      <c r="AQ4014">
        <v>5</v>
      </c>
      <c r="AR4014">
        <v>0</v>
      </c>
      <c r="AS4014">
        <v>0</v>
      </c>
      <c r="AT4014">
        <v>2</v>
      </c>
    </row>
    <row r="4015" spans="1:46">
      <c r="A4015">
        <v>65103</v>
      </c>
      <c r="B4015" t="s">
        <v>21890</v>
      </c>
      <c r="C4015" t="s">
        <v>21891</v>
      </c>
      <c r="D4015" t="s">
        <v>21620</v>
      </c>
      <c r="E4015" t="s">
        <v>21892</v>
      </c>
      <c r="G4015" t="s">
        <v>21677</v>
      </c>
      <c r="H4015" t="s">
        <v>298</v>
      </c>
      <c r="J4015" t="s">
        <v>518</v>
      </c>
      <c r="K4015" t="s">
        <v>519</v>
      </c>
      <c r="M4015" t="s">
        <v>2287</v>
      </c>
      <c r="N4015" t="s">
        <v>571</v>
      </c>
      <c r="O4015" t="s">
        <v>2868</v>
      </c>
      <c r="P4015" t="s">
        <v>572</v>
      </c>
      <c r="Q4015" t="s">
        <v>2869</v>
      </c>
      <c r="R4015" t="s">
        <v>2824</v>
      </c>
      <c r="S4015" t="s">
        <v>2870</v>
      </c>
      <c r="T4015" t="s">
        <v>2448</v>
      </c>
      <c r="U4015">
        <v>302500</v>
      </c>
      <c r="V4015" t="s">
        <v>21893</v>
      </c>
      <c r="W4015" t="s">
        <v>11292</v>
      </c>
      <c r="X4015" t="s">
        <v>21623</v>
      </c>
      <c r="Y4015" t="s">
        <v>5187</v>
      </c>
      <c r="AA4015" t="s">
        <v>5188</v>
      </c>
      <c r="AB4015" t="s">
        <v>21624</v>
      </c>
      <c r="AC4015">
        <v>99142</v>
      </c>
      <c r="AD4015" t="s">
        <v>2885</v>
      </c>
      <c r="AE4015">
        <v>-41.385528790000002</v>
      </c>
      <c r="AF4015">
        <v>173.09044152000001</v>
      </c>
      <c r="AG4015">
        <v>30</v>
      </c>
      <c r="AH4015">
        <v>15</v>
      </c>
      <c r="AI4015">
        <v>4</v>
      </c>
      <c r="AJ4015">
        <v>2</v>
      </c>
      <c r="AK4015">
        <v>7</v>
      </c>
      <c r="AL4015">
        <v>6</v>
      </c>
      <c r="AM4015">
        <v>2</v>
      </c>
      <c r="AN4015">
        <v>0</v>
      </c>
      <c r="AO4015">
        <v>21</v>
      </c>
      <c r="AP4015">
        <v>21</v>
      </c>
      <c r="AQ4015">
        <v>3</v>
      </c>
      <c r="AR4015">
        <v>0</v>
      </c>
      <c r="AS4015">
        <v>0</v>
      </c>
      <c r="AT4015">
        <v>0</v>
      </c>
    </row>
    <row r="4016" spans="1:46">
      <c r="A4016">
        <v>65104</v>
      </c>
      <c r="B4016" t="s">
        <v>21894</v>
      </c>
      <c r="C4016" t="s">
        <v>21619</v>
      </c>
      <c r="D4016" t="s">
        <v>21620</v>
      </c>
      <c r="E4016" t="s">
        <v>21895</v>
      </c>
      <c r="G4016" t="s">
        <v>21896</v>
      </c>
      <c r="H4016" t="s">
        <v>298</v>
      </c>
      <c r="J4016" t="s">
        <v>518</v>
      </c>
      <c r="K4016" t="s">
        <v>519</v>
      </c>
      <c r="M4016" t="s">
        <v>2287</v>
      </c>
      <c r="N4016" t="s">
        <v>571</v>
      </c>
      <c r="O4016" t="s">
        <v>2868</v>
      </c>
      <c r="P4016" t="s">
        <v>540</v>
      </c>
      <c r="Q4016" t="s">
        <v>2869</v>
      </c>
      <c r="R4016" t="s">
        <v>2824</v>
      </c>
      <c r="S4016" t="s">
        <v>2870</v>
      </c>
      <c r="T4016" t="s">
        <v>2448</v>
      </c>
      <c r="U4016">
        <v>300301</v>
      </c>
      <c r="V4016" t="s">
        <v>21897</v>
      </c>
      <c r="W4016" t="s">
        <v>21898</v>
      </c>
      <c r="X4016" t="s">
        <v>21623</v>
      </c>
      <c r="Y4016" t="s">
        <v>5187</v>
      </c>
      <c r="AA4016" t="s">
        <v>5188</v>
      </c>
      <c r="AB4016" t="s">
        <v>21624</v>
      </c>
      <c r="AC4016">
        <v>99054</v>
      </c>
      <c r="AD4016" t="s">
        <v>21899</v>
      </c>
      <c r="AE4016">
        <v>-40.682971790000003</v>
      </c>
      <c r="AF4016">
        <v>172.67904544999999</v>
      </c>
      <c r="AG4016">
        <v>30</v>
      </c>
      <c r="AH4016">
        <v>15</v>
      </c>
      <c r="AI4016">
        <v>2</v>
      </c>
      <c r="AJ4016">
        <v>5</v>
      </c>
      <c r="AK4016">
        <v>3</v>
      </c>
      <c r="AL4016">
        <v>7</v>
      </c>
      <c r="AM4016">
        <v>4</v>
      </c>
      <c r="AN4016">
        <v>0</v>
      </c>
      <c r="AO4016">
        <v>21</v>
      </c>
      <c r="AP4016">
        <v>21</v>
      </c>
      <c r="AQ4016">
        <v>2</v>
      </c>
      <c r="AR4016">
        <v>0</v>
      </c>
      <c r="AS4016">
        <v>0</v>
      </c>
      <c r="AT4016">
        <v>0</v>
      </c>
    </row>
    <row r="4017" spans="1:46">
      <c r="A4017">
        <v>65105</v>
      </c>
      <c r="B4017" t="s">
        <v>21900</v>
      </c>
      <c r="C4017" t="s">
        <v>21619</v>
      </c>
      <c r="D4017" t="s">
        <v>21620</v>
      </c>
      <c r="E4017" t="s">
        <v>21901</v>
      </c>
      <c r="G4017" t="s">
        <v>21902</v>
      </c>
      <c r="H4017" t="s">
        <v>298</v>
      </c>
      <c r="J4017" t="s">
        <v>518</v>
      </c>
      <c r="K4017" t="s">
        <v>519</v>
      </c>
      <c r="M4017" t="s">
        <v>2287</v>
      </c>
      <c r="N4017" t="s">
        <v>571</v>
      </c>
      <c r="O4017" t="s">
        <v>2868</v>
      </c>
      <c r="P4017" t="s">
        <v>523</v>
      </c>
      <c r="Q4017" t="s">
        <v>2869</v>
      </c>
      <c r="R4017" t="s">
        <v>2824</v>
      </c>
      <c r="S4017" t="s">
        <v>2870</v>
      </c>
      <c r="T4017" t="s">
        <v>2448</v>
      </c>
      <c r="U4017">
        <v>301704</v>
      </c>
      <c r="V4017" t="s">
        <v>21903</v>
      </c>
      <c r="W4017" t="s">
        <v>11292</v>
      </c>
      <c r="X4017" t="s">
        <v>21623</v>
      </c>
      <c r="Y4017" t="s">
        <v>5187</v>
      </c>
      <c r="AA4017" t="s">
        <v>5188</v>
      </c>
      <c r="AB4017" t="s">
        <v>21624</v>
      </c>
      <c r="AE4017">
        <v>-41.251157749999997</v>
      </c>
      <c r="AF4017">
        <v>173.0938855</v>
      </c>
      <c r="AG4017">
        <v>25</v>
      </c>
      <c r="AH4017">
        <v>15</v>
      </c>
      <c r="AI4017">
        <v>0</v>
      </c>
      <c r="AJ4017">
        <v>5</v>
      </c>
      <c r="AK4017">
        <v>4</v>
      </c>
      <c r="AL4017">
        <v>5</v>
      </c>
      <c r="AM4017">
        <v>1</v>
      </c>
      <c r="AN4017">
        <v>0</v>
      </c>
      <c r="AO4017">
        <v>15</v>
      </c>
      <c r="AP4017">
        <v>15</v>
      </c>
      <c r="AQ4017">
        <v>1</v>
      </c>
      <c r="AR4017">
        <v>0</v>
      </c>
      <c r="AS4017">
        <v>0</v>
      </c>
      <c r="AT4017">
        <v>2</v>
      </c>
    </row>
    <row r="4018" spans="1:46">
      <c r="A4018">
        <v>65106</v>
      </c>
      <c r="B4018" t="s">
        <v>21904</v>
      </c>
      <c r="C4018" t="s">
        <v>21619</v>
      </c>
      <c r="D4018" t="s">
        <v>21620</v>
      </c>
      <c r="E4018" t="s">
        <v>21905</v>
      </c>
      <c r="G4018" t="s">
        <v>2867</v>
      </c>
      <c r="H4018" t="s">
        <v>298</v>
      </c>
      <c r="J4018" t="s">
        <v>518</v>
      </c>
      <c r="K4018" t="s">
        <v>519</v>
      </c>
      <c r="M4018" t="s">
        <v>2287</v>
      </c>
      <c r="N4018" t="s">
        <v>571</v>
      </c>
      <c r="O4018" t="s">
        <v>2868</v>
      </c>
      <c r="P4018" t="s">
        <v>523</v>
      </c>
      <c r="Q4018" t="s">
        <v>2869</v>
      </c>
      <c r="R4018" t="s">
        <v>2824</v>
      </c>
      <c r="S4018" t="s">
        <v>2870</v>
      </c>
      <c r="T4018" t="s">
        <v>2448</v>
      </c>
      <c r="U4018">
        <v>301200</v>
      </c>
      <c r="V4018" t="s">
        <v>2890</v>
      </c>
      <c r="W4018" t="s">
        <v>2872</v>
      </c>
      <c r="X4018" t="s">
        <v>21623</v>
      </c>
      <c r="Y4018" t="s">
        <v>5187</v>
      </c>
      <c r="AA4018" t="s">
        <v>5188</v>
      </c>
      <c r="AB4018" t="s">
        <v>21624</v>
      </c>
      <c r="AC4018">
        <v>99115</v>
      </c>
      <c r="AD4018" t="s">
        <v>2873</v>
      </c>
      <c r="AE4018">
        <v>-41.11220179</v>
      </c>
      <c r="AF4018">
        <v>173.0087388</v>
      </c>
      <c r="AG4018">
        <v>30</v>
      </c>
      <c r="AH4018">
        <v>20</v>
      </c>
      <c r="AI4018">
        <v>18</v>
      </c>
      <c r="AJ4018">
        <v>6</v>
      </c>
      <c r="AK4018">
        <v>11</v>
      </c>
      <c r="AL4018">
        <v>4</v>
      </c>
      <c r="AM4018">
        <v>3</v>
      </c>
      <c r="AN4018">
        <v>1</v>
      </c>
      <c r="AO4018">
        <v>43</v>
      </c>
      <c r="AP4018">
        <v>43</v>
      </c>
      <c r="AQ4018">
        <v>5</v>
      </c>
      <c r="AR4018">
        <v>0</v>
      </c>
      <c r="AS4018">
        <v>3</v>
      </c>
      <c r="AT4018">
        <v>2</v>
      </c>
    </row>
    <row r="4019" spans="1:46">
      <c r="A4019">
        <v>65107</v>
      </c>
      <c r="B4019" t="s">
        <v>21906</v>
      </c>
      <c r="C4019" t="s">
        <v>21624</v>
      </c>
      <c r="D4019" t="s">
        <v>21620</v>
      </c>
      <c r="E4019" t="s">
        <v>21907</v>
      </c>
      <c r="G4019" t="s">
        <v>2882</v>
      </c>
      <c r="H4019" t="s">
        <v>298</v>
      </c>
      <c r="J4019" t="s">
        <v>518</v>
      </c>
      <c r="K4019" t="s">
        <v>519</v>
      </c>
      <c r="M4019" t="s">
        <v>2287</v>
      </c>
      <c r="N4019" t="s">
        <v>571</v>
      </c>
      <c r="O4019" t="s">
        <v>2868</v>
      </c>
      <c r="P4019" t="s">
        <v>1262</v>
      </c>
      <c r="Q4019" t="s">
        <v>2869</v>
      </c>
      <c r="R4019" t="s">
        <v>2824</v>
      </c>
      <c r="S4019" t="s">
        <v>2853</v>
      </c>
      <c r="T4019" t="s">
        <v>2448</v>
      </c>
      <c r="U4019">
        <v>302800</v>
      </c>
      <c r="V4019" t="s">
        <v>2910</v>
      </c>
      <c r="W4019" t="s">
        <v>2884</v>
      </c>
      <c r="X4019" t="s">
        <v>21623</v>
      </c>
      <c r="Y4019" t="s">
        <v>5187</v>
      </c>
      <c r="AA4019" t="s">
        <v>5188</v>
      </c>
      <c r="AB4019" t="s">
        <v>21624</v>
      </c>
      <c r="AC4019">
        <v>99142</v>
      </c>
      <c r="AD4019" t="s">
        <v>2885</v>
      </c>
      <c r="AE4019">
        <v>-41.340535180000003</v>
      </c>
      <c r="AF4019">
        <v>173.18050407999999</v>
      </c>
      <c r="AG4019">
        <v>30</v>
      </c>
      <c r="AH4019">
        <v>20</v>
      </c>
      <c r="AI4019">
        <v>30</v>
      </c>
      <c r="AJ4019">
        <v>10</v>
      </c>
      <c r="AK4019">
        <v>6</v>
      </c>
      <c r="AL4019">
        <v>6</v>
      </c>
      <c r="AM4019">
        <v>0</v>
      </c>
      <c r="AN4019">
        <v>0</v>
      </c>
      <c r="AO4019">
        <v>52</v>
      </c>
      <c r="AP4019">
        <v>51</v>
      </c>
      <c r="AQ4019">
        <v>4</v>
      </c>
      <c r="AR4019">
        <v>0</v>
      </c>
      <c r="AS4019">
        <v>3</v>
      </c>
      <c r="AT4019">
        <v>3</v>
      </c>
    </row>
    <row r="4020" spans="1:46">
      <c r="A4020">
        <v>65108</v>
      </c>
      <c r="B4020" t="s">
        <v>21908</v>
      </c>
      <c r="C4020" t="s">
        <v>21619</v>
      </c>
      <c r="D4020" t="s">
        <v>21888</v>
      </c>
      <c r="E4020" t="s">
        <v>21909</v>
      </c>
      <c r="G4020" t="s">
        <v>21910</v>
      </c>
      <c r="H4020" t="s">
        <v>298</v>
      </c>
      <c r="J4020" t="s">
        <v>518</v>
      </c>
      <c r="K4020" t="s">
        <v>519</v>
      </c>
      <c r="M4020" t="s">
        <v>2287</v>
      </c>
      <c r="N4020" t="s">
        <v>571</v>
      </c>
      <c r="O4020" t="s">
        <v>2868</v>
      </c>
      <c r="P4020" t="s">
        <v>523</v>
      </c>
      <c r="Q4020" t="s">
        <v>2869</v>
      </c>
      <c r="R4020" t="s">
        <v>2824</v>
      </c>
      <c r="S4020" t="s">
        <v>2870</v>
      </c>
      <c r="T4020" t="s">
        <v>2448</v>
      </c>
      <c r="U4020">
        <v>300500</v>
      </c>
      <c r="V4020" t="s">
        <v>21911</v>
      </c>
      <c r="W4020" t="s">
        <v>21898</v>
      </c>
      <c r="X4020" t="s">
        <v>21623</v>
      </c>
      <c r="Y4020" t="s">
        <v>5187</v>
      </c>
      <c r="AA4020" t="s">
        <v>5188</v>
      </c>
      <c r="AB4020" t="s">
        <v>21624</v>
      </c>
      <c r="AC4020">
        <v>99054</v>
      </c>
      <c r="AD4020" t="s">
        <v>21899</v>
      </c>
      <c r="AE4020">
        <v>-40.853253619999997</v>
      </c>
      <c r="AF4020">
        <v>172.80840372</v>
      </c>
      <c r="AG4020">
        <v>30</v>
      </c>
      <c r="AH4020">
        <v>20</v>
      </c>
      <c r="AI4020">
        <v>3</v>
      </c>
      <c r="AJ4020">
        <v>8</v>
      </c>
      <c r="AK4020">
        <v>3</v>
      </c>
      <c r="AL4020">
        <v>5</v>
      </c>
      <c r="AM4020">
        <v>0</v>
      </c>
      <c r="AN4020">
        <v>0</v>
      </c>
      <c r="AO4020">
        <v>19</v>
      </c>
      <c r="AP4020">
        <v>17</v>
      </c>
      <c r="AQ4020">
        <v>2</v>
      </c>
      <c r="AR4020">
        <v>0</v>
      </c>
      <c r="AS4020">
        <v>0</v>
      </c>
      <c r="AT4020">
        <v>0</v>
      </c>
    </row>
    <row r="4021" spans="1:46">
      <c r="A4021">
        <v>65109</v>
      </c>
      <c r="B4021" t="s">
        <v>21912</v>
      </c>
      <c r="C4021" t="s">
        <v>21619</v>
      </c>
      <c r="D4021" t="s">
        <v>21888</v>
      </c>
      <c r="E4021" t="s">
        <v>21913</v>
      </c>
      <c r="G4021" t="s">
        <v>17018</v>
      </c>
      <c r="H4021" t="s">
        <v>298</v>
      </c>
      <c r="J4021" t="s">
        <v>518</v>
      </c>
      <c r="K4021" t="s">
        <v>519</v>
      </c>
      <c r="M4021" t="s">
        <v>2287</v>
      </c>
      <c r="N4021" t="s">
        <v>571</v>
      </c>
      <c r="O4021" t="s">
        <v>2868</v>
      </c>
      <c r="P4021" t="s">
        <v>540</v>
      </c>
      <c r="Q4021" t="s">
        <v>2869</v>
      </c>
      <c r="R4021" t="s">
        <v>2824</v>
      </c>
      <c r="S4021" t="s">
        <v>2870</v>
      </c>
      <c r="T4021" t="s">
        <v>2448</v>
      </c>
      <c r="U4021">
        <v>301500</v>
      </c>
      <c r="V4021" t="s">
        <v>17019</v>
      </c>
      <c r="W4021" t="s">
        <v>15525</v>
      </c>
      <c r="X4021" t="s">
        <v>21623</v>
      </c>
      <c r="Y4021" t="s">
        <v>5187</v>
      </c>
      <c r="AA4021" t="s">
        <v>5188</v>
      </c>
      <c r="AB4021" t="s">
        <v>21624</v>
      </c>
      <c r="AC4021">
        <v>99115</v>
      </c>
      <c r="AD4021" t="s">
        <v>2873</v>
      </c>
      <c r="AE4021">
        <v>-41.391753360000003</v>
      </c>
      <c r="AF4021">
        <v>172.82366603</v>
      </c>
      <c r="AG4021">
        <v>25</v>
      </c>
      <c r="AH4021">
        <v>15</v>
      </c>
      <c r="AI4021">
        <v>3</v>
      </c>
      <c r="AJ4021">
        <v>3</v>
      </c>
      <c r="AK4021">
        <v>5</v>
      </c>
      <c r="AL4021">
        <v>0</v>
      </c>
      <c r="AM4021">
        <v>3</v>
      </c>
      <c r="AN4021">
        <v>0</v>
      </c>
      <c r="AO4021">
        <v>14</v>
      </c>
      <c r="AP4021">
        <v>14</v>
      </c>
      <c r="AQ4021">
        <v>0</v>
      </c>
      <c r="AR4021">
        <v>0</v>
      </c>
      <c r="AS4021">
        <v>0</v>
      </c>
      <c r="AT4021">
        <v>0</v>
      </c>
    </row>
    <row r="4022" spans="1:46">
      <c r="A4022">
        <v>65110</v>
      </c>
      <c r="B4022" t="s">
        <v>21914</v>
      </c>
      <c r="C4022" t="s">
        <v>21619</v>
      </c>
      <c r="D4022" t="s">
        <v>21620</v>
      </c>
      <c r="E4022" t="s">
        <v>21915</v>
      </c>
      <c r="F4022" t="s">
        <v>2853</v>
      </c>
      <c r="G4022" t="s">
        <v>2853</v>
      </c>
      <c r="H4022" t="s">
        <v>298</v>
      </c>
      <c r="J4022" t="s">
        <v>518</v>
      </c>
      <c r="K4022" t="s">
        <v>519</v>
      </c>
      <c r="M4022" t="s">
        <v>2287</v>
      </c>
      <c r="N4022" t="s">
        <v>557</v>
      </c>
      <c r="O4022" t="s">
        <v>2854</v>
      </c>
      <c r="P4022" t="s">
        <v>584</v>
      </c>
      <c r="Q4022" t="s">
        <v>2855</v>
      </c>
      <c r="R4022" t="s">
        <v>2824</v>
      </c>
      <c r="S4022" t="s">
        <v>2853</v>
      </c>
      <c r="T4022" t="s">
        <v>2448</v>
      </c>
      <c r="U4022">
        <v>305200</v>
      </c>
      <c r="V4022" t="s">
        <v>15298</v>
      </c>
      <c r="W4022" t="s">
        <v>2033</v>
      </c>
      <c r="X4022" t="s">
        <v>21623</v>
      </c>
      <c r="Y4022" t="s">
        <v>5187</v>
      </c>
      <c r="AA4022" t="s">
        <v>5188</v>
      </c>
      <c r="AB4022" t="s">
        <v>21624</v>
      </c>
      <c r="AE4022">
        <v>-41.286866779999997</v>
      </c>
      <c r="AF4022">
        <v>173.26718019</v>
      </c>
      <c r="AG4022">
        <v>25</v>
      </c>
      <c r="AH4022">
        <v>20</v>
      </c>
      <c r="AI4022">
        <v>10</v>
      </c>
      <c r="AJ4022">
        <v>12</v>
      </c>
      <c r="AK4022">
        <v>6</v>
      </c>
      <c r="AL4022">
        <v>6</v>
      </c>
      <c r="AM4022">
        <v>0</v>
      </c>
      <c r="AN4022">
        <v>1</v>
      </c>
      <c r="AO4022">
        <v>35</v>
      </c>
      <c r="AP4022">
        <v>31</v>
      </c>
      <c r="AQ4022">
        <v>5</v>
      </c>
      <c r="AR4022">
        <v>0</v>
      </c>
      <c r="AS4022">
        <v>6</v>
      </c>
      <c r="AT4022">
        <v>1</v>
      </c>
    </row>
    <row r="4023" spans="1:46">
      <c r="A4023">
        <v>65111</v>
      </c>
      <c r="B4023" t="s">
        <v>21916</v>
      </c>
      <c r="C4023" t="s">
        <v>21619</v>
      </c>
      <c r="D4023" t="s">
        <v>21888</v>
      </c>
      <c r="E4023" t="s">
        <v>21917</v>
      </c>
      <c r="G4023" t="s">
        <v>21918</v>
      </c>
      <c r="H4023" t="s">
        <v>298</v>
      </c>
      <c r="J4023" t="s">
        <v>518</v>
      </c>
      <c r="K4023" t="s">
        <v>519</v>
      </c>
      <c r="M4023" t="s">
        <v>2287</v>
      </c>
      <c r="N4023" t="s">
        <v>571</v>
      </c>
      <c r="O4023" t="s">
        <v>2868</v>
      </c>
      <c r="P4023" t="s">
        <v>523</v>
      </c>
      <c r="Q4023" t="s">
        <v>2869</v>
      </c>
      <c r="R4023" t="s">
        <v>2824</v>
      </c>
      <c r="S4023" t="s">
        <v>2870</v>
      </c>
      <c r="T4023" t="s">
        <v>2448</v>
      </c>
      <c r="U4023">
        <v>302300</v>
      </c>
      <c r="V4023" t="s">
        <v>21918</v>
      </c>
      <c r="W4023" t="s">
        <v>11292</v>
      </c>
      <c r="X4023" t="s">
        <v>21623</v>
      </c>
      <c r="Y4023" t="s">
        <v>5187</v>
      </c>
      <c r="AA4023" t="s">
        <v>5188</v>
      </c>
      <c r="AB4023" t="s">
        <v>21624</v>
      </c>
      <c r="AC4023">
        <v>99142</v>
      </c>
      <c r="AD4023" t="s">
        <v>2885</v>
      </c>
      <c r="AE4023">
        <v>-41.409042999999997</v>
      </c>
      <c r="AF4023">
        <v>173.04381219999999</v>
      </c>
      <c r="AG4023">
        <v>30</v>
      </c>
      <c r="AH4023">
        <v>15</v>
      </c>
      <c r="AI4023">
        <v>6</v>
      </c>
      <c r="AJ4023">
        <v>4</v>
      </c>
      <c r="AK4023">
        <v>8</v>
      </c>
      <c r="AL4023">
        <v>7</v>
      </c>
      <c r="AM4023">
        <v>2</v>
      </c>
      <c r="AN4023">
        <v>0</v>
      </c>
      <c r="AO4023">
        <v>27</v>
      </c>
      <c r="AP4023">
        <v>27</v>
      </c>
      <c r="AQ4023">
        <v>3</v>
      </c>
      <c r="AR4023">
        <v>0</v>
      </c>
      <c r="AS4023">
        <v>0</v>
      </c>
      <c r="AT4023">
        <v>2</v>
      </c>
    </row>
    <row r="4024" spans="1:46">
      <c r="A4024">
        <v>65114</v>
      </c>
      <c r="B4024" t="s">
        <v>21919</v>
      </c>
      <c r="C4024" t="s">
        <v>21920</v>
      </c>
      <c r="D4024" t="s">
        <v>21921</v>
      </c>
      <c r="E4024" t="s">
        <v>21922</v>
      </c>
      <c r="F4024" t="s">
        <v>3156</v>
      </c>
      <c r="G4024" t="s">
        <v>2941</v>
      </c>
      <c r="H4024" t="s">
        <v>3942</v>
      </c>
      <c r="J4024" t="s">
        <v>3962</v>
      </c>
      <c r="K4024" t="s">
        <v>519</v>
      </c>
      <c r="M4024" t="s">
        <v>2287</v>
      </c>
      <c r="N4024" t="s">
        <v>571</v>
      </c>
      <c r="O4024" t="s">
        <v>2942</v>
      </c>
      <c r="P4024" t="s">
        <v>654</v>
      </c>
      <c r="Q4024" t="s">
        <v>2943</v>
      </c>
      <c r="R4024" t="s">
        <v>2944</v>
      </c>
      <c r="S4024" t="s">
        <v>2957</v>
      </c>
      <c r="T4024" t="s">
        <v>2448</v>
      </c>
      <c r="U4024">
        <v>328700</v>
      </c>
      <c r="V4024" t="s">
        <v>21923</v>
      </c>
      <c r="W4024" t="s">
        <v>3014</v>
      </c>
      <c r="X4024" t="s">
        <v>12077</v>
      </c>
      <c r="Y4024" t="s">
        <v>4097</v>
      </c>
      <c r="Z4024" t="s">
        <v>4098</v>
      </c>
      <c r="AA4024" t="s">
        <v>4099</v>
      </c>
      <c r="AB4024" t="s">
        <v>10807</v>
      </c>
      <c r="AC4024">
        <v>99177</v>
      </c>
      <c r="AD4024" t="s">
        <v>2959</v>
      </c>
      <c r="AE4024">
        <v>-43.551546530000003</v>
      </c>
      <c r="AF4024">
        <v>172.63056949</v>
      </c>
      <c r="AG4024">
        <v>50</v>
      </c>
      <c r="AH4024">
        <v>16</v>
      </c>
      <c r="AI4024">
        <v>4</v>
      </c>
      <c r="AJ4024">
        <v>12</v>
      </c>
      <c r="AK4024">
        <v>8</v>
      </c>
      <c r="AL4024">
        <v>15</v>
      </c>
      <c r="AM4024">
        <v>12</v>
      </c>
      <c r="AN4024">
        <v>4</v>
      </c>
      <c r="AO4024">
        <v>55</v>
      </c>
      <c r="AP4024">
        <v>32</v>
      </c>
      <c r="AQ4024">
        <v>7</v>
      </c>
      <c r="AR4024">
        <v>1</v>
      </c>
      <c r="AS4024">
        <v>18</v>
      </c>
      <c r="AT4024">
        <v>7</v>
      </c>
    </row>
    <row r="4025" spans="1:46">
      <c r="A4025">
        <v>65115</v>
      </c>
      <c r="B4025" t="s">
        <v>21924</v>
      </c>
      <c r="C4025" t="s">
        <v>21925</v>
      </c>
      <c r="D4025" t="s">
        <v>21926</v>
      </c>
      <c r="E4025" t="s">
        <v>21927</v>
      </c>
      <c r="G4025" t="s">
        <v>21928</v>
      </c>
      <c r="H4025" t="s">
        <v>3942</v>
      </c>
      <c r="J4025" t="s">
        <v>3962</v>
      </c>
      <c r="K4025" t="s">
        <v>519</v>
      </c>
      <c r="M4025" t="s">
        <v>2287</v>
      </c>
      <c r="N4025" t="s">
        <v>571</v>
      </c>
      <c r="O4025" t="s">
        <v>3208</v>
      </c>
      <c r="P4025" t="s">
        <v>540</v>
      </c>
      <c r="Q4025" t="s">
        <v>2943</v>
      </c>
      <c r="R4025" t="s">
        <v>2944</v>
      </c>
      <c r="S4025" t="s">
        <v>3179</v>
      </c>
      <c r="T4025" t="s">
        <v>2448</v>
      </c>
      <c r="U4025">
        <v>334200</v>
      </c>
      <c r="V4025" t="s">
        <v>21929</v>
      </c>
      <c r="W4025" t="s">
        <v>3210</v>
      </c>
      <c r="X4025" t="s">
        <v>21930</v>
      </c>
      <c r="Y4025" t="s">
        <v>21931</v>
      </c>
      <c r="Z4025" t="s">
        <v>21928</v>
      </c>
      <c r="AA4025" t="s">
        <v>21932</v>
      </c>
      <c r="AB4025" t="s">
        <v>21933</v>
      </c>
      <c r="AC4025">
        <v>99207</v>
      </c>
      <c r="AD4025" t="s">
        <v>21934</v>
      </c>
      <c r="AE4025">
        <v>-43.659424110000003</v>
      </c>
      <c r="AF4025">
        <v>172.19293535</v>
      </c>
      <c r="AG4025">
        <v>44</v>
      </c>
      <c r="AH4025">
        <v>8</v>
      </c>
      <c r="AI4025">
        <v>2</v>
      </c>
      <c r="AJ4025">
        <v>7</v>
      </c>
      <c r="AK4025">
        <v>11</v>
      </c>
      <c r="AL4025">
        <v>22</v>
      </c>
      <c r="AM4025">
        <v>14</v>
      </c>
      <c r="AN4025">
        <v>1</v>
      </c>
      <c r="AO4025">
        <v>57</v>
      </c>
      <c r="AP4025">
        <v>47</v>
      </c>
      <c r="AQ4025">
        <v>4</v>
      </c>
      <c r="AR4025">
        <v>0</v>
      </c>
      <c r="AS4025">
        <v>7</v>
      </c>
      <c r="AT4025">
        <v>6</v>
      </c>
    </row>
    <row r="4026" spans="1:46">
      <c r="A4026">
        <v>65121</v>
      </c>
      <c r="B4026" t="s">
        <v>21935</v>
      </c>
      <c r="C4026" t="s">
        <v>21936</v>
      </c>
      <c r="D4026" t="s">
        <v>21937</v>
      </c>
      <c r="E4026" t="s">
        <v>21938</v>
      </c>
      <c r="G4026" t="s">
        <v>21939</v>
      </c>
      <c r="H4026" t="s">
        <v>3942</v>
      </c>
      <c r="J4026" t="s">
        <v>518</v>
      </c>
      <c r="K4026" t="s">
        <v>519</v>
      </c>
      <c r="M4026" t="s">
        <v>2287</v>
      </c>
      <c r="N4026" t="s">
        <v>571</v>
      </c>
      <c r="O4026" t="s">
        <v>2942</v>
      </c>
      <c r="P4026" t="s">
        <v>540</v>
      </c>
      <c r="Q4026" t="s">
        <v>2943</v>
      </c>
      <c r="R4026" t="s">
        <v>2944</v>
      </c>
      <c r="S4026" t="s">
        <v>2979</v>
      </c>
      <c r="T4026" t="s">
        <v>2448</v>
      </c>
      <c r="U4026">
        <v>333300</v>
      </c>
      <c r="V4026" t="s">
        <v>21940</v>
      </c>
      <c r="W4026" t="s">
        <v>3063</v>
      </c>
      <c r="X4026" t="s">
        <v>21941</v>
      </c>
      <c r="Y4026" t="s">
        <v>21938</v>
      </c>
      <c r="AA4026" t="s">
        <v>21942</v>
      </c>
      <c r="AE4026">
        <v>-43.749586039999997</v>
      </c>
      <c r="AF4026">
        <v>172.93209991000001</v>
      </c>
      <c r="AG4026">
        <v>30</v>
      </c>
      <c r="AH4026">
        <v>5</v>
      </c>
      <c r="AI4026">
        <v>0</v>
      </c>
      <c r="AJ4026">
        <v>3</v>
      </c>
      <c r="AK4026">
        <v>6</v>
      </c>
      <c r="AL4026">
        <v>8</v>
      </c>
      <c r="AM4026">
        <v>8</v>
      </c>
      <c r="AN4026">
        <v>0</v>
      </c>
      <c r="AO4026">
        <v>25</v>
      </c>
      <c r="AP4026">
        <v>25</v>
      </c>
      <c r="AQ4026">
        <v>2</v>
      </c>
      <c r="AR4026">
        <v>0</v>
      </c>
      <c r="AS4026">
        <v>2</v>
      </c>
      <c r="AT4026">
        <v>1</v>
      </c>
    </row>
    <row r="4027" spans="1:46">
      <c r="A4027">
        <v>65124</v>
      </c>
      <c r="B4027" t="s">
        <v>21943</v>
      </c>
      <c r="C4027" t="s">
        <v>21944</v>
      </c>
      <c r="D4027" t="s">
        <v>21945</v>
      </c>
      <c r="E4027" t="s">
        <v>21946</v>
      </c>
      <c r="F4027" t="s">
        <v>11710</v>
      </c>
      <c r="G4027" t="s">
        <v>2941</v>
      </c>
      <c r="H4027" t="s">
        <v>3942</v>
      </c>
      <c r="J4027" t="s">
        <v>518</v>
      </c>
      <c r="K4027" t="s">
        <v>519</v>
      </c>
      <c r="M4027" t="s">
        <v>2287</v>
      </c>
      <c r="N4027" t="s">
        <v>571</v>
      </c>
      <c r="O4027" t="s">
        <v>2942</v>
      </c>
      <c r="P4027" t="s">
        <v>654</v>
      </c>
      <c r="Q4027" t="s">
        <v>2943</v>
      </c>
      <c r="R4027" t="s">
        <v>2944</v>
      </c>
      <c r="S4027" t="s">
        <v>2965</v>
      </c>
      <c r="T4027" t="s">
        <v>2448</v>
      </c>
      <c r="U4027">
        <v>317400</v>
      </c>
      <c r="V4027" t="s">
        <v>11710</v>
      </c>
      <c r="W4027" t="s">
        <v>2986</v>
      </c>
      <c r="X4027" t="s">
        <v>10801</v>
      </c>
      <c r="Y4027" t="s">
        <v>3944</v>
      </c>
      <c r="Z4027" t="s">
        <v>3945</v>
      </c>
      <c r="AA4027" t="s">
        <v>3946</v>
      </c>
      <c r="AE4027">
        <v>-43.460929239999999</v>
      </c>
      <c r="AF4027">
        <v>172.62097216000001</v>
      </c>
      <c r="AG4027">
        <v>62</v>
      </c>
      <c r="AH4027">
        <v>12</v>
      </c>
      <c r="AI4027">
        <v>3</v>
      </c>
      <c r="AJ4027">
        <v>10</v>
      </c>
      <c r="AK4027">
        <v>10</v>
      </c>
      <c r="AL4027">
        <v>16</v>
      </c>
      <c r="AM4027">
        <v>13</v>
      </c>
      <c r="AN4027">
        <v>0</v>
      </c>
      <c r="AO4027">
        <v>52</v>
      </c>
      <c r="AP4027">
        <v>36</v>
      </c>
      <c r="AQ4027">
        <v>6</v>
      </c>
      <c r="AR4027">
        <v>3</v>
      </c>
      <c r="AS4027">
        <v>14</v>
      </c>
      <c r="AT4027">
        <v>5</v>
      </c>
    </row>
    <row r="4028" spans="1:46">
      <c r="A4028">
        <v>65125</v>
      </c>
      <c r="B4028" t="s">
        <v>21947</v>
      </c>
      <c r="C4028" t="s">
        <v>21948</v>
      </c>
      <c r="E4028" t="s">
        <v>21949</v>
      </c>
      <c r="F4028" t="s">
        <v>3111</v>
      </c>
      <c r="G4028" t="s">
        <v>2941</v>
      </c>
      <c r="H4028" t="s">
        <v>3942</v>
      </c>
      <c r="J4028" t="s">
        <v>3962</v>
      </c>
      <c r="K4028" t="s">
        <v>519</v>
      </c>
      <c r="M4028" t="s">
        <v>2287</v>
      </c>
      <c r="N4028" t="s">
        <v>571</v>
      </c>
      <c r="O4028" t="s">
        <v>2942</v>
      </c>
      <c r="P4028" t="s">
        <v>654</v>
      </c>
      <c r="Q4028" t="s">
        <v>2943</v>
      </c>
      <c r="R4028" t="s">
        <v>2944</v>
      </c>
      <c r="S4028" t="s">
        <v>2979</v>
      </c>
      <c r="T4028" t="s">
        <v>2448</v>
      </c>
      <c r="U4028">
        <v>330500</v>
      </c>
      <c r="V4028" t="s">
        <v>18060</v>
      </c>
      <c r="W4028" t="s">
        <v>2993</v>
      </c>
      <c r="X4028" t="s">
        <v>21950</v>
      </c>
      <c r="Y4028" t="s">
        <v>21951</v>
      </c>
      <c r="AA4028" t="s">
        <v>21952</v>
      </c>
      <c r="AB4028" t="s">
        <v>21953</v>
      </c>
      <c r="AC4028">
        <v>99063</v>
      </c>
      <c r="AD4028" t="s">
        <v>2994</v>
      </c>
      <c r="AE4028">
        <v>-43.54799251</v>
      </c>
      <c r="AF4028">
        <v>172.67004961000001</v>
      </c>
      <c r="AG4028">
        <v>51</v>
      </c>
      <c r="AH4028">
        <v>16</v>
      </c>
      <c r="AI4028">
        <v>0</v>
      </c>
      <c r="AJ4028">
        <v>15</v>
      </c>
      <c r="AK4028">
        <v>15</v>
      </c>
      <c r="AL4028">
        <v>16</v>
      </c>
      <c r="AM4028">
        <v>15</v>
      </c>
      <c r="AN4028">
        <v>1</v>
      </c>
      <c r="AO4028">
        <v>62</v>
      </c>
      <c r="AP4028">
        <v>49</v>
      </c>
      <c r="AQ4028">
        <v>10</v>
      </c>
      <c r="AR4028">
        <v>4</v>
      </c>
      <c r="AS4028">
        <v>13</v>
      </c>
      <c r="AT4028">
        <v>4</v>
      </c>
    </row>
    <row r="4029" spans="1:46">
      <c r="A4029">
        <v>65126</v>
      </c>
      <c r="B4029" t="s">
        <v>21954</v>
      </c>
      <c r="C4029" t="s">
        <v>21955</v>
      </c>
      <c r="E4029" t="s">
        <v>21956</v>
      </c>
      <c r="G4029" t="s">
        <v>3867</v>
      </c>
      <c r="H4029" t="s">
        <v>3942</v>
      </c>
      <c r="J4029" t="s">
        <v>3962</v>
      </c>
      <c r="K4029" t="s">
        <v>519</v>
      </c>
      <c r="M4029" t="s">
        <v>2287</v>
      </c>
      <c r="N4029" t="s">
        <v>571</v>
      </c>
      <c r="O4029" t="s">
        <v>2822</v>
      </c>
      <c r="P4029" t="s">
        <v>523</v>
      </c>
      <c r="Q4029" t="s">
        <v>2823</v>
      </c>
      <c r="R4029" t="s">
        <v>2824</v>
      </c>
      <c r="S4029" t="s">
        <v>2825</v>
      </c>
      <c r="T4029" t="s">
        <v>2448</v>
      </c>
      <c r="U4029">
        <v>307100</v>
      </c>
      <c r="V4029" t="s">
        <v>3867</v>
      </c>
      <c r="W4029" t="s">
        <v>3868</v>
      </c>
      <c r="X4029" t="s">
        <v>21957</v>
      </c>
      <c r="Y4029" t="s">
        <v>10660</v>
      </c>
      <c r="AA4029" t="s">
        <v>21958</v>
      </c>
      <c r="AB4029" t="s">
        <v>21959</v>
      </c>
      <c r="AC4029">
        <v>99006</v>
      </c>
      <c r="AD4029" t="s">
        <v>2831</v>
      </c>
      <c r="AE4029">
        <v>-41.51266734</v>
      </c>
      <c r="AF4029">
        <v>173.81874053000001</v>
      </c>
      <c r="AG4029">
        <v>22</v>
      </c>
      <c r="AH4029">
        <v>8</v>
      </c>
      <c r="AI4029">
        <v>0</v>
      </c>
      <c r="AJ4029">
        <v>1</v>
      </c>
      <c r="AK4029">
        <v>1</v>
      </c>
      <c r="AL4029">
        <v>5</v>
      </c>
      <c r="AM4029">
        <v>4</v>
      </c>
      <c r="AN4029">
        <v>0</v>
      </c>
      <c r="AO4029">
        <v>11</v>
      </c>
      <c r="AP4029">
        <v>9</v>
      </c>
      <c r="AQ4029">
        <v>3</v>
      </c>
      <c r="AR4029">
        <v>1</v>
      </c>
      <c r="AS4029">
        <v>0</v>
      </c>
      <c r="AT4029">
        <v>1</v>
      </c>
    </row>
    <row r="4030" spans="1:46">
      <c r="A4030">
        <v>65130</v>
      </c>
      <c r="B4030" t="s">
        <v>21960</v>
      </c>
      <c r="C4030" t="s">
        <v>21961</v>
      </c>
      <c r="D4030" t="s">
        <v>21962</v>
      </c>
      <c r="E4030" t="s">
        <v>21778</v>
      </c>
      <c r="F4030" t="s">
        <v>2853</v>
      </c>
      <c r="G4030" t="s">
        <v>2853</v>
      </c>
      <c r="H4030" t="s">
        <v>3942</v>
      </c>
      <c r="J4030" t="s">
        <v>3962</v>
      </c>
      <c r="K4030" t="s">
        <v>519</v>
      </c>
      <c r="M4030" t="s">
        <v>2287</v>
      </c>
      <c r="N4030" t="s">
        <v>571</v>
      </c>
      <c r="O4030" t="s">
        <v>2854</v>
      </c>
      <c r="P4030" t="s">
        <v>584</v>
      </c>
      <c r="Q4030" t="s">
        <v>2855</v>
      </c>
      <c r="R4030" t="s">
        <v>2824</v>
      </c>
      <c r="S4030" t="s">
        <v>2853</v>
      </c>
      <c r="T4030" t="s">
        <v>2448</v>
      </c>
      <c r="U4030">
        <v>304800</v>
      </c>
      <c r="V4030" t="s">
        <v>2877</v>
      </c>
      <c r="W4030" t="s">
        <v>2033</v>
      </c>
      <c r="X4030" t="s">
        <v>21777</v>
      </c>
      <c r="Y4030" t="s">
        <v>21778</v>
      </c>
      <c r="AA4030" t="s">
        <v>16315</v>
      </c>
      <c r="AB4030" t="s">
        <v>21779</v>
      </c>
      <c r="AC4030">
        <v>99005</v>
      </c>
      <c r="AD4030" t="s">
        <v>2878</v>
      </c>
      <c r="AE4030">
        <v>-41.267026799999996</v>
      </c>
      <c r="AF4030">
        <v>173.29168147999999</v>
      </c>
      <c r="AG4030">
        <v>27</v>
      </c>
      <c r="AH4030">
        <v>12</v>
      </c>
      <c r="AI4030">
        <v>2</v>
      </c>
      <c r="AJ4030">
        <v>10</v>
      </c>
      <c r="AK4030">
        <v>9</v>
      </c>
      <c r="AL4030">
        <v>8</v>
      </c>
      <c r="AM4030">
        <v>9</v>
      </c>
      <c r="AN4030">
        <v>0</v>
      </c>
      <c r="AO4030">
        <v>38</v>
      </c>
      <c r="AP4030">
        <v>37</v>
      </c>
      <c r="AQ4030">
        <v>4</v>
      </c>
      <c r="AR4030">
        <v>0</v>
      </c>
      <c r="AS4030">
        <v>2</v>
      </c>
      <c r="AT4030">
        <v>1</v>
      </c>
    </row>
    <row r="4031" spans="1:46">
      <c r="A4031">
        <v>65131</v>
      </c>
      <c r="B4031" t="s">
        <v>21963</v>
      </c>
      <c r="C4031" t="s">
        <v>21964</v>
      </c>
      <c r="D4031" t="s">
        <v>11954</v>
      </c>
      <c r="E4031" t="s">
        <v>21965</v>
      </c>
      <c r="G4031" t="s">
        <v>21966</v>
      </c>
      <c r="H4031" t="s">
        <v>3942</v>
      </c>
      <c r="J4031" t="s">
        <v>3962</v>
      </c>
      <c r="K4031" t="s">
        <v>519</v>
      </c>
      <c r="M4031" t="s">
        <v>2287</v>
      </c>
      <c r="N4031" t="s">
        <v>571</v>
      </c>
      <c r="O4031" t="s">
        <v>3527</v>
      </c>
      <c r="P4031" t="s">
        <v>540</v>
      </c>
      <c r="Q4031" t="s">
        <v>3497</v>
      </c>
      <c r="R4031" t="s">
        <v>3338</v>
      </c>
      <c r="S4031" t="s">
        <v>3498</v>
      </c>
      <c r="T4031" t="s">
        <v>2448</v>
      </c>
      <c r="U4031">
        <v>359100</v>
      </c>
      <c r="V4031" t="s">
        <v>21967</v>
      </c>
      <c r="W4031" t="s">
        <v>21968</v>
      </c>
      <c r="X4031" t="s">
        <v>11957</v>
      </c>
      <c r="Y4031" t="s">
        <v>11958</v>
      </c>
      <c r="AA4031" t="s">
        <v>11959</v>
      </c>
      <c r="AB4031" t="s">
        <v>11960</v>
      </c>
      <c r="AC4031">
        <v>99028</v>
      </c>
      <c r="AD4031" t="s">
        <v>21969</v>
      </c>
      <c r="AE4031">
        <v>-46.311950680000002</v>
      </c>
      <c r="AF4031">
        <v>168.78794156000001</v>
      </c>
      <c r="AG4031">
        <v>45</v>
      </c>
      <c r="AH4031">
        <v>15</v>
      </c>
      <c r="AI4031">
        <v>0</v>
      </c>
      <c r="AJ4031">
        <v>6</v>
      </c>
      <c r="AK4031">
        <v>3</v>
      </c>
      <c r="AL4031">
        <v>15</v>
      </c>
      <c r="AM4031">
        <v>9</v>
      </c>
      <c r="AN4031">
        <v>0</v>
      </c>
      <c r="AO4031">
        <v>33</v>
      </c>
      <c r="AP4031">
        <v>26</v>
      </c>
      <c r="AQ4031">
        <v>8</v>
      </c>
      <c r="AR4031">
        <v>1</v>
      </c>
      <c r="AS4031">
        <v>3</v>
      </c>
      <c r="AT4031">
        <v>0</v>
      </c>
    </row>
    <row r="4032" spans="1:46">
      <c r="A4032">
        <v>65132</v>
      </c>
      <c r="B4032" t="s">
        <v>21970</v>
      </c>
      <c r="C4032" t="s">
        <v>14578</v>
      </c>
      <c r="D4032" t="s">
        <v>21971</v>
      </c>
      <c r="E4032" t="s">
        <v>14581</v>
      </c>
      <c r="F4032" t="s">
        <v>3081</v>
      </c>
      <c r="G4032" t="s">
        <v>2941</v>
      </c>
      <c r="H4032" t="s">
        <v>8824</v>
      </c>
      <c r="I4032" t="s">
        <v>4951</v>
      </c>
      <c r="J4032" t="s">
        <v>518</v>
      </c>
      <c r="K4032" t="s">
        <v>519</v>
      </c>
      <c r="M4032" t="s">
        <v>2287</v>
      </c>
      <c r="N4032" t="s">
        <v>571</v>
      </c>
      <c r="O4032" t="s">
        <v>2942</v>
      </c>
      <c r="P4032" t="s">
        <v>654</v>
      </c>
      <c r="Q4032" t="s">
        <v>2943</v>
      </c>
      <c r="R4032" t="s">
        <v>2944</v>
      </c>
      <c r="S4032" t="s">
        <v>2973</v>
      </c>
      <c r="T4032" t="s">
        <v>2448</v>
      </c>
      <c r="U4032">
        <v>323400</v>
      </c>
      <c r="V4032" t="s">
        <v>3069</v>
      </c>
      <c r="W4032" t="s">
        <v>3070</v>
      </c>
      <c r="X4032" t="s">
        <v>14580</v>
      </c>
      <c r="Y4032" t="s">
        <v>14581</v>
      </c>
      <c r="Z4032" t="s">
        <v>3081</v>
      </c>
      <c r="AA4032" t="s">
        <v>11701</v>
      </c>
      <c r="AB4032" t="s">
        <v>14582</v>
      </c>
      <c r="AC4032">
        <v>99215</v>
      </c>
      <c r="AD4032" t="s">
        <v>10972</v>
      </c>
      <c r="AE4032">
        <v>-43.495181680000002</v>
      </c>
      <c r="AF4032">
        <v>172.65370573999999</v>
      </c>
      <c r="AG4032">
        <v>35</v>
      </c>
      <c r="AH4032">
        <v>10</v>
      </c>
      <c r="AI4032">
        <v>0</v>
      </c>
      <c r="AJ4032">
        <v>5</v>
      </c>
      <c r="AK4032">
        <v>11</v>
      </c>
      <c r="AL4032">
        <v>8</v>
      </c>
      <c r="AM4032">
        <v>5</v>
      </c>
      <c r="AN4032">
        <v>0</v>
      </c>
      <c r="AO4032">
        <v>29</v>
      </c>
      <c r="AP4032">
        <v>14</v>
      </c>
      <c r="AQ4032">
        <v>27</v>
      </c>
      <c r="AR4032">
        <v>6</v>
      </c>
      <c r="AS4032">
        <v>0</v>
      </c>
      <c r="AT4032">
        <v>1</v>
      </c>
    </row>
    <row r="4033" spans="1:46">
      <c r="A4033">
        <v>65135</v>
      </c>
      <c r="B4033" t="s">
        <v>21972</v>
      </c>
      <c r="C4033" t="s">
        <v>21973</v>
      </c>
      <c r="D4033" t="s">
        <v>21974</v>
      </c>
      <c r="E4033" t="s">
        <v>21975</v>
      </c>
      <c r="F4033" t="s">
        <v>3194</v>
      </c>
      <c r="G4033" t="s">
        <v>2941</v>
      </c>
      <c r="H4033" t="s">
        <v>3942</v>
      </c>
      <c r="J4033" t="s">
        <v>518</v>
      </c>
      <c r="K4033" t="s">
        <v>519</v>
      </c>
      <c r="M4033" t="s">
        <v>2287</v>
      </c>
      <c r="N4033" t="s">
        <v>571</v>
      </c>
      <c r="O4033" t="s">
        <v>2942</v>
      </c>
      <c r="P4033" t="s">
        <v>654</v>
      </c>
      <c r="Q4033" t="s">
        <v>2943</v>
      </c>
      <c r="R4033" t="s">
        <v>2944</v>
      </c>
      <c r="S4033" t="s">
        <v>3019</v>
      </c>
      <c r="T4033" t="s">
        <v>2448</v>
      </c>
      <c r="U4033">
        <v>325400</v>
      </c>
      <c r="V4033" t="s">
        <v>12202</v>
      </c>
      <c r="W4033" t="s">
        <v>3196</v>
      </c>
      <c r="X4033" t="s">
        <v>10801</v>
      </c>
      <c r="Y4033" t="s">
        <v>3944</v>
      </c>
      <c r="Z4033" t="s">
        <v>3945</v>
      </c>
      <c r="AA4033" t="s">
        <v>3946</v>
      </c>
      <c r="AE4033">
        <v>-43.565844730000002</v>
      </c>
      <c r="AF4033">
        <v>172.56798040000001</v>
      </c>
      <c r="AG4033">
        <v>50</v>
      </c>
      <c r="AH4033">
        <v>12</v>
      </c>
      <c r="AI4033">
        <v>3</v>
      </c>
      <c r="AJ4033">
        <v>4</v>
      </c>
      <c r="AK4033">
        <v>16</v>
      </c>
      <c r="AL4033">
        <v>17</v>
      </c>
      <c r="AM4033">
        <v>15</v>
      </c>
      <c r="AN4033">
        <v>1</v>
      </c>
      <c r="AO4033">
        <v>56</v>
      </c>
      <c r="AP4033">
        <v>37</v>
      </c>
      <c r="AQ4033">
        <v>5</v>
      </c>
      <c r="AR4033">
        <v>0</v>
      </c>
      <c r="AS4033">
        <v>12</v>
      </c>
      <c r="AT4033">
        <v>10</v>
      </c>
    </row>
    <row r="4034" spans="1:46">
      <c r="A4034">
        <v>65137</v>
      </c>
      <c r="B4034" t="s">
        <v>21976</v>
      </c>
      <c r="C4034" t="s">
        <v>21977</v>
      </c>
      <c r="D4034" t="s">
        <v>21978</v>
      </c>
      <c r="E4034" t="s">
        <v>21855</v>
      </c>
      <c r="F4034" t="s">
        <v>3115</v>
      </c>
      <c r="G4034" t="s">
        <v>2941</v>
      </c>
      <c r="H4034" t="s">
        <v>3942</v>
      </c>
      <c r="J4034" t="s">
        <v>518</v>
      </c>
      <c r="K4034" t="s">
        <v>519</v>
      </c>
      <c r="M4034" t="s">
        <v>2287</v>
      </c>
      <c r="N4034" t="s">
        <v>4519</v>
      </c>
      <c r="O4034" t="s">
        <v>2942</v>
      </c>
      <c r="P4034" t="s">
        <v>654</v>
      </c>
      <c r="Q4034" t="s">
        <v>2943</v>
      </c>
      <c r="R4034" t="s">
        <v>2944</v>
      </c>
      <c r="S4034" t="s">
        <v>2957</v>
      </c>
      <c r="T4034" t="s">
        <v>2448</v>
      </c>
      <c r="U4034">
        <v>320900</v>
      </c>
      <c r="V4034" t="s">
        <v>21979</v>
      </c>
      <c r="W4034" t="s">
        <v>3098</v>
      </c>
      <c r="X4034" t="s">
        <v>21980</v>
      </c>
      <c r="Y4034" t="s">
        <v>21855</v>
      </c>
      <c r="Z4034" t="s">
        <v>3115</v>
      </c>
      <c r="AA4034" t="s">
        <v>11521</v>
      </c>
      <c r="AB4034" t="s">
        <v>21981</v>
      </c>
      <c r="AE4034">
        <v>-43.499359140000003</v>
      </c>
      <c r="AF4034">
        <v>172.61075740999999</v>
      </c>
      <c r="AG4034">
        <v>46</v>
      </c>
      <c r="AH4034">
        <v>0</v>
      </c>
      <c r="AI4034">
        <v>0</v>
      </c>
      <c r="AJ4034">
        <v>0</v>
      </c>
      <c r="AK4034">
        <v>7</v>
      </c>
      <c r="AL4034">
        <v>13</v>
      </c>
      <c r="AM4034">
        <v>25</v>
      </c>
      <c r="AN4034">
        <v>4</v>
      </c>
      <c r="AO4034">
        <v>49</v>
      </c>
      <c r="AP4034">
        <v>35</v>
      </c>
      <c r="AQ4034">
        <v>2</v>
      </c>
      <c r="AR4034">
        <v>9</v>
      </c>
      <c r="AS4034">
        <v>10</v>
      </c>
      <c r="AT4034">
        <v>6</v>
      </c>
    </row>
    <row r="4035" spans="1:46">
      <c r="A4035">
        <v>65138</v>
      </c>
      <c r="B4035" t="s">
        <v>21982</v>
      </c>
      <c r="D4035" t="s">
        <v>21983</v>
      </c>
      <c r="E4035" t="s">
        <v>21984</v>
      </c>
      <c r="G4035" t="s">
        <v>21902</v>
      </c>
      <c r="H4035" t="s">
        <v>3942</v>
      </c>
      <c r="J4035" t="s">
        <v>3962</v>
      </c>
      <c r="K4035" t="s">
        <v>519</v>
      </c>
      <c r="M4035" t="s">
        <v>2287</v>
      </c>
      <c r="N4035" t="s">
        <v>571</v>
      </c>
      <c r="O4035" t="s">
        <v>2868</v>
      </c>
      <c r="P4035" t="s">
        <v>523</v>
      </c>
      <c r="Q4035" t="s">
        <v>2869</v>
      </c>
      <c r="R4035" t="s">
        <v>2824</v>
      </c>
      <c r="S4035" t="s">
        <v>2870</v>
      </c>
      <c r="T4035" t="s">
        <v>2448</v>
      </c>
      <c r="U4035">
        <v>301704</v>
      </c>
      <c r="V4035" t="s">
        <v>21903</v>
      </c>
      <c r="W4035" t="s">
        <v>11292</v>
      </c>
      <c r="X4035" t="s">
        <v>10938</v>
      </c>
      <c r="Y4035" t="s">
        <v>21985</v>
      </c>
      <c r="AA4035" t="s">
        <v>18536</v>
      </c>
      <c r="AB4035" t="s">
        <v>10941</v>
      </c>
      <c r="AC4035">
        <v>99115</v>
      </c>
      <c r="AD4035" t="s">
        <v>2873</v>
      </c>
      <c r="AE4035">
        <v>-41.253689299999998</v>
      </c>
      <c r="AF4035">
        <v>173.09653746000001</v>
      </c>
      <c r="AG4035">
        <v>42</v>
      </c>
      <c r="AH4035">
        <v>20</v>
      </c>
      <c r="AI4035">
        <v>2</v>
      </c>
      <c r="AJ4035">
        <v>6</v>
      </c>
      <c r="AK4035">
        <v>14</v>
      </c>
      <c r="AL4035">
        <v>11</v>
      </c>
      <c r="AM4035">
        <v>12</v>
      </c>
      <c r="AN4035">
        <v>1</v>
      </c>
      <c r="AO4035">
        <v>46</v>
      </c>
      <c r="AP4035">
        <v>44</v>
      </c>
      <c r="AQ4035">
        <v>7</v>
      </c>
      <c r="AR4035">
        <v>0</v>
      </c>
      <c r="AS4035">
        <v>0</v>
      </c>
      <c r="AT4035">
        <v>1</v>
      </c>
    </row>
    <row r="4036" spans="1:46">
      <c r="A4036">
        <v>65139</v>
      </c>
      <c r="B4036" t="s">
        <v>21986</v>
      </c>
      <c r="C4036" t="s">
        <v>21987</v>
      </c>
      <c r="D4036" t="s">
        <v>21988</v>
      </c>
      <c r="E4036" t="s">
        <v>21989</v>
      </c>
      <c r="F4036" t="s">
        <v>3130</v>
      </c>
      <c r="G4036" t="s">
        <v>2941</v>
      </c>
      <c r="H4036" t="s">
        <v>3942</v>
      </c>
      <c r="J4036" t="s">
        <v>3962</v>
      </c>
      <c r="K4036" t="s">
        <v>519</v>
      </c>
      <c r="M4036" t="s">
        <v>2287</v>
      </c>
      <c r="N4036" t="s">
        <v>571</v>
      </c>
      <c r="O4036" t="s">
        <v>2942</v>
      </c>
      <c r="P4036" t="s">
        <v>654</v>
      </c>
      <c r="Q4036" t="s">
        <v>2943</v>
      </c>
      <c r="R4036" t="s">
        <v>2944</v>
      </c>
      <c r="S4036" t="s">
        <v>2973</v>
      </c>
      <c r="T4036" t="s">
        <v>2448</v>
      </c>
      <c r="U4036">
        <v>325601</v>
      </c>
      <c r="V4036" t="s">
        <v>21990</v>
      </c>
      <c r="W4036" t="s">
        <v>3126</v>
      </c>
      <c r="X4036" t="s">
        <v>21991</v>
      </c>
      <c r="Y4036" t="s">
        <v>4107</v>
      </c>
      <c r="AA4036" t="s">
        <v>3982</v>
      </c>
      <c r="AB4036" t="s">
        <v>21992</v>
      </c>
      <c r="AC4036">
        <v>99175</v>
      </c>
      <c r="AD4036" t="s">
        <v>3071</v>
      </c>
      <c r="AE4036">
        <v>-43.498737869999999</v>
      </c>
      <c r="AF4036">
        <v>172.68178811999999</v>
      </c>
      <c r="AG4036">
        <v>68</v>
      </c>
      <c r="AH4036">
        <v>16</v>
      </c>
      <c r="AI4036">
        <v>4</v>
      </c>
      <c r="AJ4036">
        <v>14</v>
      </c>
      <c r="AK4036">
        <v>21</v>
      </c>
      <c r="AL4036">
        <v>22</v>
      </c>
      <c r="AM4036">
        <v>24</v>
      </c>
      <c r="AN4036">
        <v>1</v>
      </c>
      <c r="AO4036">
        <v>86</v>
      </c>
      <c r="AP4036">
        <v>69</v>
      </c>
      <c r="AQ4036">
        <v>20</v>
      </c>
      <c r="AR4036">
        <v>2</v>
      </c>
      <c r="AS4036">
        <v>2</v>
      </c>
      <c r="AT4036">
        <v>9</v>
      </c>
    </row>
    <row r="4037" spans="1:46">
      <c r="A4037">
        <v>65140</v>
      </c>
      <c r="B4037" t="s">
        <v>21993</v>
      </c>
      <c r="C4037" t="s">
        <v>21994</v>
      </c>
      <c r="D4037" t="s">
        <v>21995</v>
      </c>
      <c r="E4037" t="s">
        <v>21996</v>
      </c>
      <c r="G4037" t="s">
        <v>21997</v>
      </c>
      <c r="H4037" t="s">
        <v>517</v>
      </c>
      <c r="J4037" t="s">
        <v>518</v>
      </c>
      <c r="K4037" t="s">
        <v>519</v>
      </c>
      <c r="M4037" t="s">
        <v>2287</v>
      </c>
      <c r="N4037" t="s">
        <v>571</v>
      </c>
      <c r="O4037" t="s">
        <v>2854</v>
      </c>
      <c r="P4037" t="s">
        <v>572</v>
      </c>
      <c r="Q4037" t="s">
        <v>2855</v>
      </c>
      <c r="R4037" t="s">
        <v>2824</v>
      </c>
      <c r="S4037" t="s">
        <v>2853</v>
      </c>
      <c r="T4037" t="s">
        <v>2448</v>
      </c>
      <c r="U4037">
        <v>303600</v>
      </c>
      <c r="V4037" t="s">
        <v>21998</v>
      </c>
      <c r="W4037" t="s">
        <v>2033</v>
      </c>
      <c r="X4037" t="s">
        <v>2858</v>
      </c>
      <c r="Y4037" t="s">
        <v>2859</v>
      </c>
      <c r="Z4037" t="s">
        <v>2853</v>
      </c>
      <c r="AA4037" t="s">
        <v>2860</v>
      </c>
      <c r="AB4037" t="s">
        <v>2861</v>
      </c>
      <c r="AC4037">
        <v>99005</v>
      </c>
      <c r="AD4037" t="s">
        <v>2878</v>
      </c>
      <c r="AE4037">
        <v>-41.207292690000003</v>
      </c>
      <c r="AF4037">
        <v>173.36388334</v>
      </c>
      <c r="AG4037">
        <v>36</v>
      </c>
      <c r="AH4037">
        <v>0</v>
      </c>
      <c r="AI4037">
        <v>0</v>
      </c>
      <c r="AJ4037">
        <v>0</v>
      </c>
      <c r="AK4037">
        <v>8</v>
      </c>
      <c r="AL4037">
        <v>7</v>
      </c>
      <c r="AM4037">
        <v>10</v>
      </c>
      <c r="AN4037">
        <v>5</v>
      </c>
      <c r="AO4037">
        <v>30</v>
      </c>
      <c r="AP4037">
        <v>23</v>
      </c>
      <c r="AQ4037">
        <v>6</v>
      </c>
      <c r="AR4037">
        <v>0</v>
      </c>
      <c r="AS4037">
        <v>1</v>
      </c>
      <c r="AT4037">
        <v>0</v>
      </c>
    </row>
    <row r="4038" spans="1:46">
      <c r="A4038">
        <v>65142</v>
      </c>
      <c r="B4038" t="s">
        <v>21999</v>
      </c>
      <c r="C4038" t="s">
        <v>22000</v>
      </c>
      <c r="D4038" t="s">
        <v>22001</v>
      </c>
      <c r="E4038" t="s">
        <v>22002</v>
      </c>
      <c r="G4038" t="s">
        <v>3498</v>
      </c>
      <c r="H4038" t="s">
        <v>3942</v>
      </c>
      <c r="J4038" t="s">
        <v>3962</v>
      </c>
      <c r="K4038" t="s">
        <v>519</v>
      </c>
      <c r="M4038" t="s">
        <v>2287</v>
      </c>
      <c r="N4038" t="s">
        <v>571</v>
      </c>
      <c r="O4038" t="s">
        <v>3496</v>
      </c>
      <c r="P4038" t="s">
        <v>584</v>
      </c>
      <c r="Q4038" t="s">
        <v>3497</v>
      </c>
      <c r="R4038" t="s">
        <v>3338</v>
      </c>
      <c r="S4038" t="s">
        <v>3498</v>
      </c>
      <c r="T4038" t="s">
        <v>2448</v>
      </c>
      <c r="U4038">
        <v>361501</v>
      </c>
      <c r="V4038" t="s">
        <v>3585</v>
      </c>
      <c r="W4038" t="s">
        <v>1652</v>
      </c>
      <c r="X4038" t="s">
        <v>22003</v>
      </c>
      <c r="Y4038" t="s">
        <v>22004</v>
      </c>
      <c r="AA4038" t="s">
        <v>22005</v>
      </c>
      <c r="AB4038" t="s">
        <v>22006</v>
      </c>
      <c r="AE4038">
        <v>-46.394463809999998</v>
      </c>
      <c r="AF4038">
        <v>168.37385774000001</v>
      </c>
      <c r="AG4038">
        <v>65</v>
      </c>
      <c r="AH4038">
        <v>25</v>
      </c>
      <c r="AI4038">
        <v>1</v>
      </c>
      <c r="AJ4038">
        <v>17</v>
      </c>
      <c r="AK4038">
        <v>26</v>
      </c>
      <c r="AL4038">
        <v>20</v>
      </c>
      <c r="AM4038">
        <v>11</v>
      </c>
      <c r="AN4038">
        <v>2</v>
      </c>
      <c r="AO4038">
        <v>77</v>
      </c>
      <c r="AP4038">
        <v>57</v>
      </c>
      <c r="AQ4038">
        <v>22</v>
      </c>
      <c r="AR4038">
        <v>4</v>
      </c>
      <c r="AS4038">
        <v>8</v>
      </c>
      <c r="AT4038">
        <v>0</v>
      </c>
    </row>
    <row r="4039" spans="1:46">
      <c r="A4039">
        <v>65143</v>
      </c>
      <c r="B4039" t="s">
        <v>22007</v>
      </c>
      <c r="C4039" t="s">
        <v>22008</v>
      </c>
      <c r="D4039" t="s">
        <v>22009</v>
      </c>
      <c r="E4039" t="s">
        <v>22010</v>
      </c>
      <c r="F4039" t="s">
        <v>2957</v>
      </c>
      <c r="G4039" t="s">
        <v>2941</v>
      </c>
      <c r="H4039" t="s">
        <v>3942</v>
      </c>
      <c r="I4039" t="s">
        <v>4951</v>
      </c>
      <c r="J4039" t="s">
        <v>518</v>
      </c>
      <c r="K4039" t="s">
        <v>519</v>
      </c>
      <c r="M4039" t="s">
        <v>2287</v>
      </c>
      <c r="N4039" t="s">
        <v>557</v>
      </c>
      <c r="O4039" t="s">
        <v>2942</v>
      </c>
      <c r="P4039" t="s">
        <v>654</v>
      </c>
      <c r="Q4039" t="s">
        <v>2943</v>
      </c>
      <c r="R4039" t="s">
        <v>2944</v>
      </c>
      <c r="S4039" t="s">
        <v>2957</v>
      </c>
      <c r="T4039" t="s">
        <v>2448</v>
      </c>
      <c r="U4039">
        <v>327100</v>
      </c>
      <c r="V4039" t="s">
        <v>16427</v>
      </c>
      <c r="W4039" t="s">
        <v>2443</v>
      </c>
      <c r="X4039" t="s">
        <v>22011</v>
      </c>
      <c r="Y4039" t="s">
        <v>22012</v>
      </c>
      <c r="Z4039" t="s">
        <v>22013</v>
      </c>
      <c r="AA4039" t="s">
        <v>17869</v>
      </c>
      <c r="AB4039" t="s">
        <v>22008</v>
      </c>
      <c r="AE4039">
        <v>-43.538029479999999</v>
      </c>
      <c r="AF4039">
        <v>172.64498785999999</v>
      </c>
      <c r="AG4039">
        <v>40</v>
      </c>
      <c r="AH4039">
        <v>10</v>
      </c>
      <c r="AI4039">
        <v>0</v>
      </c>
      <c r="AJ4039">
        <v>10</v>
      </c>
      <c r="AK4039">
        <v>4</v>
      </c>
      <c r="AL4039">
        <v>8</v>
      </c>
      <c r="AM4039">
        <v>5</v>
      </c>
      <c r="AN4039">
        <v>0</v>
      </c>
      <c r="AO4039">
        <v>27</v>
      </c>
      <c r="AP4039">
        <v>14</v>
      </c>
      <c r="AQ4039">
        <v>21</v>
      </c>
      <c r="AR4039">
        <v>4</v>
      </c>
      <c r="AS4039">
        <v>2</v>
      </c>
      <c r="AT4039">
        <v>3</v>
      </c>
    </row>
    <row r="4040" spans="1:46">
      <c r="A4040">
        <v>65145</v>
      </c>
      <c r="B4040" t="s">
        <v>22014</v>
      </c>
      <c r="C4040" t="s">
        <v>22015</v>
      </c>
      <c r="E4040" t="s">
        <v>22016</v>
      </c>
      <c r="G4040" t="s">
        <v>10911</v>
      </c>
      <c r="H4040" t="s">
        <v>3942</v>
      </c>
      <c r="J4040" t="s">
        <v>3962</v>
      </c>
      <c r="K4040" t="s">
        <v>519</v>
      </c>
      <c r="M4040" t="s">
        <v>2287</v>
      </c>
      <c r="N4040" t="s">
        <v>571</v>
      </c>
      <c r="O4040" t="s">
        <v>3208</v>
      </c>
      <c r="P4040" t="s">
        <v>1262</v>
      </c>
      <c r="Q4040" t="s">
        <v>2943</v>
      </c>
      <c r="R4040" t="s">
        <v>2944</v>
      </c>
      <c r="S4040" t="s">
        <v>3179</v>
      </c>
      <c r="T4040" t="s">
        <v>2448</v>
      </c>
      <c r="U4040">
        <v>335201</v>
      </c>
      <c r="V4040" t="s">
        <v>10913</v>
      </c>
      <c r="W4040" t="s">
        <v>10914</v>
      </c>
      <c r="X4040" t="s">
        <v>22017</v>
      </c>
      <c r="Y4040" t="s">
        <v>4658</v>
      </c>
      <c r="Z4040" t="s">
        <v>958</v>
      </c>
      <c r="AA4040" t="s">
        <v>4659</v>
      </c>
      <c r="AC4040">
        <v>99206</v>
      </c>
      <c r="AD4040" t="s">
        <v>3211</v>
      </c>
      <c r="AE4040">
        <v>-43.593747780000001</v>
      </c>
      <c r="AF4040">
        <v>172.38190309000001</v>
      </c>
      <c r="AG4040">
        <v>81</v>
      </c>
      <c r="AH4040">
        <v>12</v>
      </c>
      <c r="AI4040">
        <v>1</v>
      </c>
      <c r="AJ4040">
        <v>12</v>
      </c>
      <c r="AK4040">
        <v>18</v>
      </c>
      <c r="AL4040">
        <v>31</v>
      </c>
      <c r="AM4040">
        <v>25</v>
      </c>
      <c r="AN4040">
        <v>2</v>
      </c>
      <c r="AO4040">
        <v>89</v>
      </c>
      <c r="AP4040">
        <v>53</v>
      </c>
      <c r="AQ4040">
        <v>5</v>
      </c>
      <c r="AR4040">
        <v>5</v>
      </c>
      <c r="AS4040">
        <v>31</v>
      </c>
      <c r="AT4040">
        <v>5</v>
      </c>
    </row>
    <row r="4041" spans="1:46">
      <c r="A4041">
        <v>65146</v>
      </c>
      <c r="B4041" t="s">
        <v>22018</v>
      </c>
      <c r="C4041" t="s">
        <v>22019</v>
      </c>
      <c r="D4041" t="s">
        <v>22020</v>
      </c>
      <c r="E4041" t="s">
        <v>22021</v>
      </c>
      <c r="G4041" t="s">
        <v>3498</v>
      </c>
      <c r="H4041" t="s">
        <v>3942</v>
      </c>
      <c r="J4041" t="s">
        <v>3962</v>
      </c>
      <c r="K4041" t="s">
        <v>519</v>
      </c>
      <c r="M4041" t="s">
        <v>2287</v>
      </c>
      <c r="N4041" t="s">
        <v>571</v>
      </c>
      <c r="O4041" t="s">
        <v>3496</v>
      </c>
      <c r="P4041" t="s">
        <v>584</v>
      </c>
      <c r="Q4041" t="s">
        <v>3497</v>
      </c>
      <c r="R4041" t="s">
        <v>3338</v>
      </c>
      <c r="S4041" t="s">
        <v>3498</v>
      </c>
      <c r="T4041" t="s">
        <v>2448</v>
      </c>
      <c r="U4041">
        <v>361000</v>
      </c>
      <c r="V4041" t="s">
        <v>11283</v>
      </c>
      <c r="W4041" t="s">
        <v>1652</v>
      </c>
      <c r="X4041" t="s">
        <v>22022</v>
      </c>
      <c r="Y4041" t="s">
        <v>22023</v>
      </c>
      <c r="Z4041" t="s">
        <v>13925</v>
      </c>
      <c r="AA4041" t="s">
        <v>11903</v>
      </c>
      <c r="AB4041" t="s">
        <v>22019</v>
      </c>
      <c r="AE4041">
        <v>-46.406628079999997</v>
      </c>
      <c r="AF4041">
        <v>168.3503268</v>
      </c>
      <c r="AG4041">
        <v>35</v>
      </c>
      <c r="AH4041">
        <v>10</v>
      </c>
      <c r="AI4041">
        <v>0</v>
      </c>
      <c r="AJ4041">
        <v>9</v>
      </c>
      <c r="AK4041">
        <v>5</v>
      </c>
      <c r="AL4041">
        <v>8</v>
      </c>
      <c r="AM4041">
        <v>11</v>
      </c>
      <c r="AN4041">
        <v>1</v>
      </c>
      <c r="AO4041">
        <v>34</v>
      </c>
      <c r="AP4041">
        <v>23</v>
      </c>
      <c r="AQ4041">
        <v>10</v>
      </c>
      <c r="AR4041">
        <v>2</v>
      </c>
      <c r="AS4041">
        <v>15</v>
      </c>
      <c r="AT4041">
        <v>0</v>
      </c>
    </row>
    <row r="4042" spans="1:46">
      <c r="A4042">
        <v>65148</v>
      </c>
      <c r="B4042" t="s">
        <v>22024</v>
      </c>
      <c r="C4042" t="s">
        <v>22025</v>
      </c>
      <c r="D4042" t="s">
        <v>22026</v>
      </c>
      <c r="E4042" t="s">
        <v>22027</v>
      </c>
      <c r="G4042" t="s">
        <v>3590</v>
      </c>
      <c r="H4042" t="s">
        <v>3942</v>
      </c>
      <c r="I4042" t="s">
        <v>22028</v>
      </c>
      <c r="J4042" t="s">
        <v>3962</v>
      </c>
      <c r="K4042" t="s">
        <v>519</v>
      </c>
      <c r="M4042" t="s">
        <v>2287</v>
      </c>
      <c r="N4042" t="s">
        <v>571</v>
      </c>
      <c r="O4042" t="s">
        <v>3527</v>
      </c>
      <c r="P4042" t="s">
        <v>523</v>
      </c>
      <c r="Q4042" t="s">
        <v>3497</v>
      </c>
      <c r="R4042" t="s">
        <v>3338</v>
      </c>
      <c r="S4042" t="s">
        <v>3361</v>
      </c>
      <c r="T4042" t="s">
        <v>2448</v>
      </c>
      <c r="U4042">
        <v>358600</v>
      </c>
      <c r="V4042" t="s">
        <v>3590</v>
      </c>
      <c r="W4042" t="s">
        <v>3591</v>
      </c>
      <c r="X4042" t="s">
        <v>22029</v>
      </c>
      <c r="Y4042" t="s">
        <v>22030</v>
      </c>
      <c r="AA4042" t="s">
        <v>22031</v>
      </c>
      <c r="AB4042" t="s">
        <v>22032</v>
      </c>
      <c r="AE4042">
        <v>-46.14190292</v>
      </c>
      <c r="AF4042">
        <v>168.32360068</v>
      </c>
      <c r="AG4042">
        <v>74</v>
      </c>
      <c r="AH4042">
        <v>25</v>
      </c>
      <c r="AI4042">
        <v>2</v>
      </c>
      <c r="AJ4042">
        <v>18</v>
      </c>
      <c r="AK4042">
        <v>22</v>
      </c>
      <c r="AL4042">
        <v>28</v>
      </c>
      <c r="AM4042">
        <v>27</v>
      </c>
      <c r="AN4042">
        <v>0</v>
      </c>
      <c r="AO4042">
        <v>97</v>
      </c>
      <c r="AP4042">
        <v>91</v>
      </c>
      <c r="AQ4042">
        <v>8</v>
      </c>
      <c r="AR4042">
        <v>0</v>
      </c>
      <c r="AS4042">
        <v>4</v>
      </c>
      <c r="AT4042">
        <v>3</v>
      </c>
    </row>
    <row r="4043" spans="1:46">
      <c r="A4043">
        <v>65149</v>
      </c>
      <c r="B4043" t="s">
        <v>22033</v>
      </c>
      <c r="C4043" t="s">
        <v>11176</v>
      </c>
      <c r="E4043" t="s">
        <v>22034</v>
      </c>
      <c r="G4043" t="s">
        <v>3026</v>
      </c>
      <c r="H4043" t="s">
        <v>3942</v>
      </c>
      <c r="J4043" t="s">
        <v>3962</v>
      </c>
      <c r="K4043" t="s">
        <v>519</v>
      </c>
      <c r="M4043" t="s">
        <v>2287</v>
      </c>
      <c r="N4043" t="s">
        <v>571</v>
      </c>
      <c r="O4043" t="s">
        <v>3027</v>
      </c>
      <c r="P4043" t="s">
        <v>523</v>
      </c>
      <c r="Q4043" t="s">
        <v>2928</v>
      </c>
      <c r="R4043" t="s">
        <v>2824</v>
      </c>
      <c r="S4043" t="s">
        <v>2870</v>
      </c>
      <c r="T4043" t="s">
        <v>2448</v>
      </c>
      <c r="U4043">
        <v>311501</v>
      </c>
      <c r="V4043" t="s">
        <v>3026</v>
      </c>
      <c r="W4043" t="s">
        <v>3028</v>
      </c>
      <c r="X4043" t="s">
        <v>11175</v>
      </c>
      <c r="Y4043" t="s">
        <v>4658</v>
      </c>
      <c r="Z4043" t="s">
        <v>958</v>
      </c>
      <c r="AA4043" t="s">
        <v>4659</v>
      </c>
      <c r="AB4043" t="s">
        <v>11176</v>
      </c>
      <c r="AE4043">
        <v>-42.719177969999997</v>
      </c>
      <c r="AF4043">
        <v>170.97548269000001</v>
      </c>
      <c r="AG4043">
        <v>55</v>
      </c>
      <c r="AH4043">
        <v>15</v>
      </c>
      <c r="AI4043">
        <v>2</v>
      </c>
      <c r="AJ4043">
        <v>15</v>
      </c>
      <c r="AK4043">
        <v>17</v>
      </c>
      <c r="AL4043">
        <v>14</v>
      </c>
      <c r="AM4043">
        <v>14</v>
      </c>
      <c r="AN4043">
        <v>0</v>
      </c>
      <c r="AO4043">
        <v>62</v>
      </c>
      <c r="AP4043">
        <v>54</v>
      </c>
      <c r="AQ4043">
        <v>24</v>
      </c>
      <c r="AR4043">
        <v>1</v>
      </c>
      <c r="AS4043">
        <v>2</v>
      </c>
      <c r="AT4043">
        <v>0</v>
      </c>
    </row>
    <row r="4044" spans="1:46">
      <c r="A4044">
        <v>65150</v>
      </c>
      <c r="B4044" t="s">
        <v>22035</v>
      </c>
      <c r="C4044" t="s">
        <v>22036</v>
      </c>
      <c r="D4044" t="s">
        <v>22037</v>
      </c>
      <c r="E4044" t="s">
        <v>22038</v>
      </c>
      <c r="F4044" t="s">
        <v>2882</v>
      </c>
      <c r="G4044" t="s">
        <v>2853</v>
      </c>
      <c r="H4044" t="s">
        <v>3942</v>
      </c>
      <c r="J4044" t="s">
        <v>3962</v>
      </c>
      <c r="K4044" t="s">
        <v>519</v>
      </c>
      <c r="M4044" t="s">
        <v>2287</v>
      </c>
      <c r="N4044" t="s">
        <v>571</v>
      </c>
      <c r="O4044" t="s">
        <v>2868</v>
      </c>
      <c r="P4044" t="s">
        <v>1262</v>
      </c>
      <c r="Q4044" t="s">
        <v>2869</v>
      </c>
      <c r="R4044" t="s">
        <v>2824</v>
      </c>
      <c r="S4044" t="s">
        <v>2853</v>
      </c>
      <c r="T4044" t="s">
        <v>2448</v>
      </c>
      <c r="U4044">
        <v>302800</v>
      </c>
      <c r="V4044" t="s">
        <v>2910</v>
      </c>
      <c r="W4044" t="s">
        <v>2884</v>
      </c>
      <c r="X4044" t="s">
        <v>22039</v>
      </c>
      <c r="Y4044" t="s">
        <v>22040</v>
      </c>
      <c r="Z4044" t="s">
        <v>2882</v>
      </c>
      <c r="AA4044" t="s">
        <v>12824</v>
      </c>
      <c r="AB4044" t="s">
        <v>22041</v>
      </c>
      <c r="AC4044">
        <v>99142</v>
      </c>
      <c r="AD4044" t="s">
        <v>2885</v>
      </c>
      <c r="AE4044">
        <v>-41.338339580000003</v>
      </c>
      <c r="AF4044">
        <v>173.17950216</v>
      </c>
      <c r="AG4044">
        <v>35</v>
      </c>
      <c r="AH4044">
        <v>10</v>
      </c>
      <c r="AI4044">
        <v>1</v>
      </c>
      <c r="AJ4044">
        <v>6</v>
      </c>
      <c r="AK4044">
        <v>6</v>
      </c>
      <c r="AL4044">
        <v>10</v>
      </c>
      <c r="AM4044">
        <v>6</v>
      </c>
      <c r="AN4044">
        <v>0</v>
      </c>
      <c r="AO4044">
        <v>29</v>
      </c>
      <c r="AP4044">
        <v>25</v>
      </c>
      <c r="AQ4044">
        <v>11</v>
      </c>
      <c r="AR4044">
        <v>1</v>
      </c>
      <c r="AS4044">
        <v>2</v>
      </c>
      <c r="AT4044">
        <v>0</v>
      </c>
    </row>
    <row r="4045" spans="1:46">
      <c r="A4045">
        <v>65151</v>
      </c>
      <c r="B4045" t="s">
        <v>22042</v>
      </c>
      <c r="C4045" t="s">
        <v>22043</v>
      </c>
      <c r="E4045" t="s">
        <v>22044</v>
      </c>
      <c r="G4045" t="s">
        <v>3382</v>
      </c>
      <c r="H4045" t="s">
        <v>3942</v>
      </c>
      <c r="J4045" t="s">
        <v>3962</v>
      </c>
      <c r="K4045" t="s">
        <v>519</v>
      </c>
      <c r="M4045" t="s">
        <v>2287</v>
      </c>
      <c r="N4045" t="s">
        <v>571</v>
      </c>
      <c r="O4045" t="s">
        <v>3383</v>
      </c>
      <c r="P4045" t="s">
        <v>654</v>
      </c>
      <c r="Q4045" t="s">
        <v>3337</v>
      </c>
      <c r="R4045" t="s">
        <v>3338</v>
      </c>
      <c r="S4045" t="s">
        <v>3382</v>
      </c>
      <c r="T4045" t="s">
        <v>2448</v>
      </c>
      <c r="U4045">
        <v>353400</v>
      </c>
      <c r="V4045" t="s">
        <v>14304</v>
      </c>
      <c r="W4045" t="s">
        <v>1652</v>
      </c>
      <c r="X4045" t="s">
        <v>22045</v>
      </c>
      <c r="Y4045" t="s">
        <v>22046</v>
      </c>
      <c r="Z4045" t="s">
        <v>3382</v>
      </c>
      <c r="AA4045" t="s">
        <v>22047</v>
      </c>
      <c r="AB4045" t="s">
        <v>22048</v>
      </c>
      <c r="AE4045">
        <v>-45.872195120000001</v>
      </c>
      <c r="AF4045">
        <v>170.50182118000001</v>
      </c>
      <c r="AG4045">
        <v>50</v>
      </c>
      <c r="AH4045">
        <v>20</v>
      </c>
      <c r="AI4045">
        <v>4</v>
      </c>
      <c r="AJ4045">
        <v>14</v>
      </c>
      <c r="AK4045">
        <v>13</v>
      </c>
      <c r="AL4045">
        <v>14</v>
      </c>
      <c r="AM4045">
        <v>16</v>
      </c>
      <c r="AN4045">
        <v>0</v>
      </c>
      <c r="AO4045">
        <v>61</v>
      </c>
      <c r="AP4045">
        <v>33</v>
      </c>
      <c r="AQ4045">
        <v>3</v>
      </c>
      <c r="AR4045">
        <v>1</v>
      </c>
      <c r="AS4045">
        <v>20</v>
      </c>
      <c r="AT4045">
        <v>11</v>
      </c>
    </row>
    <row r="4046" spans="1:46">
      <c r="A4046">
        <v>65152</v>
      </c>
      <c r="B4046" t="s">
        <v>22049</v>
      </c>
      <c r="C4046" t="s">
        <v>22050</v>
      </c>
      <c r="E4046" t="s">
        <v>22051</v>
      </c>
      <c r="F4046" t="s">
        <v>4841</v>
      </c>
      <c r="G4046" t="s">
        <v>22052</v>
      </c>
      <c r="H4046" t="s">
        <v>3942</v>
      </c>
      <c r="J4046" t="s">
        <v>518</v>
      </c>
      <c r="K4046" t="s">
        <v>519</v>
      </c>
      <c r="M4046" t="s">
        <v>2287</v>
      </c>
      <c r="N4046" t="s">
        <v>571</v>
      </c>
      <c r="O4046" t="s">
        <v>3527</v>
      </c>
      <c r="P4046" t="s">
        <v>540</v>
      </c>
      <c r="Q4046" t="s">
        <v>3497</v>
      </c>
      <c r="R4046" t="s">
        <v>3338</v>
      </c>
      <c r="S4046" t="s">
        <v>3498</v>
      </c>
      <c r="T4046" t="s">
        <v>2448</v>
      </c>
      <c r="U4046">
        <v>359300</v>
      </c>
      <c r="V4046" t="s">
        <v>22052</v>
      </c>
      <c r="W4046" t="s">
        <v>22053</v>
      </c>
      <c r="X4046" t="s">
        <v>22054</v>
      </c>
      <c r="Y4046" t="s">
        <v>22055</v>
      </c>
      <c r="AA4046" t="s">
        <v>22056</v>
      </c>
      <c r="AB4046" t="s">
        <v>22057</v>
      </c>
      <c r="AE4046">
        <v>-46.899039019999996</v>
      </c>
      <c r="AF4046">
        <v>168.12817577999999</v>
      </c>
      <c r="AG4046">
        <v>15</v>
      </c>
      <c r="AH4046">
        <v>0</v>
      </c>
      <c r="AI4046">
        <v>0</v>
      </c>
      <c r="AJ4046">
        <v>0</v>
      </c>
      <c r="AK4046">
        <v>2</v>
      </c>
      <c r="AL4046">
        <v>2</v>
      </c>
      <c r="AM4046">
        <v>3</v>
      </c>
      <c r="AN4046">
        <v>0</v>
      </c>
      <c r="AO4046">
        <v>7</v>
      </c>
      <c r="AP4046">
        <v>7</v>
      </c>
      <c r="AQ4046">
        <v>1</v>
      </c>
      <c r="AR4046">
        <v>0</v>
      </c>
      <c r="AS4046">
        <v>0</v>
      </c>
      <c r="AT4046">
        <v>0</v>
      </c>
    </row>
    <row r="4047" spans="1:46">
      <c r="A4047">
        <v>65154</v>
      </c>
      <c r="B4047" t="s">
        <v>22058</v>
      </c>
      <c r="C4047" t="s">
        <v>22059</v>
      </c>
      <c r="D4047" t="s">
        <v>22060</v>
      </c>
      <c r="E4047" t="s">
        <v>22061</v>
      </c>
      <c r="F4047" t="s">
        <v>2852</v>
      </c>
      <c r="G4047" t="s">
        <v>2853</v>
      </c>
      <c r="H4047" t="s">
        <v>3942</v>
      </c>
      <c r="I4047" t="s">
        <v>4065</v>
      </c>
      <c r="J4047" t="s">
        <v>3962</v>
      </c>
      <c r="K4047" t="s">
        <v>519</v>
      </c>
      <c r="M4047" t="s">
        <v>2287</v>
      </c>
      <c r="N4047" t="s">
        <v>571</v>
      </c>
      <c r="O4047" t="s">
        <v>2854</v>
      </c>
      <c r="P4047" t="s">
        <v>584</v>
      </c>
      <c r="Q4047" t="s">
        <v>2855</v>
      </c>
      <c r="R4047" t="s">
        <v>2824</v>
      </c>
      <c r="S4047" t="s">
        <v>2853</v>
      </c>
      <c r="T4047" t="s">
        <v>2448</v>
      </c>
      <c r="U4047">
        <v>305100</v>
      </c>
      <c r="V4047" t="s">
        <v>22062</v>
      </c>
      <c r="W4047" t="s">
        <v>2857</v>
      </c>
      <c r="X4047" t="s">
        <v>12881</v>
      </c>
      <c r="Y4047" t="s">
        <v>12882</v>
      </c>
      <c r="AA4047" t="s">
        <v>2860</v>
      </c>
      <c r="AC4047">
        <v>99042</v>
      </c>
      <c r="AD4047" t="s">
        <v>2862</v>
      </c>
      <c r="AE4047">
        <v>-41.315854549999997</v>
      </c>
      <c r="AF4047">
        <v>173.22480131</v>
      </c>
      <c r="AG4047">
        <v>25</v>
      </c>
      <c r="AH4047">
        <v>0</v>
      </c>
      <c r="AI4047">
        <v>0</v>
      </c>
      <c r="AJ4047">
        <v>0</v>
      </c>
      <c r="AK4047">
        <v>2</v>
      </c>
      <c r="AL4047">
        <v>11</v>
      </c>
      <c r="AM4047">
        <v>12</v>
      </c>
      <c r="AN4047">
        <v>0</v>
      </c>
      <c r="AO4047">
        <v>25</v>
      </c>
      <c r="AP4047">
        <v>17</v>
      </c>
      <c r="AQ4047">
        <v>2</v>
      </c>
      <c r="AR4047">
        <v>0</v>
      </c>
      <c r="AS4047">
        <v>5</v>
      </c>
      <c r="AT4047">
        <v>6</v>
      </c>
    </row>
    <row r="4048" spans="1:46">
      <c r="A4048">
        <v>65155</v>
      </c>
      <c r="B4048" t="s">
        <v>22063</v>
      </c>
      <c r="C4048" t="s">
        <v>22064</v>
      </c>
      <c r="D4048" t="s">
        <v>22065</v>
      </c>
      <c r="E4048" t="s">
        <v>15994</v>
      </c>
      <c r="F4048" t="s">
        <v>3124</v>
      </c>
      <c r="G4048" t="s">
        <v>2941</v>
      </c>
      <c r="H4048" t="s">
        <v>3942</v>
      </c>
      <c r="J4048" t="s">
        <v>518</v>
      </c>
      <c r="K4048" t="s">
        <v>519</v>
      </c>
      <c r="M4048" t="s">
        <v>2287</v>
      </c>
      <c r="N4048" t="s">
        <v>557</v>
      </c>
      <c r="O4048" t="s">
        <v>2942</v>
      </c>
      <c r="P4048" t="s">
        <v>654</v>
      </c>
      <c r="Q4048" t="s">
        <v>2943</v>
      </c>
      <c r="R4048" t="s">
        <v>2944</v>
      </c>
      <c r="S4048" t="s">
        <v>2973</v>
      </c>
      <c r="T4048" t="s">
        <v>2448</v>
      </c>
      <c r="U4048">
        <v>328400</v>
      </c>
      <c r="V4048" t="s">
        <v>3124</v>
      </c>
      <c r="W4048" t="s">
        <v>3126</v>
      </c>
      <c r="X4048" t="s">
        <v>15993</v>
      </c>
      <c r="Y4048" t="s">
        <v>15994</v>
      </c>
      <c r="Z4048" t="s">
        <v>3124</v>
      </c>
      <c r="AA4048" t="s">
        <v>15995</v>
      </c>
      <c r="AB4048" t="s">
        <v>15990</v>
      </c>
      <c r="AC4048">
        <v>99175</v>
      </c>
      <c r="AD4048" t="s">
        <v>3071</v>
      </c>
      <c r="AE4048">
        <v>-43.519314299999998</v>
      </c>
      <c r="AF4048">
        <v>172.6932875</v>
      </c>
      <c r="AG4048">
        <v>147</v>
      </c>
      <c r="AH4048">
        <v>25</v>
      </c>
      <c r="AI4048">
        <v>2</v>
      </c>
      <c r="AJ4048">
        <v>22</v>
      </c>
      <c r="AK4048">
        <v>23</v>
      </c>
      <c r="AL4048">
        <v>22</v>
      </c>
      <c r="AM4048">
        <v>26</v>
      </c>
      <c r="AN4048">
        <v>1</v>
      </c>
      <c r="AO4048">
        <v>96</v>
      </c>
      <c r="AP4048">
        <v>48</v>
      </c>
      <c r="AQ4048">
        <v>61</v>
      </c>
      <c r="AR4048">
        <v>14</v>
      </c>
      <c r="AS4048">
        <v>8</v>
      </c>
      <c r="AT4048">
        <v>1</v>
      </c>
    </row>
    <row r="4049" spans="1:46">
      <c r="A4049">
        <v>65156</v>
      </c>
      <c r="B4049" t="s">
        <v>22066</v>
      </c>
      <c r="C4049" t="s">
        <v>22067</v>
      </c>
      <c r="D4049" t="s">
        <v>22068</v>
      </c>
      <c r="E4049" t="s">
        <v>22069</v>
      </c>
      <c r="G4049" t="s">
        <v>3834</v>
      </c>
      <c r="H4049" t="s">
        <v>3942</v>
      </c>
      <c r="J4049" t="s">
        <v>518</v>
      </c>
      <c r="K4049" t="s">
        <v>519</v>
      </c>
      <c r="M4049" t="s">
        <v>2287</v>
      </c>
      <c r="N4049" t="s">
        <v>571</v>
      </c>
      <c r="O4049" t="s">
        <v>3835</v>
      </c>
      <c r="P4049" t="s">
        <v>1262</v>
      </c>
      <c r="Q4049" t="s">
        <v>3337</v>
      </c>
      <c r="R4049" t="s">
        <v>3338</v>
      </c>
      <c r="S4049" t="s">
        <v>3361</v>
      </c>
      <c r="T4049" t="s">
        <v>2448</v>
      </c>
      <c r="U4049">
        <v>347700</v>
      </c>
      <c r="V4049" t="s">
        <v>3836</v>
      </c>
      <c r="W4049" t="s">
        <v>3837</v>
      </c>
      <c r="X4049" t="s">
        <v>18311</v>
      </c>
      <c r="Y4049" t="s">
        <v>3944</v>
      </c>
      <c r="Z4049" t="s">
        <v>3945</v>
      </c>
      <c r="AA4049" t="s">
        <v>3946</v>
      </c>
      <c r="AE4049">
        <v>-45.026696379999997</v>
      </c>
      <c r="AF4049">
        <v>168.65894914</v>
      </c>
      <c r="AG4049">
        <v>75</v>
      </c>
      <c r="AH4049">
        <v>25</v>
      </c>
      <c r="AI4049">
        <v>4</v>
      </c>
      <c r="AJ4049">
        <v>19</v>
      </c>
      <c r="AK4049">
        <v>31</v>
      </c>
      <c r="AL4049">
        <v>23</v>
      </c>
      <c r="AM4049">
        <v>13</v>
      </c>
      <c r="AN4049">
        <v>1</v>
      </c>
      <c r="AO4049">
        <v>91</v>
      </c>
      <c r="AP4049">
        <v>72</v>
      </c>
      <c r="AQ4049">
        <v>4</v>
      </c>
      <c r="AR4049">
        <v>4</v>
      </c>
      <c r="AS4049">
        <v>12</v>
      </c>
      <c r="AT4049">
        <v>18</v>
      </c>
    </row>
    <row r="4050" spans="1:46">
      <c r="A4050">
        <v>65158</v>
      </c>
      <c r="B4050" t="s">
        <v>22070</v>
      </c>
      <c r="C4050" t="s">
        <v>22071</v>
      </c>
      <c r="D4050" t="s">
        <v>22072</v>
      </c>
      <c r="E4050" t="s">
        <v>22073</v>
      </c>
      <c r="F4050" t="s">
        <v>3019</v>
      </c>
      <c r="G4050" t="s">
        <v>2941</v>
      </c>
      <c r="H4050" t="s">
        <v>3942</v>
      </c>
      <c r="J4050" t="s">
        <v>518</v>
      </c>
      <c r="K4050" t="s">
        <v>519</v>
      </c>
      <c r="M4050" t="s">
        <v>2287</v>
      </c>
      <c r="N4050" t="s">
        <v>571</v>
      </c>
      <c r="O4050" t="s">
        <v>2942</v>
      </c>
      <c r="P4050" t="s">
        <v>654</v>
      </c>
      <c r="Q4050" t="s">
        <v>2943</v>
      </c>
      <c r="R4050" t="s">
        <v>2944</v>
      </c>
      <c r="S4050" t="s">
        <v>3019</v>
      </c>
      <c r="T4050" t="s">
        <v>2448</v>
      </c>
      <c r="U4050">
        <v>322500</v>
      </c>
      <c r="V4050" t="s">
        <v>14515</v>
      </c>
      <c r="W4050" t="s">
        <v>3020</v>
      </c>
      <c r="X4050" t="s">
        <v>10801</v>
      </c>
      <c r="Y4050" t="s">
        <v>3944</v>
      </c>
      <c r="Z4050" t="s">
        <v>3945</v>
      </c>
      <c r="AA4050" t="s">
        <v>3946</v>
      </c>
      <c r="AE4050">
        <v>-43.549276570000004</v>
      </c>
      <c r="AF4050">
        <v>172.54619965000001</v>
      </c>
      <c r="AG4050">
        <v>122</v>
      </c>
      <c r="AH4050">
        <v>41</v>
      </c>
      <c r="AI4050">
        <v>5</v>
      </c>
      <c r="AJ4050">
        <v>25</v>
      </c>
      <c r="AK4050">
        <v>35</v>
      </c>
      <c r="AL4050">
        <v>35</v>
      </c>
      <c r="AM4050">
        <v>38</v>
      </c>
      <c r="AN4050">
        <v>0</v>
      </c>
      <c r="AO4050">
        <v>138</v>
      </c>
      <c r="AP4050">
        <v>59</v>
      </c>
      <c r="AQ4050">
        <v>14</v>
      </c>
      <c r="AR4050">
        <v>7</v>
      </c>
      <c r="AS4050">
        <v>75</v>
      </c>
      <c r="AT4050">
        <v>11</v>
      </c>
    </row>
    <row r="4051" spans="1:46">
      <c r="A4051">
        <v>65160</v>
      </c>
      <c r="B4051" t="s">
        <v>22074</v>
      </c>
      <c r="C4051" t="s">
        <v>22075</v>
      </c>
      <c r="D4051" t="s">
        <v>22076</v>
      </c>
      <c r="E4051" t="s">
        <v>22077</v>
      </c>
      <c r="F4051" t="s">
        <v>14304</v>
      </c>
      <c r="G4051" t="s">
        <v>3382</v>
      </c>
      <c r="H4051" t="s">
        <v>3942</v>
      </c>
      <c r="J4051" t="s">
        <v>3962</v>
      </c>
      <c r="K4051" t="s">
        <v>519</v>
      </c>
      <c r="M4051" t="s">
        <v>2287</v>
      </c>
      <c r="N4051" t="s">
        <v>571</v>
      </c>
      <c r="O4051" t="s">
        <v>3383</v>
      </c>
      <c r="P4051" t="s">
        <v>654</v>
      </c>
      <c r="Q4051" t="s">
        <v>3337</v>
      </c>
      <c r="R4051" t="s">
        <v>3338</v>
      </c>
      <c r="S4051" t="s">
        <v>3382</v>
      </c>
      <c r="T4051" t="s">
        <v>2448</v>
      </c>
      <c r="U4051">
        <v>353400</v>
      </c>
      <c r="V4051" t="s">
        <v>14304</v>
      </c>
      <c r="W4051" t="s">
        <v>1652</v>
      </c>
      <c r="X4051" t="s">
        <v>22078</v>
      </c>
      <c r="Y4051" t="s">
        <v>22077</v>
      </c>
      <c r="Z4051" t="s">
        <v>3382</v>
      </c>
      <c r="AA4051" t="s">
        <v>14305</v>
      </c>
      <c r="AB4051" t="s">
        <v>22075</v>
      </c>
      <c r="AE4051">
        <v>-45.881168440000003</v>
      </c>
      <c r="AF4051">
        <v>170.49531365999999</v>
      </c>
      <c r="AG4051">
        <v>60</v>
      </c>
      <c r="AH4051">
        <v>20</v>
      </c>
      <c r="AI4051">
        <v>2</v>
      </c>
      <c r="AJ4051">
        <v>14</v>
      </c>
      <c r="AK4051">
        <v>17</v>
      </c>
      <c r="AL4051">
        <v>16</v>
      </c>
      <c r="AM4051">
        <v>12</v>
      </c>
      <c r="AN4051">
        <v>0</v>
      </c>
      <c r="AO4051">
        <v>61</v>
      </c>
      <c r="AP4051">
        <v>53</v>
      </c>
      <c r="AQ4051">
        <v>9</v>
      </c>
      <c r="AR4051">
        <v>5</v>
      </c>
      <c r="AS4051">
        <v>3</v>
      </c>
      <c r="AT4051">
        <v>3</v>
      </c>
    </row>
    <row r="4052" spans="1:46">
      <c r="A4052">
        <v>65161</v>
      </c>
      <c r="B4052" t="s">
        <v>22079</v>
      </c>
      <c r="C4052" t="s">
        <v>22080</v>
      </c>
      <c r="D4052" t="s">
        <v>22081</v>
      </c>
      <c r="E4052" t="s">
        <v>22082</v>
      </c>
      <c r="G4052" t="s">
        <v>2882</v>
      </c>
      <c r="H4052" t="s">
        <v>3942</v>
      </c>
      <c r="J4052" t="s">
        <v>3962</v>
      </c>
      <c r="K4052" t="s">
        <v>519</v>
      </c>
      <c r="M4052" t="s">
        <v>2287</v>
      </c>
      <c r="N4052" t="s">
        <v>4519</v>
      </c>
      <c r="O4052" t="s">
        <v>2868</v>
      </c>
      <c r="P4052" t="s">
        <v>1262</v>
      </c>
      <c r="Q4052" t="s">
        <v>2869</v>
      </c>
      <c r="R4052" t="s">
        <v>2824</v>
      </c>
      <c r="S4052" t="s">
        <v>2853</v>
      </c>
      <c r="T4052" t="s">
        <v>2448</v>
      </c>
      <c r="U4052">
        <v>302800</v>
      </c>
      <c r="V4052" t="s">
        <v>2910</v>
      </c>
      <c r="W4052" t="s">
        <v>2884</v>
      </c>
      <c r="X4052" t="s">
        <v>22083</v>
      </c>
      <c r="Y4052" t="s">
        <v>22082</v>
      </c>
      <c r="AA4052" t="s">
        <v>10940</v>
      </c>
      <c r="AB4052" t="s">
        <v>22084</v>
      </c>
      <c r="AC4052">
        <v>99142</v>
      </c>
      <c r="AD4052" t="s">
        <v>2885</v>
      </c>
      <c r="AE4052">
        <v>-41.340967050000003</v>
      </c>
      <c r="AF4052">
        <v>173.18064630999999</v>
      </c>
      <c r="AG4052">
        <v>40</v>
      </c>
      <c r="AH4052">
        <v>10</v>
      </c>
    </row>
    <row r="4053" spans="1:46">
      <c r="A4053">
        <v>65166</v>
      </c>
      <c r="B4053" t="s">
        <v>22085</v>
      </c>
      <c r="C4053" t="s">
        <v>22086</v>
      </c>
      <c r="D4053" t="s">
        <v>22087</v>
      </c>
      <c r="E4053" t="s">
        <v>22088</v>
      </c>
      <c r="G4053" t="s">
        <v>3574</v>
      </c>
      <c r="H4053" t="s">
        <v>3942</v>
      </c>
      <c r="J4053" t="s">
        <v>3962</v>
      </c>
      <c r="K4053" t="s">
        <v>519</v>
      </c>
      <c r="M4053" t="s">
        <v>2287</v>
      </c>
      <c r="N4053" t="s">
        <v>571</v>
      </c>
      <c r="O4053" t="s">
        <v>3527</v>
      </c>
      <c r="P4053" t="s">
        <v>523</v>
      </c>
      <c r="Q4053" t="s">
        <v>3497</v>
      </c>
      <c r="R4053" t="s">
        <v>3338</v>
      </c>
      <c r="S4053" t="s">
        <v>3498</v>
      </c>
      <c r="T4053" t="s">
        <v>2448</v>
      </c>
      <c r="U4053">
        <v>358801</v>
      </c>
      <c r="V4053" t="s">
        <v>3574</v>
      </c>
      <c r="W4053" t="s">
        <v>3575</v>
      </c>
      <c r="X4053" t="s">
        <v>22089</v>
      </c>
      <c r="Y4053" t="s">
        <v>22090</v>
      </c>
      <c r="AA4053" t="s">
        <v>22091</v>
      </c>
      <c r="AB4053" t="s">
        <v>22092</v>
      </c>
      <c r="AE4053">
        <v>-46.351953020000003</v>
      </c>
      <c r="AF4053">
        <v>168.01790706</v>
      </c>
      <c r="AG4053">
        <v>54</v>
      </c>
      <c r="AH4053">
        <v>20</v>
      </c>
      <c r="AI4053">
        <v>4</v>
      </c>
      <c r="AJ4053">
        <v>13</v>
      </c>
      <c r="AK4053">
        <v>16</v>
      </c>
      <c r="AL4053">
        <v>17</v>
      </c>
      <c r="AM4053">
        <v>13</v>
      </c>
      <c r="AN4053">
        <v>0</v>
      </c>
      <c r="AO4053">
        <v>63</v>
      </c>
      <c r="AP4053">
        <v>55</v>
      </c>
      <c r="AQ4053">
        <v>18</v>
      </c>
      <c r="AR4053">
        <v>0</v>
      </c>
      <c r="AS4053">
        <v>4</v>
      </c>
      <c r="AT4053">
        <v>1</v>
      </c>
    </row>
    <row r="4054" spans="1:46">
      <c r="A4054">
        <v>65167</v>
      </c>
      <c r="B4054" t="s">
        <v>22093</v>
      </c>
      <c r="C4054" t="s">
        <v>22094</v>
      </c>
      <c r="D4054" t="s">
        <v>12261</v>
      </c>
      <c r="E4054" t="s">
        <v>22095</v>
      </c>
      <c r="F4054" t="s">
        <v>3156</v>
      </c>
      <c r="G4054" t="s">
        <v>2941</v>
      </c>
      <c r="H4054" t="s">
        <v>3942</v>
      </c>
      <c r="J4054" t="s">
        <v>518</v>
      </c>
      <c r="K4054" t="s">
        <v>519</v>
      </c>
      <c r="M4054" t="s">
        <v>2287</v>
      </c>
      <c r="N4054" t="s">
        <v>571</v>
      </c>
      <c r="O4054" t="s">
        <v>2942</v>
      </c>
      <c r="P4054" t="s">
        <v>654</v>
      </c>
      <c r="Q4054" t="s">
        <v>2943</v>
      </c>
      <c r="R4054" t="s">
        <v>2944</v>
      </c>
      <c r="S4054" t="s">
        <v>3019</v>
      </c>
      <c r="T4054" t="s">
        <v>2448</v>
      </c>
      <c r="U4054">
        <v>326900</v>
      </c>
      <c r="V4054" t="s">
        <v>12264</v>
      </c>
      <c r="W4054" t="s">
        <v>3088</v>
      </c>
      <c r="X4054" t="s">
        <v>12265</v>
      </c>
      <c r="Y4054" t="s">
        <v>12266</v>
      </c>
      <c r="Z4054" t="s">
        <v>12263</v>
      </c>
      <c r="AA4054" t="s">
        <v>12267</v>
      </c>
      <c r="AB4054" t="s">
        <v>12268</v>
      </c>
      <c r="AE4054">
        <v>-43.55656673</v>
      </c>
      <c r="AF4054">
        <v>172.60719205999999</v>
      </c>
      <c r="AG4054">
        <v>24</v>
      </c>
      <c r="AH4054">
        <v>0</v>
      </c>
      <c r="AI4054">
        <v>0</v>
      </c>
      <c r="AJ4054">
        <v>0</v>
      </c>
      <c r="AK4054">
        <v>0</v>
      </c>
      <c r="AL4054">
        <v>9</v>
      </c>
      <c r="AM4054">
        <v>23</v>
      </c>
      <c r="AN4054">
        <v>0</v>
      </c>
      <c r="AO4054">
        <v>32</v>
      </c>
      <c r="AP4054">
        <v>26</v>
      </c>
      <c r="AQ4054">
        <v>5</v>
      </c>
      <c r="AR4054">
        <v>5</v>
      </c>
      <c r="AS4054">
        <v>3</v>
      </c>
      <c r="AT4054">
        <v>1</v>
      </c>
    </row>
    <row r="4055" spans="1:46">
      <c r="A4055">
        <v>65170</v>
      </c>
      <c r="B4055" t="s">
        <v>22096</v>
      </c>
      <c r="C4055" t="s">
        <v>22097</v>
      </c>
      <c r="D4055" t="s">
        <v>22098</v>
      </c>
      <c r="E4055" t="s">
        <v>22099</v>
      </c>
      <c r="G4055" t="s">
        <v>21612</v>
      </c>
      <c r="H4055" t="s">
        <v>3942</v>
      </c>
      <c r="J4055" t="s">
        <v>3962</v>
      </c>
      <c r="K4055" t="s">
        <v>519</v>
      </c>
      <c r="M4055" t="s">
        <v>2287</v>
      </c>
      <c r="N4055" t="s">
        <v>4519</v>
      </c>
      <c r="O4055" t="s">
        <v>2822</v>
      </c>
      <c r="P4055" t="s">
        <v>523</v>
      </c>
      <c r="Q4055" t="s">
        <v>2823</v>
      </c>
      <c r="R4055" t="s">
        <v>2824</v>
      </c>
      <c r="S4055" t="s">
        <v>2825</v>
      </c>
      <c r="T4055" t="s">
        <v>2448</v>
      </c>
      <c r="U4055">
        <v>306801</v>
      </c>
      <c r="V4055" t="s">
        <v>21613</v>
      </c>
      <c r="W4055" t="s">
        <v>21614</v>
      </c>
      <c r="X4055" t="s">
        <v>22100</v>
      </c>
      <c r="Y4055" t="s">
        <v>22101</v>
      </c>
      <c r="Z4055" t="s">
        <v>21612</v>
      </c>
      <c r="AA4055" t="s">
        <v>22102</v>
      </c>
      <c r="AB4055" t="s">
        <v>22103</v>
      </c>
      <c r="AC4055">
        <v>99004</v>
      </c>
      <c r="AD4055" t="s">
        <v>22104</v>
      </c>
      <c r="AE4055">
        <v>-41.296391030000002</v>
      </c>
      <c r="AF4055">
        <v>174.00102236000001</v>
      </c>
      <c r="AG4055">
        <v>30</v>
      </c>
      <c r="AH4055">
        <v>10</v>
      </c>
      <c r="AI4055">
        <v>0</v>
      </c>
      <c r="AJ4055">
        <v>8</v>
      </c>
      <c r="AK4055">
        <v>8</v>
      </c>
      <c r="AL4055">
        <v>5</v>
      </c>
      <c r="AM4055">
        <v>6</v>
      </c>
      <c r="AN4055">
        <v>0</v>
      </c>
      <c r="AO4055">
        <v>27</v>
      </c>
      <c r="AP4055">
        <v>20</v>
      </c>
      <c r="AQ4055">
        <v>11</v>
      </c>
      <c r="AR4055">
        <v>1</v>
      </c>
      <c r="AS4055">
        <v>7</v>
      </c>
      <c r="AT4055">
        <v>2</v>
      </c>
    </row>
    <row r="4056" spans="1:46">
      <c r="A4056">
        <v>65174</v>
      </c>
      <c r="B4056" t="s">
        <v>22105</v>
      </c>
      <c r="C4056" t="s">
        <v>22106</v>
      </c>
      <c r="D4056" t="s">
        <v>22107</v>
      </c>
      <c r="E4056" t="s">
        <v>22108</v>
      </c>
      <c r="F4056" t="s">
        <v>22109</v>
      </c>
      <c r="G4056" t="s">
        <v>3382</v>
      </c>
      <c r="H4056" t="s">
        <v>3942</v>
      </c>
      <c r="I4056" t="s">
        <v>4065</v>
      </c>
      <c r="J4056" t="s">
        <v>3962</v>
      </c>
      <c r="K4056" t="s">
        <v>519</v>
      </c>
      <c r="M4056" t="s">
        <v>2287</v>
      </c>
      <c r="N4056" t="s">
        <v>4519</v>
      </c>
      <c r="O4056" t="s">
        <v>3383</v>
      </c>
      <c r="P4056" t="s">
        <v>654</v>
      </c>
      <c r="Q4056" t="s">
        <v>3337</v>
      </c>
      <c r="R4056" t="s">
        <v>3338</v>
      </c>
      <c r="S4056" t="s">
        <v>3382</v>
      </c>
      <c r="T4056" t="s">
        <v>2448</v>
      </c>
      <c r="U4056">
        <v>351500</v>
      </c>
      <c r="V4056" t="s">
        <v>22109</v>
      </c>
      <c r="W4056" t="s">
        <v>1652</v>
      </c>
      <c r="X4056" t="s">
        <v>22110</v>
      </c>
      <c r="Y4056" t="s">
        <v>22108</v>
      </c>
      <c r="Z4056" t="s">
        <v>22109</v>
      </c>
      <c r="AA4056" t="s">
        <v>11560</v>
      </c>
      <c r="AB4056" t="s">
        <v>22111</v>
      </c>
      <c r="AE4056">
        <v>-45.858135169999997</v>
      </c>
      <c r="AF4056">
        <v>170.50059801</v>
      </c>
      <c r="AG4056">
        <v>30</v>
      </c>
      <c r="AH4056">
        <v>0</v>
      </c>
      <c r="AI4056">
        <v>0</v>
      </c>
      <c r="AJ4056">
        <v>0</v>
      </c>
      <c r="AK4056">
        <v>3</v>
      </c>
      <c r="AL4056">
        <v>5</v>
      </c>
      <c r="AM4056">
        <v>11</v>
      </c>
      <c r="AN4056">
        <v>2</v>
      </c>
      <c r="AO4056">
        <v>21</v>
      </c>
      <c r="AP4056">
        <v>14</v>
      </c>
      <c r="AQ4056">
        <v>2</v>
      </c>
      <c r="AR4056">
        <v>0</v>
      </c>
      <c r="AS4056">
        <v>8</v>
      </c>
      <c r="AT4056">
        <v>2</v>
      </c>
    </row>
    <row r="4057" spans="1:46">
      <c r="A4057">
        <v>65176</v>
      </c>
      <c r="B4057" t="s">
        <v>22112</v>
      </c>
      <c r="C4057" t="s">
        <v>22113</v>
      </c>
      <c r="E4057" t="s">
        <v>22114</v>
      </c>
      <c r="G4057" t="s">
        <v>18491</v>
      </c>
      <c r="H4057" t="s">
        <v>3942</v>
      </c>
      <c r="J4057" t="s">
        <v>3962</v>
      </c>
      <c r="K4057" t="s">
        <v>519</v>
      </c>
      <c r="M4057" t="s">
        <v>2287</v>
      </c>
      <c r="N4057" t="s">
        <v>571</v>
      </c>
      <c r="O4057" t="s">
        <v>18492</v>
      </c>
      <c r="P4057" t="s">
        <v>523</v>
      </c>
      <c r="Q4057" t="s">
        <v>2943</v>
      </c>
      <c r="R4057" t="s">
        <v>2824</v>
      </c>
      <c r="S4057" t="s">
        <v>2825</v>
      </c>
      <c r="T4057" t="s">
        <v>2448</v>
      </c>
      <c r="U4057">
        <v>308900</v>
      </c>
      <c r="V4057" t="s">
        <v>2825</v>
      </c>
      <c r="W4057" t="s">
        <v>1652</v>
      </c>
      <c r="X4057" t="s">
        <v>15853</v>
      </c>
      <c r="Y4057" t="s">
        <v>9329</v>
      </c>
      <c r="AA4057" t="s">
        <v>21739</v>
      </c>
      <c r="AB4057" t="s">
        <v>15856</v>
      </c>
      <c r="AC4057">
        <v>99025</v>
      </c>
      <c r="AD4057" t="s">
        <v>21703</v>
      </c>
      <c r="AE4057">
        <v>-42.415254400000002</v>
      </c>
      <c r="AF4057">
        <v>173.67689501999999</v>
      </c>
      <c r="AG4057">
        <v>21</v>
      </c>
      <c r="AH4057">
        <v>5</v>
      </c>
      <c r="AI4057">
        <v>0</v>
      </c>
      <c r="AJ4057">
        <v>1</v>
      </c>
      <c r="AK4057">
        <v>12</v>
      </c>
      <c r="AL4057">
        <v>9</v>
      </c>
      <c r="AM4057">
        <v>12</v>
      </c>
      <c r="AN4057">
        <v>1</v>
      </c>
      <c r="AO4057">
        <v>35</v>
      </c>
      <c r="AP4057">
        <v>31</v>
      </c>
      <c r="AQ4057">
        <v>8</v>
      </c>
      <c r="AR4057">
        <v>0</v>
      </c>
      <c r="AS4057">
        <v>3</v>
      </c>
      <c r="AT4057">
        <v>1</v>
      </c>
    </row>
    <row r="4058" spans="1:46">
      <c r="A4058">
        <v>65177</v>
      </c>
      <c r="B4058" t="s">
        <v>22115</v>
      </c>
      <c r="C4058" t="s">
        <v>11872</v>
      </c>
      <c r="D4058" t="s">
        <v>22116</v>
      </c>
      <c r="E4058" t="s">
        <v>11869</v>
      </c>
      <c r="G4058" t="s">
        <v>11870</v>
      </c>
      <c r="H4058" t="s">
        <v>3942</v>
      </c>
      <c r="J4058" t="s">
        <v>3962</v>
      </c>
      <c r="K4058" t="s">
        <v>519</v>
      </c>
      <c r="M4058" t="s">
        <v>2287</v>
      </c>
      <c r="N4058" t="s">
        <v>571</v>
      </c>
      <c r="O4058" t="s">
        <v>3208</v>
      </c>
      <c r="P4058" t="s">
        <v>523</v>
      </c>
      <c r="Q4058" t="s">
        <v>2943</v>
      </c>
      <c r="R4058" t="s">
        <v>2944</v>
      </c>
      <c r="S4058" t="s">
        <v>3179</v>
      </c>
      <c r="T4058" t="s">
        <v>2448</v>
      </c>
      <c r="U4058">
        <v>335701</v>
      </c>
      <c r="V4058" t="s">
        <v>11867</v>
      </c>
      <c r="W4058" t="s">
        <v>3664</v>
      </c>
      <c r="X4058" t="s">
        <v>11868</v>
      </c>
      <c r="Y4058" t="s">
        <v>11869</v>
      </c>
      <c r="Z4058" t="s">
        <v>11870</v>
      </c>
      <c r="AA4058" t="s">
        <v>11871</v>
      </c>
      <c r="AB4058" t="s">
        <v>11872</v>
      </c>
      <c r="AC4058">
        <v>99113</v>
      </c>
      <c r="AD4058" t="s">
        <v>3665</v>
      </c>
      <c r="AE4058">
        <v>-43.58112878</v>
      </c>
      <c r="AF4058">
        <v>172.51178618</v>
      </c>
      <c r="AG4058">
        <v>35</v>
      </c>
      <c r="AH4058">
        <v>25</v>
      </c>
      <c r="AI4058">
        <v>5</v>
      </c>
      <c r="AJ4058">
        <v>19</v>
      </c>
      <c r="AK4058">
        <v>21</v>
      </c>
      <c r="AL4058">
        <v>0</v>
      </c>
      <c r="AM4058">
        <v>0</v>
      </c>
      <c r="AN4058">
        <v>0</v>
      </c>
      <c r="AO4058">
        <v>45</v>
      </c>
      <c r="AP4058">
        <v>43</v>
      </c>
      <c r="AQ4058">
        <v>9</v>
      </c>
      <c r="AR4058">
        <v>0</v>
      </c>
      <c r="AS4058">
        <v>4</v>
      </c>
      <c r="AT4058">
        <v>1</v>
      </c>
    </row>
    <row r="4059" spans="1:46">
      <c r="A4059">
        <v>65179</v>
      </c>
      <c r="B4059" t="s">
        <v>22117</v>
      </c>
      <c r="C4059" t="s">
        <v>22118</v>
      </c>
      <c r="D4059" t="s">
        <v>22119</v>
      </c>
      <c r="E4059" t="s">
        <v>22120</v>
      </c>
      <c r="G4059" t="s">
        <v>3513</v>
      </c>
      <c r="H4059" t="s">
        <v>298</v>
      </c>
      <c r="J4059" t="s">
        <v>518</v>
      </c>
      <c r="K4059" t="s">
        <v>519</v>
      </c>
      <c r="M4059" t="s">
        <v>2287</v>
      </c>
      <c r="N4059" t="s">
        <v>571</v>
      </c>
      <c r="O4059" t="s">
        <v>3514</v>
      </c>
      <c r="P4059" t="s">
        <v>523</v>
      </c>
      <c r="Q4059" t="s">
        <v>3497</v>
      </c>
      <c r="R4059" t="s">
        <v>3338</v>
      </c>
      <c r="S4059" t="s">
        <v>3361</v>
      </c>
      <c r="T4059" t="s">
        <v>2448</v>
      </c>
      <c r="U4059">
        <v>359900</v>
      </c>
      <c r="V4059" t="s">
        <v>11338</v>
      </c>
      <c r="W4059" t="s">
        <v>3516</v>
      </c>
      <c r="X4059" t="s">
        <v>11077</v>
      </c>
      <c r="Y4059" t="s">
        <v>5187</v>
      </c>
      <c r="AA4059" t="s">
        <v>5188</v>
      </c>
      <c r="AB4059" t="s">
        <v>11078</v>
      </c>
      <c r="AC4059">
        <v>99055</v>
      </c>
      <c r="AD4059" t="s">
        <v>3517</v>
      </c>
      <c r="AE4059">
        <v>-46.111846870000001</v>
      </c>
      <c r="AF4059">
        <v>168.93087456999999</v>
      </c>
      <c r="AG4059">
        <v>30</v>
      </c>
      <c r="AH4059">
        <v>15</v>
      </c>
      <c r="AI4059">
        <v>3</v>
      </c>
      <c r="AJ4059">
        <v>2</v>
      </c>
      <c r="AK4059">
        <v>6</v>
      </c>
      <c r="AL4059">
        <v>3</v>
      </c>
      <c r="AM4059">
        <v>4</v>
      </c>
      <c r="AN4059">
        <v>1</v>
      </c>
      <c r="AO4059">
        <v>19</v>
      </c>
      <c r="AP4059">
        <v>16</v>
      </c>
      <c r="AQ4059">
        <v>3</v>
      </c>
      <c r="AR4059">
        <v>0</v>
      </c>
      <c r="AS4059">
        <v>0</v>
      </c>
      <c r="AT4059">
        <v>0</v>
      </c>
    </row>
    <row r="4060" spans="1:46">
      <c r="A4060">
        <v>65182</v>
      </c>
      <c r="B4060" t="s">
        <v>2593</v>
      </c>
      <c r="C4060" t="s">
        <v>22121</v>
      </c>
      <c r="D4060" t="s">
        <v>22122</v>
      </c>
      <c r="E4060" t="s">
        <v>22123</v>
      </c>
      <c r="G4060" t="s">
        <v>21612</v>
      </c>
      <c r="H4060" t="s">
        <v>517</v>
      </c>
      <c r="J4060" t="s">
        <v>518</v>
      </c>
      <c r="K4060" t="s">
        <v>519</v>
      </c>
      <c r="M4060" t="s">
        <v>2287</v>
      </c>
      <c r="N4060" t="s">
        <v>557</v>
      </c>
      <c r="O4060" t="s">
        <v>2822</v>
      </c>
      <c r="P4060" t="s">
        <v>523</v>
      </c>
      <c r="Q4060" t="s">
        <v>2823</v>
      </c>
      <c r="R4060" t="s">
        <v>2824</v>
      </c>
      <c r="S4060" t="s">
        <v>2825</v>
      </c>
      <c r="T4060" t="s">
        <v>2448</v>
      </c>
      <c r="U4060">
        <v>306801</v>
      </c>
      <c r="V4060" t="s">
        <v>21613</v>
      </c>
      <c r="W4060" t="s">
        <v>21614</v>
      </c>
      <c r="X4060" t="s">
        <v>2827</v>
      </c>
      <c r="Y4060" t="s">
        <v>2828</v>
      </c>
      <c r="AA4060" t="s">
        <v>2829</v>
      </c>
      <c r="AB4060" t="s">
        <v>2830</v>
      </c>
      <c r="AC4060">
        <v>99004</v>
      </c>
      <c r="AD4060" t="s">
        <v>22104</v>
      </c>
      <c r="AE4060">
        <v>-41.293372410000003</v>
      </c>
      <c r="AF4060">
        <v>174.00175530000001</v>
      </c>
      <c r="AG4060">
        <v>22</v>
      </c>
      <c r="AH4060">
        <v>0</v>
      </c>
      <c r="AI4060">
        <v>0</v>
      </c>
      <c r="AJ4060">
        <v>0</v>
      </c>
      <c r="AK4060">
        <v>4</v>
      </c>
      <c r="AL4060">
        <v>8</v>
      </c>
      <c r="AM4060">
        <v>12</v>
      </c>
      <c r="AN4060">
        <v>0</v>
      </c>
      <c r="AO4060">
        <v>24</v>
      </c>
      <c r="AP4060">
        <v>20</v>
      </c>
      <c r="AQ4060">
        <v>11</v>
      </c>
      <c r="AR4060">
        <v>0</v>
      </c>
      <c r="AS4060">
        <v>1</v>
      </c>
      <c r="AT4060">
        <v>1</v>
      </c>
    </row>
    <row r="4061" spans="1:46">
      <c r="A4061">
        <v>65183</v>
      </c>
      <c r="B4061" t="s">
        <v>22124</v>
      </c>
      <c r="C4061" t="s">
        <v>22125</v>
      </c>
      <c r="D4061" t="s">
        <v>22126</v>
      </c>
      <c r="E4061" t="s">
        <v>22127</v>
      </c>
      <c r="F4061" t="s">
        <v>3130</v>
      </c>
      <c r="G4061" t="s">
        <v>2941</v>
      </c>
      <c r="H4061" t="s">
        <v>3942</v>
      </c>
      <c r="J4061" t="s">
        <v>3962</v>
      </c>
      <c r="K4061" t="s">
        <v>519</v>
      </c>
      <c r="M4061" t="s">
        <v>2287</v>
      </c>
      <c r="N4061" t="s">
        <v>571</v>
      </c>
      <c r="O4061" t="s">
        <v>2942</v>
      </c>
      <c r="P4061" t="s">
        <v>654</v>
      </c>
      <c r="Q4061" t="s">
        <v>2943</v>
      </c>
      <c r="R4061" t="s">
        <v>2944</v>
      </c>
      <c r="S4061" t="s">
        <v>2973</v>
      </c>
      <c r="T4061" t="s">
        <v>2448</v>
      </c>
      <c r="U4061">
        <v>324001</v>
      </c>
      <c r="V4061" t="s">
        <v>21752</v>
      </c>
      <c r="W4061" t="s">
        <v>3126</v>
      </c>
      <c r="X4061" t="s">
        <v>12077</v>
      </c>
      <c r="Y4061" t="s">
        <v>4097</v>
      </c>
      <c r="Z4061" t="s">
        <v>4098</v>
      </c>
      <c r="AA4061" t="s">
        <v>4099</v>
      </c>
      <c r="AB4061" t="s">
        <v>10807</v>
      </c>
      <c r="AE4061">
        <v>-43.480617580000001</v>
      </c>
      <c r="AF4061">
        <v>172.68078029</v>
      </c>
      <c r="AG4061">
        <v>55</v>
      </c>
      <c r="AH4061">
        <v>19</v>
      </c>
      <c r="AI4061">
        <v>2</v>
      </c>
      <c r="AJ4061">
        <v>13</v>
      </c>
      <c r="AK4061">
        <v>21</v>
      </c>
      <c r="AL4061">
        <v>15</v>
      </c>
      <c r="AM4061">
        <v>11</v>
      </c>
      <c r="AN4061">
        <v>2</v>
      </c>
      <c r="AO4061">
        <v>64</v>
      </c>
      <c r="AP4061">
        <v>48</v>
      </c>
      <c r="AQ4061">
        <v>10</v>
      </c>
      <c r="AR4061">
        <v>2</v>
      </c>
      <c r="AS4061">
        <v>14</v>
      </c>
      <c r="AT4061">
        <v>3</v>
      </c>
    </row>
    <row r="4062" spans="1:46">
      <c r="A4062">
        <v>65186</v>
      </c>
      <c r="B4062" t="s">
        <v>22128</v>
      </c>
      <c r="C4062" t="s">
        <v>22129</v>
      </c>
      <c r="D4062" t="s">
        <v>22130</v>
      </c>
      <c r="E4062" t="s">
        <v>22131</v>
      </c>
      <c r="F4062" t="s">
        <v>11283</v>
      </c>
      <c r="G4062" t="s">
        <v>3498</v>
      </c>
      <c r="H4062" t="s">
        <v>3942</v>
      </c>
      <c r="J4062" t="s">
        <v>518</v>
      </c>
      <c r="K4062" t="s">
        <v>519</v>
      </c>
      <c r="M4062" t="s">
        <v>2287</v>
      </c>
      <c r="N4062" t="s">
        <v>557</v>
      </c>
      <c r="O4062" t="s">
        <v>3496</v>
      </c>
      <c r="P4062" t="s">
        <v>584</v>
      </c>
      <c r="Q4062" t="s">
        <v>3497</v>
      </c>
      <c r="R4062" t="s">
        <v>3338</v>
      </c>
      <c r="S4062" t="s">
        <v>3498</v>
      </c>
      <c r="T4062" t="s">
        <v>2448</v>
      </c>
      <c r="U4062">
        <v>362001</v>
      </c>
      <c r="V4062" t="s">
        <v>12960</v>
      </c>
      <c r="W4062" t="s">
        <v>1652</v>
      </c>
      <c r="X4062" t="s">
        <v>12764</v>
      </c>
      <c r="Y4062" t="s">
        <v>3944</v>
      </c>
      <c r="Z4062" t="s">
        <v>3945</v>
      </c>
      <c r="AA4062" t="s">
        <v>3946</v>
      </c>
      <c r="AB4062" t="s">
        <v>12765</v>
      </c>
      <c r="AE4062">
        <v>-46.416542499999998</v>
      </c>
      <c r="AF4062">
        <v>168.35964469999999</v>
      </c>
      <c r="AG4062">
        <v>75</v>
      </c>
      <c r="AH4062">
        <v>25</v>
      </c>
      <c r="AI4062">
        <v>3</v>
      </c>
      <c r="AJ4062">
        <v>11</v>
      </c>
      <c r="AK4062">
        <v>20</v>
      </c>
      <c r="AL4062">
        <v>13</v>
      </c>
      <c r="AM4062">
        <v>15</v>
      </c>
      <c r="AN4062">
        <v>1</v>
      </c>
      <c r="AO4062">
        <v>63</v>
      </c>
      <c r="AP4062">
        <v>27</v>
      </c>
      <c r="AQ4062">
        <v>13</v>
      </c>
      <c r="AR4062">
        <v>3</v>
      </c>
      <c r="AS4062">
        <v>18</v>
      </c>
      <c r="AT4062">
        <v>11</v>
      </c>
    </row>
    <row r="4063" spans="1:46">
      <c r="A4063">
        <v>65188</v>
      </c>
      <c r="B4063" t="s">
        <v>22132</v>
      </c>
      <c r="C4063" t="s">
        <v>22133</v>
      </c>
      <c r="E4063" t="s">
        <v>22134</v>
      </c>
      <c r="G4063" t="s">
        <v>3498</v>
      </c>
      <c r="H4063" t="s">
        <v>343</v>
      </c>
      <c r="J4063" t="s">
        <v>518</v>
      </c>
      <c r="K4063" t="s">
        <v>519</v>
      </c>
      <c r="L4063" t="s">
        <v>4205</v>
      </c>
      <c r="M4063" t="s">
        <v>2287</v>
      </c>
      <c r="N4063" t="s">
        <v>539</v>
      </c>
      <c r="O4063" t="s">
        <v>3496</v>
      </c>
      <c r="P4063" t="s">
        <v>584</v>
      </c>
      <c r="Q4063" t="s">
        <v>3497</v>
      </c>
      <c r="R4063" t="s">
        <v>3338</v>
      </c>
      <c r="S4063" t="s">
        <v>3498</v>
      </c>
      <c r="T4063" t="s">
        <v>2448</v>
      </c>
      <c r="U4063">
        <v>362402</v>
      </c>
      <c r="V4063" t="s">
        <v>22135</v>
      </c>
      <c r="W4063" t="s">
        <v>1652</v>
      </c>
      <c r="X4063" t="s">
        <v>12058</v>
      </c>
      <c r="Y4063" t="s">
        <v>4208</v>
      </c>
      <c r="Z4063" t="s">
        <v>4209</v>
      </c>
      <c r="AA4063" t="s">
        <v>4210</v>
      </c>
      <c r="AB4063" t="s">
        <v>12059</v>
      </c>
      <c r="AE4063">
        <v>-46.417681190000003</v>
      </c>
      <c r="AF4063">
        <v>168.39376339</v>
      </c>
      <c r="AG4063">
        <v>16</v>
      </c>
      <c r="AH4063">
        <v>8</v>
      </c>
      <c r="AI4063">
        <v>0</v>
      </c>
      <c r="AJ4063">
        <v>2</v>
      </c>
      <c r="AK4063">
        <v>4</v>
      </c>
      <c r="AL4063">
        <v>2</v>
      </c>
      <c r="AM4063">
        <v>6</v>
      </c>
      <c r="AN4063">
        <v>0</v>
      </c>
      <c r="AO4063">
        <v>14</v>
      </c>
      <c r="AP4063">
        <v>0</v>
      </c>
      <c r="AQ4063">
        <v>14</v>
      </c>
      <c r="AR4063">
        <v>0</v>
      </c>
      <c r="AS4063">
        <v>0</v>
      </c>
      <c r="AT4063">
        <v>0</v>
      </c>
    </row>
    <row r="4064" spans="1:46">
      <c r="A4064">
        <v>65191</v>
      </c>
      <c r="B4064" t="s">
        <v>22136</v>
      </c>
      <c r="C4064" t="s">
        <v>22137</v>
      </c>
      <c r="D4064" t="s">
        <v>22138</v>
      </c>
      <c r="E4064" t="s">
        <v>22139</v>
      </c>
      <c r="G4064" t="s">
        <v>2882</v>
      </c>
      <c r="H4064" t="s">
        <v>517</v>
      </c>
      <c r="J4064" t="s">
        <v>518</v>
      </c>
      <c r="K4064" t="s">
        <v>519</v>
      </c>
      <c r="M4064" t="s">
        <v>2287</v>
      </c>
      <c r="N4064" t="s">
        <v>571</v>
      </c>
      <c r="O4064" t="s">
        <v>2868</v>
      </c>
      <c r="P4064" t="s">
        <v>1262</v>
      </c>
      <c r="Q4064" t="s">
        <v>2869</v>
      </c>
      <c r="R4064" t="s">
        <v>2824</v>
      </c>
      <c r="S4064" t="s">
        <v>2853</v>
      </c>
      <c r="T4064" t="s">
        <v>2448</v>
      </c>
      <c r="U4064">
        <v>302800</v>
      </c>
      <c r="V4064" t="s">
        <v>2910</v>
      </c>
      <c r="W4064" t="s">
        <v>2884</v>
      </c>
      <c r="X4064" t="s">
        <v>2858</v>
      </c>
      <c r="Y4064" t="s">
        <v>2859</v>
      </c>
      <c r="Z4064" t="s">
        <v>2853</v>
      </c>
      <c r="AA4064" t="s">
        <v>2860</v>
      </c>
      <c r="AB4064" t="s">
        <v>2861</v>
      </c>
      <c r="AC4064">
        <v>99142</v>
      </c>
      <c r="AD4064" t="s">
        <v>2885</v>
      </c>
      <c r="AE4064">
        <v>-41.339610819999997</v>
      </c>
      <c r="AF4064">
        <v>173.17929218</v>
      </c>
      <c r="AG4064">
        <v>43</v>
      </c>
      <c r="AH4064">
        <v>0</v>
      </c>
      <c r="AI4064">
        <v>0</v>
      </c>
      <c r="AJ4064">
        <v>0</v>
      </c>
      <c r="AK4064">
        <v>5</v>
      </c>
      <c r="AL4064">
        <v>16</v>
      </c>
      <c r="AM4064">
        <v>24</v>
      </c>
      <c r="AN4064">
        <v>1</v>
      </c>
      <c r="AO4064">
        <v>46</v>
      </c>
      <c r="AP4064">
        <v>35</v>
      </c>
      <c r="AQ4064">
        <v>7</v>
      </c>
      <c r="AR4064">
        <v>5</v>
      </c>
      <c r="AS4064">
        <v>3</v>
      </c>
      <c r="AT4064">
        <v>0</v>
      </c>
    </row>
    <row r="4065" spans="1:46">
      <c r="A4065">
        <v>65195</v>
      </c>
      <c r="B4065" t="s">
        <v>22140</v>
      </c>
      <c r="C4065" t="s">
        <v>22141</v>
      </c>
      <c r="E4065" t="s">
        <v>22142</v>
      </c>
      <c r="F4065" t="s">
        <v>22143</v>
      </c>
      <c r="G4065" t="s">
        <v>3005</v>
      </c>
      <c r="H4065" t="s">
        <v>3942</v>
      </c>
      <c r="J4065" t="s">
        <v>3962</v>
      </c>
      <c r="K4065" t="s">
        <v>519</v>
      </c>
      <c r="M4065" t="s">
        <v>2287</v>
      </c>
      <c r="N4065" t="s">
        <v>571</v>
      </c>
      <c r="O4065" t="s">
        <v>3006</v>
      </c>
      <c r="P4065" t="s">
        <v>523</v>
      </c>
      <c r="Q4065" t="s">
        <v>2928</v>
      </c>
      <c r="R4065" t="s">
        <v>2824</v>
      </c>
      <c r="S4065" t="s">
        <v>2870</v>
      </c>
      <c r="T4065" t="s">
        <v>2448</v>
      </c>
      <c r="U4065">
        <v>310300</v>
      </c>
      <c r="V4065" t="s">
        <v>22144</v>
      </c>
      <c r="W4065" t="s">
        <v>2443</v>
      </c>
      <c r="X4065" t="s">
        <v>22145</v>
      </c>
      <c r="Y4065" t="s">
        <v>4658</v>
      </c>
      <c r="Z4065" t="s">
        <v>958</v>
      </c>
      <c r="AA4065" t="s">
        <v>4659</v>
      </c>
      <c r="AB4065" t="s">
        <v>22141</v>
      </c>
      <c r="AC4065">
        <v>99026</v>
      </c>
      <c r="AD4065" t="s">
        <v>3008</v>
      </c>
      <c r="AE4065">
        <v>-42.467046850000003</v>
      </c>
      <c r="AF4065">
        <v>171.19391873000001</v>
      </c>
      <c r="AG4065">
        <v>60</v>
      </c>
      <c r="AH4065">
        <v>20</v>
      </c>
      <c r="AI4065">
        <v>2</v>
      </c>
      <c r="AJ4065">
        <v>8</v>
      </c>
      <c r="AK4065">
        <v>16</v>
      </c>
      <c r="AL4065">
        <v>13</v>
      </c>
      <c r="AM4065">
        <v>19</v>
      </c>
      <c r="AN4065">
        <v>2</v>
      </c>
      <c r="AO4065">
        <v>60</v>
      </c>
      <c r="AP4065">
        <v>54</v>
      </c>
      <c r="AQ4065">
        <v>5</v>
      </c>
      <c r="AR4065">
        <v>1</v>
      </c>
      <c r="AS4065">
        <v>9</v>
      </c>
      <c r="AT4065">
        <v>1</v>
      </c>
    </row>
    <row r="4066" spans="1:46">
      <c r="A4066">
        <v>65196</v>
      </c>
      <c r="B4066" t="s">
        <v>22146</v>
      </c>
      <c r="C4066" t="s">
        <v>15293</v>
      </c>
      <c r="D4066" t="s">
        <v>22147</v>
      </c>
      <c r="E4066" t="s">
        <v>22148</v>
      </c>
      <c r="G4066" t="s">
        <v>3026</v>
      </c>
      <c r="H4066" t="s">
        <v>3942</v>
      </c>
      <c r="J4066" t="s">
        <v>3962</v>
      </c>
      <c r="K4066" t="s">
        <v>519</v>
      </c>
      <c r="M4066" t="s">
        <v>2287</v>
      </c>
      <c r="N4066" t="s">
        <v>557</v>
      </c>
      <c r="O4066" t="s">
        <v>3027</v>
      </c>
      <c r="P4066" t="s">
        <v>523</v>
      </c>
      <c r="Q4066" t="s">
        <v>2928</v>
      </c>
      <c r="R4066" t="s">
        <v>2824</v>
      </c>
      <c r="S4066" t="s">
        <v>2870</v>
      </c>
      <c r="T4066" t="s">
        <v>2448</v>
      </c>
      <c r="U4066">
        <v>311501</v>
      </c>
      <c r="V4066" t="s">
        <v>3026</v>
      </c>
      <c r="W4066" t="s">
        <v>3028</v>
      </c>
      <c r="X4066" t="s">
        <v>15291</v>
      </c>
      <c r="Y4066" t="s">
        <v>15292</v>
      </c>
      <c r="AA4066" t="s">
        <v>11897</v>
      </c>
      <c r="AB4066" t="s">
        <v>15293</v>
      </c>
      <c r="AE4066">
        <v>-42.72189281</v>
      </c>
      <c r="AF4066">
        <v>170.97464783999999</v>
      </c>
      <c r="AG4066">
        <v>20</v>
      </c>
      <c r="AH4066">
        <v>0</v>
      </c>
      <c r="AI4066">
        <v>0</v>
      </c>
      <c r="AJ4066">
        <v>0</v>
      </c>
      <c r="AK4066">
        <v>5</v>
      </c>
      <c r="AL4066">
        <v>9</v>
      </c>
      <c r="AM4066">
        <v>9</v>
      </c>
      <c r="AN4066">
        <v>0</v>
      </c>
      <c r="AO4066">
        <v>23</v>
      </c>
      <c r="AP4066">
        <v>20</v>
      </c>
      <c r="AQ4066">
        <v>6</v>
      </c>
      <c r="AR4066">
        <v>2</v>
      </c>
      <c r="AS4066">
        <v>1</v>
      </c>
      <c r="AT4066">
        <v>1</v>
      </c>
    </row>
    <row r="4067" spans="1:46">
      <c r="A4067">
        <v>65197</v>
      </c>
      <c r="B4067" t="s">
        <v>22149</v>
      </c>
      <c r="C4067" t="s">
        <v>22150</v>
      </c>
      <c r="D4067" t="s">
        <v>22151</v>
      </c>
      <c r="E4067" t="s">
        <v>22152</v>
      </c>
      <c r="G4067" t="s">
        <v>21918</v>
      </c>
      <c r="H4067" t="s">
        <v>3942</v>
      </c>
      <c r="J4067" t="s">
        <v>3962</v>
      </c>
      <c r="K4067" t="s">
        <v>519</v>
      </c>
      <c r="M4067" t="s">
        <v>2287</v>
      </c>
      <c r="N4067" t="s">
        <v>571</v>
      </c>
      <c r="O4067" t="s">
        <v>2868</v>
      </c>
      <c r="P4067" t="s">
        <v>523</v>
      </c>
      <c r="Q4067" t="s">
        <v>2869</v>
      </c>
      <c r="R4067" t="s">
        <v>2824</v>
      </c>
      <c r="S4067" t="s">
        <v>2870</v>
      </c>
      <c r="T4067" t="s">
        <v>2448</v>
      </c>
      <c r="U4067">
        <v>302300</v>
      </c>
      <c r="V4067" t="s">
        <v>21918</v>
      </c>
      <c r="W4067" t="s">
        <v>11292</v>
      </c>
      <c r="X4067" t="s">
        <v>22153</v>
      </c>
      <c r="Y4067" t="s">
        <v>22154</v>
      </c>
      <c r="AA4067" t="s">
        <v>22155</v>
      </c>
      <c r="AB4067" t="s">
        <v>22156</v>
      </c>
      <c r="AC4067">
        <v>99142</v>
      </c>
      <c r="AD4067" t="s">
        <v>2885</v>
      </c>
      <c r="AE4067">
        <v>-41.405471130000002</v>
      </c>
      <c r="AF4067">
        <v>173.04376539</v>
      </c>
      <c r="AG4067">
        <v>37</v>
      </c>
      <c r="AH4067">
        <v>0</v>
      </c>
      <c r="AI4067">
        <v>0</v>
      </c>
      <c r="AJ4067">
        <v>0</v>
      </c>
      <c r="AK4067">
        <v>15</v>
      </c>
      <c r="AL4067">
        <v>17</v>
      </c>
      <c r="AM4067">
        <v>15</v>
      </c>
      <c r="AN4067">
        <v>0</v>
      </c>
      <c r="AO4067">
        <v>47</v>
      </c>
      <c r="AP4067">
        <v>45</v>
      </c>
      <c r="AQ4067">
        <v>7</v>
      </c>
      <c r="AR4067">
        <v>2</v>
      </c>
      <c r="AS4067">
        <v>1</v>
      </c>
      <c r="AT4067">
        <v>2</v>
      </c>
    </row>
    <row r="4068" spans="1:46">
      <c r="A4068">
        <v>65200</v>
      </c>
      <c r="B4068" t="s">
        <v>22157</v>
      </c>
      <c r="C4068" t="s">
        <v>22158</v>
      </c>
      <c r="D4068" t="s">
        <v>22159</v>
      </c>
      <c r="E4068" t="s">
        <v>22160</v>
      </c>
      <c r="G4068" t="s">
        <v>18491</v>
      </c>
      <c r="H4068" t="s">
        <v>3942</v>
      </c>
      <c r="J4068" t="s">
        <v>3962</v>
      </c>
      <c r="K4068" t="s">
        <v>519</v>
      </c>
      <c r="M4068" t="s">
        <v>2287</v>
      </c>
      <c r="N4068" t="s">
        <v>571</v>
      </c>
      <c r="O4068" t="s">
        <v>18492</v>
      </c>
      <c r="P4068" t="s">
        <v>523</v>
      </c>
      <c r="Q4068" t="s">
        <v>2943</v>
      </c>
      <c r="R4068" t="s">
        <v>2824</v>
      </c>
      <c r="S4068" t="s">
        <v>2825</v>
      </c>
      <c r="T4068" t="s">
        <v>2448</v>
      </c>
      <c r="U4068">
        <v>308900</v>
      </c>
      <c r="V4068" t="s">
        <v>2825</v>
      </c>
      <c r="W4068" t="s">
        <v>1652</v>
      </c>
      <c r="X4068" t="s">
        <v>22161</v>
      </c>
      <c r="Y4068" t="s">
        <v>22162</v>
      </c>
      <c r="Z4068" t="s">
        <v>2566</v>
      </c>
      <c r="AA4068" t="s">
        <v>20227</v>
      </c>
      <c r="AB4068" t="s">
        <v>22163</v>
      </c>
      <c r="AC4068">
        <v>99025</v>
      </c>
      <c r="AD4068" t="s">
        <v>21703</v>
      </c>
      <c r="AE4068">
        <v>-42.401133719999997</v>
      </c>
      <c r="AF4068">
        <v>173.67604603999999</v>
      </c>
      <c r="AG4068">
        <v>39</v>
      </c>
      <c r="AH4068">
        <v>9</v>
      </c>
      <c r="AI4068">
        <v>0</v>
      </c>
      <c r="AJ4068">
        <v>8</v>
      </c>
      <c r="AK4068">
        <v>6</v>
      </c>
      <c r="AL4068">
        <v>6</v>
      </c>
      <c r="AM4068">
        <v>13</v>
      </c>
      <c r="AN4068">
        <v>0</v>
      </c>
      <c r="AO4068">
        <v>33</v>
      </c>
      <c r="AP4068">
        <v>29</v>
      </c>
      <c r="AQ4068">
        <v>10</v>
      </c>
      <c r="AR4068">
        <v>3</v>
      </c>
      <c r="AS4068">
        <v>1</v>
      </c>
      <c r="AT4068">
        <v>1</v>
      </c>
    </row>
    <row r="4069" spans="1:46">
      <c r="A4069">
        <v>65201</v>
      </c>
      <c r="B4069" t="s">
        <v>22164</v>
      </c>
      <c r="C4069" t="s">
        <v>22165</v>
      </c>
      <c r="D4069" t="s">
        <v>22166</v>
      </c>
      <c r="E4069" t="s">
        <v>22167</v>
      </c>
      <c r="G4069" t="s">
        <v>22168</v>
      </c>
      <c r="H4069" t="s">
        <v>298</v>
      </c>
      <c r="J4069" t="s">
        <v>518</v>
      </c>
      <c r="K4069" t="s">
        <v>519</v>
      </c>
      <c r="M4069" t="s">
        <v>2287</v>
      </c>
      <c r="N4069" t="s">
        <v>557</v>
      </c>
      <c r="O4069" t="s">
        <v>3006</v>
      </c>
      <c r="P4069" t="s">
        <v>540</v>
      </c>
      <c r="Q4069" t="s">
        <v>2928</v>
      </c>
      <c r="R4069" t="s">
        <v>2824</v>
      </c>
      <c r="S4069" t="s">
        <v>2870</v>
      </c>
      <c r="T4069" t="s">
        <v>2448</v>
      </c>
      <c r="U4069">
        <v>311000</v>
      </c>
      <c r="V4069" t="s">
        <v>22169</v>
      </c>
      <c r="W4069" t="s">
        <v>2455</v>
      </c>
      <c r="X4069" t="s">
        <v>22170</v>
      </c>
      <c r="Y4069" t="s">
        <v>5187</v>
      </c>
      <c r="AA4069" t="s">
        <v>5188</v>
      </c>
      <c r="AE4069">
        <v>-42.3478353</v>
      </c>
      <c r="AF4069">
        <v>171.53843938</v>
      </c>
      <c r="AG4069">
        <v>30</v>
      </c>
      <c r="AH4069">
        <v>12</v>
      </c>
      <c r="AI4069">
        <v>0</v>
      </c>
      <c r="AJ4069">
        <v>5</v>
      </c>
      <c r="AK4069">
        <v>3</v>
      </c>
      <c r="AL4069">
        <v>4</v>
      </c>
      <c r="AM4069">
        <v>1</v>
      </c>
      <c r="AN4069">
        <v>0</v>
      </c>
      <c r="AO4069">
        <v>13</v>
      </c>
      <c r="AP4069">
        <v>13</v>
      </c>
      <c r="AQ4069">
        <v>0</v>
      </c>
      <c r="AR4069">
        <v>0</v>
      </c>
      <c r="AS4069">
        <v>0</v>
      </c>
      <c r="AT4069">
        <v>0</v>
      </c>
    </row>
    <row r="4070" spans="1:46">
      <c r="A4070">
        <v>65209</v>
      </c>
      <c r="B4070" t="s">
        <v>22171</v>
      </c>
      <c r="C4070" t="s">
        <v>22165</v>
      </c>
      <c r="D4070" t="s">
        <v>22166</v>
      </c>
      <c r="E4070" t="s">
        <v>22172</v>
      </c>
      <c r="G4070" t="s">
        <v>22173</v>
      </c>
      <c r="H4070" t="s">
        <v>298</v>
      </c>
      <c r="J4070" t="s">
        <v>518</v>
      </c>
      <c r="K4070" t="s">
        <v>519</v>
      </c>
      <c r="M4070" t="s">
        <v>2287</v>
      </c>
      <c r="N4070" t="s">
        <v>571</v>
      </c>
      <c r="O4070" t="s">
        <v>3027</v>
      </c>
      <c r="P4070" t="s">
        <v>540</v>
      </c>
      <c r="Q4070" t="s">
        <v>2928</v>
      </c>
      <c r="R4070" t="s">
        <v>2824</v>
      </c>
      <c r="S4070" t="s">
        <v>2870</v>
      </c>
      <c r="T4070" t="s">
        <v>2448</v>
      </c>
      <c r="U4070">
        <v>311701</v>
      </c>
      <c r="V4070" t="s">
        <v>22174</v>
      </c>
      <c r="W4070" t="s">
        <v>2468</v>
      </c>
      <c r="X4070" t="s">
        <v>22170</v>
      </c>
      <c r="Y4070" t="s">
        <v>5187</v>
      </c>
      <c r="AA4070" t="s">
        <v>5188</v>
      </c>
      <c r="AE4070">
        <v>-42.718806710000003</v>
      </c>
      <c r="AF4070">
        <v>170.96062079999999</v>
      </c>
      <c r="AG4070">
        <v>30</v>
      </c>
      <c r="AH4070">
        <v>20</v>
      </c>
      <c r="AI4070">
        <v>11</v>
      </c>
      <c r="AJ4070">
        <v>4</v>
      </c>
      <c r="AK4070">
        <v>4</v>
      </c>
      <c r="AL4070">
        <v>1</v>
      </c>
      <c r="AM4070">
        <v>5</v>
      </c>
      <c r="AN4070">
        <v>1</v>
      </c>
      <c r="AO4070">
        <v>26</v>
      </c>
      <c r="AP4070">
        <v>26</v>
      </c>
      <c r="AQ4070">
        <v>10</v>
      </c>
      <c r="AR4070">
        <v>0</v>
      </c>
      <c r="AS4070">
        <v>0</v>
      </c>
      <c r="AT4070">
        <v>0</v>
      </c>
    </row>
    <row r="4071" spans="1:46">
      <c r="A4071">
        <v>65212</v>
      </c>
      <c r="B4071" t="s">
        <v>22175</v>
      </c>
      <c r="C4071" t="s">
        <v>22176</v>
      </c>
      <c r="D4071" t="s">
        <v>22166</v>
      </c>
      <c r="E4071" t="s">
        <v>22177</v>
      </c>
      <c r="G4071" t="s">
        <v>15523</v>
      </c>
      <c r="H4071" t="s">
        <v>298</v>
      </c>
      <c r="J4071" t="s">
        <v>518</v>
      </c>
      <c r="K4071" t="s">
        <v>519</v>
      </c>
      <c r="M4071" t="s">
        <v>2287</v>
      </c>
      <c r="N4071" t="s">
        <v>571</v>
      </c>
      <c r="O4071" t="s">
        <v>2868</v>
      </c>
      <c r="P4071" t="s">
        <v>540</v>
      </c>
      <c r="Q4071" t="s">
        <v>2869</v>
      </c>
      <c r="R4071" t="s">
        <v>2824</v>
      </c>
      <c r="S4071" t="s">
        <v>2870</v>
      </c>
      <c r="T4071" t="s">
        <v>2448</v>
      </c>
      <c r="U4071">
        <v>301800</v>
      </c>
      <c r="V4071" t="s">
        <v>15524</v>
      </c>
      <c r="W4071" t="s">
        <v>15525</v>
      </c>
      <c r="X4071" t="s">
        <v>22170</v>
      </c>
      <c r="Y4071" t="s">
        <v>5187</v>
      </c>
      <c r="AA4071" t="s">
        <v>5188</v>
      </c>
      <c r="AC4071">
        <v>99023</v>
      </c>
      <c r="AD4071" t="s">
        <v>15526</v>
      </c>
      <c r="AE4071">
        <v>-41.799103350000003</v>
      </c>
      <c r="AF4071">
        <v>172.32645436000001</v>
      </c>
      <c r="AG4071">
        <v>30</v>
      </c>
      <c r="AH4071">
        <v>15</v>
      </c>
      <c r="AI4071">
        <v>0</v>
      </c>
      <c r="AJ4071">
        <v>0</v>
      </c>
      <c r="AK4071">
        <v>1</v>
      </c>
      <c r="AL4071">
        <v>3</v>
      </c>
      <c r="AM4071">
        <v>0</v>
      </c>
      <c r="AN4071">
        <v>0</v>
      </c>
      <c r="AO4071">
        <v>4</v>
      </c>
      <c r="AP4071">
        <v>4</v>
      </c>
      <c r="AQ4071">
        <v>0</v>
      </c>
      <c r="AR4071">
        <v>0</v>
      </c>
      <c r="AS4071">
        <v>0</v>
      </c>
      <c r="AT4071">
        <v>0</v>
      </c>
    </row>
    <row r="4072" spans="1:46">
      <c r="A4072">
        <v>65213</v>
      </c>
      <c r="B4072" t="s">
        <v>22178</v>
      </c>
      <c r="C4072" t="s">
        <v>22165</v>
      </c>
      <c r="E4072" t="s">
        <v>22179</v>
      </c>
      <c r="F4072" t="s">
        <v>22180</v>
      </c>
      <c r="G4072" t="s">
        <v>3005</v>
      </c>
      <c r="H4072" t="s">
        <v>298</v>
      </c>
      <c r="J4072" t="s">
        <v>518</v>
      </c>
      <c r="K4072" t="s">
        <v>519</v>
      </c>
      <c r="M4072" t="s">
        <v>2287</v>
      </c>
      <c r="N4072" t="s">
        <v>571</v>
      </c>
      <c r="O4072" t="s">
        <v>3006</v>
      </c>
      <c r="P4072" t="s">
        <v>523</v>
      </c>
      <c r="Q4072" t="s">
        <v>2928</v>
      </c>
      <c r="R4072" t="s">
        <v>2824</v>
      </c>
      <c r="S4072" t="s">
        <v>2870</v>
      </c>
      <c r="T4072" t="s">
        <v>2448</v>
      </c>
      <c r="U4072">
        <v>310700</v>
      </c>
      <c r="V4072" t="s">
        <v>18601</v>
      </c>
      <c r="W4072" t="s">
        <v>3040</v>
      </c>
      <c r="X4072" t="s">
        <v>22170</v>
      </c>
      <c r="Y4072" t="s">
        <v>5187</v>
      </c>
      <c r="AA4072" t="s">
        <v>5188</v>
      </c>
      <c r="AE4072">
        <v>-42.510132230000004</v>
      </c>
      <c r="AF4072">
        <v>171.16820380999999</v>
      </c>
      <c r="AG4072">
        <v>32</v>
      </c>
      <c r="AH4072">
        <v>16</v>
      </c>
      <c r="AI4072">
        <v>1</v>
      </c>
      <c r="AJ4072">
        <v>2</v>
      </c>
      <c r="AK4072">
        <v>6</v>
      </c>
      <c r="AL4072">
        <v>6</v>
      </c>
      <c r="AM4072">
        <v>4</v>
      </c>
      <c r="AN4072">
        <v>0</v>
      </c>
      <c r="AO4072">
        <v>19</v>
      </c>
      <c r="AP4072">
        <v>16</v>
      </c>
      <c r="AQ4072">
        <v>4</v>
      </c>
      <c r="AR4072">
        <v>0</v>
      </c>
      <c r="AS4072">
        <v>0</v>
      </c>
      <c r="AT4072">
        <v>1</v>
      </c>
    </row>
    <row r="4073" spans="1:46">
      <c r="A4073">
        <v>65218</v>
      </c>
      <c r="B4073" t="s">
        <v>22181</v>
      </c>
      <c r="E4073" t="s">
        <v>22182</v>
      </c>
      <c r="G4073" t="s">
        <v>2926</v>
      </c>
      <c r="H4073" t="s">
        <v>298</v>
      </c>
      <c r="J4073" t="s">
        <v>518</v>
      </c>
      <c r="K4073" t="s">
        <v>519</v>
      </c>
      <c r="M4073" t="s">
        <v>2287</v>
      </c>
      <c r="N4073" t="s">
        <v>557</v>
      </c>
      <c r="O4073" t="s">
        <v>2927</v>
      </c>
      <c r="P4073" t="s">
        <v>523</v>
      </c>
      <c r="Q4073" t="s">
        <v>2928</v>
      </c>
      <c r="R4073" t="s">
        <v>2824</v>
      </c>
      <c r="S4073" t="s">
        <v>2870</v>
      </c>
      <c r="T4073" t="s">
        <v>2448</v>
      </c>
      <c r="U4073">
        <v>309400</v>
      </c>
      <c r="V4073" t="s">
        <v>13030</v>
      </c>
      <c r="W4073" t="s">
        <v>2930</v>
      </c>
      <c r="X4073" t="s">
        <v>22170</v>
      </c>
      <c r="Y4073" t="s">
        <v>5187</v>
      </c>
      <c r="AA4073" t="s">
        <v>5188</v>
      </c>
      <c r="AE4073">
        <v>-41.758968019999998</v>
      </c>
      <c r="AF4073">
        <v>171.60817255000001</v>
      </c>
      <c r="AG4073">
        <v>30</v>
      </c>
      <c r="AH4073">
        <v>15</v>
      </c>
      <c r="AI4073">
        <v>0</v>
      </c>
      <c r="AJ4073">
        <v>2</v>
      </c>
      <c r="AK4073">
        <v>1</v>
      </c>
      <c r="AL4073">
        <v>3</v>
      </c>
      <c r="AM4073">
        <v>2</v>
      </c>
      <c r="AN4073">
        <v>1</v>
      </c>
      <c r="AO4073">
        <v>9</v>
      </c>
      <c r="AP4073">
        <v>5</v>
      </c>
      <c r="AQ4073">
        <v>5</v>
      </c>
      <c r="AR4073">
        <v>0</v>
      </c>
      <c r="AS4073">
        <v>0</v>
      </c>
      <c r="AT4073">
        <v>0</v>
      </c>
    </row>
    <row r="4074" spans="1:46">
      <c r="A4074">
        <v>65222</v>
      </c>
      <c r="B4074" t="s">
        <v>22183</v>
      </c>
      <c r="C4074" t="s">
        <v>22184</v>
      </c>
      <c r="D4074" t="s">
        <v>22185</v>
      </c>
      <c r="E4074" t="s">
        <v>22186</v>
      </c>
      <c r="G4074" t="s">
        <v>2821</v>
      </c>
      <c r="H4074" t="s">
        <v>3942</v>
      </c>
      <c r="J4074" t="s">
        <v>518</v>
      </c>
      <c r="K4074" t="s">
        <v>519</v>
      </c>
      <c r="M4074" t="s">
        <v>2287</v>
      </c>
      <c r="N4074" t="s">
        <v>571</v>
      </c>
      <c r="O4074" t="s">
        <v>2822</v>
      </c>
      <c r="P4074" t="s">
        <v>1262</v>
      </c>
      <c r="Q4074" t="s">
        <v>2823</v>
      </c>
      <c r="R4074" t="s">
        <v>2824</v>
      </c>
      <c r="S4074" t="s">
        <v>2825</v>
      </c>
      <c r="T4074" t="s">
        <v>2448</v>
      </c>
      <c r="U4074">
        <v>307802</v>
      </c>
      <c r="V4074" t="s">
        <v>16865</v>
      </c>
      <c r="W4074" t="s">
        <v>3868</v>
      </c>
      <c r="X4074" t="s">
        <v>22187</v>
      </c>
      <c r="Y4074" t="s">
        <v>22188</v>
      </c>
      <c r="Z4074" t="s">
        <v>2821</v>
      </c>
      <c r="AA4074" t="s">
        <v>22102</v>
      </c>
      <c r="AB4074" t="s">
        <v>22189</v>
      </c>
      <c r="AC4074">
        <v>99006</v>
      </c>
      <c r="AD4074" t="s">
        <v>2831</v>
      </c>
      <c r="AE4074">
        <v>-41.537068920000003</v>
      </c>
      <c r="AF4074">
        <v>173.92367200000001</v>
      </c>
      <c r="AG4074">
        <v>40</v>
      </c>
      <c r="AH4074">
        <v>5</v>
      </c>
      <c r="AI4074">
        <v>0</v>
      </c>
      <c r="AJ4074">
        <v>1</v>
      </c>
      <c r="AK4074">
        <v>12</v>
      </c>
      <c r="AL4074">
        <v>14</v>
      </c>
      <c r="AM4074">
        <v>12</v>
      </c>
      <c r="AN4074">
        <v>1</v>
      </c>
      <c r="AO4074">
        <v>40</v>
      </c>
      <c r="AP4074">
        <v>35</v>
      </c>
      <c r="AQ4074">
        <v>18</v>
      </c>
      <c r="AR4074">
        <v>3</v>
      </c>
      <c r="AS4074">
        <v>4</v>
      </c>
      <c r="AT4074">
        <v>0</v>
      </c>
    </row>
    <row r="4075" spans="1:46">
      <c r="A4075">
        <v>65223</v>
      </c>
      <c r="B4075" t="s">
        <v>22190</v>
      </c>
      <c r="C4075" t="s">
        <v>22191</v>
      </c>
      <c r="D4075" t="s">
        <v>22192</v>
      </c>
      <c r="E4075" t="s">
        <v>22193</v>
      </c>
      <c r="F4075" t="s">
        <v>3701</v>
      </c>
      <c r="G4075" t="s">
        <v>2821</v>
      </c>
      <c r="H4075" t="s">
        <v>3942</v>
      </c>
      <c r="J4075" t="s">
        <v>518</v>
      </c>
      <c r="K4075" t="s">
        <v>519</v>
      </c>
      <c r="M4075" t="s">
        <v>2287</v>
      </c>
      <c r="N4075" t="s">
        <v>571</v>
      </c>
      <c r="O4075" t="s">
        <v>2822</v>
      </c>
      <c r="P4075" t="s">
        <v>1262</v>
      </c>
      <c r="Q4075" t="s">
        <v>2823</v>
      </c>
      <c r="R4075" t="s">
        <v>2824</v>
      </c>
      <c r="S4075" t="s">
        <v>2825</v>
      </c>
      <c r="T4075" t="s">
        <v>2448</v>
      </c>
      <c r="U4075">
        <v>307501</v>
      </c>
      <c r="V4075" t="s">
        <v>3701</v>
      </c>
      <c r="W4075" t="s">
        <v>2826</v>
      </c>
      <c r="X4075" t="s">
        <v>18316</v>
      </c>
      <c r="Y4075" t="s">
        <v>3944</v>
      </c>
      <c r="Z4075" t="s">
        <v>3945</v>
      </c>
      <c r="AA4075" t="s">
        <v>3946</v>
      </c>
      <c r="AC4075">
        <v>99006</v>
      </c>
      <c r="AD4075" t="s">
        <v>2831</v>
      </c>
      <c r="AE4075">
        <v>-41.507675749999997</v>
      </c>
      <c r="AF4075">
        <v>173.9372553</v>
      </c>
      <c r="AG4075">
        <v>81</v>
      </c>
      <c r="AH4075">
        <v>25</v>
      </c>
      <c r="AI4075">
        <v>6</v>
      </c>
      <c r="AJ4075">
        <v>19</v>
      </c>
      <c r="AK4075">
        <v>23</v>
      </c>
      <c r="AL4075">
        <v>21</v>
      </c>
      <c r="AM4075">
        <v>18</v>
      </c>
      <c r="AN4075">
        <v>0</v>
      </c>
      <c r="AO4075">
        <v>87</v>
      </c>
      <c r="AP4075">
        <v>67</v>
      </c>
      <c r="AQ4075">
        <v>13</v>
      </c>
      <c r="AR4075">
        <v>0</v>
      </c>
      <c r="AS4075">
        <v>10</v>
      </c>
      <c r="AT4075">
        <v>11</v>
      </c>
    </row>
    <row r="4076" spans="1:46">
      <c r="A4076">
        <v>65225</v>
      </c>
      <c r="B4076" t="s">
        <v>22194</v>
      </c>
      <c r="C4076" t="s">
        <v>22195</v>
      </c>
      <c r="E4076" t="s">
        <v>22196</v>
      </c>
      <c r="G4076" t="s">
        <v>2853</v>
      </c>
      <c r="H4076" t="s">
        <v>343</v>
      </c>
      <c r="J4076" t="s">
        <v>518</v>
      </c>
      <c r="K4076" t="s">
        <v>519</v>
      </c>
      <c r="L4076" t="s">
        <v>4205</v>
      </c>
      <c r="M4076" t="s">
        <v>2287</v>
      </c>
      <c r="N4076" t="s">
        <v>539</v>
      </c>
      <c r="O4076" t="s">
        <v>2854</v>
      </c>
      <c r="P4076" t="s">
        <v>584</v>
      </c>
      <c r="Q4076" t="s">
        <v>2855</v>
      </c>
      <c r="R4076" t="s">
        <v>2824</v>
      </c>
      <c r="S4076" t="s">
        <v>2853</v>
      </c>
      <c r="T4076" t="s">
        <v>2448</v>
      </c>
      <c r="U4076">
        <v>305200</v>
      </c>
      <c r="V4076" t="s">
        <v>15298</v>
      </c>
      <c r="W4076" t="s">
        <v>2033</v>
      </c>
      <c r="X4076" t="s">
        <v>12058</v>
      </c>
      <c r="Y4076" t="s">
        <v>4208</v>
      </c>
      <c r="Z4076" t="s">
        <v>4209</v>
      </c>
      <c r="AA4076" t="s">
        <v>4210</v>
      </c>
      <c r="AB4076" t="s">
        <v>12059</v>
      </c>
      <c r="AE4076">
        <v>-41.283965389999999</v>
      </c>
      <c r="AF4076">
        <v>173.26947275000001</v>
      </c>
      <c r="AG4076">
        <v>22</v>
      </c>
      <c r="AH4076">
        <v>8</v>
      </c>
      <c r="AI4076">
        <v>0</v>
      </c>
      <c r="AJ4076">
        <v>7</v>
      </c>
      <c r="AK4076">
        <v>6</v>
      </c>
      <c r="AL4076">
        <v>4</v>
      </c>
      <c r="AM4076">
        <v>3</v>
      </c>
      <c r="AN4076">
        <v>0</v>
      </c>
      <c r="AO4076">
        <v>20</v>
      </c>
      <c r="AP4076">
        <v>0</v>
      </c>
      <c r="AQ4076">
        <v>17</v>
      </c>
      <c r="AR4076">
        <v>2</v>
      </c>
      <c r="AS4076">
        <v>0</v>
      </c>
      <c r="AT4076">
        <v>1</v>
      </c>
    </row>
    <row r="4077" spans="1:46">
      <c r="A4077">
        <v>65226</v>
      </c>
      <c r="B4077" t="s">
        <v>22197</v>
      </c>
      <c r="C4077" t="s">
        <v>22198</v>
      </c>
      <c r="E4077" t="s">
        <v>22199</v>
      </c>
      <c r="G4077" t="s">
        <v>22200</v>
      </c>
      <c r="H4077" t="s">
        <v>3942</v>
      </c>
      <c r="J4077" t="s">
        <v>518</v>
      </c>
      <c r="K4077" t="s">
        <v>519</v>
      </c>
      <c r="M4077" t="s">
        <v>2287</v>
      </c>
      <c r="N4077" t="s">
        <v>571</v>
      </c>
      <c r="O4077" t="s">
        <v>2927</v>
      </c>
      <c r="P4077" t="s">
        <v>523</v>
      </c>
      <c r="Q4077" t="s">
        <v>2928</v>
      </c>
      <c r="R4077" t="s">
        <v>2824</v>
      </c>
      <c r="S4077" t="s">
        <v>2870</v>
      </c>
      <c r="T4077" t="s">
        <v>2448</v>
      </c>
      <c r="U4077">
        <v>309800</v>
      </c>
      <c r="V4077" t="s">
        <v>22200</v>
      </c>
      <c r="W4077" t="s">
        <v>22201</v>
      </c>
      <c r="X4077" t="s">
        <v>22202</v>
      </c>
      <c r="Y4077" t="s">
        <v>22203</v>
      </c>
      <c r="Z4077" t="s">
        <v>22200</v>
      </c>
      <c r="AA4077" t="s">
        <v>22204</v>
      </c>
      <c r="AC4077">
        <v>99023</v>
      </c>
      <c r="AD4077" t="s">
        <v>15526</v>
      </c>
      <c r="AE4077">
        <v>-42.113305799999999</v>
      </c>
      <c r="AF4077">
        <v>171.85927950000001</v>
      </c>
      <c r="AG4077">
        <v>23</v>
      </c>
      <c r="AH4077">
        <v>3</v>
      </c>
      <c r="AI4077">
        <v>0</v>
      </c>
      <c r="AJ4077">
        <v>0</v>
      </c>
      <c r="AK4077">
        <v>3</v>
      </c>
      <c r="AL4077">
        <v>11</v>
      </c>
      <c r="AM4077">
        <v>17</v>
      </c>
      <c r="AN4077">
        <v>0</v>
      </c>
      <c r="AO4077">
        <v>31</v>
      </c>
      <c r="AP4077">
        <v>29</v>
      </c>
      <c r="AQ4077">
        <v>6</v>
      </c>
      <c r="AR4077">
        <v>1</v>
      </c>
      <c r="AS4077">
        <v>2</v>
      </c>
      <c r="AT4077">
        <v>0</v>
      </c>
    </row>
    <row r="4078" spans="1:46">
      <c r="A4078">
        <v>65227</v>
      </c>
      <c r="B4078" t="s">
        <v>22205</v>
      </c>
      <c r="C4078" t="s">
        <v>22206</v>
      </c>
      <c r="D4078" t="s">
        <v>11266</v>
      </c>
      <c r="E4078" t="s">
        <v>22207</v>
      </c>
      <c r="G4078" t="s">
        <v>2821</v>
      </c>
      <c r="H4078" t="s">
        <v>3942</v>
      </c>
      <c r="J4078" t="s">
        <v>3962</v>
      </c>
      <c r="K4078" t="s">
        <v>519</v>
      </c>
      <c r="M4078" t="s">
        <v>2287</v>
      </c>
      <c r="N4078" t="s">
        <v>571</v>
      </c>
      <c r="O4078" t="s">
        <v>2822</v>
      </c>
      <c r="P4078" t="s">
        <v>1262</v>
      </c>
      <c r="Q4078" t="s">
        <v>2823</v>
      </c>
      <c r="R4078" t="s">
        <v>2824</v>
      </c>
      <c r="S4078" t="s">
        <v>2825</v>
      </c>
      <c r="T4078" t="s">
        <v>2448</v>
      </c>
      <c r="U4078">
        <v>308000</v>
      </c>
      <c r="V4078" t="s">
        <v>11268</v>
      </c>
      <c r="W4078" t="s">
        <v>2826</v>
      </c>
      <c r="X4078" t="s">
        <v>11269</v>
      </c>
      <c r="Y4078" t="s">
        <v>11270</v>
      </c>
      <c r="AA4078" t="s">
        <v>10864</v>
      </c>
      <c r="AE4078">
        <v>-41.503557100000002</v>
      </c>
      <c r="AF4078">
        <v>173.96372099999999</v>
      </c>
      <c r="AG4078">
        <v>37</v>
      </c>
      <c r="AH4078">
        <v>0</v>
      </c>
      <c r="AI4078">
        <v>0</v>
      </c>
      <c r="AJ4078">
        <v>0</v>
      </c>
      <c r="AK4078">
        <v>6</v>
      </c>
      <c r="AL4078">
        <v>9</v>
      </c>
      <c r="AM4078">
        <v>23</v>
      </c>
      <c r="AN4078">
        <v>1</v>
      </c>
      <c r="AO4078">
        <v>39</v>
      </c>
      <c r="AP4078">
        <v>25</v>
      </c>
      <c r="AQ4078">
        <v>17</v>
      </c>
      <c r="AR4078">
        <v>0</v>
      </c>
      <c r="AS4078">
        <v>7</v>
      </c>
      <c r="AT4078">
        <v>3</v>
      </c>
    </row>
    <row r="4079" spans="1:46">
      <c r="A4079">
        <v>65228</v>
      </c>
      <c r="B4079" t="s">
        <v>22208</v>
      </c>
      <c r="C4079" t="s">
        <v>22209</v>
      </c>
      <c r="D4079" t="s">
        <v>22210</v>
      </c>
      <c r="E4079" t="s">
        <v>22211</v>
      </c>
      <c r="G4079" t="s">
        <v>22212</v>
      </c>
      <c r="H4079" t="s">
        <v>3942</v>
      </c>
      <c r="J4079" t="s">
        <v>518</v>
      </c>
      <c r="K4079" t="s">
        <v>519</v>
      </c>
      <c r="M4079" t="s">
        <v>2287</v>
      </c>
      <c r="N4079" t="s">
        <v>571</v>
      </c>
      <c r="O4079" t="s">
        <v>2822</v>
      </c>
      <c r="P4079" t="s">
        <v>540</v>
      </c>
      <c r="Q4079" t="s">
        <v>2823</v>
      </c>
      <c r="R4079" t="s">
        <v>2824</v>
      </c>
      <c r="S4079" t="s">
        <v>2825</v>
      </c>
      <c r="T4079" t="s">
        <v>2448</v>
      </c>
      <c r="U4079">
        <v>306301</v>
      </c>
      <c r="V4079" t="s">
        <v>22213</v>
      </c>
      <c r="W4079" t="s">
        <v>21614</v>
      </c>
      <c r="X4079" t="s">
        <v>22214</v>
      </c>
      <c r="Y4079" t="s">
        <v>22215</v>
      </c>
      <c r="AA4079" t="s">
        <v>22216</v>
      </c>
      <c r="AE4079">
        <v>-41.280973449999998</v>
      </c>
      <c r="AF4079">
        <v>173.7669018</v>
      </c>
      <c r="AG4079">
        <v>30</v>
      </c>
      <c r="AH4079">
        <v>10</v>
      </c>
      <c r="AI4079">
        <v>0</v>
      </c>
      <c r="AJ4079">
        <v>1</v>
      </c>
      <c r="AK4079">
        <v>8</v>
      </c>
      <c r="AL4079">
        <v>8</v>
      </c>
      <c r="AM4079">
        <v>13</v>
      </c>
      <c r="AN4079">
        <v>0</v>
      </c>
      <c r="AO4079">
        <v>30</v>
      </c>
      <c r="AP4079">
        <v>25</v>
      </c>
      <c r="AQ4079">
        <v>8</v>
      </c>
      <c r="AR4079">
        <v>4</v>
      </c>
      <c r="AS4079">
        <v>2</v>
      </c>
      <c r="AT4079">
        <v>1</v>
      </c>
    </row>
    <row r="4080" spans="1:46">
      <c r="A4080">
        <v>65229</v>
      </c>
      <c r="B4080" t="s">
        <v>22217</v>
      </c>
      <c r="C4080" t="s">
        <v>22218</v>
      </c>
      <c r="D4080" t="s">
        <v>22219</v>
      </c>
      <c r="E4080" t="s">
        <v>22220</v>
      </c>
      <c r="G4080" t="s">
        <v>21902</v>
      </c>
      <c r="H4080" t="s">
        <v>3942</v>
      </c>
      <c r="J4080" t="s">
        <v>3962</v>
      </c>
      <c r="K4080" t="s">
        <v>519</v>
      </c>
      <c r="M4080" t="s">
        <v>2287</v>
      </c>
      <c r="N4080" t="s">
        <v>571</v>
      </c>
      <c r="O4080" t="s">
        <v>2868</v>
      </c>
      <c r="P4080" t="s">
        <v>523</v>
      </c>
      <c r="Q4080" t="s">
        <v>2869</v>
      </c>
      <c r="R4080" t="s">
        <v>2824</v>
      </c>
      <c r="S4080" t="s">
        <v>2870</v>
      </c>
      <c r="T4080" t="s">
        <v>2448</v>
      </c>
      <c r="U4080">
        <v>301704</v>
      </c>
      <c r="V4080" t="s">
        <v>21903</v>
      </c>
      <c r="W4080" t="s">
        <v>11292</v>
      </c>
      <c r="X4080" t="s">
        <v>22221</v>
      </c>
      <c r="Y4080" t="s">
        <v>4107</v>
      </c>
      <c r="AA4080" t="s">
        <v>3982</v>
      </c>
      <c r="AB4080" t="s">
        <v>22222</v>
      </c>
      <c r="AC4080">
        <v>99115</v>
      </c>
      <c r="AD4080" t="s">
        <v>2873</v>
      </c>
      <c r="AE4080">
        <v>-41.250891019999997</v>
      </c>
      <c r="AF4080">
        <v>173.09373524</v>
      </c>
      <c r="AG4080">
        <v>60</v>
      </c>
      <c r="AH4080">
        <v>12</v>
      </c>
      <c r="AI4080">
        <v>0</v>
      </c>
      <c r="AJ4080">
        <v>14</v>
      </c>
      <c r="AK4080">
        <v>13</v>
      </c>
      <c r="AL4080">
        <v>18</v>
      </c>
      <c r="AM4080">
        <v>16</v>
      </c>
      <c r="AN4080">
        <v>0</v>
      </c>
      <c r="AO4080">
        <v>61</v>
      </c>
      <c r="AP4080">
        <v>59</v>
      </c>
      <c r="AQ4080">
        <v>12</v>
      </c>
      <c r="AR4080">
        <v>0</v>
      </c>
      <c r="AS4080">
        <v>0</v>
      </c>
      <c r="AT4080">
        <v>2</v>
      </c>
    </row>
    <row r="4081" spans="1:46">
      <c r="A4081">
        <v>65230</v>
      </c>
      <c r="B4081" t="s">
        <v>22223</v>
      </c>
      <c r="C4081" t="s">
        <v>22224</v>
      </c>
      <c r="D4081" t="s">
        <v>22225</v>
      </c>
      <c r="E4081" t="s">
        <v>22226</v>
      </c>
      <c r="G4081" t="s">
        <v>21910</v>
      </c>
      <c r="H4081" t="s">
        <v>517</v>
      </c>
      <c r="J4081" t="s">
        <v>518</v>
      </c>
      <c r="K4081" t="s">
        <v>519</v>
      </c>
      <c r="M4081" t="s">
        <v>2287</v>
      </c>
      <c r="N4081" t="s">
        <v>571</v>
      </c>
      <c r="O4081" t="s">
        <v>2868</v>
      </c>
      <c r="P4081" t="s">
        <v>523</v>
      </c>
      <c r="Q4081" t="s">
        <v>2869</v>
      </c>
      <c r="R4081" t="s">
        <v>2824</v>
      </c>
      <c r="S4081" t="s">
        <v>2870</v>
      </c>
      <c r="T4081" t="s">
        <v>2448</v>
      </c>
      <c r="U4081">
        <v>300500</v>
      </c>
      <c r="V4081" t="s">
        <v>21911</v>
      </c>
      <c r="W4081" t="s">
        <v>21898</v>
      </c>
      <c r="X4081" t="s">
        <v>2858</v>
      </c>
      <c r="Y4081" t="s">
        <v>2859</v>
      </c>
      <c r="Z4081" t="s">
        <v>2853</v>
      </c>
      <c r="AA4081" t="s">
        <v>2860</v>
      </c>
      <c r="AB4081" t="s">
        <v>2861</v>
      </c>
      <c r="AC4081">
        <v>99054</v>
      </c>
      <c r="AD4081" t="s">
        <v>21899</v>
      </c>
      <c r="AE4081">
        <v>-40.845811150000003</v>
      </c>
      <c r="AF4081">
        <v>172.80997352</v>
      </c>
      <c r="AG4081">
        <v>43</v>
      </c>
      <c r="AH4081">
        <v>0</v>
      </c>
      <c r="AI4081">
        <v>0</v>
      </c>
      <c r="AJ4081">
        <v>0</v>
      </c>
      <c r="AK4081">
        <v>6</v>
      </c>
      <c r="AL4081">
        <v>10</v>
      </c>
      <c r="AM4081">
        <v>26</v>
      </c>
      <c r="AN4081">
        <v>3</v>
      </c>
      <c r="AO4081">
        <v>45</v>
      </c>
      <c r="AP4081">
        <v>41</v>
      </c>
      <c r="AQ4081">
        <v>9</v>
      </c>
      <c r="AR4081">
        <v>4</v>
      </c>
      <c r="AS4081">
        <v>3</v>
      </c>
      <c r="AT4081">
        <v>1</v>
      </c>
    </row>
    <row r="4082" spans="1:46">
      <c r="A4082">
        <v>65231</v>
      </c>
      <c r="B4082" t="s">
        <v>22227</v>
      </c>
      <c r="C4082" t="s">
        <v>22228</v>
      </c>
      <c r="E4082" t="s">
        <v>22229</v>
      </c>
      <c r="F4082" t="s">
        <v>10930</v>
      </c>
      <c r="G4082" t="s">
        <v>2853</v>
      </c>
      <c r="H4082" t="s">
        <v>3942</v>
      </c>
      <c r="J4082" t="s">
        <v>518</v>
      </c>
      <c r="K4082" t="s">
        <v>519</v>
      </c>
      <c r="M4082" t="s">
        <v>2287</v>
      </c>
      <c r="N4082" t="s">
        <v>557</v>
      </c>
      <c r="O4082" t="s">
        <v>2854</v>
      </c>
      <c r="P4082" t="s">
        <v>584</v>
      </c>
      <c r="Q4082" t="s">
        <v>2855</v>
      </c>
      <c r="R4082" t="s">
        <v>2824</v>
      </c>
      <c r="S4082" t="s">
        <v>2853</v>
      </c>
      <c r="T4082" t="s">
        <v>2448</v>
      </c>
      <c r="U4082">
        <v>305200</v>
      </c>
      <c r="V4082" t="s">
        <v>15298</v>
      </c>
      <c r="W4082" t="s">
        <v>2033</v>
      </c>
      <c r="X4082" t="s">
        <v>22230</v>
      </c>
      <c r="Y4082" t="s">
        <v>22229</v>
      </c>
      <c r="Z4082" t="s">
        <v>22231</v>
      </c>
      <c r="AA4082" t="s">
        <v>2860</v>
      </c>
      <c r="AB4082" t="s">
        <v>22228</v>
      </c>
      <c r="AC4082">
        <v>99005</v>
      </c>
      <c r="AD4082" t="s">
        <v>2878</v>
      </c>
      <c r="AE4082">
        <v>-41.281431830000002</v>
      </c>
      <c r="AF4082">
        <v>173.26943653000001</v>
      </c>
      <c r="AG4082">
        <v>91</v>
      </c>
      <c r="AH4082">
        <v>15</v>
      </c>
      <c r="AI4082">
        <v>1</v>
      </c>
      <c r="AJ4082">
        <v>13</v>
      </c>
      <c r="AK4082">
        <v>19</v>
      </c>
      <c r="AL4082">
        <v>21</v>
      </c>
      <c r="AM4082">
        <v>32</v>
      </c>
      <c r="AN4082">
        <v>4</v>
      </c>
      <c r="AO4082">
        <v>90</v>
      </c>
      <c r="AP4082">
        <v>46</v>
      </c>
      <c r="AQ4082">
        <v>15</v>
      </c>
      <c r="AR4082">
        <v>6</v>
      </c>
      <c r="AS4082">
        <v>26</v>
      </c>
      <c r="AT4082">
        <v>20</v>
      </c>
    </row>
    <row r="4083" spans="1:46">
      <c r="A4083">
        <v>65236</v>
      </c>
      <c r="B4083" t="s">
        <v>22232</v>
      </c>
      <c r="C4083" t="s">
        <v>22233</v>
      </c>
      <c r="D4083" t="s">
        <v>22234</v>
      </c>
      <c r="E4083" t="s">
        <v>22235</v>
      </c>
      <c r="F4083" t="s">
        <v>2882</v>
      </c>
      <c r="G4083" t="s">
        <v>2853</v>
      </c>
      <c r="H4083" t="s">
        <v>3942</v>
      </c>
      <c r="J4083" t="s">
        <v>3962</v>
      </c>
      <c r="K4083" t="s">
        <v>519</v>
      </c>
      <c r="M4083" t="s">
        <v>2287</v>
      </c>
      <c r="N4083" t="s">
        <v>571</v>
      </c>
      <c r="O4083" t="s">
        <v>2868</v>
      </c>
      <c r="P4083" t="s">
        <v>1262</v>
      </c>
      <c r="Q4083" t="s">
        <v>2869</v>
      </c>
      <c r="R4083" t="s">
        <v>2824</v>
      </c>
      <c r="S4083" t="s">
        <v>2853</v>
      </c>
      <c r="T4083" t="s">
        <v>2448</v>
      </c>
      <c r="U4083">
        <v>303200</v>
      </c>
      <c r="V4083" t="s">
        <v>2883</v>
      </c>
      <c r="W4083" t="s">
        <v>2884</v>
      </c>
      <c r="X4083" t="s">
        <v>22236</v>
      </c>
      <c r="Y4083" t="s">
        <v>4658</v>
      </c>
      <c r="Z4083" t="s">
        <v>958</v>
      </c>
      <c r="AA4083" t="s">
        <v>4659</v>
      </c>
      <c r="AB4083" t="s">
        <v>22237</v>
      </c>
      <c r="AC4083">
        <v>99142</v>
      </c>
      <c r="AD4083" t="s">
        <v>2885</v>
      </c>
      <c r="AE4083">
        <v>-41.334460239999999</v>
      </c>
      <c r="AF4083">
        <v>173.20254517999999</v>
      </c>
      <c r="AG4083">
        <v>75</v>
      </c>
      <c r="AH4083">
        <v>25</v>
      </c>
      <c r="AI4083">
        <v>1</v>
      </c>
      <c r="AJ4083">
        <v>18</v>
      </c>
      <c r="AK4083">
        <v>20</v>
      </c>
      <c r="AL4083">
        <v>19</v>
      </c>
      <c r="AM4083">
        <v>14</v>
      </c>
      <c r="AN4083">
        <v>0</v>
      </c>
      <c r="AO4083">
        <v>72</v>
      </c>
      <c r="AP4083">
        <v>65</v>
      </c>
      <c r="AQ4083">
        <v>6</v>
      </c>
      <c r="AR4083">
        <v>4</v>
      </c>
      <c r="AS4083">
        <v>11</v>
      </c>
      <c r="AT4083">
        <v>0</v>
      </c>
    </row>
    <row r="4084" spans="1:46">
      <c r="A4084">
        <v>65238</v>
      </c>
      <c r="B4084" t="s">
        <v>22238</v>
      </c>
      <c r="C4084" t="s">
        <v>22239</v>
      </c>
      <c r="D4084" t="s">
        <v>18046</v>
      </c>
      <c r="E4084" t="s">
        <v>22240</v>
      </c>
      <c r="F4084" t="s">
        <v>2821</v>
      </c>
      <c r="G4084" t="s">
        <v>2821</v>
      </c>
      <c r="H4084" t="s">
        <v>3942</v>
      </c>
      <c r="J4084" t="s">
        <v>3962</v>
      </c>
      <c r="K4084" t="s">
        <v>519</v>
      </c>
      <c r="M4084" t="s">
        <v>2287</v>
      </c>
      <c r="N4084" t="s">
        <v>571</v>
      </c>
      <c r="O4084" t="s">
        <v>2822</v>
      </c>
      <c r="P4084" t="s">
        <v>1262</v>
      </c>
      <c r="Q4084" t="s">
        <v>2823</v>
      </c>
      <c r="R4084" t="s">
        <v>2824</v>
      </c>
      <c r="S4084" t="s">
        <v>2825</v>
      </c>
      <c r="T4084" t="s">
        <v>2448</v>
      </c>
      <c r="U4084">
        <v>307900</v>
      </c>
      <c r="V4084" t="s">
        <v>11552</v>
      </c>
      <c r="W4084" t="s">
        <v>2826</v>
      </c>
      <c r="X4084" t="s">
        <v>18049</v>
      </c>
      <c r="Y4084" t="s">
        <v>18050</v>
      </c>
      <c r="AA4084" t="s">
        <v>18051</v>
      </c>
      <c r="AC4084">
        <v>99006</v>
      </c>
      <c r="AD4084" t="s">
        <v>2831</v>
      </c>
      <c r="AE4084">
        <v>-41.50980131</v>
      </c>
      <c r="AF4084">
        <v>173.95362093</v>
      </c>
      <c r="AG4084">
        <v>45</v>
      </c>
      <c r="AH4084">
        <v>20</v>
      </c>
      <c r="AI4084">
        <v>0</v>
      </c>
      <c r="AJ4084">
        <v>4</v>
      </c>
      <c r="AK4084">
        <v>12</v>
      </c>
      <c r="AL4084">
        <v>14</v>
      </c>
      <c r="AM4084">
        <v>8</v>
      </c>
      <c r="AN4084">
        <v>1</v>
      </c>
      <c r="AO4084">
        <v>39</v>
      </c>
      <c r="AP4084">
        <v>29</v>
      </c>
      <c r="AQ4084">
        <v>14</v>
      </c>
      <c r="AR4084">
        <v>5</v>
      </c>
      <c r="AS4084">
        <v>3</v>
      </c>
      <c r="AT4084">
        <v>1</v>
      </c>
    </row>
    <row r="4085" spans="1:46">
      <c r="A4085">
        <v>65302</v>
      </c>
      <c r="B4085" t="s">
        <v>22241</v>
      </c>
      <c r="C4085" t="s">
        <v>22242</v>
      </c>
      <c r="E4085" t="s">
        <v>22243</v>
      </c>
      <c r="G4085" t="s">
        <v>18491</v>
      </c>
      <c r="H4085" t="s">
        <v>298</v>
      </c>
      <c r="J4085" t="s">
        <v>518</v>
      </c>
      <c r="K4085" t="s">
        <v>519</v>
      </c>
      <c r="M4085" t="s">
        <v>2287</v>
      </c>
      <c r="N4085" t="s">
        <v>571</v>
      </c>
      <c r="O4085" t="s">
        <v>18492</v>
      </c>
      <c r="P4085" t="s">
        <v>523</v>
      </c>
      <c r="Q4085" t="s">
        <v>2943</v>
      </c>
      <c r="R4085" t="s">
        <v>2824</v>
      </c>
      <c r="S4085" t="s">
        <v>2825</v>
      </c>
      <c r="T4085" t="s">
        <v>2448</v>
      </c>
      <c r="U4085">
        <v>308900</v>
      </c>
      <c r="V4085" t="s">
        <v>2825</v>
      </c>
      <c r="W4085" t="s">
        <v>1652</v>
      </c>
      <c r="X4085" t="s">
        <v>13795</v>
      </c>
      <c r="Y4085" t="s">
        <v>5187</v>
      </c>
      <c r="AA4085" t="s">
        <v>5188</v>
      </c>
      <c r="AB4085" t="s">
        <v>13796</v>
      </c>
      <c r="AC4085">
        <v>99025</v>
      </c>
      <c r="AD4085" t="s">
        <v>21703</v>
      </c>
      <c r="AE4085">
        <v>-42.408551549999999</v>
      </c>
      <c r="AF4085">
        <v>173.68515434</v>
      </c>
      <c r="AG4085">
        <v>25</v>
      </c>
      <c r="AH4085">
        <v>12</v>
      </c>
      <c r="AI4085">
        <v>2</v>
      </c>
      <c r="AJ4085">
        <v>3</v>
      </c>
      <c r="AK4085">
        <v>1</v>
      </c>
      <c r="AL4085">
        <v>3</v>
      </c>
      <c r="AM4085">
        <v>3</v>
      </c>
      <c r="AN4085">
        <v>0</v>
      </c>
      <c r="AO4085">
        <v>12</v>
      </c>
      <c r="AP4085">
        <v>10</v>
      </c>
      <c r="AQ4085">
        <v>2</v>
      </c>
      <c r="AR4085">
        <v>0</v>
      </c>
      <c r="AS4085">
        <v>1</v>
      </c>
      <c r="AT4085">
        <v>0</v>
      </c>
    </row>
    <row r="4086" spans="1:46">
      <c r="A4086">
        <v>65404</v>
      </c>
      <c r="B4086" t="s">
        <v>22244</v>
      </c>
      <c r="C4086" t="s">
        <v>22245</v>
      </c>
      <c r="D4086" t="s">
        <v>22246</v>
      </c>
      <c r="E4086" t="s">
        <v>22247</v>
      </c>
      <c r="G4086" t="s">
        <v>21910</v>
      </c>
      <c r="H4086" t="s">
        <v>3942</v>
      </c>
      <c r="J4086" t="s">
        <v>518</v>
      </c>
      <c r="K4086" t="s">
        <v>519</v>
      </c>
      <c r="M4086" t="s">
        <v>2287</v>
      </c>
      <c r="N4086" t="s">
        <v>571</v>
      </c>
      <c r="O4086" t="s">
        <v>2868</v>
      </c>
      <c r="P4086" t="s">
        <v>523</v>
      </c>
      <c r="Q4086" t="s">
        <v>2869</v>
      </c>
      <c r="R4086" t="s">
        <v>2824</v>
      </c>
      <c r="S4086" t="s">
        <v>2870</v>
      </c>
      <c r="T4086" t="s">
        <v>2448</v>
      </c>
      <c r="U4086">
        <v>300500</v>
      </c>
      <c r="V4086" t="s">
        <v>21911</v>
      </c>
      <c r="W4086" t="s">
        <v>21898</v>
      </c>
      <c r="X4086" t="s">
        <v>22248</v>
      </c>
      <c r="Y4086" t="s">
        <v>22249</v>
      </c>
      <c r="AA4086" t="s">
        <v>22250</v>
      </c>
      <c r="AB4086" t="s">
        <v>22251</v>
      </c>
      <c r="AC4086">
        <v>99054</v>
      </c>
      <c r="AD4086" t="s">
        <v>21899</v>
      </c>
      <c r="AE4086">
        <v>-40.857430100000002</v>
      </c>
      <c r="AF4086">
        <v>172.80725459999999</v>
      </c>
      <c r="AG4086">
        <v>41</v>
      </c>
      <c r="AH4086">
        <v>8</v>
      </c>
      <c r="AI4086">
        <v>0</v>
      </c>
      <c r="AJ4086">
        <v>14</v>
      </c>
      <c r="AK4086">
        <v>14</v>
      </c>
      <c r="AL4086">
        <v>18</v>
      </c>
      <c r="AM4086">
        <v>13</v>
      </c>
      <c r="AN4086">
        <v>0</v>
      </c>
      <c r="AO4086">
        <v>59</v>
      </c>
      <c r="AP4086">
        <v>56</v>
      </c>
      <c r="AQ4086">
        <v>13</v>
      </c>
      <c r="AR4086">
        <v>0</v>
      </c>
      <c r="AS4086">
        <v>1</v>
      </c>
      <c r="AT4086">
        <v>3</v>
      </c>
    </row>
    <row r="4087" spans="1:46">
      <c r="A4087">
        <v>65406</v>
      </c>
      <c r="B4087" t="s">
        <v>22252</v>
      </c>
      <c r="C4087" t="s">
        <v>22253</v>
      </c>
      <c r="D4087" t="s">
        <v>22254</v>
      </c>
      <c r="E4087" t="s">
        <v>22255</v>
      </c>
      <c r="G4087" t="s">
        <v>11290</v>
      </c>
      <c r="H4087" t="s">
        <v>3942</v>
      </c>
      <c r="J4087" t="s">
        <v>518</v>
      </c>
      <c r="K4087" t="s">
        <v>519</v>
      </c>
      <c r="M4087" t="s">
        <v>2287</v>
      </c>
      <c r="N4087" t="s">
        <v>571</v>
      </c>
      <c r="O4087" t="s">
        <v>2868</v>
      </c>
      <c r="P4087" t="s">
        <v>572</v>
      </c>
      <c r="Q4087" t="s">
        <v>2869</v>
      </c>
      <c r="R4087" t="s">
        <v>2824</v>
      </c>
      <c r="S4087" t="s">
        <v>2870</v>
      </c>
      <c r="T4087" t="s">
        <v>2448</v>
      </c>
      <c r="U4087">
        <v>301601</v>
      </c>
      <c r="V4087" t="s">
        <v>11291</v>
      </c>
      <c r="W4087" t="s">
        <v>11292</v>
      </c>
      <c r="X4087" t="s">
        <v>22256</v>
      </c>
      <c r="Y4087" t="s">
        <v>22257</v>
      </c>
      <c r="Z4087" t="s">
        <v>11290</v>
      </c>
      <c r="AA4087" t="s">
        <v>22258</v>
      </c>
      <c r="AB4087" t="s">
        <v>22259</v>
      </c>
      <c r="AC4087">
        <v>99115</v>
      </c>
      <c r="AD4087" t="s">
        <v>2873</v>
      </c>
      <c r="AE4087">
        <v>-41.257714229999998</v>
      </c>
      <c r="AF4087">
        <v>173.00756724999999</v>
      </c>
      <c r="AG4087">
        <v>50</v>
      </c>
      <c r="AH4087">
        <v>9</v>
      </c>
      <c r="AI4087">
        <v>0</v>
      </c>
      <c r="AJ4087">
        <v>11</v>
      </c>
      <c r="AK4087">
        <v>14</v>
      </c>
      <c r="AL4087">
        <v>11</v>
      </c>
      <c r="AM4087">
        <v>19</v>
      </c>
      <c r="AN4087">
        <v>0</v>
      </c>
      <c r="AO4087">
        <v>55</v>
      </c>
      <c r="AP4087">
        <v>47</v>
      </c>
      <c r="AQ4087">
        <v>9</v>
      </c>
      <c r="AR4087">
        <v>1</v>
      </c>
      <c r="AS4087">
        <v>3</v>
      </c>
      <c r="AT4087">
        <v>5</v>
      </c>
    </row>
    <row r="4088" spans="1:46">
      <c r="A4088">
        <v>65408</v>
      </c>
      <c r="B4088" t="s">
        <v>22260</v>
      </c>
      <c r="C4088" t="s">
        <v>22261</v>
      </c>
      <c r="E4088" t="s">
        <v>22262</v>
      </c>
      <c r="G4088" t="s">
        <v>2853</v>
      </c>
      <c r="H4088" t="s">
        <v>517</v>
      </c>
      <c r="J4088" t="s">
        <v>518</v>
      </c>
      <c r="K4088" t="s">
        <v>519</v>
      </c>
      <c r="M4088" t="s">
        <v>2287</v>
      </c>
      <c r="N4088" t="s">
        <v>571</v>
      </c>
      <c r="O4088" t="s">
        <v>2854</v>
      </c>
      <c r="P4088" t="s">
        <v>584</v>
      </c>
      <c r="Q4088" t="s">
        <v>2855</v>
      </c>
      <c r="R4088" t="s">
        <v>2824</v>
      </c>
      <c r="S4088" t="s">
        <v>2853</v>
      </c>
      <c r="T4088" t="s">
        <v>2448</v>
      </c>
      <c r="U4088">
        <v>304700</v>
      </c>
      <c r="V4088" t="s">
        <v>22263</v>
      </c>
      <c r="W4088" t="s">
        <v>2033</v>
      </c>
      <c r="X4088" t="s">
        <v>2858</v>
      </c>
      <c r="Y4088" t="s">
        <v>2859</v>
      </c>
      <c r="Z4088" t="s">
        <v>2853</v>
      </c>
      <c r="AA4088" t="s">
        <v>2860</v>
      </c>
      <c r="AB4088" t="s">
        <v>2861</v>
      </c>
      <c r="AC4088">
        <v>99005</v>
      </c>
      <c r="AD4088" t="s">
        <v>2878</v>
      </c>
      <c r="AE4088">
        <v>-41.272493359999999</v>
      </c>
      <c r="AF4088">
        <v>173.28956732</v>
      </c>
      <c r="AG4088">
        <v>40</v>
      </c>
      <c r="AH4088">
        <v>10</v>
      </c>
      <c r="AI4088">
        <v>1</v>
      </c>
      <c r="AJ4088">
        <v>8</v>
      </c>
      <c r="AK4088">
        <v>10</v>
      </c>
      <c r="AL4088">
        <v>10</v>
      </c>
      <c r="AM4088">
        <v>10</v>
      </c>
      <c r="AN4088">
        <v>0</v>
      </c>
      <c r="AO4088">
        <v>39</v>
      </c>
      <c r="AP4088">
        <v>33</v>
      </c>
      <c r="AQ4088">
        <v>12</v>
      </c>
      <c r="AR4088">
        <v>0</v>
      </c>
      <c r="AS4088">
        <v>3</v>
      </c>
      <c r="AT4088">
        <v>1</v>
      </c>
    </row>
    <row r="4089" spans="1:46">
      <c r="A4089">
        <v>65409</v>
      </c>
      <c r="B4089" t="s">
        <v>22264</v>
      </c>
      <c r="C4089" t="s">
        <v>22265</v>
      </c>
      <c r="D4089" t="s">
        <v>22266</v>
      </c>
      <c r="E4089" t="s">
        <v>22267</v>
      </c>
      <c r="F4089" t="s">
        <v>16473</v>
      </c>
      <c r="G4089" t="s">
        <v>2853</v>
      </c>
      <c r="H4089" t="s">
        <v>3942</v>
      </c>
      <c r="I4089" t="s">
        <v>4065</v>
      </c>
      <c r="J4089" t="s">
        <v>3962</v>
      </c>
      <c r="K4089" t="s">
        <v>519</v>
      </c>
      <c r="M4089" t="s">
        <v>2287</v>
      </c>
      <c r="N4089" t="s">
        <v>571</v>
      </c>
      <c r="O4089" t="s">
        <v>2854</v>
      </c>
      <c r="P4089" t="s">
        <v>584</v>
      </c>
      <c r="Q4089" t="s">
        <v>2855</v>
      </c>
      <c r="R4089" t="s">
        <v>2824</v>
      </c>
      <c r="S4089" t="s">
        <v>2853</v>
      </c>
      <c r="T4089" t="s">
        <v>2448</v>
      </c>
      <c r="U4089">
        <v>304800</v>
      </c>
      <c r="V4089" t="s">
        <v>2877</v>
      </c>
      <c r="W4089" t="s">
        <v>2033</v>
      </c>
      <c r="X4089" t="s">
        <v>12881</v>
      </c>
      <c r="Y4089" t="s">
        <v>12882</v>
      </c>
      <c r="AA4089" t="s">
        <v>2860</v>
      </c>
      <c r="AC4089">
        <v>99005</v>
      </c>
      <c r="AD4089" t="s">
        <v>2878</v>
      </c>
      <c r="AE4089">
        <v>-41.262344540000001</v>
      </c>
      <c r="AF4089">
        <v>173.29761503</v>
      </c>
      <c r="AG4089">
        <v>50</v>
      </c>
      <c r="AH4089">
        <v>0</v>
      </c>
      <c r="AI4089">
        <v>0</v>
      </c>
      <c r="AJ4089">
        <v>0</v>
      </c>
      <c r="AK4089">
        <v>5</v>
      </c>
      <c r="AL4089">
        <v>17</v>
      </c>
      <c r="AM4089">
        <v>17</v>
      </c>
      <c r="AN4089">
        <v>1</v>
      </c>
      <c r="AO4089">
        <v>40</v>
      </c>
      <c r="AP4089">
        <v>24</v>
      </c>
      <c r="AQ4089">
        <v>4</v>
      </c>
      <c r="AR4089">
        <v>0</v>
      </c>
      <c r="AS4089">
        <v>4</v>
      </c>
      <c r="AT4089">
        <v>14</v>
      </c>
    </row>
    <row r="4090" spans="1:46">
      <c r="A4090">
        <v>65410</v>
      </c>
      <c r="B4090" t="s">
        <v>22268</v>
      </c>
      <c r="C4090" t="s">
        <v>22269</v>
      </c>
      <c r="D4090" t="s">
        <v>22270</v>
      </c>
      <c r="E4090" t="s">
        <v>22271</v>
      </c>
      <c r="F4090" t="s">
        <v>2853</v>
      </c>
      <c r="G4090" t="s">
        <v>2853</v>
      </c>
      <c r="H4090" t="s">
        <v>3942</v>
      </c>
      <c r="J4090" t="s">
        <v>518</v>
      </c>
      <c r="K4090" t="s">
        <v>519</v>
      </c>
      <c r="M4090" t="s">
        <v>2287</v>
      </c>
      <c r="N4090" t="s">
        <v>571</v>
      </c>
      <c r="O4090" t="s">
        <v>2854</v>
      </c>
      <c r="P4090" t="s">
        <v>584</v>
      </c>
      <c r="Q4090" t="s">
        <v>2855</v>
      </c>
      <c r="R4090" t="s">
        <v>2824</v>
      </c>
      <c r="S4090" t="s">
        <v>2853</v>
      </c>
      <c r="T4090" t="s">
        <v>2448</v>
      </c>
      <c r="U4090">
        <v>304700</v>
      </c>
      <c r="V4090" t="s">
        <v>22263</v>
      </c>
      <c r="W4090" t="s">
        <v>2033</v>
      </c>
      <c r="X4090" t="s">
        <v>22272</v>
      </c>
      <c r="Y4090" t="s">
        <v>22271</v>
      </c>
      <c r="AA4090" t="s">
        <v>16315</v>
      </c>
      <c r="AB4090" t="s">
        <v>22273</v>
      </c>
      <c r="AE4090">
        <v>-41.276143269999999</v>
      </c>
      <c r="AF4090">
        <v>173.28731409</v>
      </c>
      <c r="AG4090">
        <v>37</v>
      </c>
      <c r="AH4090">
        <v>9</v>
      </c>
      <c r="AI4090">
        <v>1</v>
      </c>
      <c r="AJ4090">
        <v>9</v>
      </c>
      <c r="AK4090">
        <v>10</v>
      </c>
      <c r="AL4090">
        <v>11</v>
      </c>
      <c r="AM4090">
        <v>14</v>
      </c>
      <c r="AN4090">
        <v>0</v>
      </c>
      <c r="AO4090">
        <v>45</v>
      </c>
      <c r="AP4090">
        <v>39</v>
      </c>
      <c r="AQ4090">
        <v>13</v>
      </c>
      <c r="AR4090">
        <v>5</v>
      </c>
      <c r="AS4090">
        <v>4</v>
      </c>
      <c r="AT4090">
        <v>4</v>
      </c>
    </row>
    <row r="4091" spans="1:46">
      <c r="A4091">
        <v>65412</v>
      </c>
      <c r="B4091" t="s">
        <v>22274</v>
      </c>
      <c r="C4091" t="s">
        <v>22275</v>
      </c>
      <c r="D4091" t="s">
        <v>22276</v>
      </c>
      <c r="E4091" t="s">
        <v>22277</v>
      </c>
      <c r="G4091" t="s">
        <v>2882</v>
      </c>
      <c r="H4091" t="s">
        <v>3942</v>
      </c>
      <c r="J4091" t="s">
        <v>518</v>
      </c>
      <c r="K4091" t="s">
        <v>519</v>
      </c>
      <c r="M4091" t="s">
        <v>2287</v>
      </c>
      <c r="N4091" t="s">
        <v>571</v>
      </c>
      <c r="O4091" t="s">
        <v>2868</v>
      </c>
      <c r="P4091" t="s">
        <v>1262</v>
      </c>
      <c r="Q4091" t="s">
        <v>2869</v>
      </c>
      <c r="R4091" t="s">
        <v>2824</v>
      </c>
      <c r="S4091" t="s">
        <v>2853</v>
      </c>
      <c r="T4091" t="s">
        <v>2448</v>
      </c>
      <c r="U4091">
        <v>302800</v>
      </c>
      <c r="V4091" t="s">
        <v>2910</v>
      </c>
      <c r="W4091" t="s">
        <v>2884</v>
      </c>
      <c r="X4091" t="s">
        <v>22278</v>
      </c>
      <c r="Y4091" t="s">
        <v>22279</v>
      </c>
      <c r="Z4091" t="s">
        <v>21918</v>
      </c>
      <c r="AA4091" t="s">
        <v>22280</v>
      </c>
      <c r="AB4091" t="s">
        <v>22275</v>
      </c>
      <c r="AC4091">
        <v>99142</v>
      </c>
      <c r="AD4091" t="s">
        <v>2885</v>
      </c>
      <c r="AE4091">
        <v>-41.338345080000003</v>
      </c>
      <c r="AF4091">
        <v>173.19436193000001</v>
      </c>
      <c r="AG4091">
        <v>37</v>
      </c>
      <c r="AH4091">
        <v>7</v>
      </c>
      <c r="AI4091">
        <v>1</v>
      </c>
      <c r="AJ4091">
        <v>9</v>
      </c>
      <c r="AK4091">
        <v>15</v>
      </c>
      <c r="AL4091">
        <v>18</v>
      </c>
      <c r="AM4091">
        <v>13</v>
      </c>
      <c r="AN4091">
        <v>1</v>
      </c>
      <c r="AO4091">
        <v>57</v>
      </c>
      <c r="AP4091">
        <v>43</v>
      </c>
      <c r="AQ4091">
        <v>14</v>
      </c>
      <c r="AR4091">
        <v>0</v>
      </c>
      <c r="AS4091">
        <v>11</v>
      </c>
      <c r="AT4091">
        <v>1</v>
      </c>
    </row>
    <row r="4092" spans="1:46">
      <c r="A4092">
        <v>65413</v>
      </c>
      <c r="B4092" t="s">
        <v>22281</v>
      </c>
      <c r="C4092" t="s">
        <v>22282</v>
      </c>
      <c r="E4092" t="s">
        <v>22283</v>
      </c>
      <c r="G4092" t="s">
        <v>2882</v>
      </c>
      <c r="H4092" t="s">
        <v>3942</v>
      </c>
      <c r="J4092" t="s">
        <v>3962</v>
      </c>
      <c r="K4092" t="s">
        <v>519</v>
      </c>
      <c r="M4092" t="s">
        <v>2287</v>
      </c>
      <c r="N4092" t="s">
        <v>571</v>
      </c>
      <c r="O4092" t="s">
        <v>2868</v>
      </c>
      <c r="P4092" t="s">
        <v>1262</v>
      </c>
      <c r="Q4092" t="s">
        <v>2869</v>
      </c>
      <c r="R4092" t="s">
        <v>2824</v>
      </c>
      <c r="S4092" t="s">
        <v>2853</v>
      </c>
      <c r="T4092" t="s">
        <v>2448</v>
      </c>
      <c r="U4092">
        <v>302800</v>
      </c>
      <c r="V4092" t="s">
        <v>2910</v>
      </c>
      <c r="W4092" t="s">
        <v>2884</v>
      </c>
      <c r="X4092" t="s">
        <v>22284</v>
      </c>
      <c r="Y4092" t="s">
        <v>22283</v>
      </c>
      <c r="AA4092" t="s">
        <v>10940</v>
      </c>
      <c r="AB4092" t="s">
        <v>22285</v>
      </c>
      <c r="AC4092">
        <v>99142</v>
      </c>
      <c r="AD4092" t="s">
        <v>2885</v>
      </c>
      <c r="AE4092">
        <v>-41.338232699999999</v>
      </c>
      <c r="AF4092">
        <v>173.18113450000001</v>
      </c>
      <c r="AG4092">
        <v>40</v>
      </c>
      <c r="AH4092">
        <v>10</v>
      </c>
      <c r="AI4092">
        <v>0</v>
      </c>
      <c r="AJ4092">
        <v>0</v>
      </c>
      <c r="AK4092">
        <v>8</v>
      </c>
      <c r="AL4092">
        <v>15</v>
      </c>
      <c r="AM4092">
        <v>12</v>
      </c>
      <c r="AN4092">
        <v>1</v>
      </c>
      <c r="AO4092">
        <v>36</v>
      </c>
      <c r="AP4092">
        <v>29</v>
      </c>
      <c r="AQ4092">
        <v>10</v>
      </c>
      <c r="AR4092">
        <v>4</v>
      </c>
      <c r="AS4092">
        <v>4</v>
      </c>
      <c r="AT4092">
        <v>0</v>
      </c>
    </row>
    <row r="4093" spans="1:46">
      <c r="A4093">
        <v>65417</v>
      </c>
      <c r="B4093" t="s">
        <v>22286</v>
      </c>
      <c r="C4093" t="s">
        <v>22287</v>
      </c>
      <c r="E4093" t="s">
        <v>22288</v>
      </c>
      <c r="G4093" t="s">
        <v>2853</v>
      </c>
      <c r="H4093" t="s">
        <v>343</v>
      </c>
      <c r="J4093" t="s">
        <v>518</v>
      </c>
      <c r="K4093" t="s">
        <v>519</v>
      </c>
      <c r="L4093" t="s">
        <v>4205</v>
      </c>
      <c r="M4093" t="s">
        <v>2287</v>
      </c>
      <c r="N4093" t="s">
        <v>539</v>
      </c>
      <c r="O4093" t="s">
        <v>2854</v>
      </c>
      <c r="P4093" t="s">
        <v>584</v>
      </c>
      <c r="Q4093" t="s">
        <v>2855</v>
      </c>
      <c r="R4093" t="s">
        <v>2824</v>
      </c>
      <c r="S4093" t="s">
        <v>2853</v>
      </c>
      <c r="T4093" t="s">
        <v>2448</v>
      </c>
      <c r="U4093">
        <v>304300</v>
      </c>
      <c r="V4093" t="s">
        <v>16473</v>
      </c>
      <c r="W4093" t="s">
        <v>2033</v>
      </c>
      <c r="X4093" t="s">
        <v>12058</v>
      </c>
      <c r="Y4093" t="s">
        <v>4208</v>
      </c>
      <c r="Z4093" t="s">
        <v>4209</v>
      </c>
      <c r="AA4093" t="s">
        <v>4210</v>
      </c>
      <c r="AB4093" t="s">
        <v>12059</v>
      </c>
      <c r="AE4093">
        <v>-41.261150319999999</v>
      </c>
      <c r="AF4093">
        <v>173.29807815999999</v>
      </c>
      <c r="AG4093">
        <v>25</v>
      </c>
      <c r="AH4093">
        <v>10</v>
      </c>
      <c r="AI4093">
        <v>1</v>
      </c>
      <c r="AJ4093">
        <v>6</v>
      </c>
      <c r="AK4093">
        <v>7</v>
      </c>
      <c r="AL4093">
        <v>3</v>
      </c>
      <c r="AM4093">
        <v>4</v>
      </c>
      <c r="AN4093">
        <v>0</v>
      </c>
      <c r="AO4093">
        <v>21</v>
      </c>
      <c r="AP4093">
        <v>0</v>
      </c>
      <c r="AQ4093">
        <v>18</v>
      </c>
      <c r="AR4093">
        <v>2</v>
      </c>
      <c r="AS4093">
        <v>0</v>
      </c>
      <c r="AT4093">
        <v>1</v>
      </c>
    </row>
    <row r="4094" spans="1:46">
      <c r="A4094">
        <v>65421</v>
      </c>
      <c r="B4094" t="s">
        <v>22289</v>
      </c>
      <c r="C4094" t="s">
        <v>22290</v>
      </c>
      <c r="D4094" t="s">
        <v>22291</v>
      </c>
      <c r="E4094" t="s">
        <v>22292</v>
      </c>
      <c r="G4094" t="s">
        <v>2882</v>
      </c>
      <c r="H4094" t="s">
        <v>3942</v>
      </c>
      <c r="I4094" t="s">
        <v>5772</v>
      </c>
      <c r="J4094" t="s">
        <v>3962</v>
      </c>
      <c r="K4094" t="s">
        <v>519</v>
      </c>
      <c r="M4094" t="s">
        <v>2287</v>
      </c>
      <c r="N4094" t="s">
        <v>571</v>
      </c>
      <c r="O4094" t="s">
        <v>2868</v>
      </c>
      <c r="P4094" t="s">
        <v>1262</v>
      </c>
      <c r="Q4094" t="s">
        <v>2869</v>
      </c>
      <c r="R4094" t="s">
        <v>2824</v>
      </c>
      <c r="S4094" t="s">
        <v>2853</v>
      </c>
      <c r="T4094" t="s">
        <v>2448</v>
      </c>
      <c r="U4094">
        <v>302800</v>
      </c>
      <c r="V4094" t="s">
        <v>2910</v>
      </c>
      <c r="W4094" t="s">
        <v>2884</v>
      </c>
      <c r="X4094" t="s">
        <v>22293</v>
      </c>
      <c r="Y4094" t="s">
        <v>22294</v>
      </c>
      <c r="Z4094" t="s">
        <v>2882</v>
      </c>
      <c r="AA4094" t="s">
        <v>22295</v>
      </c>
      <c r="AB4094" t="s">
        <v>22296</v>
      </c>
      <c r="AC4094">
        <v>99142</v>
      </c>
      <c r="AD4094" t="s">
        <v>2885</v>
      </c>
      <c r="AE4094">
        <v>-41.335075510000003</v>
      </c>
      <c r="AF4094">
        <v>173.1995613</v>
      </c>
      <c r="AG4094">
        <v>42</v>
      </c>
      <c r="AH4094">
        <v>0</v>
      </c>
      <c r="AI4094">
        <v>0</v>
      </c>
      <c r="AJ4094">
        <v>0</v>
      </c>
      <c r="AK4094">
        <v>11</v>
      </c>
      <c r="AL4094">
        <v>21</v>
      </c>
      <c r="AM4094">
        <v>15</v>
      </c>
      <c r="AN4094">
        <v>2</v>
      </c>
      <c r="AO4094">
        <v>49</v>
      </c>
      <c r="AP4094">
        <v>45</v>
      </c>
      <c r="AQ4094">
        <v>11</v>
      </c>
      <c r="AR4094">
        <v>4</v>
      </c>
      <c r="AS4094">
        <v>4</v>
      </c>
      <c r="AT4094">
        <v>3</v>
      </c>
    </row>
    <row r="4095" spans="1:46">
      <c r="A4095">
        <v>65501</v>
      </c>
      <c r="B4095" t="s">
        <v>22297</v>
      </c>
      <c r="C4095" t="s">
        <v>22298</v>
      </c>
      <c r="D4095" t="s">
        <v>22299</v>
      </c>
      <c r="E4095" t="s">
        <v>22300</v>
      </c>
      <c r="G4095" t="s">
        <v>2821</v>
      </c>
      <c r="H4095" t="s">
        <v>3942</v>
      </c>
      <c r="J4095" t="s">
        <v>518</v>
      </c>
      <c r="K4095" t="s">
        <v>519</v>
      </c>
      <c r="M4095" t="s">
        <v>2287</v>
      </c>
      <c r="N4095" t="s">
        <v>571</v>
      </c>
      <c r="O4095" t="s">
        <v>2822</v>
      </c>
      <c r="P4095" t="s">
        <v>1262</v>
      </c>
      <c r="Q4095" t="s">
        <v>2823</v>
      </c>
      <c r="R4095" t="s">
        <v>2824</v>
      </c>
      <c r="S4095" t="s">
        <v>2825</v>
      </c>
      <c r="T4095" t="s">
        <v>2448</v>
      </c>
      <c r="U4095">
        <v>308200</v>
      </c>
      <c r="V4095" t="s">
        <v>22301</v>
      </c>
      <c r="W4095" t="s">
        <v>2826</v>
      </c>
      <c r="X4095" t="s">
        <v>22187</v>
      </c>
      <c r="Y4095" t="s">
        <v>22188</v>
      </c>
      <c r="Z4095" t="s">
        <v>2821</v>
      </c>
      <c r="AA4095" t="s">
        <v>22102</v>
      </c>
      <c r="AB4095" t="s">
        <v>22189</v>
      </c>
      <c r="AC4095">
        <v>99006</v>
      </c>
      <c r="AD4095" t="s">
        <v>2831</v>
      </c>
      <c r="AE4095">
        <v>-41.534084010000001</v>
      </c>
      <c r="AF4095">
        <v>173.94891894</v>
      </c>
      <c r="AG4095">
        <v>34</v>
      </c>
      <c r="AH4095">
        <v>5</v>
      </c>
      <c r="AI4095">
        <v>0</v>
      </c>
      <c r="AJ4095">
        <v>5</v>
      </c>
      <c r="AK4095">
        <v>8</v>
      </c>
      <c r="AL4095">
        <v>16</v>
      </c>
      <c r="AM4095">
        <v>12</v>
      </c>
      <c r="AN4095">
        <v>0</v>
      </c>
      <c r="AO4095">
        <v>41</v>
      </c>
      <c r="AP4095">
        <v>26</v>
      </c>
      <c r="AQ4095">
        <v>11</v>
      </c>
      <c r="AR4095">
        <v>1</v>
      </c>
      <c r="AS4095">
        <v>11</v>
      </c>
      <c r="AT4095">
        <v>2</v>
      </c>
    </row>
    <row r="4096" spans="1:46">
      <c r="A4096">
        <v>65502</v>
      </c>
      <c r="B4096" t="s">
        <v>22302</v>
      </c>
      <c r="C4096" t="s">
        <v>22303</v>
      </c>
      <c r="D4096" t="s">
        <v>22304</v>
      </c>
      <c r="E4096" t="s">
        <v>22305</v>
      </c>
      <c r="F4096" t="s">
        <v>2821</v>
      </c>
      <c r="G4096" t="s">
        <v>2821</v>
      </c>
      <c r="H4096" t="s">
        <v>3942</v>
      </c>
      <c r="J4096" t="s">
        <v>518</v>
      </c>
      <c r="K4096" t="s">
        <v>519</v>
      </c>
      <c r="M4096" t="s">
        <v>2287</v>
      </c>
      <c r="N4096" t="s">
        <v>571</v>
      </c>
      <c r="O4096" t="s">
        <v>2822</v>
      </c>
      <c r="P4096" t="s">
        <v>1262</v>
      </c>
      <c r="Q4096" t="s">
        <v>2823</v>
      </c>
      <c r="R4096" t="s">
        <v>2824</v>
      </c>
      <c r="S4096" t="s">
        <v>2825</v>
      </c>
      <c r="T4096" t="s">
        <v>2448</v>
      </c>
      <c r="U4096">
        <v>307900</v>
      </c>
      <c r="V4096" t="s">
        <v>11552</v>
      </c>
      <c r="W4096" t="s">
        <v>2826</v>
      </c>
      <c r="X4096" t="s">
        <v>22187</v>
      </c>
      <c r="Y4096" t="s">
        <v>22188</v>
      </c>
      <c r="Z4096" t="s">
        <v>2821</v>
      </c>
      <c r="AA4096" t="s">
        <v>22102</v>
      </c>
      <c r="AB4096" t="s">
        <v>22189</v>
      </c>
      <c r="AC4096">
        <v>99006</v>
      </c>
      <c r="AD4096" t="s">
        <v>2831</v>
      </c>
      <c r="AE4096">
        <v>-41.50935793</v>
      </c>
      <c r="AF4096">
        <v>173.95347470999999</v>
      </c>
      <c r="AG4096">
        <v>60</v>
      </c>
      <c r="AH4096">
        <v>12</v>
      </c>
      <c r="AI4096">
        <v>0</v>
      </c>
      <c r="AJ4096">
        <v>15</v>
      </c>
      <c r="AK4096">
        <v>11</v>
      </c>
      <c r="AL4096">
        <v>14</v>
      </c>
      <c r="AM4096">
        <v>24</v>
      </c>
      <c r="AN4096">
        <v>0</v>
      </c>
      <c r="AO4096">
        <v>64</v>
      </c>
      <c r="AP4096">
        <v>53</v>
      </c>
      <c r="AQ4096">
        <v>17</v>
      </c>
      <c r="AR4096">
        <v>5</v>
      </c>
      <c r="AS4096">
        <v>5</v>
      </c>
      <c r="AT4096">
        <v>2</v>
      </c>
    </row>
    <row r="4097" spans="1:46">
      <c r="A4097">
        <v>65503</v>
      </c>
      <c r="B4097" t="s">
        <v>22306</v>
      </c>
      <c r="C4097" t="s">
        <v>22307</v>
      </c>
      <c r="D4097" t="s">
        <v>18046</v>
      </c>
      <c r="E4097" t="s">
        <v>18050</v>
      </c>
      <c r="F4097" t="s">
        <v>2821</v>
      </c>
      <c r="G4097" t="s">
        <v>2821</v>
      </c>
      <c r="H4097" t="s">
        <v>3942</v>
      </c>
      <c r="J4097" t="s">
        <v>3962</v>
      </c>
      <c r="K4097" t="s">
        <v>519</v>
      </c>
      <c r="M4097" t="s">
        <v>2287</v>
      </c>
      <c r="N4097" t="s">
        <v>557</v>
      </c>
      <c r="O4097" t="s">
        <v>2822</v>
      </c>
      <c r="P4097" t="s">
        <v>1262</v>
      </c>
      <c r="Q4097" t="s">
        <v>2823</v>
      </c>
      <c r="R4097" t="s">
        <v>2824</v>
      </c>
      <c r="S4097" t="s">
        <v>2825</v>
      </c>
      <c r="T4097" t="s">
        <v>2448</v>
      </c>
      <c r="U4097">
        <v>308100</v>
      </c>
      <c r="V4097" t="s">
        <v>2842</v>
      </c>
      <c r="W4097" t="s">
        <v>2826</v>
      </c>
      <c r="X4097" t="s">
        <v>18049</v>
      </c>
      <c r="Y4097" t="s">
        <v>18050</v>
      </c>
      <c r="AA4097" t="s">
        <v>18051</v>
      </c>
      <c r="AC4097">
        <v>99006</v>
      </c>
      <c r="AD4097" t="s">
        <v>2831</v>
      </c>
      <c r="AE4097">
        <v>-41.521527380000002</v>
      </c>
      <c r="AF4097">
        <v>173.95719837999999</v>
      </c>
      <c r="AG4097">
        <v>42</v>
      </c>
      <c r="AH4097">
        <v>8</v>
      </c>
      <c r="AI4097">
        <v>0</v>
      </c>
      <c r="AJ4097">
        <v>5</v>
      </c>
      <c r="AK4097">
        <v>13</v>
      </c>
      <c r="AL4097">
        <v>14</v>
      </c>
      <c r="AM4097">
        <v>9</v>
      </c>
      <c r="AN4097">
        <v>0</v>
      </c>
      <c r="AO4097">
        <v>41</v>
      </c>
      <c r="AP4097">
        <v>31</v>
      </c>
      <c r="AQ4097">
        <v>10</v>
      </c>
      <c r="AR4097">
        <v>3</v>
      </c>
      <c r="AS4097">
        <v>5</v>
      </c>
      <c r="AT4097">
        <v>2</v>
      </c>
    </row>
    <row r="4098" spans="1:46">
      <c r="A4098">
        <v>65504</v>
      </c>
      <c r="B4098" t="s">
        <v>22308</v>
      </c>
      <c r="C4098" t="s">
        <v>22309</v>
      </c>
      <c r="D4098" t="s">
        <v>22310</v>
      </c>
      <c r="E4098" t="s">
        <v>22311</v>
      </c>
      <c r="F4098" t="s">
        <v>2821</v>
      </c>
      <c r="G4098" t="s">
        <v>2821</v>
      </c>
      <c r="H4098" t="s">
        <v>3942</v>
      </c>
      <c r="I4098" t="s">
        <v>6231</v>
      </c>
      <c r="J4098" t="s">
        <v>518</v>
      </c>
      <c r="K4098" t="s">
        <v>519</v>
      </c>
      <c r="M4098" t="s">
        <v>2287</v>
      </c>
      <c r="N4098" t="s">
        <v>571</v>
      </c>
      <c r="O4098" t="s">
        <v>2822</v>
      </c>
      <c r="P4098" t="s">
        <v>1262</v>
      </c>
      <c r="Q4098" t="s">
        <v>2823</v>
      </c>
      <c r="R4098" t="s">
        <v>2824</v>
      </c>
      <c r="S4098" t="s">
        <v>2825</v>
      </c>
      <c r="T4098" t="s">
        <v>2448</v>
      </c>
      <c r="U4098">
        <v>308100</v>
      </c>
      <c r="V4098" t="s">
        <v>2842</v>
      </c>
      <c r="W4098" t="s">
        <v>2826</v>
      </c>
      <c r="X4098" t="s">
        <v>22312</v>
      </c>
      <c r="Y4098" t="s">
        <v>22311</v>
      </c>
      <c r="Z4098" t="s">
        <v>2821</v>
      </c>
      <c r="AA4098" t="s">
        <v>2829</v>
      </c>
      <c r="AB4098" t="s">
        <v>22313</v>
      </c>
      <c r="AE4098">
        <v>-41.517005589999997</v>
      </c>
      <c r="AF4098">
        <v>173.95319541999999</v>
      </c>
      <c r="AG4098">
        <v>40</v>
      </c>
      <c r="AH4098">
        <v>0</v>
      </c>
      <c r="AI4098">
        <v>0</v>
      </c>
      <c r="AJ4098">
        <v>0</v>
      </c>
      <c r="AK4098">
        <v>12</v>
      </c>
      <c r="AL4098">
        <v>17</v>
      </c>
      <c r="AM4098">
        <v>20</v>
      </c>
      <c r="AN4098">
        <v>2</v>
      </c>
      <c r="AO4098">
        <v>51</v>
      </c>
      <c r="AP4098">
        <v>30</v>
      </c>
      <c r="AQ4098">
        <v>10</v>
      </c>
      <c r="AR4098">
        <v>8</v>
      </c>
      <c r="AS4098">
        <v>10</v>
      </c>
      <c r="AT4098">
        <v>7</v>
      </c>
    </row>
    <row r="4099" spans="1:46">
      <c r="A4099">
        <v>65506</v>
      </c>
      <c r="B4099" t="s">
        <v>22314</v>
      </c>
      <c r="C4099" t="s">
        <v>22315</v>
      </c>
      <c r="D4099" t="s">
        <v>22316</v>
      </c>
      <c r="E4099" t="s">
        <v>22317</v>
      </c>
      <c r="G4099" t="s">
        <v>21612</v>
      </c>
      <c r="H4099" t="s">
        <v>3942</v>
      </c>
      <c r="J4099" t="s">
        <v>518</v>
      </c>
      <c r="K4099" t="s">
        <v>519</v>
      </c>
      <c r="M4099" t="s">
        <v>2287</v>
      </c>
      <c r="N4099" t="s">
        <v>571</v>
      </c>
      <c r="O4099" t="s">
        <v>2822</v>
      </c>
      <c r="P4099" t="s">
        <v>523</v>
      </c>
      <c r="Q4099" t="s">
        <v>2823</v>
      </c>
      <c r="R4099" t="s">
        <v>2824</v>
      </c>
      <c r="S4099" t="s">
        <v>2825</v>
      </c>
      <c r="T4099" t="s">
        <v>2448</v>
      </c>
      <c r="U4099">
        <v>306801</v>
      </c>
      <c r="V4099" t="s">
        <v>21613</v>
      </c>
      <c r="W4099" t="s">
        <v>21614</v>
      </c>
      <c r="X4099" t="s">
        <v>22318</v>
      </c>
      <c r="Y4099" t="s">
        <v>22319</v>
      </c>
      <c r="AA4099" t="s">
        <v>22320</v>
      </c>
      <c r="AB4099" t="s">
        <v>22315</v>
      </c>
      <c r="AC4099">
        <v>99004</v>
      </c>
      <c r="AD4099" t="s">
        <v>22104</v>
      </c>
      <c r="AE4099">
        <v>-41.293604199999997</v>
      </c>
      <c r="AF4099">
        <v>174.00473439999999</v>
      </c>
      <c r="AG4099">
        <v>40</v>
      </c>
      <c r="AH4099">
        <v>10</v>
      </c>
      <c r="AI4099">
        <v>1</v>
      </c>
      <c r="AJ4099">
        <v>14</v>
      </c>
      <c r="AK4099">
        <v>6</v>
      </c>
      <c r="AL4099">
        <v>12</v>
      </c>
      <c r="AM4099">
        <v>21</v>
      </c>
      <c r="AN4099">
        <v>0</v>
      </c>
      <c r="AO4099">
        <v>54</v>
      </c>
      <c r="AP4099">
        <v>45</v>
      </c>
      <c r="AQ4099">
        <v>18</v>
      </c>
      <c r="AR4099">
        <v>2</v>
      </c>
      <c r="AS4099">
        <v>1</v>
      </c>
      <c r="AT4099">
        <v>2</v>
      </c>
    </row>
    <row r="4100" spans="1:46">
      <c r="A4100">
        <v>65507</v>
      </c>
      <c r="B4100" t="s">
        <v>21515</v>
      </c>
      <c r="C4100" t="s">
        <v>22321</v>
      </c>
      <c r="E4100" t="s">
        <v>22322</v>
      </c>
      <c r="G4100" t="s">
        <v>2821</v>
      </c>
      <c r="H4100" t="s">
        <v>343</v>
      </c>
      <c r="J4100" t="s">
        <v>518</v>
      </c>
      <c r="K4100" t="s">
        <v>519</v>
      </c>
      <c r="L4100" t="s">
        <v>4205</v>
      </c>
      <c r="M4100" t="s">
        <v>2287</v>
      </c>
      <c r="N4100" t="s">
        <v>539</v>
      </c>
      <c r="O4100" t="s">
        <v>2822</v>
      </c>
      <c r="P4100" t="s">
        <v>1262</v>
      </c>
      <c r="Q4100" t="s">
        <v>2823</v>
      </c>
      <c r="R4100" t="s">
        <v>2824</v>
      </c>
      <c r="S4100" t="s">
        <v>2825</v>
      </c>
      <c r="T4100" t="s">
        <v>2448</v>
      </c>
      <c r="U4100">
        <v>308000</v>
      </c>
      <c r="V4100" t="s">
        <v>11268</v>
      </c>
      <c r="W4100" t="s">
        <v>2826</v>
      </c>
      <c r="X4100" t="s">
        <v>12058</v>
      </c>
      <c r="Y4100" t="s">
        <v>4208</v>
      </c>
      <c r="Z4100" t="s">
        <v>4209</v>
      </c>
      <c r="AA4100" t="s">
        <v>4210</v>
      </c>
      <c r="AB4100" t="s">
        <v>12059</v>
      </c>
      <c r="AE4100">
        <v>-41.504092059999998</v>
      </c>
      <c r="AF4100">
        <v>173.96817909000001</v>
      </c>
      <c r="AG4100">
        <v>24</v>
      </c>
      <c r="AH4100">
        <v>8</v>
      </c>
      <c r="AI4100">
        <v>1</v>
      </c>
      <c r="AJ4100">
        <v>7</v>
      </c>
      <c r="AK4100">
        <v>10</v>
      </c>
      <c r="AL4100">
        <v>2</v>
      </c>
      <c r="AM4100">
        <v>3</v>
      </c>
      <c r="AN4100">
        <v>0</v>
      </c>
      <c r="AO4100">
        <v>23</v>
      </c>
      <c r="AP4100">
        <v>0</v>
      </c>
      <c r="AQ4100">
        <v>22</v>
      </c>
      <c r="AR4100">
        <v>1</v>
      </c>
      <c r="AS4100">
        <v>0</v>
      </c>
      <c r="AT4100">
        <v>0</v>
      </c>
    </row>
    <row r="4101" spans="1:46">
      <c r="A4101">
        <v>65512</v>
      </c>
      <c r="B4101" t="s">
        <v>22323</v>
      </c>
      <c r="C4101" t="s">
        <v>22324</v>
      </c>
      <c r="D4101" t="s">
        <v>22325</v>
      </c>
      <c r="E4101" t="s">
        <v>22326</v>
      </c>
      <c r="F4101" t="s">
        <v>2821</v>
      </c>
      <c r="G4101" t="s">
        <v>2821</v>
      </c>
      <c r="H4101" t="s">
        <v>3942</v>
      </c>
      <c r="J4101" t="s">
        <v>518</v>
      </c>
      <c r="K4101" t="s">
        <v>519</v>
      </c>
      <c r="M4101" t="s">
        <v>2287</v>
      </c>
      <c r="N4101" t="s">
        <v>571</v>
      </c>
      <c r="O4101" t="s">
        <v>2822</v>
      </c>
      <c r="P4101" t="s">
        <v>1262</v>
      </c>
      <c r="Q4101" t="s">
        <v>2823</v>
      </c>
      <c r="R4101" t="s">
        <v>2824</v>
      </c>
      <c r="S4101" t="s">
        <v>2825</v>
      </c>
      <c r="T4101" t="s">
        <v>2448</v>
      </c>
      <c r="U4101">
        <v>307601</v>
      </c>
      <c r="V4101" t="s">
        <v>22327</v>
      </c>
      <c r="W4101" t="s">
        <v>2826</v>
      </c>
      <c r="X4101" t="s">
        <v>18316</v>
      </c>
      <c r="Y4101" t="s">
        <v>3944</v>
      </c>
      <c r="Z4101" t="s">
        <v>3945</v>
      </c>
      <c r="AA4101" t="s">
        <v>3946</v>
      </c>
      <c r="AC4101">
        <v>99006</v>
      </c>
      <c r="AD4101" t="s">
        <v>2831</v>
      </c>
      <c r="AE4101">
        <v>-41.51200729</v>
      </c>
      <c r="AF4101">
        <v>173.95185914999999</v>
      </c>
      <c r="AG4101">
        <v>52</v>
      </c>
      <c r="AH4101">
        <v>12</v>
      </c>
      <c r="AI4101">
        <v>3</v>
      </c>
      <c r="AJ4101">
        <v>9</v>
      </c>
      <c r="AK4101">
        <v>8</v>
      </c>
      <c r="AL4101">
        <v>17</v>
      </c>
      <c r="AM4101">
        <v>16</v>
      </c>
      <c r="AN4101">
        <v>0</v>
      </c>
      <c r="AO4101">
        <v>53</v>
      </c>
      <c r="AP4101">
        <v>34</v>
      </c>
      <c r="AQ4101">
        <v>13</v>
      </c>
      <c r="AR4101">
        <v>2</v>
      </c>
      <c r="AS4101">
        <v>10</v>
      </c>
      <c r="AT4101">
        <v>8</v>
      </c>
    </row>
    <row r="4102" spans="1:46">
      <c r="A4102">
        <v>65603</v>
      </c>
      <c r="B4102" t="s">
        <v>22328</v>
      </c>
      <c r="C4102" t="s">
        <v>22329</v>
      </c>
      <c r="D4102" t="s">
        <v>22330</v>
      </c>
      <c r="E4102" t="s">
        <v>22331</v>
      </c>
      <c r="G4102" t="s">
        <v>2926</v>
      </c>
      <c r="H4102" t="s">
        <v>3942</v>
      </c>
      <c r="J4102" t="s">
        <v>518</v>
      </c>
      <c r="K4102" t="s">
        <v>519</v>
      </c>
      <c r="M4102" t="s">
        <v>2287</v>
      </c>
      <c r="N4102" t="s">
        <v>557</v>
      </c>
      <c r="O4102" t="s">
        <v>2927</v>
      </c>
      <c r="P4102" t="s">
        <v>523</v>
      </c>
      <c r="Q4102" t="s">
        <v>2928</v>
      </c>
      <c r="R4102" t="s">
        <v>2824</v>
      </c>
      <c r="S4102" t="s">
        <v>2870</v>
      </c>
      <c r="T4102" t="s">
        <v>2448</v>
      </c>
      <c r="U4102">
        <v>309201</v>
      </c>
      <c r="V4102" t="s">
        <v>2929</v>
      </c>
      <c r="W4102" t="s">
        <v>2930</v>
      </c>
      <c r="X4102" t="s">
        <v>22332</v>
      </c>
      <c r="Y4102" t="s">
        <v>22333</v>
      </c>
      <c r="AA4102" t="s">
        <v>22334</v>
      </c>
      <c r="AC4102">
        <v>99007</v>
      </c>
      <c r="AD4102" t="s">
        <v>2935</v>
      </c>
      <c r="AE4102">
        <v>-41.749207560000002</v>
      </c>
      <c r="AF4102">
        <v>171.60946423999999</v>
      </c>
      <c r="AG4102">
        <v>51</v>
      </c>
      <c r="AH4102">
        <v>12</v>
      </c>
      <c r="AI4102">
        <v>1</v>
      </c>
      <c r="AJ4102">
        <v>13</v>
      </c>
      <c r="AK4102">
        <v>18</v>
      </c>
      <c r="AL4102">
        <v>13</v>
      </c>
      <c r="AM4102">
        <v>21</v>
      </c>
      <c r="AN4102">
        <v>1</v>
      </c>
      <c r="AO4102">
        <v>67</v>
      </c>
      <c r="AP4102">
        <v>55</v>
      </c>
      <c r="AQ4102">
        <v>16</v>
      </c>
      <c r="AR4102">
        <v>2</v>
      </c>
      <c r="AS4102">
        <v>3</v>
      </c>
      <c r="AT4102">
        <v>8</v>
      </c>
    </row>
    <row r="4103" spans="1:46">
      <c r="A4103">
        <v>65608</v>
      </c>
      <c r="B4103" t="s">
        <v>22335</v>
      </c>
      <c r="C4103" t="s">
        <v>22336</v>
      </c>
      <c r="D4103" t="s">
        <v>22337</v>
      </c>
      <c r="E4103" t="s">
        <v>21905</v>
      </c>
      <c r="G4103" t="s">
        <v>2867</v>
      </c>
      <c r="H4103" t="s">
        <v>517</v>
      </c>
      <c r="J4103" t="s">
        <v>518</v>
      </c>
      <c r="K4103" t="s">
        <v>519</v>
      </c>
      <c r="M4103" t="s">
        <v>2287</v>
      </c>
      <c r="N4103" t="s">
        <v>539</v>
      </c>
      <c r="O4103" t="s">
        <v>2868</v>
      </c>
      <c r="P4103" t="s">
        <v>523</v>
      </c>
      <c r="Q4103" t="s">
        <v>2869</v>
      </c>
      <c r="R4103" t="s">
        <v>2824</v>
      </c>
      <c r="S4103" t="s">
        <v>2870</v>
      </c>
      <c r="T4103" t="s">
        <v>2448</v>
      </c>
      <c r="U4103">
        <v>301200</v>
      </c>
      <c r="V4103" t="s">
        <v>2890</v>
      </c>
      <c r="W4103" t="s">
        <v>2872</v>
      </c>
      <c r="X4103" t="s">
        <v>2858</v>
      </c>
      <c r="Y4103" t="s">
        <v>2859</v>
      </c>
      <c r="Z4103" t="s">
        <v>2853</v>
      </c>
      <c r="AA4103" t="s">
        <v>2860</v>
      </c>
      <c r="AB4103" t="s">
        <v>2861</v>
      </c>
      <c r="AC4103">
        <v>99115</v>
      </c>
      <c r="AD4103" t="s">
        <v>2873</v>
      </c>
      <c r="AE4103">
        <v>-41.112058060000003</v>
      </c>
      <c r="AF4103">
        <v>173.00873469999999</v>
      </c>
      <c r="AG4103">
        <v>40</v>
      </c>
      <c r="AH4103">
        <v>12</v>
      </c>
      <c r="AI4103">
        <v>0</v>
      </c>
      <c r="AJ4103">
        <v>0</v>
      </c>
      <c r="AK4103">
        <v>12</v>
      </c>
      <c r="AL4103">
        <v>11</v>
      </c>
      <c r="AM4103">
        <v>11</v>
      </c>
      <c r="AN4103">
        <v>0</v>
      </c>
      <c r="AO4103">
        <v>34</v>
      </c>
      <c r="AP4103">
        <v>24</v>
      </c>
      <c r="AQ4103">
        <v>11</v>
      </c>
      <c r="AR4103">
        <v>3</v>
      </c>
      <c r="AS4103">
        <v>7</v>
      </c>
      <c r="AT4103">
        <v>0</v>
      </c>
    </row>
    <row r="4104" spans="1:46">
      <c r="A4104">
        <v>65611</v>
      </c>
      <c r="B4104" t="s">
        <v>22338</v>
      </c>
      <c r="C4104" t="s">
        <v>22339</v>
      </c>
      <c r="E4104" t="s">
        <v>22340</v>
      </c>
      <c r="G4104" t="s">
        <v>3867</v>
      </c>
      <c r="H4104" t="s">
        <v>3942</v>
      </c>
      <c r="J4104" t="s">
        <v>3962</v>
      </c>
      <c r="K4104" t="s">
        <v>519</v>
      </c>
      <c r="M4104" t="s">
        <v>2287</v>
      </c>
      <c r="N4104" t="s">
        <v>571</v>
      </c>
      <c r="O4104" t="s">
        <v>2822</v>
      </c>
      <c r="P4104" t="s">
        <v>523</v>
      </c>
      <c r="Q4104" t="s">
        <v>2823</v>
      </c>
      <c r="R4104" t="s">
        <v>2824</v>
      </c>
      <c r="S4104" t="s">
        <v>2825</v>
      </c>
      <c r="T4104" t="s">
        <v>2448</v>
      </c>
      <c r="U4104">
        <v>307100</v>
      </c>
      <c r="V4104" t="s">
        <v>3867</v>
      </c>
      <c r="W4104" t="s">
        <v>3868</v>
      </c>
      <c r="X4104" t="s">
        <v>21957</v>
      </c>
      <c r="Y4104" t="s">
        <v>10660</v>
      </c>
      <c r="AA4104" t="s">
        <v>21958</v>
      </c>
      <c r="AB4104" t="s">
        <v>21959</v>
      </c>
      <c r="AE4104">
        <v>-41.512587150000002</v>
      </c>
      <c r="AF4104">
        <v>173.81887153</v>
      </c>
      <c r="AG4104">
        <v>30</v>
      </c>
      <c r="AH4104">
        <v>10</v>
      </c>
      <c r="AI4104">
        <v>1</v>
      </c>
      <c r="AJ4104">
        <v>11</v>
      </c>
      <c r="AK4104">
        <v>6</v>
      </c>
      <c r="AL4104">
        <v>10</v>
      </c>
      <c r="AM4104">
        <v>8</v>
      </c>
      <c r="AN4104">
        <v>0</v>
      </c>
      <c r="AO4104">
        <v>36</v>
      </c>
      <c r="AP4104">
        <v>33</v>
      </c>
      <c r="AQ4104">
        <v>10</v>
      </c>
      <c r="AR4104">
        <v>3</v>
      </c>
      <c r="AS4104">
        <v>1</v>
      </c>
      <c r="AT4104">
        <v>1</v>
      </c>
    </row>
    <row r="4105" spans="1:46">
      <c r="A4105">
        <v>65613</v>
      </c>
      <c r="B4105" t="s">
        <v>22341</v>
      </c>
      <c r="C4105" t="s">
        <v>22342</v>
      </c>
      <c r="D4105" t="s">
        <v>22343</v>
      </c>
      <c r="E4105" t="s">
        <v>22344</v>
      </c>
      <c r="F4105" t="s">
        <v>2821</v>
      </c>
      <c r="G4105" t="s">
        <v>2821</v>
      </c>
      <c r="H4105" t="s">
        <v>3942</v>
      </c>
      <c r="I4105" t="s">
        <v>4065</v>
      </c>
      <c r="J4105" t="s">
        <v>3962</v>
      </c>
      <c r="K4105" t="s">
        <v>519</v>
      </c>
      <c r="M4105" t="s">
        <v>2287</v>
      </c>
      <c r="N4105" t="s">
        <v>571</v>
      </c>
      <c r="O4105" t="s">
        <v>2822</v>
      </c>
      <c r="P4105" t="s">
        <v>1262</v>
      </c>
      <c r="Q4105" t="s">
        <v>2823</v>
      </c>
      <c r="R4105" t="s">
        <v>2824</v>
      </c>
      <c r="S4105" t="s">
        <v>2825</v>
      </c>
      <c r="T4105" t="s">
        <v>2448</v>
      </c>
      <c r="U4105">
        <v>308100</v>
      </c>
      <c r="V4105" t="s">
        <v>2842</v>
      </c>
      <c r="W4105" t="s">
        <v>2826</v>
      </c>
      <c r="X4105" t="s">
        <v>22345</v>
      </c>
      <c r="Y4105" t="s">
        <v>22346</v>
      </c>
      <c r="AA4105" t="s">
        <v>22102</v>
      </c>
      <c r="AB4105" t="s">
        <v>22347</v>
      </c>
      <c r="AE4105">
        <v>-41.516716969999997</v>
      </c>
      <c r="AF4105">
        <v>173.95581962</v>
      </c>
      <c r="AG4105">
        <v>42</v>
      </c>
      <c r="AH4105">
        <v>0</v>
      </c>
      <c r="AI4105">
        <v>0</v>
      </c>
      <c r="AJ4105">
        <v>0</v>
      </c>
      <c r="AK4105">
        <v>0</v>
      </c>
      <c r="AL4105">
        <v>26</v>
      </c>
      <c r="AM4105">
        <v>18</v>
      </c>
      <c r="AN4105">
        <v>1</v>
      </c>
      <c r="AO4105">
        <v>45</v>
      </c>
      <c r="AP4105">
        <v>43</v>
      </c>
      <c r="AQ4105">
        <v>10</v>
      </c>
      <c r="AR4105">
        <v>1</v>
      </c>
      <c r="AS4105">
        <v>2</v>
      </c>
      <c r="AT4105">
        <v>1</v>
      </c>
    </row>
    <row r="4106" spans="1:46">
      <c r="A4106">
        <v>65614</v>
      </c>
      <c r="B4106" t="s">
        <v>22348</v>
      </c>
      <c r="C4106" t="s">
        <v>22349</v>
      </c>
      <c r="E4106" t="s">
        <v>22350</v>
      </c>
      <c r="F4106" t="s">
        <v>2852</v>
      </c>
      <c r="G4106" t="s">
        <v>2853</v>
      </c>
      <c r="H4106" t="s">
        <v>3942</v>
      </c>
      <c r="I4106" t="s">
        <v>3953</v>
      </c>
      <c r="J4106" t="s">
        <v>518</v>
      </c>
      <c r="K4106" t="s">
        <v>519</v>
      </c>
      <c r="M4106" t="s">
        <v>2287</v>
      </c>
      <c r="N4106" t="s">
        <v>571</v>
      </c>
      <c r="O4106" t="s">
        <v>2854</v>
      </c>
      <c r="P4106" t="s">
        <v>584</v>
      </c>
      <c r="Q4106" t="s">
        <v>2855</v>
      </c>
      <c r="R4106" t="s">
        <v>2824</v>
      </c>
      <c r="S4106" t="s">
        <v>2853</v>
      </c>
      <c r="T4106" t="s">
        <v>2448</v>
      </c>
      <c r="U4106">
        <v>305900</v>
      </c>
      <c r="V4106" t="s">
        <v>2915</v>
      </c>
      <c r="W4106" t="s">
        <v>2857</v>
      </c>
      <c r="X4106" t="s">
        <v>22351</v>
      </c>
      <c r="Y4106" t="s">
        <v>22352</v>
      </c>
      <c r="Z4106" t="s">
        <v>2852</v>
      </c>
      <c r="AA4106" t="s">
        <v>11528</v>
      </c>
      <c r="AB4106" t="s">
        <v>22353</v>
      </c>
      <c r="AC4106">
        <v>99042</v>
      </c>
      <c r="AD4106" t="s">
        <v>2862</v>
      </c>
      <c r="AE4106">
        <v>-41.31706758</v>
      </c>
      <c r="AF4106">
        <v>173.22912932</v>
      </c>
      <c r="AG4106">
        <v>40</v>
      </c>
      <c r="AH4106">
        <v>13</v>
      </c>
      <c r="AI4106">
        <v>3</v>
      </c>
      <c r="AJ4106">
        <v>9</v>
      </c>
      <c r="AK4106">
        <v>15</v>
      </c>
      <c r="AL4106">
        <v>11</v>
      </c>
      <c r="AM4106">
        <v>14</v>
      </c>
      <c r="AN4106">
        <v>0</v>
      </c>
      <c r="AO4106">
        <v>52</v>
      </c>
      <c r="AP4106">
        <v>43</v>
      </c>
      <c r="AQ4106">
        <v>13</v>
      </c>
      <c r="AR4106">
        <v>2</v>
      </c>
      <c r="AS4106">
        <v>7</v>
      </c>
      <c r="AT4106">
        <v>4</v>
      </c>
    </row>
    <row r="4107" spans="1:46">
      <c r="A4107">
        <v>65616</v>
      </c>
      <c r="B4107" t="s">
        <v>22354</v>
      </c>
      <c r="C4107" t="s">
        <v>22355</v>
      </c>
      <c r="D4107" t="s">
        <v>22356</v>
      </c>
      <c r="E4107" t="s">
        <v>22357</v>
      </c>
      <c r="F4107" t="s">
        <v>2852</v>
      </c>
      <c r="G4107" t="s">
        <v>2853</v>
      </c>
      <c r="H4107" t="s">
        <v>3942</v>
      </c>
      <c r="J4107" t="s">
        <v>3962</v>
      </c>
      <c r="K4107" t="s">
        <v>519</v>
      </c>
      <c r="M4107" t="s">
        <v>2287</v>
      </c>
      <c r="N4107" t="s">
        <v>557</v>
      </c>
      <c r="O4107" t="s">
        <v>2854</v>
      </c>
      <c r="P4107" t="s">
        <v>584</v>
      </c>
      <c r="Q4107" t="s">
        <v>2855</v>
      </c>
      <c r="R4107" t="s">
        <v>2824</v>
      </c>
      <c r="S4107" t="s">
        <v>2853</v>
      </c>
      <c r="T4107" t="s">
        <v>2448</v>
      </c>
      <c r="U4107">
        <v>305900</v>
      </c>
      <c r="V4107" t="s">
        <v>2915</v>
      </c>
      <c r="W4107" t="s">
        <v>2857</v>
      </c>
      <c r="X4107" t="s">
        <v>22358</v>
      </c>
      <c r="Y4107" t="s">
        <v>10525</v>
      </c>
      <c r="Z4107" t="s">
        <v>9738</v>
      </c>
      <c r="AA4107" t="s">
        <v>10526</v>
      </c>
      <c r="AB4107" t="s">
        <v>22359</v>
      </c>
      <c r="AC4107">
        <v>99042</v>
      </c>
      <c r="AD4107" t="s">
        <v>2862</v>
      </c>
      <c r="AE4107">
        <v>-41.316779060000002</v>
      </c>
      <c r="AF4107">
        <v>173.23421447000001</v>
      </c>
      <c r="AG4107">
        <v>35</v>
      </c>
      <c r="AH4107">
        <v>0</v>
      </c>
      <c r="AI4107">
        <v>0</v>
      </c>
      <c r="AJ4107">
        <v>0</v>
      </c>
      <c r="AK4107">
        <v>8</v>
      </c>
      <c r="AL4107">
        <v>17</v>
      </c>
      <c r="AM4107">
        <v>12</v>
      </c>
      <c r="AN4107">
        <v>2</v>
      </c>
      <c r="AO4107">
        <v>39</v>
      </c>
      <c r="AP4107">
        <v>25</v>
      </c>
      <c r="AQ4107">
        <v>11</v>
      </c>
      <c r="AR4107">
        <v>6</v>
      </c>
      <c r="AS4107">
        <v>5</v>
      </c>
      <c r="AT4107">
        <v>2</v>
      </c>
    </row>
    <row r="4108" spans="1:46">
      <c r="A4108">
        <v>65617</v>
      </c>
      <c r="B4108" t="s">
        <v>22360</v>
      </c>
      <c r="C4108" t="s">
        <v>22361</v>
      </c>
      <c r="E4108" t="s">
        <v>22362</v>
      </c>
      <c r="F4108" t="s">
        <v>2852</v>
      </c>
      <c r="G4108" t="s">
        <v>2853</v>
      </c>
      <c r="H4108" t="s">
        <v>343</v>
      </c>
      <c r="J4108" t="s">
        <v>518</v>
      </c>
      <c r="K4108" t="s">
        <v>519</v>
      </c>
      <c r="L4108" t="s">
        <v>4205</v>
      </c>
      <c r="M4108" t="s">
        <v>2287</v>
      </c>
      <c r="N4108" t="s">
        <v>521</v>
      </c>
      <c r="O4108" t="s">
        <v>2854</v>
      </c>
      <c r="P4108" t="s">
        <v>584</v>
      </c>
      <c r="Q4108" t="s">
        <v>2855</v>
      </c>
      <c r="R4108" t="s">
        <v>2824</v>
      </c>
      <c r="S4108" t="s">
        <v>2853</v>
      </c>
      <c r="T4108" t="s">
        <v>2448</v>
      </c>
      <c r="U4108">
        <v>305900</v>
      </c>
      <c r="V4108" t="s">
        <v>2915</v>
      </c>
      <c r="W4108" t="s">
        <v>2857</v>
      </c>
      <c r="X4108" t="s">
        <v>12058</v>
      </c>
      <c r="Y4108" t="s">
        <v>4208</v>
      </c>
      <c r="Z4108" t="s">
        <v>4209</v>
      </c>
      <c r="AA4108" t="s">
        <v>4210</v>
      </c>
      <c r="AB4108" t="s">
        <v>12059</v>
      </c>
      <c r="AE4108">
        <v>-41.3190472</v>
      </c>
      <c r="AF4108">
        <v>173.2345655</v>
      </c>
      <c r="AG4108">
        <v>21</v>
      </c>
      <c r="AH4108">
        <v>5</v>
      </c>
      <c r="AI4108">
        <v>1</v>
      </c>
      <c r="AJ4108">
        <v>1</v>
      </c>
      <c r="AK4108">
        <v>6</v>
      </c>
      <c r="AL4108">
        <v>2</v>
      </c>
      <c r="AM4108">
        <v>4</v>
      </c>
      <c r="AN4108">
        <v>0</v>
      </c>
      <c r="AO4108">
        <v>14</v>
      </c>
      <c r="AP4108">
        <v>0</v>
      </c>
      <c r="AQ4108">
        <v>11</v>
      </c>
      <c r="AR4108">
        <v>1</v>
      </c>
      <c r="AS4108">
        <v>0</v>
      </c>
      <c r="AT4108">
        <v>2</v>
      </c>
    </row>
    <row r="4109" spans="1:46">
      <c r="A4109">
        <v>70001</v>
      </c>
      <c r="B4109" t="s">
        <v>22363</v>
      </c>
      <c r="C4109" t="s">
        <v>22364</v>
      </c>
      <c r="E4109" t="s">
        <v>22365</v>
      </c>
      <c r="G4109" t="s">
        <v>22366</v>
      </c>
      <c r="H4109" t="s">
        <v>3942</v>
      </c>
      <c r="J4109" t="s">
        <v>3962</v>
      </c>
      <c r="K4109" t="s">
        <v>519</v>
      </c>
      <c r="M4109" t="s">
        <v>2287</v>
      </c>
      <c r="N4109" t="s">
        <v>571</v>
      </c>
      <c r="O4109" t="s">
        <v>3208</v>
      </c>
      <c r="P4109" t="s">
        <v>523</v>
      </c>
      <c r="Q4109" t="s">
        <v>2943</v>
      </c>
      <c r="R4109" t="s">
        <v>2944</v>
      </c>
      <c r="S4109" t="s">
        <v>3179</v>
      </c>
      <c r="T4109" t="s">
        <v>2448</v>
      </c>
      <c r="U4109">
        <v>336200</v>
      </c>
      <c r="V4109" t="s">
        <v>22366</v>
      </c>
      <c r="W4109" t="s">
        <v>3210</v>
      </c>
      <c r="X4109" t="s">
        <v>22017</v>
      </c>
      <c r="Y4109" t="s">
        <v>4658</v>
      </c>
      <c r="Z4109" t="s">
        <v>958</v>
      </c>
      <c r="AA4109" t="s">
        <v>4659</v>
      </c>
      <c r="AC4109">
        <v>99207</v>
      </c>
      <c r="AD4109" t="s">
        <v>21934</v>
      </c>
      <c r="AE4109">
        <v>-43.765730380000001</v>
      </c>
      <c r="AF4109">
        <v>172.29851737000001</v>
      </c>
      <c r="AG4109">
        <v>66</v>
      </c>
      <c r="AH4109">
        <v>12</v>
      </c>
      <c r="AI4109">
        <v>3</v>
      </c>
      <c r="AJ4109">
        <v>13</v>
      </c>
      <c r="AK4109">
        <v>13</v>
      </c>
      <c r="AL4109">
        <v>17</v>
      </c>
      <c r="AM4109">
        <v>16</v>
      </c>
      <c r="AN4109">
        <v>2</v>
      </c>
      <c r="AO4109">
        <v>64</v>
      </c>
      <c r="AP4109">
        <v>58</v>
      </c>
      <c r="AQ4109">
        <v>11</v>
      </c>
      <c r="AR4109">
        <v>4</v>
      </c>
      <c r="AS4109">
        <v>3</v>
      </c>
      <c r="AT4109">
        <v>0</v>
      </c>
    </row>
    <row r="4110" spans="1:46">
      <c r="A4110">
        <v>70003</v>
      </c>
      <c r="B4110" t="s">
        <v>22367</v>
      </c>
      <c r="C4110" t="s">
        <v>22368</v>
      </c>
      <c r="D4110" t="s">
        <v>22369</v>
      </c>
      <c r="E4110" t="s">
        <v>22370</v>
      </c>
      <c r="F4110" t="s">
        <v>17299</v>
      </c>
      <c r="G4110" t="s">
        <v>2941</v>
      </c>
      <c r="H4110" t="s">
        <v>3942</v>
      </c>
      <c r="J4110" t="s">
        <v>518</v>
      </c>
      <c r="K4110" t="s">
        <v>519</v>
      </c>
      <c r="M4110" t="s">
        <v>2287</v>
      </c>
      <c r="N4110" t="s">
        <v>557</v>
      </c>
      <c r="O4110" t="s">
        <v>2942</v>
      </c>
      <c r="P4110" t="s">
        <v>654</v>
      </c>
      <c r="Q4110" t="s">
        <v>2943</v>
      </c>
      <c r="R4110" t="s">
        <v>2944</v>
      </c>
      <c r="S4110" t="s">
        <v>2957</v>
      </c>
      <c r="T4110" t="s">
        <v>2448</v>
      </c>
      <c r="U4110">
        <v>328900</v>
      </c>
      <c r="V4110" t="s">
        <v>3120</v>
      </c>
      <c r="W4110" t="s">
        <v>2443</v>
      </c>
      <c r="X4110" t="s">
        <v>22371</v>
      </c>
      <c r="Y4110" t="s">
        <v>22372</v>
      </c>
      <c r="AA4110" t="s">
        <v>22373</v>
      </c>
      <c r="AB4110" t="s">
        <v>22368</v>
      </c>
      <c r="AC4110">
        <v>99063</v>
      </c>
      <c r="AD4110" t="s">
        <v>2994</v>
      </c>
      <c r="AE4110">
        <v>-43.538262029999999</v>
      </c>
      <c r="AF4110">
        <v>172.66719631999999</v>
      </c>
      <c r="AG4110">
        <v>50</v>
      </c>
      <c r="AH4110">
        <v>23</v>
      </c>
      <c r="AI4110">
        <v>6</v>
      </c>
      <c r="AJ4110">
        <v>7</v>
      </c>
      <c r="AK4110">
        <v>10</v>
      </c>
      <c r="AL4110">
        <v>11</v>
      </c>
      <c r="AM4110">
        <v>12</v>
      </c>
      <c r="AN4110">
        <v>0</v>
      </c>
      <c r="AO4110">
        <v>46</v>
      </c>
      <c r="AP4110">
        <v>32</v>
      </c>
      <c r="AQ4110">
        <v>21</v>
      </c>
      <c r="AR4110">
        <v>5</v>
      </c>
      <c r="AS4110">
        <v>6</v>
      </c>
      <c r="AT4110">
        <v>2</v>
      </c>
    </row>
    <row r="4111" spans="1:46">
      <c r="A4111">
        <v>70008</v>
      </c>
      <c r="B4111" t="s">
        <v>22374</v>
      </c>
      <c r="C4111" t="s">
        <v>22375</v>
      </c>
      <c r="D4111" t="s">
        <v>22376</v>
      </c>
      <c r="E4111" t="s">
        <v>22377</v>
      </c>
      <c r="F4111" t="s">
        <v>3018</v>
      </c>
      <c r="G4111" t="s">
        <v>2941</v>
      </c>
      <c r="H4111" t="s">
        <v>3942</v>
      </c>
      <c r="J4111" t="s">
        <v>518</v>
      </c>
      <c r="K4111" t="s">
        <v>519</v>
      </c>
      <c r="M4111" t="s">
        <v>2287</v>
      </c>
      <c r="N4111" t="s">
        <v>557</v>
      </c>
      <c r="O4111" t="s">
        <v>2942</v>
      </c>
      <c r="P4111" t="s">
        <v>654</v>
      </c>
      <c r="Q4111" t="s">
        <v>2943</v>
      </c>
      <c r="R4111" t="s">
        <v>2944</v>
      </c>
      <c r="S4111" t="s">
        <v>3019</v>
      </c>
      <c r="T4111" t="s">
        <v>2448</v>
      </c>
      <c r="U4111">
        <v>319300</v>
      </c>
      <c r="V4111" t="s">
        <v>3018</v>
      </c>
      <c r="W4111" t="s">
        <v>3020</v>
      </c>
      <c r="X4111" t="s">
        <v>10801</v>
      </c>
      <c r="Y4111" t="s">
        <v>3944</v>
      </c>
      <c r="Z4111" t="s">
        <v>3945</v>
      </c>
      <c r="AA4111" t="s">
        <v>3946</v>
      </c>
      <c r="AE4111">
        <v>-43.537849649999998</v>
      </c>
      <c r="AF4111">
        <v>172.52280223</v>
      </c>
      <c r="AG4111">
        <v>80</v>
      </c>
      <c r="AH4111">
        <v>24</v>
      </c>
      <c r="AI4111">
        <v>6</v>
      </c>
      <c r="AJ4111">
        <v>7</v>
      </c>
      <c r="AK4111">
        <v>20</v>
      </c>
      <c r="AL4111">
        <v>23</v>
      </c>
      <c r="AM4111">
        <v>26</v>
      </c>
      <c r="AN4111">
        <v>0</v>
      </c>
      <c r="AO4111">
        <v>82</v>
      </c>
      <c r="AP4111">
        <v>45</v>
      </c>
      <c r="AQ4111">
        <v>17</v>
      </c>
      <c r="AR4111">
        <v>13</v>
      </c>
      <c r="AS4111">
        <v>26</v>
      </c>
      <c r="AT4111">
        <v>6</v>
      </c>
    </row>
    <row r="4112" spans="1:46">
      <c r="A4112">
        <v>70010</v>
      </c>
      <c r="B4112" t="s">
        <v>22378</v>
      </c>
      <c r="C4112" t="s">
        <v>13791</v>
      </c>
      <c r="D4112" t="s">
        <v>22379</v>
      </c>
      <c r="E4112" t="s">
        <v>22380</v>
      </c>
      <c r="G4112" t="s">
        <v>22381</v>
      </c>
      <c r="H4112" t="s">
        <v>298</v>
      </c>
      <c r="J4112" t="s">
        <v>518</v>
      </c>
      <c r="K4112" t="s">
        <v>519</v>
      </c>
      <c r="M4112" t="s">
        <v>2287</v>
      </c>
      <c r="N4112" t="s">
        <v>571</v>
      </c>
      <c r="O4112" t="s">
        <v>2942</v>
      </c>
      <c r="P4112" t="s">
        <v>540</v>
      </c>
      <c r="Q4112" t="s">
        <v>2943</v>
      </c>
      <c r="R4112" t="s">
        <v>2944</v>
      </c>
      <c r="S4112" t="s">
        <v>2979</v>
      </c>
      <c r="T4112" t="s">
        <v>2448</v>
      </c>
      <c r="U4112">
        <v>333500</v>
      </c>
      <c r="V4112" t="s">
        <v>22381</v>
      </c>
      <c r="W4112" t="s">
        <v>3063</v>
      </c>
      <c r="X4112" t="s">
        <v>13795</v>
      </c>
      <c r="Y4112" t="s">
        <v>5187</v>
      </c>
      <c r="AA4112" t="s">
        <v>5188</v>
      </c>
      <c r="AB4112" t="s">
        <v>13796</v>
      </c>
      <c r="AE4112">
        <v>-43.801476399999999</v>
      </c>
      <c r="AF4112">
        <v>172.9684657</v>
      </c>
      <c r="AG4112">
        <v>25</v>
      </c>
      <c r="AH4112">
        <v>10</v>
      </c>
      <c r="AI4112">
        <v>0</v>
      </c>
      <c r="AJ4112">
        <v>2</v>
      </c>
      <c r="AK4112">
        <v>0</v>
      </c>
      <c r="AL4112">
        <v>0</v>
      </c>
      <c r="AM4112">
        <v>2</v>
      </c>
      <c r="AN4112">
        <v>0</v>
      </c>
      <c r="AO4112">
        <v>4</v>
      </c>
      <c r="AP4112">
        <v>3</v>
      </c>
      <c r="AQ4112">
        <v>1</v>
      </c>
      <c r="AR4112">
        <v>1</v>
      </c>
      <c r="AS4112">
        <v>0</v>
      </c>
      <c r="AT4112">
        <v>0</v>
      </c>
    </row>
    <row r="4113" spans="1:46">
      <c r="A4113">
        <v>70011</v>
      </c>
      <c r="B4113" t="s">
        <v>22382</v>
      </c>
      <c r="C4113" t="s">
        <v>22383</v>
      </c>
      <c r="D4113" t="s">
        <v>22384</v>
      </c>
      <c r="E4113" t="s">
        <v>22385</v>
      </c>
      <c r="F4113" t="s">
        <v>11710</v>
      </c>
      <c r="G4113" t="s">
        <v>2941</v>
      </c>
      <c r="H4113" t="s">
        <v>3942</v>
      </c>
      <c r="J4113" t="s">
        <v>518</v>
      </c>
      <c r="K4113" t="s">
        <v>519</v>
      </c>
      <c r="M4113" t="s">
        <v>2287</v>
      </c>
      <c r="N4113" t="s">
        <v>571</v>
      </c>
      <c r="O4113" t="s">
        <v>2942</v>
      </c>
      <c r="P4113" t="s">
        <v>654</v>
      </c>
      <c r="Q4113" t="s">
        <v>2943</v>
      </c>
      <c r="R4113" t="s">
        <v>2944</v>
      </c>
      <c r="S4113" t="s">
        <v>2965</v>
      </c>
      <c r="T4113" t="s">
        <v>2448</v>
      </c>
      <c r="U4113">
        <v>317400</v>
      </c>
      <c r="V4113" t="s">
        <v>11710</v>
      </c>
      <c r="W4113" t="s">
        <v>2986</v>
      </c>
      <c r="X4113" t="s">
        <v>10801</v>
      </c>
      <c r="Y4113" t="s">
        <v>3944</v>
      </c>
      <c r="Z4113" t="s">
        <v>3945</v>
      </c>
      <c r="AA4113" t="s">
        <v>3946</v>
      </c>
      <c r="AE4113">
        <v>-43.45312242</v>
      </c>
      <c r="AF4113">
        <v>172.61073182000001</v>
      </c>
      <c r="AG4113">
        <v>66</v>
      </c>
      <c r="AH4113">
        <v>16</v>
      </c>
      <c r="AI4113">
        <v>1</v>
      </c>
      <c r="AJ4113">
        <v>9</v>
      </c>
      <c r="AK4113">
        <v>20</v>
      </c>
      <c r="AL4113">
        <v>18</v>
      </c>
      <c r="AM4113">
        <v>16</v>
      </c>
      <c r="AN4113">
        <v>0</v>
      </c>
      <c r="AO4113">
        <v>64</v>
      </c>
      <c r="AP4113">
        <v>49</v>
      </c>
      <c r="AQ4113">
        <v>4</v>
      </c>
      <c r="AR4113">
        <v>4</v>
      </c>
      <c r="AS4113">
        <v>22</v>
      </c>
      <c r="AT4113">
        <v>2</v>
      </c>
    </row>
    <row r="4114" spans="1:46">
      <c r="A4114">
        <v>70014</v>
      </c>
      <c r="B4114" t="s">
        <v>22386</v>
      </c>
      <c r="C4114" t="s">
        <v>13791</v>
      </c>
      <c r="D4114" t="s">
        <v>22379</v>
      </c>
      <c r="E4114" t="s">
        <v>22387</v>
      </c>
      <c r="G4114" t="s">
        <v>13481</v>
      </c>
      <c r="H4114" t="s">
        <v>298</v>
      </c>
      <c r="J4114" t="s">
        <v>518</v>
      </c>
      <c r="K4114" t="s">
        <v>519</v>
      </c>
      <c r="M4114" t="s">
        <v>2287</v>
      </c>
      <c r="N4114" t="s">
        <v>571</v>
      </c>
      <c r="O4114" t="s">
        <v>13482</v>
      </c>
      <c r="P4114" t="s">
        <v>523</v>
      </c>
      <c r="Q4114" t="s">
        <v>2943</v>
      </c>
      <c r="R4114" t="s">
        <v>2944</v>
      </c>
      <c r="S4114" t="s">
        <v>2825</v>
      </c>
      <c r="T4114" t="s">
        <v>2448</v>
      </c>
      <c r="U4114">
        <v>312901</v>
      </c>
      <c r="V4114" t="s">
        <v>13481</v>
      </c>
      <c r="W4114" t="s">
        <v>13483</v>
      </c>
      <c r="X4114" t="s">
        <v>13795</v>
      </c>
      <c r="Y4114" t="s">
        <v>5187</v>
      </c>
      <c r="AA4114" t="s">
        <v>5188</v>
      </c>
      <c r="AB4114" t="s">
        <v>13796</v>
      </c>
      <c r="AE4114">
        <v>-43.155704499999999</v>
      </c>
      <c r="AF4114">
        <v>172.72811730000001</v>
      </c>
      <c r="AG4114">
        <v>25</v>
      </c>
      <c r="AH4114">
        <v>15</v>
      </c>
      <c r="AI4114">
        <v>1</v>
      </c>
      <c r="AJ4114">
        <v>5</v>
      </c>
      <c r="AK4114">
        <v>3</v>
      </c>
      <c r="AL4114">
        <v>1</v>
      </c>
      <c r="AM4114">
        <v>6</v>
      </c>
      <c r="AN4114">
        <v>0</v>
      </c>
      <c r="AO4114">
        <v>16</v>
      </c>
      <c r="AP4114">
        <v>12</v>
      </c>
      <c r="AQ4114">
        <v>3</v>
      </c>
      <c r="AR4114">
        <v>0</v>
      </c>
      <c r="AS4114">
        <v>0</v>
      </c>
      <c r="AT4114">
        <v>3</v>
      </c>
    </row>
    <row r="4115" spans="1:46">
      <c r="A4115">
        <v>70018</v>
      </c>
      <c r="B4115" t="s">
        <v>22388</v>
      </c>
      <c r="C4115" t="s">
        <v>13791</v>
      </c>
      <c r="E4115" t="s">
        <v>22389</v>
      </c>
      <c r="G4115" t="s">
        <v>3217</v>
      </c>
      <c r="H4115" t="s">
        <v>298</v>
      </c>
      <c r="J4115" t="s">
        <v>518</v>
      </c>
      <c r="K4115" t="s">
        <v>519</v>
      </c>
      <c r="M4115" t="s">
        <v>2287</v>
      </c>
      <c r="N4115" t="s">
        <v>571</v>
      </c>
      <c r="O4115" t="s">
        <v>3218</v>
      </c>
      <c r="P4115" t="s">
        <v>1262</v>
      </c>
      <c r="Q4115" t="s">
        <v>2943</v>
      </c>
      <c r="R4115" t="s">
        <v>2944</v>
      </c>
      <c r="S4115" t="s">
        <v>3219</v>
      </c>
      <c r="T4115" t="s">
        <v>2448</v>
      </c>
      <c r="U4115">
        <v>338000</v>
      </c>
      <c r="V4115" t="s">
        <v>22390</v>
      </c>
      <c r="W4115" t="s">
        <v>3221</v>
      </c>
      <c r="X4115" t="s">
        <v>13795</v>
      </c>
      <c r="Y4115" t="s">
        <v>5187</v>
      </c>
      <c r="AA4115" t="s">
        <v>5188</v>
      </c>
      <c r="AB4115" t="s">
        <v>13796</v>
      </c>
      <c r="AE4115">
        <v>-43.903555500000003</v>
      </c>
      <c r="AF4115">
        <v>171.743179</v>
      </c>
      <c r="AG4115">
        <v>30</v>
      </c>
      <c r="AH4115">
        <v>20</v>
      </c>
      <c r="AI4115">
        <v>1</v>
      </c>
      <c r="AJ4115">
        <v>5</v>
      </c>
      <c r="AK4115">
        <v>3</v>
      </c>
      <c r="AL4115">
        <v>2</v>
      </c>
      <c r="AM4115">
        <v>3</v>
      </c>
      <c r="AN4115">
        <v>1</v>
      </c>
      <c r="AO4115">
        <v>15</v>
      </c>
      <c r="AP4115">
        <v>14</v>
      </c>
      <c r="AQ4115">
        <v>0</v>
      </c>
      <c r="AR4115">
        <v>0</v>
      </c>
      <c r="AS4115">
        <v>1</v>
      </c>
      <c r="AT4115">
        <v>0</v>
      </c>
    </row>
    <row r="4116" spans="1:46">
      <c r="A4116">
        <v>70020</v>
      </c>
      <c r="B4116" t="s">
        <v>22391</v>
      </c>
      <c r="C4116" t="s">
        <v>13791</v>
      </c>
      <c r="D4116" t="s">
        <v>22379</v>
      </c>
      <c r="E4116" t="s">
        <v>22392</v>
      </c>
      <c r="G4116" t="s">
        <v>18034</v>
      </c>
      <c r="H4116" t="s">
        <v>298</v>
      </c>
      <c r="J4116" t="s">
        <v>518</v>
      </c>
      <c r="K4116" t="s">
        <v>519</v>
      </c>
      <c r="M4116" t="s">
        <v>2287</v>
      </c>
      <c r="N4116" t="s">
        <v>571</v>
      </c>
      <c r="O4116" t="s">
        <v>2964</v>
      </c>
      <c r="P4116" t="s">
        <v>540</v>
      </c>
      <c r="Q4116" t="s">
        <v>2943</v>
      </c>
      <c r="R4116" t="s">
        <v>2944</v>
      </c>
      <c r="S4116" t="s">
        <v>2825</v>
      </c>
      <c r="T4116" t="s">
        <v>2448</v>
      </c>
      <c r="U4116">
        <v>313700</v>
      </c>
      <c r="V4116" t="s">
        <v>18035</v>
      </c>
      <c r="W4116" t="s">
        <v>2967</v>
      </c>
      <c r="X4116" t="s">
        <v>13795</v>
      </c>
      <c r="Y4116" t="s">
        <v>5187</v>
      </c>
      <c r="AA4116" t="s">
        <v>5188</v>
      </c>
      <c r="AB4116" t="s">
        <v>13796</v>
      </c>
      <c r="AE4116">
        <v>-43.274433999999999</v>
      </c>
      <c r="AF4116">
        <v>172.6013949</v>
      </c>
      <c r="AG4116">
        <v>21</v>
      </c>
      <c r="AH4116">
        <v>15</v>
      </c>
      <c r="AI4116">
        <v>4</v>
      </c>
      <c r="AJ4116">
        <v>8</v>
      </c>
      <c r="AK4116">
        <v>7</v>
      </c>
      <c r="AL4116">
        <v>4</v>
      </c>
      <c r="AM4116">
        <v>2</v>
      </c>
      <c r="AN4116">
        <v>1</v>
      </c>
      <c r="AO4116">
        <v>26</v>
      </c>
      <c r="AP4116">
        <v>26</v>
      </c>
      <c r="AQ4116">
        <v>6</v>
      </c>
      <c r="AR4116">
        <v>2</v>
      </c>
      <c r="AS4116">
        <v>2</v>
      </c>
      <c r="AT4116">
        <v>0</v>
      </c>
    </row>
    <row r="4117" spans="1:46">
      <c r="A4117">
        <v>70021</v>
      </c>
      <c r="B4117" t="s">
        <v>22393</v>
      </c>
      <c r="C4117" t="s">
        <v>22394</v>
      </c>
      <c r="E4117" t="s">
        <v>22395</v>
      </c>
      <c r="F4117" t="s">
        <v>2945</v>
      </c>
      <c r="G4117" t="s">
        <v>2941</v>
      </c>
      <c r="H4117" t="s">
        <v>3942</v>
      </c>
      <c r="J4117" t="s">
        <v>518</v>
      </c>
      <c r="K4117" t="s">
        <v>519</v>
      </c>
      <c r="M4117" t="s">
        <v>2287</v>
      </c>
      <c r="N4117" t="s">
        <v>571</v>
      </c>
      <c r="O4117" t="s">
        <v>2942</v>
      </c>
      <c r="P4117" t="s">
        <v>654</v>
      </c>
      <c r="Q4117" t="s">
        <v>2943</v>
      </c>
      <c r="R4117" t="s">
        <v>2944</v>
      </c>
      <c r="S4117" t="s">
        <v>2945</v>
      </c>
      <c r="T4117" t="s">
        <v>2448</v>
      </c>
      <c r="U4117">
        <v>321200</v>
      </c>
      <c r="V4117" t="s">
        <v>22396</v>
      </c>
      <c r="W4117" t="s">
        <v>3076</v>
      </c>
      <c r="X4117" t="s">
        <v>22397</v>
      </c>
      <c r="Y4117" t="s">
        <v>22398</v>
      </c>
      <c r="Z4117" t="s">
        <v>2945</v>
      </c>
      <c r="AA4117" t="s">
        <v>22399</v>
      </c>
      <c r="AB4117" t="s">
        <v>22394</v>
      </c>
      <c r="AE4117">
        <v>-43.5207689</v>
      </c>
      <c r="AF4117">
        <v>172.58004320000001</v>
      </c>
      <c r="AG4117">
        <v>38</v>
      </c>
      <c r="AH4117">
        <v>15</v>
      </c>
      <c r="AI4117">
        <v>2</v>
      </c>
      <c r="AJ4117">
        <v>7</v>
      </c>
      <c r="AK4117">
        <v>7</v>
      </c>
      <c r="AL4117">
        <v>14</v>
      </c>
      <c r="AM4117">
        <v>6</v>
      </c>
      <c r="AN4117">
        <v>3</v>
      </c>
      <c r="AO4117">
        <v>39</v>
      </c>
      <c r="AP4117">
        <v>24</v>
      </c>
      <c r="AQ4117">
        <v>9</v>
      </c>
      <c r="AR4117">
        <v>2</v>
      </c>
      <c r="AS4117">
        <v>18</v>
      </c>
      <c r="AT4117">
        <v>3</v>
      </c>
    </row>
    <row r="4118" spans="1:46">
      <c r="A4118">
        <v>70022</v>
      </c>
      <c r="B4118" t="s">
        <v>22400</v>
      </c>
      <c r="C4118" t="s">
        <v>13791</v>
      </c>
      <c r="D4118" t="s">
        <v>22379</v>
      </c>
      <c r="E4118" t="s">
        <v>22401</v>
      </c>
      <c r="F4118" t="s">
        <v>2950</v>
      </c>
      <c r="G4118" t="s">
        <v>2941</v>
      </c>
      <c r="H4118" t="s">
        <v>298</v>
      </c>
      <c r="J4118" t="s">
        <v>518</v>
      </c>
      <c r="K4118" t="s">
        <v>519</v>
      </c>
      <c r="M4118" t="s">
        <v>2287</v>
      </c>
      <c r="N4118" t="s">
        <v>571</v>
      </c>
      <c r="O4118" t="s">
        <v>2942</v>
      </c>
      <c r="P4118" t="s">
        <v>654</v>
      </c>
      <c r="Q4118" t="s">
        <v>2943</v>
      </c>
      <c r="R4118" t="s">
        <v>2944</v>
      </c>
      <c r="S4118" t="s">
        <v>2945</v>
      </c>
      <c r="T4118" t="s">
        <v>2448</v>
      </c>
      <c r="U4118">
        <v>320700</v>
      </c>
      <c r="V4118" t="s">
        <v>11070</v>
      </c>
      <c r="W4118" t="s">
        <v>3076</v>
      </c>
      <c r="X4118" t="s">
        <v>13795</v>
      </c>
      <c r="Y4118" t="s">
        <v>5187</v>
      </c>
      <c r="AA4118" t="s">
        <v>5188</v>
      </c>
      <c r="AB4118" t="s">
        <v>13796</v>
      </c>
      <c r="AE4118">
        <v>-43.518184609999999</v>
      </c>
      <c r="AF4118">
        <v>172.57240200000001</v>
      </c>
      <c r="AG4118">
        <v>25</v>
      </c>
      <c r="AH4118">
        <v>20</v>
      </c>
      <c r="AI4118">
        <v>25</v>
      </c>
      <c r="AJ4118">
        <v>7</v>
      </c>
      <c r="AK4118">
        <v>3</v>
      </c>
      <c r="AL4118">
        <v>5</v>
      </c>
      <c r="AM4118">
        <v>5</v>
      </c>
      <c r="AN4118">
        <v>1</v>
      </c>
      <c r="AO4118">
        <v>46</v>
      </c>
      <c r="AP4118">
        <v>38</v>
      </c>
      <c r="AQ4118">
        <v>4</v>
      </c>
      <c r="AR4118">
        <v>2</v>
      </c>
      <c r="AS4118">
        <v>18</v>
      </c>
      <c r="AT4118">
        <v>2</v>
      </c>
    </row>
    <row r="4119" spans="1:46">
      <c r="A4119">
        <v>70026</v>
      </c>
      <c r="B4119" t="s">
        <v>22402</v>
      </c>
      <c r="C4119" t="s">
        <v>13791</v>
      </c>
      <c r="D4119" t="s">
        <v>22379</v>
      </c>
      <c r="E4119" t="s">
        <v>22403</v>
      </c>
      <c r="F4119" t="s">
        <v>3608</v>
      </c>
      <c r="G4119" t="s">
        <v>2941</v>
      </c>
      <c r="H4119" t="s">
        <v>298</v>
      </c>
      <c r="J4119" t="s">
        <v>518</v>
      </c>
      <c r="K4119" t="s">
        <v>519</v>
      </c>
      <c r="M4119" t="s">
        <v>2287</v>
      </c>
      <c r="N4119" t="s">
        <v>571</v>
      </c>
      <c r="O4119" t="s">
        <v>2942</v>
      </c>
      <c r="P4119" t="s">
        <v>654</v>
      </c>
      <c r="Q4119" t="s">
        <v>2943</v>
      </c>
      <c r="R4119" t="s">
        <v>2944</v>
      </c>
      <c r="S4119" t="s">
        <v>2965</v>
      </c>
      <c r="T4119" t="s">
        <v>2448</v>
      </c>
      <c r="U4119">
        <v>317301</v>
      </c>
      <c r="V4119" t="s">
        <v>3609</v>
      </c>
      <c r="W4119" t="s">
        <v>2986</v>
      </c>
      <c r="X4119" t="s">
        <v>13795</v>
      </c>
      <c r="Y4119" t="s">
        <v>5187</v>
      </c>
      <c r="AA4119" t="s">
        <v>5188</v>
      </c>
      <c r="AB4119" t="s">
        <v>13796</v>
      </c>
      <c r="AE4119">
        <v>-43.452779399999997</v>
      </c>
      <c r="AF4119">
        <v>172.6283474</v>
      </c>
      <c r="AG4119">
        <v>30</v>
      </c>
      <c r="AH4119">
        <v>20</v>
      </c>
      <c r="AI4119">
        <v>0</v>
      </c>
      <c r="AJ4119">
        <v>2</v>
      </c>
      <c r="AK4119">
        <v>6</v>
      </c>
      <c r="AL4119">
        <v>2</v>
      </c>
      <c r="AM4119">
        <v>2</v>
      </c>
      <c r="AN4119">
        <v>0</v>
      </c>
      <c r="AO4119">
        <v>12</v>
      </c>
      <c r="AP4119">
        <v>11</v>
      </c>
      <c r="AQ4119">
        <v>4</v>
      </c>
      <c r="AR4119">
        <v>0</v>
      </c>
      <c r="AS4119">
        <v>3</v>
      </c>
      <c r="AT4119">
        <v>0</v>
      </c>
    </row>
    <row r="4120" spans="1:46">
      <c r="A4120">
        <v>70028</v>
      </c>
      <c r="B4120" t="s">
        <v>22404</v>
      </c>
      <c r="C4120" t="s">
        <v>13791</v>
      </c>
      <c r="E4120" t="s">
        <v>22405</v>
      </c>
      <c r="G4120" t="s">
        <v>2941</v>
      </c>
      <c r="H4120" t="s">
        <v>298</v>
      </c>
      <c r="J4120" t="s">
        <v>518</v>
      </c>
      <c r="K4120" t="s">
        <v>519</v>
      </c>
      <c r="M4120" t="s">
        <v>2287</v>
      </c>
      <c r="N4120" t="s">
        <v>571</v>
      </c>
      <c r="O4120" t="s">
        <v>2942</v>
      </c>
      <c r="P4120" t="s">
        <v>540</v>
      </c>
      <c r="Q4120" t="s">
        <v>2943</v>
      </c>
      <c r="R4120" t="s">
        <v>2944</v>
      </c>
      <c r="S4120" t="s">
        <v>2973</v>
      </c>
      <c r="T4120" t="s">
        <v>2448</v>
      </c>
      <c r="U4120">
        <v>317100</v>
      </c>
      <c r="V4120" t="s">
        <v>22406</v>
      </c>
      <c r="W4120" t="s">
        <v>2974</v>
      </c>
      <c r="X4120" t="s">
        <v>13795</v>
      </c>
      <c r="Y4120" t="s">
        <v>5187</v>
      </c>
      <c r="AA4120" t="s">
        <v>5188</v>
      </c>
      <c r="AB4120" t="s">
        <v>13796</v>
      </c>
      <c r="AE4120">
        <v>-43.432956300000001</v>
      </c>
      <c r="AF4120">
        <v>172.69583499999999</v>
      </c>
      <c r="AG4120">
        <v>24</v>
      </c>
      <c r="AH4120">
        <v>10</v>
      </c>
      <c r="AI4120">
        <v>0</v>
      </c>
      <c r="AJ4120">
        <v>2</v>
      </c>
      <c r="AK4120">
        <v>6</v>
      </c>
      <c r="AL4120">
        <v>3</v>
      </c>
      <c r="AM4120">
        <v>2</v>
      </c>
      <c r="AN4120">
        <v>0</v>
      </c>
      <c r="AO4120">
        <v>13</v>
      </c>
      <c r="AP4120">
        <v>13</v>
      </c>
      <c r="AQ4120">
        <v>0</v>
      </c>
      <c r="AR4120">
        <v>0</v>
      </c>
      <c r="AS4120">
        <v>1</v>
      </c>
      <c r="AT4120">
        <v>0</v>
      </c>
    </row>
    <row r="4121" spans="1:46">
      <c r="A4121">
        <v>70029</v>
      </c>
      <c r="B4121" t="s">
        <v>22407</v>
      </c>
      <c r="C4121" t="s">
        <v>22408</v>
      </c>
      <c r="D4121" t="s">
        <v>22409</v>
      </c>
      <c r="E4121" t="s">
        <v>22410</v>
      </c>
      <c r="F4121" t="s">
        <v>2984</v>
      </c>
      <c r="G4121" t="s">
        <v>2941</v>
      </c>
      <c r="H4121" t="s">
        <v>3942</v>
      </c>
      <c r="J4121" t="s">
        <v>518</v>
      </c>
      <c r="K4121" t="s">
        <v>519</v>
      </c>
      <c r="M4121" t="s">
        <v>2287</v>
      </c>
      <c r="N4121" t="s">
        <v>571</v>
      </c>
      <c r="O4121" t="s">
        <v>2942</v>
      </c>
      <c r="P4121" t="s">
        <v>654</v>
      </c>
      <c r="Q4121" t="s">
        <v>2943</v>
      </c>
      <c r="R4121" t="s">
        <v>2944</v>
      </c>
      <c r="S4121" t="s">
        <v>2945</v>
      </c>
      <c r="T4121" t="s">
        <v>2448</v>
      </c>
      <c r="U4121">
        <v>318000</v>
      </c>
      <c r="V4121" t="s">
        <v>22411</v>
      </c>
      <c r="W4121" t="s">
        <v>2986</v>
      </c>
      <c r="X4121" t="s">
        <v>22412</v>
      </c>
      <c r="Y4121" t="s">
        <v>18551</v>
      </c>
      <c r="Z4121" t="s">
        <v>2957</v>
      </c>
      <c r="AA4121" t="s">
        <v>17869</v>
      </c>
      <c r="AB4121" t="s">
        <v>22408</v>
      </c>
      <c r="AC4121">
        <v>99027</v>
      </c>
      <c r="AD4121" t="s">
        <v>3000</v>
      </c>
      <c r="AE4121">
        <v>-43.48937154</v>
      </c>
      <c r="AF4121">
        <v>172.58555150000001</v>
      </c>
      <c r="AG4121">
        <v>40</v>
      </c>
      <c r="AH4121">
        <v>10</v>
      </c>
      <c r="AI4121">
        <v>3</v>
      </c>
      <c r="AJ4121">
        <v>8</v>
      </c>
      <c r="AK4121">
        <v>13</v>
      </c>
      <c r="AL4121">
        <v>14</v>
      </c>
      <c r="AM4121">
        <v>12</v>
      </c>
      <c r="AN4121">
        <v>1</v>
      </c>
      <c r="AO4121">
        <v>51</v>
      </c>
      <c r="AP4121">
        <v>35</v>
      </c>
      <c r="AQ4121">
        <v>14</v>
      </c>
      <c r="AR4121">
        <v>4</v>
      </c>
      <c r="AS4121">
        <v>14</v>
      </c>
      <c r="AT4121">
        <v>2</v>
      </c>
    </row>
    <row r="4122" spans="1:46">
      <c r="A4122">
        <v>70030</v>
      </c>
      <c r="B4122" t="s">
        <v>22413</v>
      </c>
      <c r="C4122" t="s">
        <v>13791</v>
      </c>
      <c r="D4122" t="s">
        <v>22379</v>
      </c>
      <c r="E4122" t="s">
        <v>22414</v>
      </c>
      <c r="F4122" t="s">
        <v>3130</v>
      </c>
      <c r="G4122" t="s">
        <v>2941</v>
      </c>
      <c r="H4122" t="s">
        <v>298</v>
      </c>
      <c r="J4122" t="s">
        <v>518</v>
      </c>
      <c r="K4122" t="s">
        <v>519</v>
      </c>
      <c r="M4122" t="s">
        <v>2287</v>
      </c>
      <c r="N4122" t="s">
        <v>4519</v>
      </c>
      <c r="O4122" t="s">
        <v>2942</v>
      </c>
      <c r="P4122" t="s">
        <v>654</v>
      </c>
      <c r="Q4122" t="s">
        <v>2943</v>
      </c>
      <c r="R4122" t="s">
        <v>2944</v>
      </c>
      <c r="S4122" t="s">
        <v>2973</v>
      </c>
      <c r="T4122" t="s">
        <v>2448</v>
      </c>
      <c r="U4122">
        <v>325601</v>
      </c>
      <c r="V4122" t="s">
        <v>21990</v>
      </c>
      <c r="W4122" t="s">
        <v>3126</v>
      </c>
      <c r="X4122" t="s">
        <v>13795</v>
      </c>
      <c r="Y4122" t="s">
        <v>5187</v>
      </c>
      <c r="AA4122" t="s">
        <v>5188</v>
      </c>
      <c r="AB4122" t="s">
        <v>13796</v>
      </c>
      <c r="AE4122">
        <v>-43.500838430000002</v>
      </c>
      <c r="AF4122">
        <v>172.68383684</v>
      </c>
      <c r="AG4122">
        <v>25</v>
      </c>
      <c r="AH4122">
        <v>20</v>
      </c>
      <c r="AI4122">
        <v>20</v>
      </c>
      <c r="AJ4122">
        <v>5</v>
      </c>
      <c r="AK4122">
        <v>5</v>
      </c>
      <c r="AL4122">
        <v>1</v>
      </c>
      <c r="AM4122">
        <v>1</v>
      </c>
      <c r="AN4122">
        <v>0</v>
      </c>
      <c r="AO4122">
        <v>32</v>
      </c>
      <c r="AP4122">
        <v>32</v>
      </c>
      <c r="AQ4122">
        <v>6</v>
      </c>
      <c r="AR4122">
        <v>0</v>
      </c>
      <c r="AS4122">
        <v>1</v>
      </c>
      <c r="AT4122">
        <v>1</v>
      </c>
    </row>
    <row r="4123" spans="1:46">
      <c r="A4123">
        <v>70032</v>
      </c>
      <c r="B4123" t="s">
        <v>22415</v>
      </c>
      <c r="C4123" t="s">
        <v>13791</v>
      </c>
      <c r="E4123" t="s">
        <v>22416</v>
      </c>
      <c r="F4123" t="s">
        <v>2978</v>
      </c>
      <c r="G4123" t="s">
        <v>2941</v>
      </c>
      <c r="H4123" t="s">
        <v>298</v>
      </c>
      <c r="J4123" t="s">
        <v>518</v>
      </c>
      <c r="K4123" t="s">
        <v>519</v>
      </c>
      <c r="M4123" t="s">
        <v>2287</v>
      </c>
      <c r="N4123" t="s">
        <v>571</v>
      </c>
      <c r="O4123" t="s">
        <v>2942</v>
      </c>
      <c r="P4123" t="s">
        <v>654</v>
      </c>
      <c r="Q4123" t="s">
        <v>2943</v>
      </c>
      <c r="R4123" t="s">
        <v>2944</v>
      </c>
      <c r="S4123" t="s">
        <v>2979</v>
      </c>
      <c r="T4123" t="s">
        <v>2448</v>
      </c>
      <c r="U4123">
        <v>331300</v>
      </c>
      <c r="V4123" t="s">
        <v>22417</v>
      </c>
      <c r="W4123" t="s">
        <v>2958</v>
      </c>
      <c r="X4123" t="s">
        <v>13795</v>
      </c>
      <c r="Y4123" t="s">
        <v>5187</v>
      </c>
      <c r="AA4123" t="s">
        <v>5188</v>
      </c>
      <c r="AB4123" t="s">
        <v>13796</v>
      </c>
      <c r="AE4123">
        <v>-43.571147799999999</v>
      </c>
      <c r="AF4123">
        <v>172.63970019999999</v>
      </c>
      <c r="AG4123">
        <v>30</v>
      </c>
      <c r="AH4123">
        <v>15</v>
      </c>
      <c r="AI4123">
        <v>4</v>
      </c>
      <c r="AJ4123">
        <v>3</v>
      </c>
      <c r="AK4123">
        <v>9</v>
      </c>
      <c r="AL4123">
        <v>4</v>
      </c>
      <c r="AM4123">
        <v>1</v>
      </c>
      <c r="AN4123">
        <v>0</v>
      </c>
      <c r="AO4123">
        <v>21</v>
      </c>
      <c r="AP4123">
        <v>21</v>
      </c>
      <c r="AQ4123">
        <v>1</v>
      </c>
      <c r="AR4123">
        <v>0</v>
      </c>
      <c r="AS4123">
        <v>0</v>
      </c>
      <c r="AT4123">
        <v>0</v>
      </c>
    </row>
    <row r="4124" spans="1:46">
      <c r="A4124">
        <v>70033</v>
      </c>
      <c r="B4124" t="s">
        <v>22418</v>
      </c>
      <c r="C4124" t="s">
        <v>22419</v>
      </c>
      <c r="D4124" t="s">
        <v>22420</v>
      </c>
      <c r="E4124" t="s">
        <v>22421</v>
      </c>
      <c r="F4124" t="s">
        <v>2940</v>
      </c>
      <c r="G4124" t="s">
        <v>2941</v>
      </c>
      <c r="H4124" t="s">
        <v>3942</v>
      </c>
      <c r="J4124" t="s">
        <v>3962</v>
      </c>
      <c r="K4124" t="s">
        <v>519</v>
      </c>
      <c r="M4124" t="s">
        <v>2287</v>
      </c>
      <c r="N4124" t="s">
        <v>571</v>
      </c>
      <c r="O4124" t="s">
        <v>2942</v>
      </c>
      <c r="P4124" t="s">
        <v>654</v>
      </c>
      <c r="Q4124" t="s">
        <v>2943</v>
      </c>
      <c r="R4124" t="s">
        <v>2944</v>
      </c>
      <c r="S4124" t="s">
        <v>2945</v>
      </c>
      <c r="T4124" t="s">
        <v>2448</v>
      </c>
      <c r="U4124">
        <v>320700</v>
      </c>
      <c r="V4124" t="s">
        <v>11070</v>
      </c>
      <c r="W4124" t="s">
        <v>2947</v>
      </c>
      <c r="X4124" t="s">
        <v>11212</v>
      </c>
      <c r="Y4124" t="s">
        <v>11213</v>
      </c>
      <c r="AA4124" t="s">
        <v>11214</v>
      </c>
      <c r="AB4124" t="s">
        <v>11215</v>
      </c>
      <c r="AC4124">
        <v>99176</v>
      </c>
      <c r="AD4124" t="s">
        <v>3077</v>
      </c>
      <c r="AE4124">
        <v>-43.528303639999997</v>
      </c>
      <c r="AF4124">
        <v>172.56115076</v>
      </c>
      <c r="AG4124">
        <v>67</v>
      </c>
      <c r="AH4124">
        <v>20</v>
      </c>
      <c r="AI4124">
        <v>2</v>
      </c>
      <c r="AJ4124">
        <v>9</v>
      </c>
      <c r="AK4124">
        <v>13</v>
      </c>
      <c r="AL4124">
        <v>9</v>
      </c>
      <c r="AM4124">
        <v>15</v>
      </c>
      <c r="AN4124">
        <v>0</v>
      </c>
      <c r="AO4124">
        <v>48</v>
      </c>
      <c r="AP4124">
        <v>36</v>
      </c>
      <c r="AQ4124">
        <v>7</v>
      </c>
      <c r="AR4124">
        <v>2</v>
      </c>
      <c r="AS4124">
        <v>6</v>
      </c>
      <c r="AT4124">
        <v>3</v>
      </c>
    </row>
    <row r="4125" spans="1:46">
      <c r="A4125">
        <v>70035</v>
      </c>
      <c r="B4125" t="s">
        <v>22422</v>
      </c>
      <c r="C4125" t="s">
        <v>22423</v>
      </c>
      <c r="E4125" t="s">
        <v>22424</v>
      </c>
      <c r="F4125" t="s">
        <v>3057</v>
      </c>
      <c r="G4125" t="s">
        <v>2941</v>
      </c>
      <c r="H4125" t="s">
        <v>3942</v>
      </c>
      <c r="J4125" t="s">
        <v>518</v>
      </c>
      <c r="K4125" t="s">
        <v>519</v>
      </c>
      <c r="M4125" t="s">
        <v>2287</v>
      </c>
      <c r="N4125" t="s">
        <v>727</v>
      </c>
      <c r="O4125" t="s">
        <v>2942</v>
      </c>
      <c r="P4125" t="s">
        <v>654</v>
      </c>
      <c r="Q4125" t="s">
        <v>2943</v>
      </c>
      <c r="R4125" t="s">
        <v>2944</v>
      </c>
      <c r="S4125" t="s">
        <v>2973</v>
      </c>
      <c r="T4125" t="s">
        <v>2448</v>
      </c>
      <c r="U4125">
        <v>328400</v>
      </c>
      <c r="V4125" t="s">
        <v>3124</v>
      </c>
      <c r="W4125" t="s">
        <v>2993</v>
      </c>
      <c r="X4125" t="s">
        <v>22425</v>
      </c>
      <c r="Y4125" t="s">
        <v>22426</v>
      </c>
      <c r="Z4125" t="s">
        <v>2940</v>
      </c>
      <c r="AA4125" t="s">
        <v>11419</v>
      </c>
      <c r="AB4125" t="s">
        <v>22427</v>
      </c>
      <c r="AC4125">
        <v>99063</v>
      </c>
      <c r="AD4125" t="s">
        <v>2994</v>
      </c>
      <c r="AE4125">
        <v>-43.524938630000001</v>
      </c>
      <c r="AF4125">
        <v>172.68401385000001</v>
      </c>
      <c r="AG4125">
        <v>44</v>
      </c>
      <c r="AH4125">
        <v>15</v>
      </c>
      <c r="AI4125">
        <v>3</v>
      </c>
      <c r="AJ4125">
        <v>8</v>
      </c>
      <c r="AK4125">
        <v>11</v>
      </c>
      <c r="AL4125">
        <v>11</v>
      </c>
      <c r="AM4125">
        <v>12</v>
      </c>
      <c r="AN4125">
        <v>0</v>
      </c>
      <c r="AO4125">
        <v>45</v>
      </c>
      <c r="AP4125">
        <v>29</v>
      </c>
      <c r="AQ4125">
        <v>17</v>
      </c>
      <c r="AR4125">
        <v>10</v>
      </c>
      <c r="AS4125">
        <v>8</v>
      </c>
      <c r="AT4125">
        <v>0</v>
      </c>
    </row>
    <row r="4126" spans="1:46">
      <c r="A4126">
        <v>70036</v>
      </c>
      <c r="B4126" t="s">
        <v>22428</v>
      </c>
      <c r="C4126" t="s">
        <v>13791</v>
      </c>
      <c r="D4126" t="s">
        <v>22379</v>
      </c>
      <c r="E4126" t="s">
        <v>22429</v>
      </c>
      <c r="G4126" t="s">
        <v>21834</v>
      </c>
      <c r="H4126" t="s">
        <v>298</v>
      </c>
      <c r="J4126" t="s">
        <v>518</v>
      </c>
      <c r="K4126" t="s">
        <v>519</v>
      </c>
      <c r="M4126" t="s">
        <v>2287</v>
      </c>
      <c r="N4126" t="s">
        <v>571</v>
      </c>
      <c r="O4126" t="s">
        <v>2964</v>
      </c>
      <c r="P4126" t="s">
        <v>572</v>
      </c>
      <c r="Q4126" t="s">
        <v>2943</v>
      </c>
      <c r="R4126" t="s">
        <v>2944</v>
      </c>
      <c r="S4126" t="s">
        <v>2965</v>
      </c>
      <c r="T4126" t="s">
        <v>2448</v>
      </c>
      <c r="U4126">
        <v>315500</v>
      </c>
      <c r="V4126" t="s">
        <v>21834</v>
      </c>
      <c r="W4126" t="s">
        <v>3189</v>
      </c>
      <c r="X4126" t="s">
        <v>13795</v>
      </c>
      <c r="Y4126" t="s">
        <v>5187</v>
      </c>
      <c r="AA4126" t="s">
        <v>5188</v>
      </c>
      <c r="AB4126" t="s">
        <v>13796</v>
      </c>
      <c r="AE4126">
        <v>-43.40613982</v>
      </c>
      <c r="AF4126">
        <v>172.6239947</v>
      </c>
      <c r="AG4126">
        <v>25</v>
      </c>
      <c r="AH4126">
        <v>10</v>
      </c>
      <c r="AI4126">
        <v>0</v>
      </c>
      <c r="AJ4126">
        <v>6</v>
      </c>
      <c r="AK4126">
        <v>5</v>
      </c>
      <c r="AL4126">
        <v>4</v>
      </c>
      <c r="AM4126">
        <v>6</v>
      </c>
      <c r="AN4126">
        <v>1</v>
      </c>
      <c r="AO4126">
        <v>22</v>
      </c>
      <c r="AP4126">
        <v>22</v>
      </c>
      <c r="AQ4126">
        <v>3</v>
      </c>
      <c r="AR4126">
        <v>0</v>
      </c>
      <c r="AS4126">
        <v>1</v>
      </c>
      <c r="AT4126">
        <v>1</v>
      </c>
    </row>
    <row r="4127" spans="1:46">
      <c r="A4127">
        <v>70037</v>
      </c>
      <c r="B4127" t="s">
        <v>22430</v>
      </c>
      <c r="C4127" t="s">
        <v>22431</v>
      </c>
      <c r="D4127" t="s">
        <v>22432</v>
      </c>
      <c r="E4127" t="s">
        <v>22433</v>
      </c>
      <c r="G4127" t="s">
        <v>3217</v>
      </c>
      <c r="H4127" t="s">
        <v>3942</v>
      </c>
      <c r="J4127" t="s">
        <v>518</v>
      </c>
      <c r="K4127" t="s">
        <v>519</v>
      </c>
      <c r="M4127" t="s">
        <v>2287</v>
      </c>
      <c r="N4127" t="s">
        <v>571</v>
      </c>
      <c r="O4127" t="s">
        <v>3218</v>
      </c>
      <c r="P4127" t="s">
        <v>1262</v>
      </c>
      <c r="Q4127" t="s">
        <v>2943</v>
      </c>
      <c r="R4127" t="s">
        <v>2944</v>
      </c>
      <c r="S4127" t="s">
        <v>3219</v>
      </c>
      <c r="T4127" t="s">
        <v>2448</v>
      </c>
      <c r="U4127">
        <v>338501</v>
      </c>
      <c r="V4127" t="s">
        <v>3235</v>
      </c>
      <c r="W4127" t="s">
        <v>3221</v>
      </c>
      <c r="X4127" t="s">
        <v>22434</v>
      </c>
      <c r="Y4127" t="s">
        <v>22435</v>
      </c>
      <c r="Z4127" t="s">
        <v>3217</v>
      </c>
      <c r="AA4127" t="s">
        <v>22436</v>
      </c>
      <c r="AB4127" t="s">
        <v>22437</v>
      </c>
      <c r="AC4127">
        <v>99043</v>
      </c>
      <c r="AD4127" t="s">
        <v>3226</v>
      </c>
      <c r="AE4127">
        <v>-43.905358210000003</v>
      </c>
      <c r="AF4127">
        <v>171.76000912999999</v>
      </c>
      <c r="AG4127">
        <v>50</v>
      </c>
      <c r="AH4127">
        <v>12</v>
      </c>
      <c r="AI4127">
        <v>0</v>
      </c>
      <c r="AJ4127">
        <v>5</v>
      </c>
      <c r="AK4127">
        <v>17</v>
      </c>
      <c r="AL4127">
        <v>16</v>
      </c>
      <c r="AM4127">
        <v>12</v>
      </c>
      <c r="AN4127">
        <v>0</v>
      </c>
      <c r="AO4127">
        <v>50</v>
      </c>
      <c r="AP4127">
        <v>40</v>
      </c>
      <c r="AQ4127">
        <v>5</v>
      </c>
      <c r="AR4127">
        <v>9</v>
      </c>
      <c r="AS4127">
        <v>6</v>
      </c>
      <c r="AT4127">
        <v>2</v>
      </c>
    </row>
    <row r="4128" spans="1:46">
      <c r="A4128">
        <v>70038</v>
      </c>
      <c r="B4128" t="s">
        <v>22438</v>
      </c>
      <c r="C4128" t="s">
        <v>13791</v>
      </c>
      <c r="D4128" t="s">
        <v>22379</v>
      </c>
      <c r="E4128" t="s">
        <v>22439</v>
      </c>
      <c r="G4128" t="s">
        <v>22440</v>
      </c>
      <c r="H4128" t="s">
        <v>298</v>
      </c>
      <c r="J4128" t="s">
        <v>518</v>
      </c>
      <c r="K4128" t="s">
        <v>519</v>
      </c>
      <c r="M4128" t="s">
        <v>2287</v>
      </c>
      <c r="N4128" t="s">
        <v>571</v>
      </c>
      <c r="O4128" t="s">
        <v>13482</v>
      </c>
      <c r="P4128" t="s">
        <v>540</v>
      </c>
      <c r="Q4128" t="s">
        <v>2943</v>
      </c>
      <c r="R4128" t="s">
        <v>2944</v>
      </c>
      <c r="S4128" t="s">
        <v>2825</v>
      </c>
      <c r="T4128" t="s">
        <v>2448</v>
      </c>
      <c r="U4128">
        <v>312200</v>
      </c>
      <c r="V4128" t="s">
        <v>22441</v>
      </c>
      <c r="W4128" t="s">
        <v>13794</v>
      </c>
      <c r="X4128" t="s">
        <v>13795</v>
      </c>
      <c r="Y4128" t="s">
        <v>5187</v>
      </c>
      <c r="AA4128" t="s">
        <v>5188</v>
      </c>
      <c r="AB4128" t="s">
        <v>13796</v>
      </c>
      <c r="AE4128">
        <v>-42.770985199999998</v>
      </c>
      <c r="AF4128">
        <v>172.85272990000001</v>
      </c>
      <c r="AG4128">
        <v>25</v>
      </c>
      <c r="AH4128">
        <v>10</v>
      </c>
      <c r="AI4128">
        <v>0</v>
      </c>
      <c r="AJ4128">
        <v>1</v>
      </c>
      <c r="AK4128">
        <v>0</v>
      </c>
      <c r="AL4128">
        <v>1</v>
      </c>
      <c r="AM4128">
        <v>1</v>
      </c>
      <c r="AN4128">
        <v>0</v>
      </c>
      <c r="AO4128">
        <v>3</v>
      </c>
      <c r="AP4128">
        <v>3</v>
      </c>
      <c r="AQ4128">
        <v>0</v>
      </c>
      <c r="AR4128">
        <v>0</v>
      </c>
      <c r="AS4128">
        <v>0</v>
      </c>
      <c r="AT4128">
        <v>0</v>
      </c>
    </row>
    <row r="4129" spans="1:46">
      <c r="A4129">
        <v>70040</v>
      </c>
      <c r="B4129" t="s">
        <v>22442</v>
      </c>
      <c r="C4129" t="s">
        <v>13791</v>
      </c>
      <c r="D4129" t="s">
        <v>22379</v>
      </c>
      <c r="E4129" t="s">
        <v>21162</v>
      </c>
      <c r="G4129" t="s">
        <v>14492</v>
      </c>
      <c r="H4129" t="s">
        <v>298</v>
      </c>
      <c r="J4129" t="s">
        <v>518</v>
      </c>
      <c r="K4129" t="s">
        <v>519</v>
      </c>
      <c r="M4129" t="s">
        <v>2287</v>
      </c>
      <c r="N4129" t="s">
        <v>571</v>
      </c>
      <c r="O4129" t="s">
        <v>2964</v>
      </c>
      <c r="P4129" t="s">
        <v>540</v>
      </c>
      <c r="Q4129" t="s">
        <v>2943</v>
      </c>
      <c r="R4129" t="s">
        <v>2944</v>
      </c>
      <c r="S4129" t="s">
        <v>2965</v>
      </c>
      <c r="T4129" t="s">
        <v>2448</v>
      </c>
      <c r="U4129">
        <v>313300</v>
      </c>
      <c r="V4129" t="s">
        <v>14493</v>
      </c>
      <c r="W4129" t="s">
        <v>2967</v>
      </c>
      <c r="X4129" t="s">
        <v>13795</v>
      </c>
      <c r="Y4129" t="s">
        <v>5187</v>
      </c>
      <c r="AA4129" t="s">
        <v>5188</v>
      </c>
      <c r="AB4129" t="s">
        <v>13796</v>
      </c>
      <c r="AE4129">
        <v>-43.3105847</v>
      </c>
      <c r="AF4129">
        <v>172.3731105</v>
      </c>
      <c r="AG4129">
        <v>25</v>
      </c>
      <c r="AH4129">
        <v>10</v>
      </c>
      <c r="AI4129">
        <v>0</v>
      </c>
      <c r="AJ4129">
        <v>1</v>
      </c>
      <c r="AK4129">
        <v>2</v>
      </c>
      <c r="AL4129">
        <v>1</v>
      </c>
      <c r="AM4129">
        <v>2</v>
      </c>
      <c r="AN4129">
        <v>0</v>
      </c>
      <c r="AO4129">
        <v>6</v>
      </c>
      <c r="AP4129">
        <v>5</v>
      </c>
      <c r="AQ4129">
        <v>1</v>
      </c>
      <c r="AR4129">
        <v>2</v>
      </c>
      <c r="AS4129">
        <v>0</v>
      </c>
      <c r="AT4129">
        <v>1</v>
      </c>
    </row>
    <row r="4130" spans="1:46">
      <c r="A4130">
        <v>70041</v>
      </c>
      <c r="B4130" t="s">
        <v>22443</v>
      </c>
      <c r="C4130" t="s">
        <v>22444</v>
      </c>
      <c r="D4130" t="s">
        <v>14877</v>
      </c>
      <c r="E4130" t="s">
        <v>22445</v>
      </c>
      <c r="G4130" t="s">
        <v>3296</v>
      </c>
      <c r="H4130" t="s">
        <v>3942</v>
      </c>
      <c r="J4130" t="s">
        <v>3962</v>
      </c>
      <c r="K4130" t="s">
        <v>519</v>
      </c>
      <c r="M4130" t="s">
        <v>2287</v>
      </c>
      <c r="N4130" t="s">
        <v>571</v>
      </c>
      <c r="O4130" t="s">
        <v>3249</v>
      </c>
      <c r="P4130" t="s">
        <v>523</v>
      </c>
      <c r="Q4130" t="s">
        <v>2943</v>
      </c>
      <c r="R4130" t="s">
        <v>2944</v>
      </c>
      <c r="S4130" t="s">
        <v>3219</v>
      </c>
      <c r="T4130" t="s">
        <v>2448</v>
      </c>
      <c r="U4130">
        <v>339300</v>
      </c>
      <c r="V4130" t="s">
        <v>3297</v>
      </c>
      <c r="W4130" t="s">
        <v>3298</v>
      </c>
      <c r="X4130" t="s">
        <v>14880</v>
      </c>
      <c r="Y4130" t="s">
        <v>14881</v>
      </c>
      <c r="AA4130" t="s">
        <v>14882</v>
      </c>
      <c r="AB4130" t="s">
        <v>14883</v>
      </c>
      <c r="AC4130">
        <v>99174</v>
      </c>
      <c r="AD4130" t="s">
        <v>3268</v>
      </c>
      <c r="AE4130">
        <v>-44.240461199999999</v>
      </c>
      <c r="AF4130">
        <v>171.27850032000001</v>
      </c>
      <c r="AG4130">
        <v>26</v>
      </c>
      <c r="AH4130">
        <v>10</v>
      </c>
      <c r="AI4130">
        <v>0</v>
      </c>
      <c r="AJ4130">
        <v>6</v>
      </c>
      <c r="AK4130">
        <v>11</v>
      </c>
      <c r="AL4130">
        <v>10</v>
      </c>
      <c r="AM4130">
        <v>0</v>
      </c>
      <c r="AN4130">
        <v>0</v>
      </c>
      <c r="AO4130">
        <v>27</v>
      </c>
      <c r="AP4130">
        <v>24</v>
      </c>
      <c r="AQ4130">
        <v>3</v>
      </c>
      <c r="AR4130">
        <v>1</v>
      </c>
      <c r="AS4130">
        <v>4</v>
      </c>
      <c r="AT4130">
        <v>0</v>
      </c>
    </row>
    <row r="4131" spans="1:46">
      <c r="A4131">
        <v>70042</v>
      </c>
      <c r="B4131" t="s">
        <v>22446</v>
      </c>
      <c r="C4131" t="s">
        <v>13791</v>
      </c>
      <c r="E4131" t="s">
        <v>22447</v>
      </c>
      <c r="G4131" t="s">
        <v>21669</v>
      </c>
      <c r="H4131" t="s">
        <v>298</v>
      </c>
      <c r="J4131" t="s">
        <v>518</v>
      </c>
      <c r="K4131" t="s">
        <v>519</v>
      </c>
      <c r="M4131" t="s">
        <v>2287</v>
      </c>
      <c r="N4131" t="s">
        <v>571</v>
      </c>
      <c r="O4131" t="s">
        <v>3208</v>
      </c>
      <c r="P4131" t="s">
        <v>523</v>
      </c>
      <c r="Q4131" t="s">
        <v>2943</v>
      </c>
      <c r="R4131" t="s">
        <v>2944</v>
      </c>
      <c r="S4131" t="s">
        <v>3179</v>
      </c>
      <c r="T4131" t="s">
        <v>2448</v>
      </c>
      <c r="U4131">
        <v>334001</v>
      </c>
      <c r="V4131" t="s">
        <v>21669</v>
      </c>
      <c r="W4131" t="s">
        <v>12606</v>
      </c>
      <c r="X4131" t="s">
        <v>13795</v>
      </c>
      <c r="Y4131" t="s">
        <v>5187</v>
      </c>
      <c r="AA4131" t="s">
        <v>5188</v>
      </c>
      <c r="AB4131" t="s">
        <v>13796</v>
      </c>
      <c r="AC4131">
        <v>99008</v>
      </c>
      <c r="AD4131" t="s">
        <v>17593</v>
      </c>
      <c r="AE4131">
        <v>-43.490067439999997</v>
      </c>
      <c r="AF4131">
        <v>172.1075137</v>
      </c>
      <c r="AG4131">
        <v>25</v>
      </c>
      <c r="AH4131">
        <v>15</v>
      </c>
      <c r="AI4131">
        <v>2</v>
      </c>
      <c r="AJ4131">
        <v>5</v>
      </c>
      <c r="AK4131">
        <v>6</v>
      </c>
      <c r="AL4131">
        <v>3</v>
      </c>
      <c r="AM4131">
        <v>8</v>
      </c>
      <c r="AN4131">
        <v>0</v>
      </c>
      <c r="AO4131">
        <v>24</v>
      </c>
      <c r="AP4131">
        <v>23</v>
      </c>
      <c r="AQ4131">
        <v>2</v>
      </c>
      <c r="AR4131">
        <v>0</v>
      </c>
      <c r="AS4131">
        <v>1</v>
      </c>
      <c r="AT4131">
        <v>0</v>
      </c>
    </row>
    <row r="4132" spans="1:46">
      <c r="A4132">
        <v>70044</v>
      </c>
      <c r="B4132" t="s">
        <v>22448</v>
      </c>
      <c r="C4132" t="s">
        <v>13791</v>
      </c>
      <c r="E4132" t="s">
        <v>22449</v>
      </c>
      <c r="G4132" t="s">
        <v>14283</v>
      </c>
      <c r="H4132" t="s">
        <v>298</v>
      </c>
      <c r="J4132" t="s">
        <v>518</v>
      </c>
      <c r="K4132" t="s">
        <v>519</v>
      </c>
      <c r="M4132" t="s">
        <v>2287</v>
      </c>
      <c r="N4132" t="s">
        <v>571</v>
      </c>
      <c r="O4132" t="s">
        <v>2942</v>
      </c>
      <c r="P4132" t="s">
        <v>523</v>
      </c>
      <c r="Q4132" t="s">
        <v>2943</v>
      </c>
      <c r="R4132" t="s">
        <v>2944</v>
      </c>
      <c r="S4132" t="s">
        <v>2979</v>
      </c>
      <c r="T4132" t="s">
        <v>2448</v>
      </c>
      <c r="U4132">
        <v>332901</v>
      </c>
      <c r="V4132" t="s">
        <v>14283</v>
      </c>
      <c r="W4132" t="s">
        <v>3063</v>
      </c>
      <c r="X4132" t="s">
        <v>13795</v>
      </c>
      <c r="Y4132" t="s">
        <v>5187</v>
      </c>
      <c r="AA4132" t="s">
        <v>5188</v>
      </c>
      <c r="AB4132" t="s">
        <v>13796</v>
      </c>
      <c r="AE4132">
        <v>-43.626043289999998</v>
      </c>
      <c r="AF4132">
        <v>172.74191490000001</v>
      </c>
      <c r="AG4132">
        <v>21</v>
      </c>
      <c r="AH4132">
        <v>15</v>
      </c>
      <c r="AI4132">
        <v>0</v>
      </c>
      <c r="AJ4132">
        <v>3</v>
      </c>
      <c r="AK4132">
        <v>2</v>
      </c>
      <c r="AL4132">
        <v>1</v>
      </c>
      <c r="AM4132">
        <v>6</v>
      </c>
      <c r="AN4132">
        <v>0</v>
      </c>
      <c r="AO4132">
        <v>12</v>
      </c>
      <c r="AP4132">
        <v>12</v>
      </c>
      <c r="AQ4132">
        <v>5</v>
      </c>
      <c r="AR4132">
        <v>0</v>
      </c>
      <c r="AS4132">
        <v>0</v>
      </c>
      <c r="AT4132">
        <v>0</v>
      </c>
    </row>
    <row r="4133" spans="1:46">
      <c r="A4133">
        <v>70047</v>
      </c>
      <c r="B4133" t="s">
        <v>22450</v>
      </c>
      <c r="C4133" t="s">
        <v>22451</v>
      </c>
      <c r="D4133" t="s">
        <v>22452</v>
      </c>
      <c r="E4133" t="s">
        <v>22453</v>
      </c>
      <c r="F4133" t="s">
        <v>3130</v>
      </c>
      <c r="G4133" t="s">
        <v>2941</v>
      </c>
      <c r="H4133" t="s">
        <v>3942</v>
      </c>
      <c r="J4133" t="s">
        <v>3962</v>
      </c>
      <c r="K4133" t="s">
        <v>519</v>
      </c>
      <c r="M4133" t="s">
        <v>2287</v>
      </c>
      <c r="N4133" t="s">
        <v>571</v>
      </c>
      <c r="O4133" t="s">
        <v>2942</v>
      </c>
      <c r="P4133" t="s">
        <v>654</v>
      </c>
      <c r="Q4133" t="s">
        <v>2943</v>
      </c>
      <c r="R4133" t="s">
        <v>2944</v>
      </c>
      <c r="S4133" t="s">
        <v>2973</v>
      </c>
      <c r="T4133" t="s">
        <v>2448</v>
      </c>
      <c r="U4133">
        <v>325601</v>
      </c>
      <c r="V4133" t="s">
        <v>21990</v>
      </c>
      <c r="W4133" t="s">
        <v>3126</v>
      </c>
      <c r="X4133" t="s">
        <v>22454</v>
      </c>
      <c r="Y4133" t="s">
        <v>22453</v>
      </c>
      <c r="Z4133" t="s">
        <v>3130</v>
      </c>
      <c r="AA4133" t="s">
        <v>14297</v>
      </c>
      <c r="AE4133">
        <v>-43.4979722</v>
      </c>
      <c r="AF4133">
        <v>172.6901282</v>
      </c>
      <c r="AG4133">
        <v>32</v>
      </c>
      <c r="AH4133">
        <v>10</v>
      </c>
      <c r="AI4133">
        <v>1</v>
      </c>
      <c r="AJ4133">
        <v>11</v>
      </c>
      <c r="AK4133">
        <v>13</v>
      </c>
      <c r="AL4133">
        <v>12</v>
      </c>
      <c r="AM4133">
        <v>15</v>
      </c>
      <c r="AN4133">
        <v>1</v>
      </c>
      <c r="AO4133">
        <v>53</v>
      </c>
      <c r="AP4133">
        <v>44</v>
      </c>
      <c r="AQ4133">
        <v>10</v>
      </c>
      <c r="AR4133">
        <v>5</v>
      </c>
      <c r="AS4133">
        <v>3</v>
      </c>
      <c r="AT4133">
        <v>7</v>
      </c>
    </row>
    <row r="4134" spans="1:46">
      <c r="A4134">
        <v>70048</v>
      </c>
      <c r="B4134" t="s">
        <v>22455</v>
      </c>
      <c r="C4134" t="s">
        <v>13791</v>
      </c>
      <c r="D4134" t="s">
        <v>22379</v>
      </c>
      <c r="E4134" t="s">
        <v>22456</v>
      </c>
      <c r="G4134" t="s">
        <v>21928</v>
      </c>
      <c r="H4134" t="s">
        <v>298</v>
      </c>
      <c r="J4134" t="s">
        <v>518</v>
      </c>
      <c r="K4134" t="s">
        <v>519</v>
      </c>
      <c r="M4134" t="s">
        <v>2287</v>
      </c>
      <c r="N4134" t="s">
        <v>571</v>
      </c>
      <c r="O4134" t="s">
        <v>3208</v>
      </c>
      <c r="P4134" t="s">
        <v>572</v>
      </c>
      <c r="Q4134" t="s">
        <v>2943</v>
      </c>
      <c r="R4134" t="s">
        <v>2944</v>
      </c>
      <c r="S4134" t="s">
        <v>3179</v>
      </c>
      <c r="T4134" t="s">
        <v>2448</v>
      </c>
      <c r="U4134">
        <v>334200</v>
      </c>
      <c r="V4134" t="s">
        <v>21929</v>
      </c>
      <c r="W4134" t="s">
        <v>3210</v>
      </c>
      <c r="X4134" t="s">
        <v>13795</v>
      </c>
      <c r="Y4134" t="s">
        <v>5187</v>
      </c>
      <c r="AA4134" t="s">
        <v>5188</v>
      </c>
      <c r="AB4134" t="s">
        <v>13796</v>
      </c>
      <c r="AC4134">
        <v>99207</v>
      </c>
      <c r="AD4134" t="s">
        <v>21934</v>
      </c>
      <c r="AE4134">
        <v>-43.66815802</v>
      </c>
      <c r="AF4134">
        <v>172.19724554000001</v>
      </c>
      <c r="AG4134">
        <v>21</v>
      </c>
      <c r="AH4134">
        <v>10</v>
      </c>
      <c r="AI4134">
        <v>3</v>
      </c>
      <c r="AJ4134">
        <v>4</v>
      </c>
      <c r="AK4134">
        <v>2</v>
      </c>
      <c r="AL4134">
        <v>4</v>
      </c>
      <c r="AM4134">
        <v>2</v>
      </c>
      <c r="AN4134">
        <v>0</v>
      </c>
      <c r="AO4134">
        <v>15</v>
      </c>
      <c r="AP4134">
        <v>14</v>
      </c>
      <c r="AQ4134">
        <v>1</v>
      </c>
      <c r="AR4134">
        <v>0</v>
      </c>
      <c r="AS4134">
        <v>1</v>
      </c>
      <c r="AT4134">
        <v>1</v>
      </c>
    </row>
    <row r="4135" spans="1:46">
      <c r="A4135">
        <v>70050</v>
      </c>
      <c r="B4135" t="s">
        <v>22457</v>
      </c>
      <c r="C4135" t="s">
        <v>13791</v>
      </c>
      <c r="E4135" t="s">
        <v>3661</v>
      </c>
      <c r="G4135" t="s">
        <v>3217</v>
      </c>
      <c r="H4135" t="s">
        <v>298</v>
      </c>
      <c r="J4135" t="s">
        <v>518</v>
      </c>
      <c r="K4135" t="s">
        <v>519</v>
      </c>
      <c r="M4135" t="s">
        <v>2287</v>
      </c>
      <c r="N4135" t="s">
        <v>571</v>
      </c>
      <c r="O4135" t="s">
        <v>3218</v>
      </c>
      <c r="P4135" t="s">
        <v>572</v>
      </c>
      <c r="Q4135" t="s">
        <v>2943</v>
      </c>
      <c r="R4135" t="s">
        <v>2944</v>
      </c>
      <c r="S4135" t="s">
        <v>3219</v>
      </c>
      <c r="T4135" t="s">
        <v>2448</v>
      </c>
      <c r="U4135">
        <v>337100</v>
      </c>
      <c r="V4135" t="s">
        <v>22458</v>
      </c>
      <c r="W4135" t="s">
        <v>2455</v>
      </c>
      <c r="X4135" t="s">
        <v>13795</v>
      </c>
      <c r="Y4135" t="s">
        <v>5187</v>
      </c>
      <c r="AA4135" t="s">
        <v>5188</v>
      </c>
      <c r="AB4135" t="s">
        <v>13796</v>
      </c>
      <c r="AE4135">
        <v>-43.979551100000002</v>
      </c>
      <c r="AF4135">
        <v>171.68308450000001</v>
      </c>
      <c r="AG4135">
        <v>24</v>
      </c>
      <c r="AH4135">
        <v>10</v>
      </c>
      <c r="AI4135">
        <v>2</v>
      </c>
      <c r="AJ4135">
        <v>2</v>
      </c>
      <c r="AK4135">
        <v>1</v>
      </c>
      <c r="AL4135">
        <v>1</v>
      </c>
      <c r="AM4135">
        <v>1</v>
      </c>
      <c r="AN4135">
        <v>0</v>
      </c>
      <c r="AO4135">
        <v>7</v>
      </c>
      <c r="AP4135">
        <v>7</v>
      </c>
      <c r="AQ4135">
        <v>0</v>
      </c>
      <c r="AR4135">
        <v>0</v>
      </c>
      <c r="AS4135">
        <v>0</v>
      </c>
      <c r="AT4135">
        <v>0</v>
      </c>
    </row>
    <row r="4136" spans="1:46">
      <c r="A4136">
        <v>70051</v>
      </c>
      <c r="B4136" t="s">
        <v>22459</v>
      </c>
      <c r="C4136" t="s">
        <v>22460</v>
      </c>
      <c r="D4136" t="s">
        <v>22461</v>
      </c>
      <c r="E4136" t="s">
        <v>22462</v>
      </c>
      <c r="G4136" t="s">
        <v>2963</v>
      </c>
      <c r="H4136" t="s">
        <v>3942</v>
      </c>
      <c r="J4136" t="s">
        <v>3962</v>
      </c>
      <c r="K4136" t="s">
        <v>519</v>
      </c>
      <c r="M4136" t="s">
        <v>2287</v>
      </c>
      <c r="N4136" t="s">
        <v>571</v>
      </c>
      <c r="O4136" t="s">
        <v>2964</v>
      </c>
      <c r="P4136" t="s">
        <v>1262</v>
      </c>
      <c r="Q4136" t="s">
        <v>2943</v>
      </c>
      <c r="R4136" t="s">
        <v>2944</v>
      </c>
      <c r="S4136" t="s">
        <v>2965</v>
      </c>
      <c r="T4136" t="s">
        <v>2448</v>
      </c>
      <c r="U4136">
        <v>315001</v>
      </c>
      <c r="V4136" t="s">
        <v>12076</v>
      </c>
      <c r="W4136" t="s">
        <v>2967</v>
      </c>
      <c r="X4136" t="s">
        <v>22463</v>
      </c>
      <c r="Y4136" t="s">
        <v>4107</v>
      </c>
      <c r="AA4136" t="s">
        <v>3982</v>
      </c>
      <c r="AB4136" t="s">
        <v>22460</v>
      </c>
      <c r="AE4136">
        <v>-43.318409019999997</v>
      </c>
      <c r="AF4136">
        <v>172.59679729000001</v>
      </c>
      <c r="AG4136">
        <v>70</v>
      </c>
      <c r="AH4136">
        <v>20</v>
      </c>
      <c r="AI4136">
        <v>4</v>
      </c>
      <c r="AJ4136">
        <v>17</v>
      </c>
      <c r="AK4136">
        <v>10</v>
      </c>
      <c r="AL4136">
        <v>20</v>
      </c>
      <c r="AM4136">
        <v>16</v>
      </c>
      <c r="AN4136">
        <v>1</v>
      </c>
      <c r="AO4136">
        <v>68</v>
      </c>
      <c r="AP4136">
        <v>56</v>
      </c>
      <c r="AQ4136">
        <v>10</v>
      </c>
      <c r="AR4136">
        <v>1</v>
      </c>
      <c r="AS4136">
        <v>11</v>
      </c>
      <c r="AT4136">
        <v>2</v>
      </c>
    </row>
    <row r="4137" spans="1:46">
      <c r="A4137">
        <v>70052</v>
      </c>
      <c r="B4137" t="s">
        <v>22464</v>
      </c>
      <c r="C4137" t="s">
        <v>13791</v>
      </c>
      <c r="E4137" t="s">
        <v>22465</v>
      </c>
      <c r="F4137" t="s">
        <v>3183</v>
      </c>
      <c r="G4137" t="s">
        <v>2941</v>
      </c>
      <c r="H4137" t="s">
        <v>298</v>
      </c>
      <c r="J4137" t="s">
        <v>518</v>
      </c>
      <c r="K4137" t="s">
        <v>519</v>
      </c>
      <c r="M4137" t="s">
        <v>2287</v>
      </c>
      <c r="N4137" t="s">
        <v>571</v>
      </c>
      <c r="O4137" t="s">
        <v>2942</v>
      </c>
      <c r="P4137" t="s">
        <v>654</v>
      </c>
      <c r="Q4137" t="s">
        <v>2943</v>
      </c>
      <c r="R4137" t="s">
        <v>2944</v>
      </c>
      <c r="S4137" t="s">
        <v>2945</v>
      </c>
      <c r="T4137" t="s">
        <v>2448</v>
      </c>
      <c r="U4137">
        <v>321500</v>
      </c>
      <c r="V4137" t="s">
        <v>3183</v>
      </c>
      <c r="W4137" t="s">
        <v>2999</v>
      </c>
      <c r="X4137" t="s">
        <v>13795</v>
      </c>
      <c r="Y4137" t="s">
        <v>5187</v>
      </c>
      <c r="AA4137" t="s">
        <v>5188</v>
      </c>
      <c r="AB4137" t="s">
        <v>13796</v>
      </c>
      <c r="AE4137">
        <v>-43.515674199999999</v>
      </c>
      <c r="AF4137">
        <v>172.59102350000001</v>
      </c>
      <c r="AG4137">
        <v>25</v>
      </c>
      <c r="AH4137">
        <v>20</v>
      </c>
      <c r="AI4137">
        <v>2</v>
      </c>
      <c r="AJ4137">
        <v>12</v>
      </c>
      <c r="AK4137">
        <v>8</v>
      </c>
      <c r="AL4137">
        <v>3</v>
      </c>
      <c r="AM4137">
        <v>4</v>
      </c>
      <c r="AN4137">
        <v>0</v>
      </c>
      <c r="AO4137">
        <v>29</v>
      </c>
      <c r="AP4137">
        <v>24</v>
      </c>
      <c r="AQ4137">
        <v>4</v>
      </c>
      <c r="AR4137">
        <v>0</v>
      </c>
      <c r="AS4137">
        <v>4</v>
      </c>
      <c r="AT4137">
        <v>0</v>
      </c>
    </row>
    <row r="4138" spans="1:46">
      <c r="A4138">
        <v>70054</v>
      </c>
      <c r="B4138" t="s">
        <v>22466</v>
      </c>
      <c r="C4138" t="s">
        <v>13791</v>
      </c>
      <c r="E4138" t="s">
        <v>22467</v>
      </c>
      <c r="G4138" t="s">
        <v>3261</v>
      </c>
      <c r="H4138" t="s">
        <v>298</v>
      </c>
      <c r="J4138" t="s">
        <v>518</v>
      </c>
      <c r="K4138" t="s">
        <v>519</v>
      </c>
      <c r="M4138" t="s">
        <v>2287</v>
      </c>
      <c r="N4138" t="s">
        <v>571</v>
      </c>
      <c r="O4138" t="s">
        <v>3249</v>
      </c>
      <c r="P4138" t="s">
        <v>1262</v>
      </c>
      <c r="Q4138" t="s">
        <v>2943</v>
      </c>
      <c r="R4138" t="s">
        <v>2944</v>
      </c>
      <c r="S4138" t="s">
        <v>3219</v>
      </c>
      <c r="T4138" t="s">
        <v>2448</v>
      </c>
      <c r="U4138">
        <v>340100</v>
      </c>
      <c r="V4138" t="s">
        <v>13536</v>
      </c>
      <c r="W4138" t="s">
        <v>3263</v>
      </c>
      <c r="X4138" t="s">
        <v>13795</v>
      </c>
      <c r="Y4138" t="s">
        <v>5187</v>
      </c>
      <c r="AA4138" t="s">
        <v>5188</v>
      </c>
      <c r="AB4138" t="s">
        <v>13796</v>
      </c>
      <c r="AE4138">
        <v>-44.388074629999998</v>
      </c>
      <c r="AF4138">
        <v>171.20576510000001</v>
      </c>
      <c r="AG4138">
        <v>25</v>
      </c>
      <c r="AH4138">
        <v>15</v>
      </c>
      <c r="AI4138">
        <v>2</v>
      </c>
      <c r="AJ4138">
        <v>2</v>
      </c>
      <c r="AK4138">
        <v>10</v>
      </c>
      <c r="AL4138">
        <v>3</v>
      </c>
      <c r="AM4138">
        <v>1</v>
      </c>
      <c r="AN4138">
        <v>0</v>
      </c>
      <c r="AO4138">
        <v>18</v>
      </c>
      <c r="AP4138">
        <v>15</v>
      </c>
      <c r="AQ4138">
        <v>3</v>
      </c>
      <c r="AR4138">
        <v>2</v>
      </c>
      <c r="AS4138">
        <v>2</v>
      </c>
      <c r="AT4138">
        <v>1</v>
      </c>
    </row>
    <row r="4139" spans="1:46">
      <c r="A4139">
        <v>70057</v>
      </c>
      <c r="B4139" t="s">
        <v>22468</v>
      </c>
      <c r="C4139" t="s">
        <v>22469</v>
      </c>
      <c r="D4139" t="s">
        <v>22470</v>
      </c>
      <c r="E4139" t="s">
        <v>22471</v>
      </c>
      <c r="F4139" t="s">
        <v>3107</v>
      </c>
      <c r="G4139" t="s">
        <v>2941</v>
      </c>
      <c r="H4139" t="s">
        <v>3942</v>
      </c>
      <c r="J4139" t="s">
        <v>518</v>
      </c>
      <c r="K4139" t="s">
        <v>519</v>
      </c>
      <c r="M4139" t="s">
        <v>2287</v>
      </c>
      <c r="N4139" t="s">
        <v>571</v>
      </c>
      <c r="O4139" t="s">
        <v>2942</v>
      </c>
      <c r="P4139" t="s">
        <v>654</v>
      </c>
      <c r="Q4139" t="s">
        <v>2943</v>
      </c>
      <c r="R4139" t="s">
        <v>2944</v>
      </c>
      <c r="S4139" t="s">
        <v>2973</v>
      </c>
      <c r="T4139" t="s">
        <v>2448</v>
      </c>
      <c r="U4139">
        <v>330200</v>
      </c>
      <c r="V4139" t="s">
        <v>3107</v>
      </c>
      <c r="W4139" t="s">
        <v>2974</v>
      </c>
      <c r="X4139" t="s">
        <v>22472</v>
      </c>
      <c r="Y4139" t="s">
        <v>22471</v>
      </c>
      <c r="Z4139" t="s">
        <v>3107</v>
      </c>
      <c r="AA4139" t="s">
        <v>15995</v>
      </c>
      <c r="AB4139" t="s">
        <v>22473</v>
      </c>
      <c r="AE4139">
        <v>-43.51063722</v>
      </c>
      <c r="AF4139">
        <v>172.72503205999999</v>
      </c>
      <c r="AG4139">
        <v>30</v>
      </c>
      <c r="AH4139">
        <v>0</v>
      </c>
      <c r="AI4139">
        <v>0</v>
      </c>
      <c r="AJ4139">
        <v>0</v>
      </c>
      <c r="AK4139">
        <v>0</v>
      </c>
      <c r="AL4139">
        <v>5</v>
      </c>
      <c r="AM4139">
        <v>10</v>
      </c>
      <c r="AN4139">
        <v>5</v>
      </c>
      <c r="AO4139">
        <v>20</v>
      </c>
      <c r="AP4139">
        <v>18</v>
      </c>
      <c r="AQ4139">
        <v>1</v>
      </c>
      <c r="AR4139">
        <v>1</v>
      </c>
      <c r="AS4139">
        <v>6</v>
      </c>
      <c r="AT4139">
        <v>1</v>
      </c>
    </row>
    <row r="4140" spans="1:46">
      <c r="A4140">
        <v>70059</v>
      </c>
      <c r="B4140" t="s">
        <v>22474</v>
      </c>
      <c r="C4140" t="s">
        <v>22475</v>
      </c>
      <c r="D4140" t="s">
        <v>22476</v>
      </c>
      <c r="E4140" t="s">
        <v>22477</v>
      </c>
      <c r="F4140" t="s">
        <v>3278</v>
      </c>
      <c r="G4140" t="s">
        <v>3261</v>
      </c>
      <c r="H4140" t="s">
        <v>3942</v>
      </c>
      <c r="J4140" t="s">
        <v>3962</v>
      </c>
      <c r="K4140" t="s">
        <v>519</v>
      </c>
      <c r="M4140" t="s">
        <v>2287</v>
      </c>
      <c r="N4140" t="s">
        <v>571</v>
      </c>
      <c r="O4140" t="s">
        <v>3249</v>
      </c>
      <c r="P4140" t="s">
        <v>1262</v>
      </c>
      <c r="Q4140" t="s">
        <v>2943</v>
      </c>
      <c r="R4140" t="s">
        <v>2944</v>
      </c>
      <c r="S4140" t="s">
        <v>3219</v>
      </c>
      <c r="T4140" t="s">
        <v>2448</v>
      </c>
      <c r="U4140">
        <v>341300</v>
      </c>
      <c r="V4140" t="s">
        <v>17339</v>
      </c>
      <c r="W4140" t="s">
        <v>3263</v>
      </c>
      <c r="X4140" t="s">
        <v>14124</v>
      </c>
      <c r="Y4140" t="s">
        <v>21695</v>
      </c>
      <c r="AA4140" t="s">
        <v>21696</v>
      </c>
      <c r="AC4140">
        <v>99178</v>
      </c>
      <c r="AD4140" t="s">
        <v>3273</v>
      </c>
      <c r="AE4140">
        <v>-44.406004549999999</v>
      </c>
      <c r="AF4140">
        <v>171.24088700999999</v>
      </c>
      <c r="AG4140">
        <v>33</v>
      </c>
      <c r="AH4140">
        <v>8</v>
      </c>
      <c r="AI4140">
        <v>3</v>
      </c>
      <c r="AJ4140">
        <v>6</v>
      </c>
      <c r="AK4140">
        <v>7</v>
      </c>
      <c r="AL4140">
        <v>4</v>
      </c>
      <c r="AM4140">
        <v>5</v>
      </c>
      <c r="AN4140">
        <v>1</v>
      </c>
      <c r="AO4140">
        <v>26</v>
      </c>
      <c r="AP4140">
        <v>17</v>
      </c>
      <c r="AQ4140">
        <v>9</v>
      </c>
      <c r="AR4140">
        <v>1</v>
      </c>
      <c r="AS4140">
        <v>3</v>
      </c>
      <c r="AT4140">
        <v>0</v>
      </c>
    </row>
    <row r="4141" spans="1:46">
      <c r="A4141">
        <v>70060</v>
      </c>
      <c r="B4141" t="s">
        <v>22478</v>
      </c>
      <c r="C4141" t="s">
        <v>13791</v>
      </c>
      <c r="E4141" t="s">
        <v>22479</v>
      </c>
      <c r="F4141" t="s">
        <v>3194</v>
      </c>
      <c r="G4141" t="s">
        <v>2941</v>
      </c>
      <c r="H4141" t="s">
        <v>298</v>
      </c>
      <c r="J4141" t="s">
        <v>518</v>
      </c>
      <c r="K4141" t="s">
        <v>519</v>
      </c>
      <c r="M4141" t="s">
        <v>2287</v>
      </c>
      <c r="N4141" t="s">
        <v>571</v>
      </c>
      <c r="O4141" t="s">
        <v>2942</v>
      </c>
      <c r="P4141" t="s">
        <v>654</v>
      </c>
      <c r="Q4141" t="s">
        <v>2943</v>
      </c>
      <c r="R4141" t="s">
        <v>2944</v>
      </c>
      <c r="S4141" t="s">
        <v>2979</v>
      </c>
      <c r="T4141" t="s">
        <v>2448</v>
      </c>
      <c r="U4141">
        <v>328001</v>
      </c>
      <c r="V4141" t="s">
        <v>14560</v>
      </c>
      <c r="W4141" t="s">
        <v>3196</v>
      </c>
      <c r="X4141" t="s">
        <v>13795</v>
      </c>
      <c r="Y4141" t="s">
        <v>5187</v>
      </c>
      <c r="AA4141" t="s">
        <v>5188</v>
      </c>
      <c r="AB4141" t="s">
        <v>13796</v>
      </c>
      <c r="AE4141">
        <v>-43.584387100000001</v>
      </c>
      <c r="AF4141">
        <v>172.5697012</v>
      </c>
      <c r="AG4141">
        <v>23</v>
      </c>
      <c r="AH4141">
        <v>20</v>
      </c>
      <c r="AI4141">
        <v>18</v>
      </c>
      <c r="AJ4141">
        <v>7</v>
      </c>
      <c r="AK4141">
        <v>13</v>
      </c>
      <c r="AL4141">
        <v>6</v>
      </c>
      <c r="AM4141">
        <v>3</v>
      </c>
      <c r="AN4141">
        <v>2</v>
      </c>
      <c r="AO4141">
        <v>49</v>
      </c>
      <c r="AP4141">
        <v>42</v>
      </c>
      <c r="AQ4141">
        <v>3</v>
      </c>
      <c r="AR4141">
        <v>5</v>
      </c>
      <c r="AS4141">
        <v>10</v>
      </c>
      <c r="AT4141">
        <v>0</v>
      </c>
    </row>
    <row r="4142" spans="1:46">
      <c r="A4142">
        <v>70063</v>
      </c>
      <c r="B4142" t="s">
        <v>22480</v>
      </c>
      <c r="C4142" t="s">
        <v>22481</v>
      </c>
      <c r="D4142" t="s">
        <v>22482</v>
      </c>
      <c r="E4142" t="s">
        <v>22483</v>
      </c>
      <c r="F4142" t="s">
        <v>3130</v>
      </c>
      <c r="G4142" t="s">
        <v>2941</v>
      </c>
      <c r="H4142" t="s">
        <v>3942</v>
      </c>
      <c r="J4142" t="s">
        <v>3962</v>
      </c>
      <c r="K4142" t="s">
        <v>519</v>
      </c>
      <c r="M4142" t="s">
        <v>2287</v>
      </c>
      <c r="N4142" t="s">
        <v>571</v>
      </c>
      <c r="O4142" t="s">
        <v>2942</v>
      </c>
      <c r="P4142" t="s">
        <v>654</v>
      </c>
      <c r="Q4142" t="s">
        <v>2943</v>
      </c>
      <c r="R4142" t="s">
        <v>2944</v>
      </c>
      <c r="S4142" t="s">
        <v>2973</v>
      </c>
      <c r="T4142" t="s">
        <v>2448</v>
      </c>
      <c r="U4142">
        <v>321600</v>
      </c>
      <c r="V4142" t="s">
        <v>22484</v>
      </c>
      <c r="W4142" t="s">
        <v>2974</v>
      </c>
      <c r="X4142" t="s">
        <v>22485</v>
      </c>
      <c r="Y4142" t="s">
        <v>3981</v>
      </c>
      <c r="AA4142" t="s">
        <v>3982</v>
      </c>
      <c r="AB4142" t="s">
        <v>21992</v>
      </c>
      <c r="AE4142">
        <v>-43.476030899999998</v>
      </c>
      <c r="AF4142">
        <v>172.68552532000001</v>
      </c>
      <c r="AG4142">
        <v>100</v>
      </c>
      <c r="AH4142">
        <v>20</v>
      </c>
      <c r="AI4142">
        <v>4</v>
      </c>
      <c r="AJ4142">
        <v>23</v>
      </c>
      <c r="AK4142">
        <v>33</v>
      </c>
      <c r="AL4142">
        <v>39</v>
      </c>
      <c r="AM4142">
        <v>36</v>
      </c>
      <c r="AN4142">
        <v>2</v>
      </c>
      <c r="AO4142">
        <v>137</v>
      </c>
      <c r="AP4142">
        <v>126</v>
      </c>
      <c r="AQ4142">
        <v>28</v>
      </c>
      <c r="AR4142">
        <v>8</v>
      </c>
      <c r="AS4142">
        <v>4</v>
      </c>
      <c r="AT4142">
        <v>0</v>
      </c>
    </row>
    <row r="4143" spans="1:46">
      <c r="A4143">
        <v>70064</v>
      </c>
      <c r="B4143" t="s">
        <v>22486</v>
      </c>
      <c r="C4143" t="s">
        <v>13791</v>
      </c>
      <c r="D4143" t="s">
        <v>22379</v>
      </c>
      <c r="E4143" t="s">
        <v>22487</v>
      </c>
      <c r="F4143" t="s">
        <v>14273</v>
      </c>
      <c r="G4143" t="s">
        <v>2941</v>
      </c>
      <c r="H4143" t="s">
        <v>298</v>
      </c>
      <c r="J4143" t="s">
        <v>518</v>
      </c>
      <c r="K4143" t="s">
        <v>519</v>
      </c>
      <c r="M4143" t="s">
        <v>2287</v>
      </c>
      <c r="N4143" t="s">
        <v>571</v>
      </c>
      <c r="O4143" t="s">
        <v>2942</v>
      </c>
      <c r="P4143" t="s">
        <v>654</v>
      </c>
      <c r="Q4143" t="s">
        <v>2943</v>
      </c>
      <c r="R4143" t="s">
        <v>2944</v>
      </c>
      <c r="S4143" t="s">
        <v>2945</v>
      </c>
      <c r="T4143" t="s">
        <v>2448</v>
      </c>
      <c r="U4143">
        <v>317000</v>
      </c>
      <c r="V4143" t="s">
        <v>14273</v>
      </c>
      <c r="W4143" t="s">
        <v>2986</v>
      </c>
      <c r="X4143" t="s">
        <v>13795</v>
      </c>
      <c r="Y4143" t="s">
        <v>5187</v>
      </c>
      <c r="AA4143" t="s">
        <v>5188</v>
      </c>
      <c r="AB4143" t="s">
        <v>13796</v>
      </c>
      <c r="AE4143">
        <v>-43.479607110000003</v>
      </c>
      <c r="AF4143">
        <v>172.55966111000001</v>
      </c>
      <c r="AG4143">
        <v>25</v>
      </c>
      <c r="AH4143">
        <v>15</v>
      </c>
      <c r="AI4143">
        <v>2</v>
      </c>
      <c r="AJ4143">
        <v>5</v>
      </c>
      <c r="AK4143">
        <v>7</v>
      </c>
      <c r="AL4143">
        <v>1</v>
      </c>
      <c r="AM4143">
        <v>3</v>
      </c>
      <c r="AN4143">
        <v>0</v>
      </c>
      <c r="AO4143">
        <v>18</v>
      </c>
      <c r="AP4143">
        <v>16</v>
      </c>
      <c r="AQ4143">
        <v>0</v>
      </c>
      <c r="AR4143">
        <v>0</v>
      </c>
      <c r="AS4143">
        <v>2</v>
      </c>
      <c r="AT4143">
        <v>1</v>
      </c>
    </row>
    <row r="4144" spans="1:46">
      <c r="A4144">
        <v>70065</v>
      </c>
      <c r="B4144" t="s">
        <v>22488</v>
      </c>
      <c r="C4144" t="s">
        <v>22489</v>
      </c>
      <c r="E4144" t="s">
        <v>22490</v>
      </c>
      <c r="G4144" t="s">
        <v>3187</v>
      </c>
      <c r="H4144" t="s">
        <v>3942</v>
      </c>
      <c r="J4144" t="s">
        <v>518</v>
      </c>
      <c r="K4144" t="s">
        <v>519</v>
      </c>
      <c r="M4144" t="s">
        <v>2287</v>
      </c>
      <c r="N4144" t="s">
        <v>571</v>
      </c>
      <c r="O4144" t="s">
        <v>2964</v>
      </c>
      <c r="P4144" t="s">
        <v>1262</v>
      </c>
      <c r="Q4144" t="s">
        <v>2943</v>
      </c>
      <c r="R4144" t="s">
        <v>2944</v>
      </c>
      <c r="S4144" t="s">
        <v>2965</v>
      </c>
      <c r="T4144" t="s">
        <v>2448</v>
      </c>
      <c r="U4144">
        <v>316100</v>
      </c>
      <c r="V4144" t="s">
        <v>15058</v>
      </c>
      <c r="W4144" t="s">
        <v>3189</v>
      </c>
      <c r="X4144" t="s">
        <v>10801</v>
      </c>
      <c r="Y4144" t="s">
        <v>3944</v>
      </c>
      <c r="Z4144" t="s">
        <v>3945</v>
      </c>
      <c r="AA4144" t="s">
        <v>3946</v>
      </c>
      <c r="AE4144">
        <v>-43.390764679999997</v>
      </c>
      <c r="AF4144">
        <v>172.65372536000001</v>
      </c>
      <c r="AG4144">
        <v>95</v>
      </c>
      <c r="AH4144">
        <v>25</v>
      </c>
      <c r="AI4144">
        <v>2</v>
      </c>
      <c r="AJ4144">
        <v>12</v>
      </c>
      <c r="AK4144">
        <v>16</v>
      </c>
      <c r="AL4144">
        <v>35</v>
      </c>
      <c r="AM4144">
        <v>28</v>
      </c>
      <c r="AN4144">
        <v>2</v>
      </c>
      <c r="AO4144">
        <v>95</v>
      </c>
      <c r="AP4144">
        <v>63</v>
      </c>
      <c r="AQ4144">
        <v>17</v>
      </c>
      <c r="AR4144">
        <v>7</v>
      </c>
      <c r="AS4144">
        <v>13</v>
      </c>
      <c r="AT4144">
        <v>17</v>
      </c>
    </row>
    <row r="4145" spans="1:46">
      <c r="A4145">
        <v>70069</v>
      </c>
      <c r="B4145" t="s">
        <v>22491</v>
      </c>
      <c r="C4145" t="s">
        <v>22492</v>
      </c>
      <c r="D4145" t="s">
        <v>22493</v>
      </c>
      <c r="E4145" t="s">
        <v>22494</v>
      </c>
      <c r="F4145" t="s">
        <v>3115</v>
      </c>
      <c r="G4145" t="s">
        <v>2941</v>
      </c>
      <c r="H4145" t="s">
        <v>3942</v>
      </c>
      <c r="J4145" t="s">
        <v>3962</v>
      </c>
      <c r="K4145" t="s">
        <v>519</v>
      </c>
      <c r="M4145" t="s">
        <v>2287</v>
      </c>
      <c r="N4145" t="s">
        <v>539</v>
      </c>
      <c r="O4145" t="s">
        <v>2942</v>
      </c>
      <c r="P4145" t="s">
        <v>654</v>
      </c>
      <c r="Q4145" t="s">
        <v>2943</v>
      </c>
      <c r="R4145" t="s">
        <v>2944</v>
      </c>
      <c r="S4145" t="s">
        <v>2957</v>
      </c>
      <c r="T4145" t="s">
        <v>2448</v>
      </c>
      <c r="U4145">
        <v>319400</v>
      </c>
      <c r="V4145" t="s">
        <v>3097</v>
      </c>
      <c r="W4145" t="s">
        <v>3098</v>
      </c>
      <c r="X4145" t="s">
        <v>15559</v>
      </c>
      <c r="Y4145" t="s">
        <v>15560</v>
      </c>
      <c r="Z4145" t="s">
        <v>11947</v>
      </c>
      <c r="AA4145" t="s">
        <v>12325</v>
      </c>
      <c r="AE4145">
        <v>-43.489499330000001</v>
      </c>
      <c r="AF4145">
        <v>172.59766332999999</v>
      </c>
      <c r="AG4145">
        <v>42</v>
      </c>
      <c r="AH4145">
        <v>12</v>
      </c>
      <c r="AI4145">
        <v>2</v>
      </c>
      <c r="AJ4145">
        <v>4</v>
      </c>
      <c r="AK4145">
        <v>14</v>
      </c>
      <c r="AL4145">
        <v>9</v>
      </c>
      <c r="AM4145">
        <v>6</v>
      </c>
      <c r="AN4145">
        <v>0</v>
      </c>
      <c r="AO4145">
        <v>35</v>
      </c>
      <c r="AP4145">
        <v>22</v>
      </c>
      <c r="AQ4145">
        <v>6</v>
      </c>
      <c r="AR4145">
        <v>4</v>
      </c>
      <c r="AS4145">
        <v>10</v>
      </c>
      <c r="AT4145">
        <v>1</v>
      </c>
    </row>
    <row r="4146" spans="1:46">
      <c r="A4146">
        <v>70070</v>
      </c>
      <c r="B4146" t="s">
        <v>22495</v>
      </c>
      <c r="C4146" t="s">
        <v>13791</v>
      </c>
      <c r="E4146" t="s">
        <v>22496</v>
      </c>
      <c r="G4146" t="s">
        <v>22497</v>
      </c>
      <c r="H4146" t="s">
        <v>298</v>
      </c>
      <c r="J4146" t="s">
        <v>518</v>
      </c>
      <c r="K4146" t="s">
        <v>519</v>
      </c>
      <c r="M4146" t="s">
        <v>2287</v>
      </c>
      <c r="N4146" t="s">
        <v>571</v>
      </c>
      <c r="O4146" t="s">
        <v>3218</v>
      </c>
      <c r="P4146" t="s">
        <v>540</v>
      </c>
      <c r="Q4146" t="s">
        <v>2943</v>
      </c>
      <c r="R4146" t="s">
        <v>2944</v>
      </c>
      <c r="S4146" t="s">
        <v>3219</v>
      </c>
      <c r="T4146" t="s">
        <v>2448</v>
      </c>
      <c r="U4146">
        <v>337000</v>
      </c>
      <c r="V4146" t="s">
        <v>22498</v>
      </c>
      <c r="W4146" t="s">
        <v>2455</v>
      </c>
      <c r="X4146" t="s">
        <v>13795</v>
      </c>
      <c r="Y4146" t="s">
        <v>5187</v>
      </c>
      <c r="AA4146" t="s">
        <v>5188</v>
      </c>
      <c r="AB4146" t="s">
        <v>13796</v>
      </c>
      <c r="AE4146">
        <v>-44.001105369999998</v>
      </c>
      <c r="AF4146">
        <v>171.56428331000001</v>
      </c>
      <c r="AG4146">
        <v>25</v>
      </c>
      <c r="AH4146">
        <v>10</v>
      </c>
      <c r="AI4146">
        <v>0</v>
      </c>
      <c r="AJ4146">
        <v>1</v>
      </c>
      <c r="AK4146">
        <v>2</v>
      </c>
      <c r="AL4146">
        <v>1</v>
      </c>
      <c r="AM4146">
        <v>1</v>
      </c>
      <c r="AN4146">
        <v>0</v>
      </c>
      <c r="AO4146">
        <v>5</v>
      </c>
      <c r="AP4146">
        <v>5</v>
      </c>
      <c r="AQ4146">
        <v>0</v>
      </c>
      <c r="AR4146">
        <v>0</v>
      </c>
      <c r="AS4146">
        <v>0</v>
      </c>
      <c r="AT4146">
        <v>0</v>
      </c>
    </row>
    <row r="4147" spans="1:46">
      <c r="A4147">
        <v>70071</v>
      </c>
      <c r="B4147" t="s">
        <v>22499</v>
      </c>
      <c r="C4147" t="s">
        <v>22500</v>
      </c>
      <c r="D4147" t="s">
        <v>22501</v>
      </c>
      <c r="E4147" t="s">
        <v>22502</v>
      </c>
      <c r="F4147" t="s">
        <v>22503</v>
      </c>
      <c r="G4147" t="s">
        <v>2941</v>
      </c>
      <c r="H4147" t="s">
        <v>3942</v>
      </c>
      <c r="J4147" t="s">
        <v>3962</v>
      </c>
      <c r="K4147" t="s">
        <v>519</v>
      </c>
      <c r="M4147" t="s">
        <v>2287</v>
      </c>
      <c r="N4147" t="s">
        <v>571</v>
      </c>
      <c r="O4147" t="s">
        <v>2942</v>
      </c>
      <c r="P4147" t="s">
        <v>654</v>
      </c>
      <c r="Q4147" t="s">
        <v>2943</v>
      </c>
      <c r="R4147" t="s">
        <v>2944</v>
      </c>
      <c r="S4147" t="s">
        <v>3019</v>
      </c>
      <c r="T4147" t="s">
        <v>2448</v>
      </c>
      <c r="U4147">
        <v>325500</v>
      </c>
      <c r="V4147" t="s">
        <v>22504</v>
      </c>
      <c r="W4147" t="s">
        <v>3076</v>
      </c>
      <c r="X4147" t="s">
        <v>12077</v>
      </c>
      <c r="Y4147" t="s">
        <v>4097</v>
      </c>
      <c r="Z4147" t="s">
        <v>4098</v>
      </c>
      <c r="AA4147" t="s">
        <v>4099</v>
      </c>
      <c r="AB4147" t="s">
        <v>10807</v>
      </c>
      <c r="AC4147">
        <v>99176</v>
      </c>
      <c r="AD4147" t="s">
        <v>3077</v>
      </c>
      <c r="AE4147">
        <v>-43.540223019999999</v>
      </c>
      <c r="AF4147">
        <v>172.59967152999999</v>
      </c>
      <c r="AG4147">
        <v>100</v>
      </c>
      <c r="AH4147">
        <v>30</v>
      </c>
      <c r="AI4147">
        <v>2</v>
      </c>
      <c r="AJ4147">
        <v>14</v>
      </c>
      <c r="AK4147">
        <v>9</v>
      </c>
      <c r="AL4147">
        <v>20</v>
      </c>
      <c r="AM4147">
        <v>16</v>
      </c>
      <c r="AN4147">
        <v>0</v>
      </c>
      <c r="AO4147">
        <v>61</v>
      </c>
      <c r="AP4147">
        <v>12</v>
      </c>
      <c r="AQ4147">
        <v>1</v>
      </c>
      <c r="AR4147">
        <v>3</v>
      </c>
      <c r="AS4147">
        <v>47</v>
      </c>
      <c r="AT4147">
        <v>2</v>
      </c>
    </row>
    <row r="4148" spans="1:46">
      <c r="A4148">
        <v>70074</v>
      </c>
      <c r="B4148" t="s">
        <v>22505</v>
      </c>
      <c r="C4148" t="s">
        <v>13791</v>
      </c>
      <c r="E4148" t="s">
        <v>22506</v>
      </c>
      <c r="G4148" t="s">
        <v>22507</v>
      </c>
      <c r="H4148" t="s">
        <v>298</v>
      </c>
      <c r="J4148" t="s">
        <v>518</v>
      </c>
      <c r="K4148" t="s">
        <v>519</v>
      </c>
      <c r="M4148" t="s">
        <v>2287</v>
      </c>
      <c r="N4148" t="s">
        <v>571</v>
      </c>
      <c r="O4148" t="s">
        <v>3208</v>
      </c>
      <c r="P4148" t="s">
        <v>572</v>
      </c>
      <c r="Q4148" t="s">
        <v>2943</v>
      </c>
      <c r="R4148" t="s">
        <v>2944</v>
      </c>
      <c r="S4148" t="s">
        <v>3179</v>
      </c>
      <c r="T4148" t="s">
        <v>2448</v>
      </c>
      <c r="U4148">
        <v>333800</v>
      </c>
      <c r="V4148" t="s">
        <v>22508</v>
      </c>
      <c r="W4148" t="s">
        <v>12606</v>
      </c>
      <c r="X4148" t="s">
        <v>13795</v>
      </c>
      <c r="Y4148" t="s">
        <v>5187</v>
      </c>
      <c r="AA4148" t="s">
        <v>5188</v>
      </c>
      <c r="AB4148" t="s">
        <v>13796</v>
      </c>
      <c r="AC4148">
        <v>99008</v>
      </c>
      <c r="AD4148" t="s">
        <v>17593</v>
      </c>
      <c r="AE4148">
        <v>-43.533696519999999</v>
      </c>
      <c r="AF4148">
        <v>171.95031599999999</v>
      </c>
      <c r="AG4148">
        <v>25</v>
      </c>
      <c r="AH4148">
        <v>10</v>
      </c>
      <c r="AI4148">
        <v>3</v>
      </c>
      <c r="AJ4148">
        <v>0</v>
      </c>
      <c r="AK4148">
        <v>2</v>
      </c>
      <c r="AL4148">
        <v>1</v>
      </c>
      <c r="AM4148">
        <v>0</v>
      </c>
      <c r="AN4148">
        <v>0</v>
      </c>
      <c r="AO4148">
        <v>6</v>
      </c>
      <c r="AP4148">
        <v>6</v>
      </c>
      <c r="AQ4148">
        <v>0</v>
      </c>
      <c r="AR4148">
        <v>0</v>
      </c>
      <c r="AS4148">
        <v>0</v>
      </c>
      <c r="AT4148">
        <v>0</v>
      </c>
    </row>
    <row r="4149" spans="1:46">
      <c r="A4149">
        <v>70077</v>
      </c>
      <c r="B4149" t="s">
        <v>22509</v>
      </c>
      <c r="C4149" t="s">
        <v>13791</v>
      </c>
      <c r="D4149" t="s">
        <v>22379</v>
      </c>
      <c r="E4149" t="s">
        <v>22510</v>
      </c>
      <c r="G4149" t="s">
        <v>3662</v>
      </c>
      <c r="H4149" t="s">
        <v>298</v>
      </c>
      <c r="J4149" t="s">
        <v>518</v>
      </c>
      <c r="K4149" t="s">
        <v>519</v>
      </c>
      <c r="M4149" t="s">
        <v>2287</v>
      </c>
      <c r="N4149" t="s">
        <v>571</v>
      </c>
      <c r="O4149" t="s">
        <v>3208</v>
      </c>
      <c r="P4149" t="s">
        <v>523</v>
      </c>
      <c r="Q4149" t="s">
        <v>2943</v>
      </c>
      <c r="R4149" t="s">
        <v>2944</v>
      </c>
      <c r="S4149" t="s">
        <v>3179</v>
      </c>
      <c r="T4149" t="s">
        <v>2448</v>
      </c>
      <c r="U4149">
        <v>336001</v>
      </c>
      <c r="V4149" t="s">
        <v>3663</v>
      </c>
      <c r="W4149" t="s">
        <v>3664</v>
      </c>
      <c r="X4149" t="s">
        <v>13795</v>
      </c>
      <c r="Y4149" t="s">
        <v>5187</v>
      </c>
      <c r="AA4149" t="s">
        <v>5188</v>
      </c>
      <c r="AB4149" t="s">
        <v>13796</v>
      </c>
      <c r="AC4149">
        <v>99113</v>
      </c>
      <c r="AD4149" t="s">
        <v>3665</v>
      </c>
      <c r="AE4149">
        <v>-43.637350169999998</v>
      </c>
      <c r="AF4149">
        <v>172.48325589999999</v>
      </c>
      <c r="AG4149">
        <v>25</v>
      </c>
      <c r="AH4149">
        <v>20</v>
      </c>
      <c r="AI4149">
        <v>21</v>
      </c>
      <c r="AJ4149">
        <v>8</v>
      </c>
      <c r="AK4149">
        <v>11</v>
      </c>
      <c r="AL4149">
        <v>10</v>
      </c>
      <c r="AM4149">
        <v>2</v>
      </c>
      <c r="AN4149">
        <v>3</v>
      </c>
      <c r="AO4149">
        <v>55</v>
      </c>
      <c r="AP4149">
        <v>49</v>
      </c>
      <c r="AQ4149">
        <v>3</v>
      </c>
      <c r="AR4149">
        <v>1</v>
      </c>
      <c r="AS4149">
        <v>3</v>
      </c>
      <c r="AT4149">
        <v>2</v>
      </c>
    </row>
    <row r="4150" spans="1:46">
      <c r="A4150">
        <v>70078</v>
      </c>
      <c r="B4150" t="s">
        <v>22511</v>
      </c>
      <c r="C4150" t="s">
        <v>13791</v>
      </c>
      <c r="E4150" t="s">
        <v>22512</v>
      </c>
      <c r="G4150" t="s">
        <v>22366</v>
      </c>
      <c r="H4150" t="s">
        <v>298</v>
      </c>
      <c r="J4150" t="s">
        <v>518</v>
      </c>
      <c r="K4150" t="s">
        <v>519</v>
      </c>
      <c r="M4150" t="s">
        <v>2287</v>
      </c>
      <c r="N4150" t="s">
        <v>571</v>
      </c>
      <c r="O4150" t="s">
        <v>3208</v>
      </c>
      <c r="P4150" t="s">
        <v>523</v>
      </c>
      <c r="Q4150" t="s">
        <v>2943</v>
      </c>
      <c r="R4150" t="s">
        <v>2944</v>
      </c>
      <c r="S4150" t="s">
        <v>3179</v>
      </c>
      <c r="T4150" t="s">
        <v>2448</v>
      </c>
      <c r="U4150">
        <v>336200</v>
      </c>
      <c r="V4150" t="s">
        <v>22366</v>
      </c>
      <c r="W4150" t="s">
        <v>3210</v>
      </c>
      <c r="X4150" t="s">
        <v>13795</v>
      </c>
      <c r="Y4150" t="s">
        <v>5187</v>
      </c>
      <c r="AA4150" t="s">
        <v>5188</v>
      </c>
      <c r="AB4150" t="s">
        <v>13796</v>
      </c>
      <c r="AC4150">
        <v>99207</v>
      </c>
      <c r="AD4150" t="s">
        <v>21934</v>
      </c>
      <c r="AE4150">
        <v>-43.758937789999997</v>
      </c>
      <c r="AF4150">
        <v>172.29882117</v>
      </c>
      <c r="AG4150">
        <v>25</v>
      </c>
      <c r="AH4150">
        <v>10</v>
      </c>
      <c r="AI4150">
        <v>3</v>
      </c>
      <c r="AJ4150">
        <v>3</v>
      </c>
      <c r="AK4150">
        <v>3</v>
      </c>
      <c r="AL4150">
        <v>3</v>
      </c>
      <c r="AM4150">
        <v>1</v>
      </c>
      <c r="AN4150">
        <v>0</v>
      </c>
      <c r="AO4150">
        <v>13</v>
      </c>
      <c r="AP4150">
        <v>13</v>
      </c>
      <c r="AQ4150">
        <v>0</v>
      </c>
      <c r="AR4150">
        <v>0</v>
      </c>
      <c r="AS4150">
        <v>0</v>
      </c>
      <c r="AT4150">
        <v>0</v>
      </c>
    </row>
    <row r="4151" spans="1:46">
      <c r="A4151">
        <v>70079</v>
      </c>
      <c r="B4151" t="s">
        <v>22513</v>
      </c>
      <c r="C4151" t="s">
        <v>13791</v>
      </c>
      <c r="E4151" t="s">
        <v>22514</v>
      </c>
      <c r="G4151" t="s">
        <v>22515</v>
      </c>
      <c r="H4151" t="s">
        <v>298</v>
      </c>
      <c r="J4151" t="s">
        <v>518</v>
      </c>
      <c r="K4151" t="s">
        <v>519</v>
      </c>
      <c r="M4151" t="s">
        <v>2287</v>
      </c>
      <c r="N4151" t="s">
        <v>571</v>
      </c>
      <c r="O4151" t="s">
        <v>13482</v>
      </c>
      <c r="P4151" t="s">
        <v>540</v>
      </c>
      <c r="Q4151" t="s">
        <v>2943</v>
      </c>
      <c r="R4151" t="s">
        <v>2944</v>
      </c>
      <c r="S4151" t="s">
        <v>2825</v>
      </c>
      <c r="T4151" t="s">
        <v>2448</v>
      </c>
      <c r="U4151">
        <v>312801</v>
      </c>
      <c r="V4151" t="s">
        <v>22516</v>
      </c>
      <c r="W4151" t="s">
        <v>13483</v>
      </c>
      <c r="X4151" t="s">
        <v>13795</v>
      </c>
      <c r="Y4151" t="s">
        <v>5187</v>
      </c>
      <c r="AA4151" t="s">
        <v>5188</v>
      </c>
      <c r="AB4151" t="s">
        <v>13796</v>
      </c>
      <c r="AE4151">
        <v>-43.191706000000003</v>
      </c>
      <c r="AF4151">
        <v>172.73918860000001</v>
      </c>
      <c r="AG4151">
        <v>25</v>
      </c>
      <c r="AH4151">
        <v>15</v>
      </c>
      <c r="AI4151">
        <v>5</v>
      </c>
      <c r="AJ4151">
        <v>1</v>
      </c>
      <c r="AK4151">
        <v>3</v>
      </c>
      <c r="AL4151">
        <v>3</v>
      </c>
      <c r="AM4151">
        <v>4</v>
      </c>
      <c r="AN4151">
        <v>0</v>
      </c>
      <c r="AO4151">
        <v>16</v>
      </c>
      <c r="AP4151">
        <v>16</v>
      </c>
      <c r="AQ4151">
        <v>1</v>
      </c>
      <c r="AR4151">
        <v>4</v>
      </c>
      <c r="AS4151">
        <v>0</v>
      </c>
      <c r="AT4151">
        <v>2</v>
      </c>
    </row>
    <row r="4152" spans="1:46">
      <c r="A4152">
        <v>70080</v>
      </c>
      <c r="B4152" t="s">
        <v>22517</v>
      </c>
      <c r="C4152" t="s">
        <v>13791</v>
      </c>
      <c r="E4152" t="s">
        <v>22518</v>
      </c>
      <c r="F4152" t="s">
        <v>3057</v>
      </c>
      <c r="G4152" t="s">
        <v>2941</v>
      </c>
      <c r="H4152" t="s">
        <v>298</v>
      </c>
      <c r="J4152" t="s">
        <v>518</v>
      </c>
      <c r="K4152" t="s">
        <v>519</v>
      </c>
      <c r="M4152" t="s">
        <v>2287</v>
      </c>
      <c r="N4152" t="s">
        <v>557</v>
      </c>
      <c r="O4152" t="s">
        <v>2942</v>
      </c>
      <c r="P4152" t="s">
        <v>654</v>
      </c>
      <c r="Q4152" t="s">
        <v>2943</v>
      </c>
      <c r="R4152" t="s">
        <v>2944</v>
      </c>
      <c r="S4152" t="s">
        <v>2973</v>
      </c>
      <c r="T4152" t="s">
        <v>2448</v>
      </c>
      <c r="U4152">
        <v>328500</v>
      </c>
      <c r="V4152" t="s">
        <v>3058</v>
      </c>
      <c r="W4152" t="s">
        <v>2993</v>
      </c>
      <c r="X4152" t="s">
        <v>13795</v>
      </c>
      <c r="Y4152" t="s">
        <v>5187</v>
      </c>
      <c r="AA4152" t="s">
        <v>5188</v>
      </c>
      <c r="AB4152" t="s">
        <v>13796</v>
      </c>
      <c r="AE4152">
        <v>-43.528437099999998</v>
      </c>
      <c r="AF4152">
        <v>172.672494</v>
      </c>
      <c r="AG4152">
        <v>25</v>
      </c>
      <c r="AH4152">
        <v>15</v>
      </c>
      <c r="AI4152">
        <v>6</v>
      </c>
      <c r="AJ4152">
        <v>6</v>
      </c>
      <c r="AK4152">
        <v>8</v>
      </c>
      <c r="AL4152">
        <v>3</v>
      </c>
      <c r="AM4152">
        <v>4</v>
      </c>
      <c r="AN4152">
        <v>0</v>
      </c>
      <c r="AO4152">
        <v>27</v>
      </c>
      <c r="AP4152">
        <v>24</v>
      </c>
      <c r="AQ4152">
        <v>4</v>
      </c>
      <c r="AR4152">
        <v>4</v>
      </c>
      <c r="AS4152">
        <v>3</v>
      </c>
      <c r="AT4152">
        <v>0</v>
      </c>
    </row>
    <row r="4153" spans="1:46">
      <c r="A4153">
        <v>70081</v>
      </c>
      <c r="B4153" t="s">
        <v>22519</v>
      </c>
      <c r="C4153" t="s">
        <v>22520</v>
      </c>
      <c r="D4153" t="s">
        <v>15851</v>
      </c>
      <c r="E4153" t="s">
        <v>22521</v>
      </c>
      <c r="G4153" t="s">
        <v>13481</v>
      </c>
      <c r="H4153" t="s">
        <v>3942</v>
      </c>
      <c r="J4153" t="s">
        <v>3962</v>
      </c>
      <c r="K4153" t="s">
        <v>519</v>
      </c>
      <c r="M4153" t="s">
        <v>2287</v>
      </c>
      <c r="N4153" t="s">
        <v>571</v>
      </c>
      <c r="O4153" t="s">
        <v>13482</v>
      </c>
      <c r="P4153" t="s">
        <v>523</v>
      </c>
      <c r="Q4153" t="s">
        <v>2943</v>
      </c>
      <c r="R4153" t="s">
        <v>2944</v>
      </c>
      <c r="S4153" t="s">
        <v>2825</v>
      </c>
      <c r="T4153" t="s">
        <v>2448</v>
      </c>
      <c r="U4153">
        <v>312901</v>
      </c>
      <c r="V4153" t="s">
        <v>13481</v>
      </c>
      <c r="W4153" t="s">
        <v>13483</v>
      </c>
      <c r="X4153" t="s">
        <v>15853</v>
      </c>
      <c r="Y4153" t="s">
        <v>15854</v>
      </c>
      <c r="Z4153" t="s">
        <v>13481</v>
      </c>
      <c r="AA4153" t="s">
        <v>15855</v>
      </c>
      <c r="AB4153" t="s">
        <v>15856</v>
      </c>
      <c r="AC4153">
        <v>99077</v>
      </c>
      <c r="AD4153" t="s">
        <v>2968</v>
      </c>
      <c r="AE4153">
        <v>-43.15742985</v>
      </c>
      <c r="AF4153">
        <v>172.73056270000001</v>
      </c>
      <c r="AG4153">
        <v>40</v>
      </c>
      <c r="AH4153">
        <v>10</v>
      </c>
      <c r="AI4153">
        <v>0</v>
      </c>
      <c r="AJ4153">
        <v>0</v>
      </c>
      <c r="AK4153">
        <v>3</v>
      </c>
      <c r="AL4153">
        <v>10</v>
      </c>
      <c r="AM4153">
        <v>20</v>
      </c>
      <c r="AN4153">
        <v>1</v>
      </c>
      <c r="AO4153">
        <v>34</v>
      </c>
      <c r="AP4153">
        <v>29</v>
      </c>
      <c r="AQ4153">
        <v>6</v>
      </c>
      <c r="AR4153">
        <v>2</v>
      </c>
      <c r="AS4153">
        <v>2</v>
      </c>
      <c r="AT4153">
        <v>1</v>
      </c>
    </row>
    <row r="4154" spans="1:46">
      <c r="A4154">
        <v>70082</v>
      </c>
      <c r="B4154" t="s">
        <v>22522</v>
      </c>
      <c r="C4154" t="s">
        <v>13791</v>
      </c>
      <c r="E4154" t="s">
        <v>22523</v>
      </c>
      <c r="G4154" t="s">
        <v>22524</v>
      </c>
      <c r="H4154" t="s">
        <v>298</v>
      </c>
      <c r="J4154" t="s">
        <v>518</v>
      </c>
      <c r="K4154" t="s">
        <v>519</v>
      </c>
      <c r="M4154" t="s">
        <v>2287</v>
      </c>
      <c r="N4154" t="s">
        <v>571</v>
      </c>
      <c r="O4154" t="s">
        <v>2942</v>
      </c>
      <c r="P4154" t="s">
        <v>540</v>
      </c>
      <c r="Q4154" t="s">
        <v>2943</v>
      </c>
      <c r="R4154" t="s">
        <v>2944</v>
      </c>
      <c r="S4154" t="s">
        <v>2979</v>
      </c>
      <c r="T4154" t="s">
        <v>2448</v>
      </c>
      <c r="U4154">
        <v>333100</v>
      </c>
      <c r="V4154" t="s">
        <v>22525</v>
      </c>
      <c r="W4154" t="s">
        <v>3063</v>
      </c>
      <c r="X4154" t="s">
        <v>13795</v>
      </c>
      <c r="Y4154" t="s">
        <v>5187</v>
      </c>
      <c r="AA4154" t="s">
        <v>5188</v>
      </c>
      <c r="AB4154" t="s">
        <v>13796</v>
      </c>
      <c r="AE4154">
        <v>-43.763754300000002</v>
      </c>
      <c r="AF4154">
        <v>172.7952803</v>
      </c>
      <c r="AG4154">
        <v>25</v>
      </c>
      <c r="AH4154">
        <v>10</v>
      </c>
      <c r="AI4154">
        <v>0</v>
      </c>
      <c r="AJ4154">
        <v>3</v>
      </c>
      <c r="AK4154">
        <v>1</v>
      </c>
      <c r="AL4154">
        <v>1</v>
      </c>
      <c r="AM4154">
        <v>3</v>
      </c>
      <c r="AN4154">
        <v>1</v>
      </c>
      <c r="AO4154">
        <v>9</v>
      </c>
      <c r="AP4154">
        <v>8</v>
      </c>
      <c r="AQ4154">
        <v>1</v>
      </c>
      <c r="AR4154">
        <v>0</v>
      </c>
      <c r="AS4154">
        <v>1</v>
      </c>
      <c r="AT4154">
        <v>2</v>
      </c>
    </row>
    <row r="4155" spans="1:46">
      <c r="A4155">
        <v>70084</v>
      </c>
      <c r="B4155" t="s">
        <v>22526</v>
      </c>
      <c r="C4155" t="s">
        <v>13791</v>
      </c>
      <c r="E4155" t="s">
        <v>22527</v>
      </c>
      <c r="F4155" t="s">
        <v>3156</v>
      </c>
      <c r="G4155" t="s">
        <v>2941</v>
      </c>
      <c r="H4155" t="s">
        <v>298</v>
      </c>
      <c r="J4155" t="s">
        <v>518</v>
      </c>
      <c r="K4155" t="s">
        <v>519</v>
      </c>
      <c r="M4155" t="s">
        <v>2287</v>
      </c>
      <c r="N4155" t="s">
        <v>571</v>
      </c>
      <c r="O4155" t="s">
        <v>2942</v>
      </c>
      <c r="P4155" t="s">
        <v>654</v>
      </c>
      <c r="Q4155" t="s">
        <v>2943</v>
      </c>
      <c r="R4155" t="s">
        <v>2944</v>
      </c>
      <c r="S4155" t="s">
        <v>2979</v>
      </c>
      <c r="T4155" t="s">
        <v>2448</v>
      </c>
      <c r="U4155">
        <v>329200</v>
      </c>
      <c r="V4155" t="s">
        <v>22528</v>
      </c>
      <c r="W4155" t="s">
        <v>2958</v>
      </c>
      <c r="X4155" t="s">
        <v>13795</v>
      </c>
      <c r="Y4155" t="s">
        <v>5187</v>
      </c>
      <c r="AA4155" t="s">
        <v>5188</v>
      </c>
      <c r="AB4155" t="s">
        <v>13796</v>
      </c>
      <c r="AE4155">
        <v>-43.565486100000001</v>
      </c>
      <c r="AF4155">
        <v>172.61453090000001</v>
      </c>
      <c r="AG4155">
        <v>28</v>
      </c>
      <c r="AH4155">
        <v>20</v>
      </c>
      <c r="AI4155">
        <v>19</v>
      </c>
      <c r="AJ4155">
        <v>7</v>
      </c>
      <c r="AK4155">
        <v>11</v>
      </c>
      <c r="AL4155">
        <v>8</v>
      </c>
      <c r="AM4155">
        <v>8</v>
      </c>
      <c r="AN4155">
        <v>1</v>
      </c>
      <c r="AO4155">
        <v>54</v>
      </c>
      <c r="AP4155">
        <v>46</v>
      </c>
      <c r="AQ4155">
        <v>4</v>
      </c>
      <c r="AR4155">
        <v>0</v>
      </c>
      <c r="AS4155">
        <v>13</v>
      </c>
      <c r="AT4155">
        <v>5</v>
      </c>
    </row>
    <row r="4156" spans="1:46">
      <c r="A4156">
        <v>70086</v>
      </c>
      <c r="B4156" t="s">
        <v>22529</v>
      </c>
      <c r="C4156" t="s">
        <v>13791</v>
      </c>
      <c r="E4156" t="s">
        <v>22530</v>
      </c>
      <c r="G4156" t="s">
        <v>22531</v>
      </c>
      <c r="H4156" t="s">
        <v>298</v>
      </c>
      <c r="J4156" t="s">
        <v>518</v>
      </c>
      <c r="K4156" t="s">
        <v>519</v>
      </c>
      <c r="M4156" t="s">
        <v>2287</v>
      </c>
      <c r="N4156" t="s">
        <v>571</v>
      </c>
      <c r="O4156" t="s">
        <v>3218</v>
      </c>
      <c r="P4156" t="s">
        <v>572</v>
      </c>
      <c r="Q4156" t="s">
        <v>2943</v>
      </c>
      <c r="R4156" t="s">
        <v>2944</v>
      </c>
      <c r="S4156" t="s">
        <v>3219</v>
      </c>
      <c r="T4156" t="s">
        <v>2448</v>
      </c>
      <c r="U4156">
        <v>336800</v>
      </c>
      <c r="V4156" t="s">
        <v>22532</v>
      </c>
      <c r="W4156" t="s">
        <v>2461</v>
      </c>
      <c r="X4156" t="s">
        <v>13795</v>
      </c>
      <c r="Y4156" t="s">
        <v>5187</v>
      </c>
      <c r="AA4156" t="s">
        <v>5188</v>
      </c>
      <c r="AB4156" t="s">
        <v>13796</v>
      </c>
      <c r="AE4156">
        <v>-43.8193184</v>
      </c>
      <c r="AF4156">
        <v>171.4245311</v>
      </c>
      <c r="AG4156">
        <v>26</v>
      </c>
      <c r="AH4156">
        <v>15</v>
      </c>
      <c r="AI4156">
        <v>2</v>
      </c>
      <c r="AJ4156">
        <v>5</v>
      </c>
      <c r="AK4156">
        <v>3</v>
      </c>
      <c r="AL4156">
        <v>4</v>
      </c>
      <c r="AM4156">
        <v>4</v>
      </c>
      <c r="AN4156">
        <v>1</v>
      </c>
      <c r="AO4156">
        <v>19</v>
      </c>
      <c r="AP4156">
        <v>17</v>
      </c>
      <c r="AQ4156">
        <v>0</v>
      </c>
      <c r="AR4156">
        <v>0</v>
      </c>
      <c r="AS4156">
        <v>2</v>
      </c>
      <c r="AT4156">
        <v>1</v>
      </c>
    </row>
    <row r="4157" spans="1:46">
      <c r="A4157">
        <v>70088</v>
      </c>
      <c r="B4157" t="s">
        <v>22533</v>
      </c>
      <c r="C4157" t="s">
        <v>13791</v>
      </c>
      <c r="E4157" t="s">
        <v>22534</v>
      </c>
      <c r="G4157" t="s">
        <v>12131</v>
      </c>
      <c r="H4157" t="s">
        <v>298</v>
      </c>
      <c r="J4157" t="s">
        <v>518</v>
      </c>
      <c r="K4157" t="s">
        <v>519</v>
      </c>
      <c r="M4157" t="s">
        <v>2287</v>
      </c>
      <c r="N4157" t="s">
        <v>571</v>
      </c>
      <c r="O4157" t="s">
        <v>3218</v>
      </c>
      <c r="P4157" t="s">
        <v>523</v>
      </c>
      <c r="Q4157" t="s">
        <v>2943</v>
      </c>
      <c r="R4157" t="s">
        <v>2944</v>
      </c>
      <c r="S4157" t="s">
        <v>3219</v>
      </c>
      <c r="T4157" t="s">
        <v>2448</v>
      </c>
      <c r="U4157">
        <v>336901</v>
      </c>
      <c r="V4157" t="s">
        <v>12131</v>
      </c>
      <c r="W4157" t="s">
        <v>2461</v>
      </c>
      <c r="X4157" t="s">
        <v>13795</v>
      </c>
      <c r="Y4157" t="s">
        <v>5187</v>
      </c>
      <c r="AA4157" t="s">
        <v>5188</v>
      </c>
      <c r="AB4157" t="s">
        <v>13796</v>
      </c>
      <c r="AC4157">
        <v>99009</v>
      </c>
      <c r="AD4157" t="s">
        <v>10890</v>
      </c>
      <c r="AE4157">
        <v>-43.6358076</v>
      </c>
      <c r="AF4157">
        <v>171.64668380000001</v>
      </c>
      <c r="AG4157">
        <v>20</v>
      </c>
      <c r="AH4157">
        <v>10</v>
      </c>
      <c r="AI4157">
        <v>2</v>
      </c>
      <c r="AJ4157">
        <v>5</v>
      </c>
      <c r="AK4157">
        <v>3</v>
      </c>
      <c r="AL4157">
        <v>2</v>
      </c>
      <c r="AM4157">
        <v>2</v>
      </c>
      <c r="AN4157">
        <v>1</v>
      </c>
      <c r="AO4157">
        <v>15</v>
      </c>
      <c r="AP4157">
        <v>12</v>
      </c>
      <c r="AQ4157">
        <v>2</v>
      </c>
      <c r="AR4157">
        <v>0</v>
      </c>
      <c r="AS4157">
        <v>1</v>
      </c>
      <c r="AT4157">
        <v>1</v>
      </c>
    </row>
    <row r="4158" spans="1:46">
      <c r="A4158">
        <v>70089</v>
      </c>
      <c r="B4158" t="s">
        <v>22535</v>
      </c>
      <c r="C4158" t="s">
        <v>22536</v>
      </c>
      <c r="D4158" t="s">
        <v>22537</v>
      </c>
      <c r="E4158" t="s">
        <v>22538</v>
      </c>
      <c r="F4158" t="s">
        <v>3107</v>
      </c>
      <c r="G4158" t="s">
        <v>2941</v>
      </c>
      <c r="H4158" t="s">
        <v>3942</v>
      </c>
      <c r="J4158" t="s">
        <v>3962</v>
      </c>
      <c r="K4158" t="s">
        <v>519</v>
      </c>
      <c r="M4158" t="s">
        <v>2287</v>
      </c>
      <c r="N4158" t="s">
        <v>4519</v>
      </c>
      <c r="O4158" t="s">
        <v>2942</v>
      </c>
      <c r="P4158" t="s">
        <v>654</v>
      </c>
      <c r="Q4158" t="s">
        <v>2943</v>
      </c>
      <c r="R4158" t="s">
        <v>2944</v>
      </c>
      <c r="S4158" t="s">
        <v>2973</v>
      </c>
      <c r="T4158" t="s">
        <v>2448</v>
      </c>
      <c r="U4158">
        <v>328300</v>
      </c>
      <c r="V4158" t="s">
        <v>3103</v>
      </c>
      <c r="W4158" t="s">
        <v>2974</v>
      </c>
      <c r="X4158" t="s">
        <v>11071</v>
      </c>
      <c r="Y4158" t="s">
        <v>11072</v>
      </c>
      <c r="AA4158" t="s">
        <v>11073</v>
      </c>
      <c r="AE4158">
        <v>-43.505957359999996</v>
      </c>
      <c r="AF4158">
        <v>172.71923892999999</v>
      </c>
      <c r="AG4158">
        <v>50</v>
      </c>
      <c r="AH4158">
        <v>15</v>
      </c>
      <c r="AI4158">
        <v>1</v>
      </c>
      <c r="AJ4158">
        <v>11</v>
      </c>
      <c r="AK4158">
        <v>15</v>
      </c>
      <c r="AL4158">
        <v>16</v>
      </c>
      <c r="AM4158">
        <v>20</v>
      </c>
      <c r="AN4158">
        <v>1</v>
      </c>
      <c r="AO4158">
        <v>64</v>
      </c>
      <c r="AP4158">
        <v>55</v>
      </c>
      <c r="AQ4158">
        <v>15</v>
      </c>
      <c r="AR4158">
        <v>8</v>
      </c>
      <c r="AS4158">
        <v>3</v>
      </c>
      <c r="AT4158">
        <v>3</v>
      </c>
    </row>
    <row r="4159" spans="1:46">
      <c r="A4159">
        <v>70090</v>
      </c>
      <c r="B4159" t="s">
        <v>22539</v>
      </c>
      <c r="C4159" t="s">
        <v>13791</v>
      </c>
      <c r="E4159" t="s">
        <v>22540</v>
      </c>
      <c r="F4159" t="s">
        <v>3102</v>
      </c>
      <c r="G4159" t="s">
        <v>2941</v>
      </c>
      <c r="H4159" t="s">
        <v>298</v>
      </c>
      <c r="J4159" t="s">
        <v>518</v>
      </c>
      <c r="K4159" t="s">
        <v>519</v>
      </c>
      <c r="M4159" t="s">
        <v>2287</v>
      </c>
      <c r="N4159" t="s">
        <v>571</v>
      </c>
      <c r="O4159" t="s">
        <v>2942</v>
      </c>
      <c r="P4159" t="s">
        <v>654</v>
      </c>
      <c r="Q4159" t="s">
        <v>2943</v>
      </c>
      <c r="R4159" t="s">
        <v>2944</v>
      </c>
      <c r="S4159" t="s">
        <v>2973</v>
      </c>
      <c r="T4159" t="s">
        <v>2448</v>
      </c>
      <c r="U4159">
        <v>327200</v>
      </c>
      <c r="V4159" t="s">
        <v>22541</v>
      </c>
      <c r="W4159" t="s">
        <v>2974</v>
      </c>
      <c r="X4159" t="s">
        <v>13795</v>
      </c>
      <c r="Y4159" t="s">
        <v>5187</v>
      </c>
      <c r="AA4159" t="s">
        <v>5188</v>
      </c>
      <c r="AB4159" t="s">
        <v>13796</v>
      </c>
      <c r="AE4159">
        <v>-43.495460430000001</v>
      </c>
      <c r="AF4159">
        <v>172.71876338999999</v>
      </c>
      <c r="AG4159">
        <v>24</v>
      </c>
      <c r="AH4159">
        <v>10</v>
      </c>
    </row>
    <row r="4160" spans="1:46">
      <c r="A4160">
        <v>70093</v>
      </c>
      <c r="B4160" t="s">
        <v>22542</v>
      </c>
      <c r="C4160" t="s">
        <v>22543</v>
      </c>
      <c r="D4160" t="s">
        <v>22544</v>
      </c>
      <c r="E4160" t="s">
        <v>22545</v>
      </c>
      <c r="F4160" t="s">
        <v>3115</v>
      </c>
      <c r="G4160" t="s">
        <v>2941</v>
      </c>
      <c r="H4160" t="s">
        <v>3942</v>
      </c>
      <c r="J4160" t="s">
        <v>518</v>
      </c>
      <c r="K4160" t="s">
        <v>519</v>
      </c>
      <c r="M4160" t="s">
        <v>2287</v>
      </c>
      <c r="N4160" t="s">
        <v>571</v>
      </c>
      <c r="O4160" t="s">
        <v>2942</v>
      </c>
      <c r="P4160" t="s">
        <v>654</v>
      </c>
      <c r="Q4160" t="s">
        <v>2943</v>
      </c>
      <c r="R4160" t="s">
        <v>2944</v>
      </c>
      <c r="S4160" t="s">
        <v>2945</v>
      </c>
      <c r="T4160" t="s">
        <v>2448</v>
      </c>
      <c r="U4160">
        <v>317501</v>
      </c>
      <c r="V4160" t="s">
        <v>22546</v>
      </c>
      <c r="W4160" t="s">
        <v>2947</v>
      </c>
      <c r="X4160" t="s">
        <v>10801</v>
      </c>
      <c r="Y4160" t="s">
        <v>3944</v>
      </c>
      <c r="Z4160" t="s">
        <v>3945</v>
      </c>
      <c r="AA4160" t="s">
        <v>3946</v>
      </c>
      <c r="AC4160">
        <v>99027</v>
      </c>
      <c r="AD4160" t="s">
        <v>3000</v>
      </c>
      <c r="AE4160">
        <v>-43.492145710000003</v>
      </c>
      <c r="AF4160">
        <v>172.57294400999999</v>
      </c>
      <c r="AG4160">
        <v>64</v>
      </c>
      <c r="AH4160">
        <v>16</v>
      </c>
      <c r="AI4160">
        <v>4</v>
      </c>
      <c r="AJ4160">
        <v>10</v>
      </c>
      <c r="AK4160">
        <v>20</v>
      </c>
      <c r="AL4160">
        <v>16</v>
      </c>
      <c r="AM4160">
        <v>18</v>
      </c>
      <c r="AN4160">
        <v>0</v>
      </c>
      <c r="AO4160">
        <v>68</v>
      </c>
      <c r="AP4160">
        <v>36</v>
      </c>
      <c r="AQ4160">
        <v>12</v>
      </c>
      <c r="AR4160">
        <v>0</v>
      </c>
      <c r="AS4160">
        <v>28</v>
      </c>
      <c r="AT4160">
        <v>9</v>
      </c>
    </row>
    <row r="4161" spans="1:46">
      <c r="A4161">
        <v>70094</v>
      </c>
      <c r="B4161" t="s">
        <v>22547</v>
      </c>
      <c r="C4161" t="s">
        <v>13791</v>
      </c>
      <c r="E4161" t="s">
        <v>5444</v>
      </c>
      <c r="G4161" t="s">
        <v>11201</v>
      </c>
      <c r="H4161" t="s">
        <v>298</v>
      </c>
      <c r="J4161" t="s">
        <v>518</v>
      </c>
      <c r="K4161" t="s">
        <v>519</v>
      </c>
      <c r="M4161" t="s">
        <v>2287</v>
      </c>
      <c r="N4161" t="s">
        <v>571</v>
      </c>
      <c r="O4161" t="s">
        <v>2964</v>
      </c>
      <c r="P4161" t="s">
        <v>523</v>
      </c>
      <c r="Q4161" t="s">
        <v>2943</v>
      </c>
      <c r="R4161" t="s">
        <v>2944</v>
      </c>
      <c r="S4161" t="s">
        <v>2965</v>
      </c>
      <c r="T4161" t="s">
        <v>2448</v>
      </c>
      <c r="U4161">
        <v>313200</v>
      </c>
      <c r="V4161" t="s">
        <v>11201</v>
      </c>
      <c r="W4161" t="s">
        <v>11202</v>
      </c>
      <c r="X4161" t="s">
        <v>13795</v>
      </c>
      <c r="Y4161" t="s">
        <v>5187</v>
      </c>
      <c r="AA4161" t="s">
        <v>5188</v>
      </c>
      <c r="AB4161" t="s">
        <v>13796</v>
      </c>
      <c r="AE4161">
        <v>-43.298683599999997</v>
      </c>
      <c r="AF4161">
        <v>172.184718</v>
      </c>
      <c r="AG4161">
        <v>25</v>
      </c>
      <c r="AH4161">
        <v>15</v>
      </c>
      <c r="AI4161">
        <v>2</v>
      </c>
      <c r="AJ4161">
        <v>5</v>
      </c>
      <c r="AK4161">
        <v>5</v>
      </c>
      <c r="AL4161">
        <v>2</v>
      </c>
      <c r="AM4161">
        <v>2</v>
      </c>
      <c r="AN4161">
        <v>0</v>
      </c>
      <c r="AO4161">
        <v>16</v>
      </c>
      <c r="AP4161">
        <v>16</v>
      </c>
      <c r="AQ4161">
        <v>2</v>
      </c>
      <c r="AR4161">
        <v>0</v>
      </c>
      <c r="AS4161">
        <v>0</v>
      </c>
      <c r="AT4161">
        <v>0</v>
      </c>
    </row>
    <row r="4162" spans="1:46">
      <c r="A4162">
        <v>70095</v>
      </c>
      <c r="B4162" t="s">
        <v>22548</v>
      </c>
      <c r="C4162" t="s">
        <v>22549</v>
      </c>
      <c r="D4162" t="s">
        <v>22550</v>
      </c>
      <c r="E4162" t="s">
        <v>22551</v>
      </c>
      <c r="F4162" t="s">
        <v>12263</v>
      </c>
      <c r="G4162" t="s">
        <v>2941</v>
      </c>
      <c r="H4162" t="s">
        <v>3942</v>
      </c>
      <c r="J4162" t="s">
        <v>3962</v>
      </c>
      <c r="K4162" t="s">
        <v>519</v>
      </c>
      <c r="M4162" t="s">
        <v>2287</v>
      </c>
      <c r="N4162" t="s">
        <v>571</v>
      </c>
      <c r="O4162" t="s">
        <v>2942</v>
      </c>
      <c r="P4162" t="s">
        <v>654</v>
      </c>
      <c r="Q4162" t="s">
        <v>2943</v>
      </c>
      <c r="R4162" t="s">
        <v>2944</v>
      </c>
      <c r="S4162" t="s">
        <v>3019</v>
      </c>
      <c r="T4162" t="s">
        <v>2448</v>
      </c>
      <c r="U4162">
        <v>328200</v>
      </c>
      <c r="V4162" t="s">
        <v>22552</v>
      </c>
      <c r="W4162" t="s">
        <v>3088</v>
      </c>
      <c r="X4162" t="s">
        <v>22553</v>
      </c>
      <c r="Y4162" t="s">
        <v>22554</v>
      </c>
      <c r="Z4162" t="s">
        <v>12263</v>
      </c>
      <c r="AA4162" t="s">
        <v>10950</v>
      </c>
      <c r="AB4162" t="s">
        <v>22555</v>
      </c>
      <c r="AC4162">
        <v>99177</v>
      </c>
      <c r="AD4162" t="s">
        <v>2959</v>
      </c>
      <c r="AE4162">
        <v>-43.559600439999997</v>
      </c>
      <c r="AF4162">
        <v>172.61385153000001</v>
      </c>
      <c r="AG4162">
        <v>30</v>
      </c>
      <c r="AH4162">
        <v>0</v>
      </c>
      <c r="AI4162">
        <v>0</v>
      </c>
      <c r="AJ4162">
        <v>0</v>
      </c>
      <c r="AK4162">
        <v>12</v>
      </c>
      <c r="AL4162">
        <v>16</v>
      </c>
      <c r="AM4162">
        <v>13</v>
      </c>
      <c r="AN4162">
        <v>2</v>
      </c>
      <c r="AO4162">
        <v>43</v>
      </c>
      <c r="AP4162">
        <v>36</v>
      </c>
      <c r="AQ4162">
        <v>6</v>
      </c>
      <c r="AR4162">
        <v>2</v>
      </c>
      <c r="AS4162">
        <v>7</v>
      </c>
      <c r="AT4162">
        <v>2</v>
      </c>
    </row>
    <row r="4163" spans="1:46">
      <c r="A4163">
        <v>70097</v>
      </c>
      <c r="B4163" t="s">
        <v>5502</v>
      </c>
      <c r="C4163" t="s">
        <v>13791</v>
      </c>
      <c r="E4163" t="s">
        <v>22556</v>
      </c>
      <c r="F4163" t="s">
        <v>2972</v>
      </c>
      <c r="G4163" t="s">
        <v>2941</v>
      </c>
      <c r="H4163" t="s">
        <v>298</v>
      </c>
      <c r="J4163" t="s">
        <v>518</v>
      </c>
      <c r="K4163" t="s">
        <v>519</v>
      </c>
      <c r="M4163" t="s">
        <v>2287</v>
      </c>
      <c r="N4163" t="s">
        <v>571</v>
      </c>
      <c r="O4163" t="s">
        <v>2942</v>
      </c>
      <c r="P4163" t="s">
        <v>654</v>
      </c>
      <c r="Q4163" t="s">
        <v>2943</v>
      </c>
      <c r="R4163" t="s">
        <v>2944</v>
      </c>
      <c r="S4163" t="s">
        <v>2973</v>
      </c>
      <c r="T4163" t="s">
        <v>2448</v>
      </c>
      <c r="U4163">
        <v>325100</v>
      </c>
      <c r="V4163" t="s">
        <v>2972</v>
      </c>
      <c r="W4163" t="s">
        <v>2974</v>
      </c>
      <c r="X4163" t="s">
        <v>13795</v>
      </c>
      <c r="Y4163" t="s">
        <v>5187</v>
      </c>
      <c r="AA4163" t="s">
        <v>5188</v>
      </c>
      <c r="AB4163" t="s">
        <v>13796</v>
      </c>
      <c r="AE4163">
        <v>-43.479862400000002</v>
      </c>
      <c r="AF4163">
        <v>172.7016126</v>
      </c>
      <c r="AG4163">
        <v>25</v>
      </c>
      <c r="AH4163">
        <v>20</v>
      </c>
      <c r="AI4163">
        <v>20</v>
      </c>
      <c r="AJ4163">
        <v>8</v>
      </c>
      <c r="AK4163">
        <v>5</v>
      </c>
      <c r="AL4163">
        <v>0</v>
      </c>
      <c r="AM4163">
        <v>2</v>
      </c>
      <c r="AN4163">
        <v>0</v>
      </c>
      <c r="AO4163">
        <v>35</v>
      </c>
      <c r="AP4163">
        <v>35</v>
      </c>
      <c r="AQ4163">
        <v>6</v>
      </c>
      <c r="AR4163">
        <v>0</v>
      </c>
      <c r="AS4163">
        <v>0</v>
      </c>
      <c r="AT4163">
        <v>0</v>
      </c>
    </row>
    <row r="4164" spans="1:46">
      <c r="A4164">
        <v>70099</v>
      </c>
      <c r="B4164" t="s">
        <v>22557</v>
      </c>
      <c r="C4164" t="s">
        <v>22558</v>
      </c>
      <c r="D4164" t="s">
        <v>22559</v>
      </c>
      <c r="E4164" t="s">
        <v>22560</v>
      </c>
      <c r="F4164" t="s">
        <v>3068</v>
      </c>
      <c r="G4164" t="s">
        <v>2941</v>
      </c>
      <c r="H4164" t="s">
        <v>3942</v>
      </c>
      <c r="J4164" t="s">
        <v>518</v>
      </c>
      <c r="K4164" t="s">
        <v>519</v>
      </c>
      <c r="M4164" t="s">
        <v>2287</v>
      </c>
      <c r="N4164" t="s">
        <v>539</v>
      </c>
      <c r="O4164" t="s">
        <v>2942</v>
      </c>
      <c r="P4164" t="s">
        <v>654</v>
      </c>
      <c r="Q4164" t="s">
        <v>2943</v>
      </c>
      <c r="R4164" t="s">
        <v>2944</v>
      </c>
      <c r="S4164" t="s">
        <v>2973</v>
      </c>
      <c r="T4164" t="s">
        <v>2448</v>
      </c>
      <c r="U4164">
        <v>323400</v>
      </c>
      <c r="V4164" t="s">
        <v>3069</v>
      </c>
      <c r="W4164" t="s">
        <v>3070</v>
      </c>
      <c r="X4164" t="s">
        <v>22561</v>
      </c>
      <c r="Y4164" t="s">
        <v>6369</v>
      </c>
      <c r="Z4164" t="s">
        <v>4555</v>
      </c>
      <c r="AA4164" t="s">
        <v>4556</v>
      </c>
      <c r="AB4164" t="s">
        <v>22562</v>
      </c>
      <c r="AE4164">
        <v>-43.49581774</v>
      </c>
      <c r="AF4164">
        <v>172.65407436000001</v>
      </c>
      <c r="AG4164">
        <v>36</v>
      </c>
      <c r="AH4164">
        <v>11</v>
      </c>
      <c r="AI4164">
        <v>1</v>
      </c>
      <c r="AJ4164">
        <v>4</v>
      </c>
      <c r="AK4164">
        <v>5</v>
      </c>
      <c r="AL4164">
        <v>12</v>
      </c>
      <c r="AM4164">
        <v>13</v>
      </c>
      <c r="AN4164">
        <v>2</v>
      </c>
      <c r="AO4164">
        <v>37</v>
      </c>
      <c r="AP4164">
        <v>22</v>
      </c>
      <c r="AQ4164">
        <v>17</v>
      </c>
      <c r="AR4164">
        <v>8</v>
      </c>
      <c r="AS4164">
        <v>2</v>
      </c>
      <c r="AT4164">
        <v>0</v>
      </c>
    </row>
    <row r="4165" spans="1:46">
      <c r="A4165">
        <v>70102</v>
      </c>
      <c r="B4165" t="s">
        <v>22563</v>
      </c>
      <c r="C4165" t="s">
        <v>13791</v>
      </c>
      <c r="E4165" t="s">
        <v>22564</v>
      </c>
      <c r="G4165" t="s">
        <v>11483</v>
      </c>
      <c r="H4165" t="s">
        <v>298</v>
      </c>
      <c r="J4165" t="s">
        <v>518</v>
      </c>
      <c r="K4165" t="s">
        <v>519</v>
      </c>
      <c r="M4165" t="s">
        <v>2287</v>
      </c>
      <c r="N4165" t="s">
        <v>571</v>
      </c>
      <c r="O4165" t="s">
        <v>3249</v>
      </c>
      <c r="P4165" t="s">
        <v>523</v>
      </c>
      <c r="Q4165" t="s">
        <v>2943</v>
      </c>
      <c r="R4165" t="s">
        <v>2944</v>
      </c>
      <c r="S4165" t="s">
        <v>3219</v>
      </c>
      <c r="T4165" t="s">
        <v>2448</v>
      </c>
      <c r="U4165">
        <v>339200</v>
      </c>
      <c r="V4165" t="s">
        <v>11483</v>
      </c>
      <c r="W4165" t="s">
        <v>3298</v>
      </c>
      <c r="X4165" t="s">
        <v>13795</v>
      </c>
      <c r="Y4165" t="s">
        <v>5187</v>
      </c>
      <c r="AA4165" t="s">
        <v>5188</v>
      </c>
      <c r="AB4165" t="s">
        <v>13796</v>
      </c>
      <c r="AE4165">
        <v>-44.259799970000003</v>
      </c>
      <c r="AF4165">
        <v>171.1319652</v>
      </c>
      <c r="AG4165">
        <v>30</v>
      </c>
      <c r="AH4165">
        <v>15</v>
      </c>
      <c r="AI4165">
        <v>5</v>
      </c>
      <c r="AJ4165">
        <v>4</v>
      </c>
      <c r="AK4165">
        <v>7</v>
      </c>
      <c r="AL4165">
        <v>5</v>
      </c>
      <c r="AM4165">
        <v>1</v>
      </c>
      <c r="AN4165">
        <v>0</v>
      </c>
      <c r="AO4165">
        <v>22</v>
      </c>
      <c r="AP4165">
        <v>21</v>
      </c>
      <c r="AQ4165">
        <v>2</v>
      </c>
      <c r="AR4165">
        <v>0</v>
      </c>
      <c r="AS4165">
        <v>1</v>
      </c>
      <c r="AT4165">
        <v>0</v>
      </c>
    </row>
    <row r="4166" spans="1:46">
      <c r="A4166">
        <v>70103</v>
      </c>
      <c r="B4166" t="s">
        <v>22565</v>
      </c>
      <c r="C4166" t="s">
        <v>11463</v>
      </c>
      <c r="D4166" t="s">
        <v>22566</v>
      </c>
      <c r="E4166" t="s">
        <v>11461</v>
      </c>
      <c r="F4166" t="s">
        <v>2941</v>
      </c>
      <c r="G4166" t="s">
        <v>2941</v>
      </c>
      <c r="H4166" t="s">
        <v>4716</v>
      </c>
      <c r="J4166" t="s">
        <v>3962</v>
      </c>
      <c r="K4166" t="s">
        <v>519</v>
      </c>
      <c r="M4166" t="s">
        <v>2287</v>
      </c>
      <c r="N4166" t="s">
        <v>571</v>
      </c>
      <c r="O4166" t="s">
        <v>3208</v>
      </c>
      <c r="P4166" t="s">
        <v>1262</v>
      </c>
      <c r="Q4166" t="s">
        <v>2943</v>
      </c>
      <c r="R4166" t="s">
        <v>2944</v>
      </c>
      <c r="S4166" t="s">
        <v>3179</v>
      </c>
      <c r="T4166" t="s">
        <v>2448</v>
      </c>
      <c r="U4166">
        <v>335201</v>
      </c>
      <c r="V4166" t="s">
        <v>10913</v>
      </c>
      <c r="W4166" t="s">
        <v>10914</v>
      </c>
      <c r="X4166" t="s">
        <v>11460</v>
      </c>
      <c r="Y4166" t="s">
        <v>11461</v>
      </c>
      <c r="Z4166" t="s">
        <v>10911</v>
      </c>
      <c r="AA4166" t="s">
        <v>11462</v>
      </c>
      <c r="AB4166" t="s">
        <v>11463</v>
      </c>
      <c r="AC4166">
        <v>99206</v>
      </c>
      <c r="AD4166" t="s">
        <v>3211</v>
      </c>
      <c r="AE4166">
        <v>-43.594265790000001</v>
      </c>
      <c r="AF4166">
        <v>172.38569838000001</v>
      </c>
      <c r="AG4166">
        <v>50</v>
      </c>
      <c r="AH4166">
        <v>50</v>
      </c>
      <c r="AI4166">
        <v>1</v>
      </c>
      <c r="AJ4166">
        <v>3</v>
      </c>
      <c r="AK4166">
        <v>8</v>
      </c>
      <c r="AL4166">
        <v>4</v>
      </c>
      <c r="AM4166">
        <v>5</v>
      </c>
      <c r="AN4166">
        <v>0</v>
      </c>
      <c r="AO4166">
        <v>21</v>
      </c>
      <c r="AP4166">
        <v>18</v>
      </c>
      <c r="AQ4166">
        <v>3</v>
      </c>
      <c r="AR4166">
        <v>2</v>
      </c>
      <c r="AS4166">
        <v>1</v>
      </c>
      <c r="AT4166">
        <v>0</v>
      </c>
    </row>
    <row r="4167" spans="1:46">
      <c r="A4167">
        <v>70104</v>
      </c>
      <c r="B4167" t="s">
        <v>22567</v>
      </c>
      <c r="C4167" t="s">
        <v>13791</v>
      </c>
      <c r="E4167" t="s">
        <v>22568</v>
      </c>
      <c r="G4167" t="s">
        <v>11870</v>
      </c>
      <c r="H4167" t="s">
        <v>298</v>
      </c>
      <c r="J4167" t="s">
        <v>518</v>
      </c>
      <c r="K4167" t="s">
        <v>519</v>
      </c>
      <c r="M4167" t="s">
        <v>2287</v>
      </c>
      <c r="N4167" t="s">
        <v>571</v>
      </c>
      <c r="O4167" t="s">
        <v>3208</v>
      </c>
      <c r="P4167" t="s">
        <v>523</v>
      </c>
      <c r="Q4167" t="s">
        <v>2943</v>
      </c>
      <c r="R4167" t="s">
        <v>2944</v>
      </c>
      <c r="S4167" t="s">
        <v>3179</v>
      </c>
      <c r="T4167" t="s">
        <v>2448</v>
      </c>
      <c r="U4167">
        <v>335702</v>
      </c>
      <c r="V4167" t="s">
        <v>22569</v>
      </c>
      <c r="W4167" t="s">
        <v>3664</v>
      </c>
      <c r="X4167" t="s">
        <v>13795</v>
      </c>
      <c r="Y4167" t="s">
        <v>5187</v>
      </c>
      <c r="AA4167" t="s">
        <v>5188</v>
      </c>
      <c r="AB4167" t="s">
        <v>13796</v>
      </c>
      <c r="AC4167">
        <v>99113</v>
      </c>
      <c r="AD4167" t="s">
        <v>3665</v>
      </c>
      <c r="AE4167">
        <v>-43.586901130000001</v>
      </c>
      <c r="AF4167">
        <v>172.5181437</v>
      </c>
      <c r="AG4167">
        <v>29</v>
      </c>
      <c r="AH4167">
        <v>20</v>
      </c>
      <c r="AI4167">
        <v>12</v>
      </c>
      <c r="AJ4167">
        <v>7</v>
      </c>
      <c r="AK4167">
        <v>5</v>
      </c>
      <c r="AL4167">
        <v>6</v>
      </c>
      <c r="AM4167">
        <v>7</v>
      </c>
      <c r="AN4167">
        <v>1</v>
      </c>
      <c r="AO4167">
        <v>38</v>
      </c>
      <c r="AP4167">
        <v>38</v>
      </c>
      <c r="AQ4167">
        <v>2</v>
      </c>
      <c r="AR4167">
        <v>0</v>
      </c>
      <c r="AS4167">
        <v>2</v>
      </c>
      <c r="AT4167">
        <v>0</v>
      </c>
    </row>
    <row r="4168" spans="1:46">
      <c r="A4168">
        <v>70105</v>
      </c>
      <c r="B4168" t="s">
        <v>22570</v>
      </c>
      <c r="C4168" t="s">
        <v>11067</v>
      </c>
      <c r="D4168" t="s">
        <v>22571</v>
      </c>
      <c r="E4168" t="s">
        <v>11072</v>
      </c>
      <c r="G4168" t="s">
        <v>21669</v>
      </c>
      <c r="H4168" t="s">
        <v>3942</v>
      </c>
      <c r="J4168" t="s">
        <v>3962</v>
      </c>
      <c r="K4168" t="s">
        <v>519</v>
      </c>
      <c r="M4168" t="s">
        <v>2287</v>
      </c>
      <c r="N4168" t="s">
        <v>571</v>
      </c>
      <c r="O4168" t="s">
        <v>3208</v>
      </c>
      <c r="P4168" t="s">
        <v>523</v>
      </c>
      <c r="Q4168" t="s">
        <v>2943</v>
      </c>
      <c r="R4168" t="s">
        <v>2944</v>
      </c>
      <c r="S4168" t="s">
        <v>3179</v>
      </c>
      <c r="T4168" t="s">
        <v>2448</v>
      </c>
      <c r="U4168">
        <v>334001</v>
      </c>
      <c r="V4168" t="s">
        <v>21669</v>
      </c>
      <c r="W4168" t="s">
        <v>12606</v>
      </c>
      <c r="X4168" t="s">
        <v>11071</v>
      </c>
      <c r="Y4168" t="s">
        <v>21670</v>
      </c>
      <c r="Z4168" t="s">
        <v>21669</v>
      </c>
      <c r="AA4168" t="s">
        <v>21671</v>
      </c>
      <c r="AC4168">
        <v>99008</v>
      </c>
      <c r="AD4168" t="s">
        <v>17593</v>
      </c>
      <c r="AE4168">
        <v>-43.489955420000001</v>
      </c>
      <c r="AF4168">
        <v>172.11587664000001</v>
      </c>
      <c r="AG4168">
        <v>37</v>
      </c>
      <c r="AH4168">
        <v>0</v>
      </c>
      <c r="AI4168">
        <v>0</v>
      </c>
      <c r="AJ4168">
        <v>0</v>
      </c>
      <c r="AK4168">
        <v>0</v>
      </c>
      <c r="AL4168">
        <v>34</v>
      </c>
      <c r="AM4168">
        <v>8</v>
      </c>
      <c r="AN4168">
        <v>0</v>
      </c>
      <c r="AO4168">
        <v>42</v>
      </c>
      <c r="AP4168">
        <v>36</v>
      </c>
      <c r="AQ4168">
        <v>2</v>
      </c>
      <c r="AR4168">
        <v>0</v>
      </c>
      <c r="AS4168">
        <v>7</v>
      </c>
      <c r="AT4168">
        <v>1</v>
      </c>
    </row>
    <row r="4169" spans="1:46">
      <c r="A4169">
        <v>70107</v>
      </c>
      <c r="B4169" t="s">
        <v>22572</v>
      </c>
      <c r="C4169" t="s">
        <v>22573</v>
      </c>
      <c r="D4169" t="s">
        <v>22574</v>
      </c>
      <c r="E4169" t="s">
        <v>22575</v>
      </c>
      <c r="F4169" t="s">
        <v>2991</v>
      </c>
      <c r="G4169" t="s">
        <v>2941</v>
      </c>
      <c r="H4169" t="s">
        <v>3942</v>
      </c>
      <c r="J4169" t="s">
        <v>3962</v>
      </c>
      <c r="K4169" t="s">
        <v>519</v>
      </c>
      <c r="M4169" t="s">
        <v>2287</v>
      </c>
      <c r="N4169" t="s">
        <v>557</v>
      </c>
      <c r="O4169" t="s">
        <v>2942</v>
      </c>
      <c r="P4169" t="s">
        <v>654</v>
      </c>
      <c r="Q4169" t="s">
        <v>2943</v>
      </c>
      <c r="R4169" t="s">
        <v>2944</v>
      </c>
      <c r="S4169" t="s">
        <v>2979</v>
      </c>
      <c r="T4169" t="s">
        <v>2448</v>
      </c>
      <c r="U4169">
        <v>330100</v>
      </c>
      <c r="V4169" t="s">
        <v>2992</v>
      </c>
      <c r="W4169" t="s">
        <v>2993</v>
      </c>
      <c r="X4169" t="s">
        <v>10806</v>
      </c>
      <c r="Y4169" t="s">
        <v>4097</v>
      </c>
      <c r="Z4169" t="s">
        <v>4098</v>
      </c>
      <c r="AA4169" t="s">
        <v>4099</v>
      </c>
      <c r="AB4169" t="s">
        <v>10807</v>
      </c>
      <c r="AC4169">
        <v>99063</v>
      </c>
      <c r="AD4169" t="s">
        <v>2994</v>
      </c>
      <c r="AE4169">
        <v>-43.546889030000003</v>
      </c>
      <c r="AF4169">
        <v>172.67888373</v>
      </c>
      <c r="AG4169">
        <v>88</v>
      </c>
      <c r="AH4169">
        <v>25</v>
      </c>
      <c r="AI4169">
        <v>3</v>
      </c>
      <c r="AJ4169">
        <v>12</v>
      </c>
      <c r="AK4169">
        <v>23</v>
      </c>
      <c r="AL4169">
        <v>22</v>
      </c>
      <c r="AM4169">
        <v>26</v>
      </c>
      <c r="AN4169">
        <v>1</v>
      </c>
      <c r="AO4169">
        <v>87</v>
      </c>
      <c r="AP4169">
        <v>57</v>
      </c>
      <c r="AQ4169">
        <v>22</v>
      </c>
      <c r="AR4169">
        <v>11</v>
      </c>
      <c r="AS4169">
        <v>23</v>
      </c>
      <c r="AT4169">
        <v>1</v>
      </c>
    </row>
    <row r="4170" spans="1:46">
      <c r="A4170">
        <v>70108</v>
      </c>
      <c r="B4170" t="s">
        <v>22576</v>
      </c>
      <c r="C4170" t="s">
        <v>13791</v>
      </c>
      <c r="E4170" t="s">
        <v>22577</v>
      </c>
      <c r="G4170" t="s">
        <v>2963</v>
      </c>
      <c r="H4170" t="s">
        <v>298</v>
      </c>
      <c r="J4170" t="s">
        <v>518</v>
      </c>
      <c r="K4170" t="s">
        <v>519</v>
      </c>
      <c r="M4170" t="s">
        <v>2287</v>
      </c>
      <c r="N4170" t="s">
        <v>571</v>
      </c>
      <c r="O4170" t="s">
        <v>2964</v>
      </c>
      <c r="P4170" t="s">
        <v>1262</v>
      </c>
      <c r="Q4170" t="s">
        <v>2943</v>
      </c>
      <c r="R4170" t="s">
        <v>2944</v>
      </c>
      <c r="S4170" t="s">
        <v>2965</v>
      </c>
      <c r="T4170" t="s">
        <v>2448</v>
      </c>
      <c r="U4170">
        <v>314501</v>
      </c>
      <c r="V4170" t="s">
        <v>2966</v>
      </c>
      <c r="W4170" t="s">
        <v>2967</v>
      </c>
      <c r="X4170" t="s">
        <v>13795</v>
      </c>
      <c r="Y4170" t="s">
        <v>5187</v>
      </c>
      <c r="AA4170" t="s">
        <v>5188</v>
      </c>
      <c r="AB4170" t="s">
        <v>13796</v>
      </c>
      <c r="AE4170">
        <v>-43.309011679999998</v>
      </c>
      <c r="AF4170">
        <v>172.58665637999999</v>
      </c>
      <c r="AG4170">
        <v>25</v>
      </c>
      <c r="AH4170">
        <v>20</v>
      </c>
      <c r="AI4170">
        <v>20</v>
      </c>
      <c r="AJ4170">
        <v>2</v>
      </c>
      <c r="AK4170">
        <v>6</v>
      </c>
      <c r="AL4170">
        <v>4</v>
      </c>
      <c r="AM4170">
        <v>6</v>
      </c>
      <c r="AN4170">
        <v>0</v>
      </c>
      <c r="AO4170">
        <v>38</v>
      </c>
      <c r="AP4170">
        <v>37</v>
      </c>
      <c r="AQ4170">
        <v>6</v>
      </c>
      <c r="AR4170">
        <v>0</v>
      </c>
      <c r="AS4170">
        <v>3</v>
      </c>
      <c r="AT4170">
        <v>1</v>
      </c>
    </row>
    <row r="4171" spans="1:46">
      <c r="A4171">
        <v>70109</v>
      </c>
      <c r="B4171" t="s">
        <v>22578</v>
      </c>
      <c r="C4171" t="s">
        <v>22579</v>
      </c>
      <c r="D4171" t="s">
        <v>22580</v>
      </c>
      <c r="E4171" t="s">
        <v>22581</v>
      </c>
      <c r="G4171" t="s">
        <v>2963</v>
      </c>
      <c r="H4171" t="s">
        <v>3942</v>
      </c>
      <c r="J4171" t="s">
        <v>518</v>
      </c>
      <c r="K4171" t="s">
        <v>519</v>
      </c>
      <c r="M4171" t="s">
        <v>2287</v>
      </c>
      <c r="N4171" t="s">
        <v>571</v>
      </c>
      <c r="O4171" t="s">
        <v>2964</v>
      </c>
      <c r="P4171" t="s">
        <v>1262</v>
      </c>
      <c r="Q4171" t="s">
        <v>2943</v>
      </c>
      <c r="R4171" t="s">
        <v>2944</v>
      </c>
      <c r="S4171" t="s">
        <v>2965</v>
      </c>
      <c r="T4171" t="s">
        <v>2448</v>
      </c>
      <c r="U4171">
        <v>314600</v>
      </c>
      <c r="V4171" t="s">
        <v>15871</v>
      </c>
      <c r="W4171" t="s">
        <v>2967</v>
      </c>
      <c r="X4171" t="s">
        <v>10801</v>
      </c>
      <c r="Y4171" t="s">
        <v>3944</v>
      </c>
      <c r="Z4171" t="s">
        <v>3945</v>
      </c>
      <c r="AA4171" t="s">
        <v>3946</v>
      </c>
      <c r="AE4171">
        <v>-43.312538160000003</v>
      </c>
      <c r="AF4171">
        <v>172.59664565</v>
      </c>
      <c r="AG4171">
        <v>75</v>
      </c>
      <c r="AH4171">
        <v>25</v>
      </c>
      <c r="AI4171">
        <v>3</v>
      </c>
      <c r="AJ4171">
        <v>18</v>
      </c>
      <c r="AK4171">
        <v>16</v>
      </c>
      <c r="AL4171">
        <v>17</v>
      </c>
      <c r="AM4171">
        <v>20</v>
      </c>
      <c r="AN4171">
        <v>0</v>
      </c>
      <c r="AO4171">
        <v>74</v>
      </c>
      <c r="AP4171">
        <v>44</v>
      </c>
      <c r="AQ4171">
        <v>8</v>
      </c>
      <c r="AR4171">
        <v>1</v>
      </c>
      <c r="AS4171">
        <v>21</v>
      </c>
      <c r="AT4171">
        <v>16</v>
      </c>
    </row>
    <row r="4172" spans="1:46">
      <c r="A4172">
        <v>70110</v>
      </c>
      <c r="B4172" t="s">
        <v>22582</v>
      </c>
      <c r="C4172" t="s">
        <v>13791</v>
      </c>
      <c r="E4172" t="s">
        <v>22583</v>
      </c>
      <c r="F4172" t="s">
        <v>3135</v>
      </c>
      <c r="G4172" t="s">
        <v>2941</v>
      </c>
      <c r="H4172" t="s">
        <v>298</v>
      </c>
      <c r="J4172" t="s">
        <v>518</v>
      </c>
      <c r="K4172" t="s">
        <v>519</v>
      </c>
      <c r="M4172" t="s">
        <v>2287</v>
      </c>
      <c r="N4172" t="s">
        <v>571</v>
      </c>
      <c r="O4172" t="s">
        <v>2942</v>
      </c>
      <c r="P4172" t="s">
        <v>654</v>
      </c>
      <c r="Q4172" t="s">
        <v>2943</v>
      </c>
      <c r="R4172" t="s">
        <v>2944</v>
      </c>
      <c r="S4172" t="s">
        <v>2957</v>
      </c>
      <c r="T4172" t="s">
        <v>2448</v>
      </c>
      <c r="U4172">
        <v>319600</v>
      </c>
      <c r="V4172" t="s">
        <v>10925</v>
      </c>
      <c r="W4172" t="s">
        <v>3098</v>
      </c>
      <c r="X4172" t="s">
        <v>13795</v>
      </c>
      <c r="Y4172" t="s">
        <v>5187</v>
      </c>
      <c r="AA4172" t="s">
        <v>5188</v>
      </c>
      <c r="AB4172" t="s">
        <v>13796</v>
      </c>
      <c r="AE4172">
        <v>-43.476919680000002</v>
      </c>
      <c r="AF4172">
        <v>172.62266056000001</v>
      </c>
      <c r="AG4172">
        <v>25</v>
      </c>
      <c r="AH4172">
        <v>20</v>
      </c>
      <c r="AI4172">
        <v>23</v>
      </c>
      <c r="AJ4172">
        <v>11</v>
      </c>
      <c r="AK4172">
        <v>13</v>
      </c>
      <c r="AL4172">
        <v>9</v>
      </c>
      <c r="AM4172">
        <v>7</v>
      </c>
      <c r="AN4172">
        <v>1</v>
      </c>
      <c r="AO4172">
        <v>64</v>
      </c>
      <c r="AP4172">
        <v>57</v>
      </c>
      <c r="AQ4172">
        <v>13</v>
      </c>
      <c r="AR4172">
        <v>0</v>
      </c>
      <c r="AS4172">
        <v>4</v>
      </c>
      <c r="AT4172">
        <v>6</v>
      </c>
    </row>
    <row r="4173" spans="1:46">
      <c r="A4173">
        <v>70112</v>
      </c>
      <c r="B4173" t="s">
        <v>22584</v>
      </c>
      <c r="C4173" t="s">
        <v>13791</v>
      </c>
      <c r="E4173" t="s">
        <v>22585</v>
      </c>
      <c r="G4173" t="s">
        <v>10911</v>
      </c>
      <c r="H4173" t="s">
        <v>298</v>
      </c>
      <c r="J4173" t="s">
        <v>518</v>
      </c>
      <c r="K4173" t="s">
        <v>519</v>
      </c>
      <c r="M4173" t="s">
        <v>2287</v>
      </c>
      <c r="N4173" t="s">
        <v>571</v>
      </c>
      <c r="O4173" t="s">
        <v>3208</v>
      </c>
      <c r="P4173" t="s">
        <v>1262</v>
      </c>
      <c r="Q4173" t="s">
        <v>2943</v>
      </c>
      <c r="R4173" t="s">
        <v>2944</v>
      </c>
      <c r="S4173" t="s">
        <v>3179</v>
      </c>
      <c r="T4173" t="s">
        <v>2448</v>
      </c>
      <c r="U4173">
        <v>335201</v>
      </c>
      <c r="V4173" t="s">
        <v>10913</v>
      </c>
      <c r="W4173" t="s">
        <v>10914</v>
      </c>
      <c r="X4173" t="s">
        <v>13795</v>
      </c>
      <c r="Y4173" t="s">
        <v>5187</v>
      </c>
      <c r="AA4173" t="s">
        <v>5188</v>
      </c>
      <c r="AB4173" t="s">
        <v>13796</v>
      </c>
      <c r="AE4173">
        <v>-43.596870410000001</v>
      </c>
      <c r="AF4173">
        <v>172.37938948999999</v>
      </c>
      <c r="AG4173">
        <v>25</v>
      </c>
      <c r="AH4173">
        <v>20</v>
      </c>
      <c r="AI4173">
        <v>19</v>
      </c>
      <c r="AJ4173">
        <v>9</v>
      </c>
      <c r="AK4173">
        <v>7</v>
      </c>
      <c r="AL4173">
        <v>9</v>
      </c>
      <c r="AM4173">
        <v>5</v>
      </c>
      <c r="AN4173">
        <v>1</v>
      </c>
      <c r="AO4173">
        <v>50</v>
      </c>
      <c r="AP4173">
        <v>42</v>
      </c>
      <c r="AQ4173">
        <v>8</v>
      </c>
      <c r="AR4173">
        <v>0</v>
      </c>
      <c r="AS4173">
        <v>9</v>
      </c>
      <c r="AT4173">
        <v>2</v>
      </c>
    </row>
    <row r="4174" spans="1:46">
      <c r="A4174">
        <v>70113</v>
      </c>
      <c r="B4174" t="s">
        <v>22586</v>
      </c>
      <c r="C4174" t="s">
        <v>22587</v>
      </c>
      <c r="D4174" t="s">
        <v>22588</v>
      </c>
      <c r="E4174" t="s">
        <v>22589</v>
      </c>
      <c r="F4174" t="s">
        <v>3216</v>
      </c>
      <c r="G4174" t="s">
        <v>3217</v>
      </c>
      <c r="H4174" t="s">
        <v>3942</v>
      </c>
      <c r="J4174" t="s">
        <v>518</v>
      </c>
      <c r="K4174" t="s">
        <v>519</v>
      </c>
      <c r="M4174" t="s">
        <v>2287</v>
      </c>
      <c r="N4174" t="s">
        <v>571</v>
      </c>
      <c r="O4174" t="s">
        <v>3218</v>
      </c>
      <c r="P4174" t="s">
        <v>1262</v>
      </c>
      <c r="Q4174" t="s">
        <v>2943</v>
      </c>
      <c r="R4174" t="s">
        <v>2944</v>
      </c>
      <c r="S4174" t="s">
        <v>3219</v>
      </c>
      <c r="T4174" t="s">
        <v>2448</v>
      </c>
      <c r="U4174">
        <v>337400</v>
      </c>
      <c r="V4174" t="s">
        <v>22590</v>
      </c>
      <c r="W4174" t="s">
        <v>3221</v>
      </c>
      <c r="X4174" t="s">
        <v>10801</v>
      </c>
      <c r="Y4174" t="s">
        <v>3944</v>
      </c>
      <c r="Z4174" t="s">
        <v>3945</v>
      </c>
      <c r="AA4174" t="s">
        <v>3946</v>
      </c>
      <c r="AC4174">
        <v>99043</v>
      </c>
      <c r="AD4174" t="s">
        <v>3226</v>
      </c>
      <c r="AE4174">
        <v>-43.885371020000001</v>
      </c>
      <c r="AF4174">
        <v>171.74016460000001</v>
      </c>
      <c r="AG4174">
        <v>60</v>
      </c>
      <c r="AH4174">
        <v>24</v>
      </c>
      <c r="AI4174">
        <v>3</v>
      </c>
      <c r="AJ4174">
        <v>10</v>
      </c>
      <c r="AK4174">
        <v>18</v>
      </c>
      <c r="AL4174">
        <v>23</v>
      </c>
      <c r="AM4174">
        <v>18</v>
      </c>
      <c r="AN4174">
        <v>0</v>
      </c>
      <c r="AO4174">
        <v>72</v>
      </c>
      <c r="AP4174">
        <v>57</v>
      </c>
      <c r="AQ4174">
        <v>9</v>
      </c>
      <c r="AR4174">
        <v>2</v>
      </c>
      <c r="AS4174">
        <v>14</v>
      </c>
      <c r="AT4174">
        <v>2</v>
      </c>
    </row>
    <row r="4175" spans="1:46">
      <c r="A4175">
        <v>70114</v>
      </c>
      <c r="B4175" t="s">
        <v>22591</v>
      </c>
      <c r="C4175" t="s">
        <v>13791</v>
      </c>
      <c r="E4175" t="s">
        <v>22592</v>
      </c>
      <c r="F4175" t="s">
        <v>18192</v>
      </c>
      <c r="G4175" t="s">
        <v>2941</v>
      </c>
      <c r="H4175" t="s">
        <v>298</v>
      </c>
      <c r="J4175" t="s">
        <v>518</v>
      </c>
      <c r="K4175" t="s">
        <v>519</v>
      </c>
      <c r="M4175" t="s">
        <v>2287</v>
      </c>
      <c r="N4175" t="s">
        <v>571</v>
      </c>
      <c r="O4175" t="s">
        <v>2942</v>
      </c>
      <c r="P4175" t="s">
        <v>654</v>
      </c>
      <c r="Q4175" t="s">
        <v>2943</v>
      </c>
      <c r="R4175" t="s">
        <v>2944</v>
      </c>
      <c r="S4175" t="s">
        <v>2945</v>
      </c>
      <c r="T4175" t="s">
        <v>2448</v>
      </c>
      <c r="U4175">
        <v>318901</v>
      </c>
      <c r="V4175" t="s">
        <v>3851</v>
      </c>
      <c r="W4175" t="s">
        <v>2947</v>
      </c>
      <c r="X4175" t="s">
        <v>13795</v>
      </c>
      <c r="Y4175" t="s">
        <v>5187</v>
      </c>
      <c r="AA4175" t="s">
        <v>5188</v>
      </c>
      <c r="AB4175" t="s">
        <v>13796</v>
      </c>
      <c r="AE4175">
        <v>-43.516018099999997</v>
      </c>
      <c r="AF4175">
        <v>172.54666499999999</v>
      </c>
      <c r="AG4175">
        <v>25</v>
      </c>
      <c r="AH4175">
        <v>15</v>
      </c>
      <c r="AI4175">
        <v>6</v>
      </c>
      <c r="AJ4175">
        <v>6</v>
      </c>
      <c r="AK4175">
        <v>13</v>
      </c>
      <c r="AL4175">
        <v>8</v>
      </c>
      <c r="AM4175">
        <v>5</v>
      </c>
      <c r="AN4175">
        <v>0</v>
      </c>
      <c r="AO4175">
        <v>38</v>
      </c>
      <c r="AP4175">
        <v>30</v>
      </c>
      <c r="AQ4175">
        <v>1</v>
      </c>
      <c r="AR4175">
        <v>0</v>
      </c>
      <c r="AS4175">
        <v>11</v>
      </c>
      <c r="AT4175">
        <v>2</v>
      </c>
    </row>
    <row r="4176" spans="1:46">
      <c r="A4176">
        <v>70118</v>
      </c>
      <c r="B4176" t="s">
        <v>22593</v>
      </c>
      <c r="C4176" t="s">
        <v>13791</v>
      </c>
      <c r="E4176" t="s">
        <v>22594</v>
      </c>
      <c r="F4176" t="s">
        <v>3068</v>
      </c>
      <c r="G4176" t="s">
        <v>2941</v>
      </c>
      <c r="H4176" t="s">
        <v>298</v>
      </c>
      <c r="J4176" t="s">
        <v>518</v>
      </c>
      <c r="K4176" t="s">
        <v>519</v>
      </c>
      <c r="M4176" t="s">
        <v>2287</v>
      </c>
      <c r="N4176" t="s">
        <v>571</v>
      </c>
      <c r="O4176" t="s">
        <v>2942</v>
      </c>
      <c r="P4176" t="s">
        <v>654</v>
      </c>
      <c r="Q4176" t="s">
        <v>2943</v>
      </c>
      <c r="R4176" t="s">
        <v>2944</v>
      </c>
      <c r="S4176" t="s">
        <v>2973</v>
      </c>
      <c r="T4176" t="s">
        <v>2448</v>
      </c>
      <c r="U4176">
        <v>325900</v>
      </c>
      <c r="V4176" t="s">
        <v>3145</v>
      </c>
      <c r="W4176" t="s">
        <v>2443</v>
      </c>
      <c r="X4176" t="s">
        <v>13795</v>
      </c>
      <c r="Y4176" t="s">
        <v>5187</v>
      </c>
      <c r="AA4176" t="s">
        <v>5188</v>
      </c>
      <c r="AB4176" t="s">
        <v>13796</v>
      </c>
      <c r="AE4176">
        <v>-43.509011000000001</v>
      </c>
      <c r="AF4176">
        <v>172.65408780000001</v>
      </c>
      <c r="AG4176">
        <v>27</v>
      </c>
      <c r="AH4176">
        <v>20</v>
      </c>
      <c r="AI4176">
        <v>15</v>
      </c>
      <c r="AJ4176">
        <v>11</v>
      </c>
      <c r="AK4176">
        <v>8</v>
      </c>
      <c r="AL4176">
        <v>7</v>
      </c>
      <c r="AM4176">
        <v>6</v>
      </c>
      <c r="AN4176">
        <v>1</v>
      </c>
      <c r="AO4176">
        <v>48</v>
      </c>
      <c r="AP4176">
        <v>45</v>
      </c>
      <c r="AQ4176">
        <v>5</v>
      </c>
      <c r="AR4176">
        <v>6</v>
      </c>
      <c r="AS4176">
        <v>3</v>
      </c>
      <c r="AT4176">
        <v>0</v>
      </c>
    </row>
    <row r="4177" spans="1:46">
      <c r="A4177">
        <v>70119</v>
      </c>
      <c r="B4177" t="s">
        <v>22595</v>
      </c>
      <c r="C4177" t="s">
        <v>22596</v>
      </c>
      <c r="D4177" t="s">
        <v>22597</v>
      </c>
      <c r="E4177" t="s">
        <v>22598</v>
      </c>
      <c r="F4177" t="s">
        <v>3033</v>
      </c>
      <c r="G4177" t="s">
        <v>2941</v>
      </c>
      <c r="H4177" t="s">
        <v>3942</v>
      </c>
      <c r="J4177" t="s">
        <v>3962</v>
      </c>
      <c r="K4177" t="s">
        <v>519</v>
      </c>
      <c r="M4177" t="s">
        <v>2287</v>
      </c>
      <c r="N4177" t="s">
        <v>539</v>
      </c>
      <c r="O4177" t="s">
        <v>2942</v>
      </c>
      <c r="P4177" t="s">
        <v>654</v>
      </c>
      <c r="Q4177" t="s">
        <v>2943</v>
      </c>
      <c r="R4177" t="s">
        <v>2944</v>
      </c>
      <c r="S4177" t="s">
        <v>3019</v>
      </c>
      <c r="T4177" t="s">
        <v>2448</v>
      </c>
      <c r="U4177">
        <v>321101</v>
      </c>
      <c r="V4177" t="s">
        <v>3034</v>
      </c>
      <c r="W4177" t="s">
        <v>3020</v>
      </c>
      <c r="X4177" t="s">
        <v>22599</v>
      </c>
      <c r="Y4177" t="s">
        <v>22598</v>
      </c>
      <c r="Z4177" t="s">
        <v>3033</v>
      </c>
      <c r="AA4177" t="s">
        <v>11419</v>
      </c>
      <c r="AB4177" t="s">
        <v>22600</v>
      </c>
      <c r="AC4177">
        <v>99045</v>
      </c>
      <c r="AD4177" t="s">
        <v>3021</v>
      </c>
      <c r="AE4177">
        <v>-43.548173679999998</v>
      </c>
      <c r="AF4177">
        <v>172.53272143000001</v>
      </c>
      <c r="AG4177">
        <v>35</v>
      </c>
      <c r="AH4177">
        <v>10</v>
      </c>
      <c r="AI4177">
        <v>1</v>
      </c>
      <c r="AJ4177">
        <v>14</v>
      </c>
      <c r="AK4177">
        <v>9</v>
      </c>
      <c r="AL4177">
        <v>9</v>
      </c>
      <c r="AM4177">
        <v>12</v>
      </c>
      <c r="AN4177">
        <v>1</v>
      </c>
      <c r="AO4177">
        <v>46</v>
      </c>
      <c r="AP4177">
        <v>31</v>
      </c>
      <c r="AQ4177">
        <v>14</v>
      </c>
      <c r="AR4177">
        <v>2</v>
      </c>
      <c r="AS4177">
        <v>9</v>
      </c>
      <c r="AT4177">
        <v>0</v>
      </c>
    </row>
    <row r="4178" spans="1:46">
      <c r="A4178">
        <v>70120</v>
      </c>
      <c r="B4178" t="s">
        <v>22601</v>
      </c>
      <c r="C4178" t="s">
        <v>13791</v>
      </c>
      <c r="E4178" t="s">
        <v>22602</v>
      </c>
      <c r="F4178" t="s">
        <v>10949</v>
      </c>
      <c r="G4178" t="s">
        <v>2941</v>
      </c>
      <c r="H4178" t="s">
        <v>298</v>
      </c>
      <c r="J4178" t="s">
        <v>518</v>
      </c>
      <c r="K4178" t="s">
        <v>519</v>
      </c>
      <c r="M4178" t="s">
        <v>2287</v>
      </c>
      <c r="N4178" t="s">
        <v>571</v>
      </c>
      <c r="O4178" t="s">
        <v>2942</v>
      </c>
      <c r="P4178" t="s">
        <v>654</v>
      </c>
      <c r="Q4178" t="s">
        <v>2943</v>
      </c>
      <c r="R4178" t="s">
        <v>2944</v>
      </c>
      <c r="S4178" t="s">
        <v>2979</v>
      </c>
      <c r="T4178" t="s">
        <v>2448</v>
      </c>
      <c r="U4178">
        <v>329100</v>
      </c>
      <c r="V4178" t="s">
        <v>13620</v>
      </c>
      <c r="W4178" t="s">
        <v>2958</v>
      </c>
      <c r="X4178" t="s">
        <v>13795</v>
      </c>
      <c r="Y4178" t="s">
        <v>5187</v>
      </c>
      <c r="AA4178" t="s">
        <v>5188</v>
      </c>
      <c r="AB4178" t="s">
        <v>13796</v>
      </c>
      <c r="AE4178">
        <v>-43.559770899999997</v>
      </c>
      <c r="AF4178">
        <v>172.6269546</v>
      </c>
      <c r="AG4178">
        <v>24</v>
      </c>
      <c r="AH4178">
        <v>20</v>
      </c>
      <c r="AI4178">
        <v>32</v>
      </c>
      <c r="AJ4178">
        <v>9</v>
      </c>
      <c r="AK4178">
        <v>15</v>
      </c>
      <c r="AL4178">
        <v>7</v>
      </c>
      <c r="AM4178">
        <v>5</v>
      </c>
      <c r="AN4178">
        <v>1</v>
      </c>
      <c r="AO4178">
        <v>69</v>
      </c>
      <c r="AP4178">
        <v>68</v>
      </c>
      <c r="AQ4178">
        <v>5</v>
      </c>
      <c r="AR4178">
        <v>0</v>
      </c>
      <c r="AS4178">
        <v>4</v>
      </c>
      <c r="AT4178">
        <v>0</v>
      </c>
    </row>
    <row r="4179" spans="1:46">
      <c r="A4179">
        <v>70121</v>
      </c>
      <c r="B4179" t="s">
        <v>22603</v>
      </c>
      <c r="C4179" t="s">
        <v>22604</v>
      </c>
      <c r="D4179" t="s">
        <v>22605</v>
      </c>
      <c r="E4179" t="s">
        <v>22606</v>
      </c>
      <c r="G4179" t="s">
        <v>22497</v>
      </c>
      <c r="H4179" t="s">
        <v>3942</v>
      </c>
      <c r="J4179" t="s">
        <v>3962</v>
      </c>
      <c r="K4179" t="s">
        <v>519</v>
      </c>
      <c r="M4179" t="s">
        <v>2287</v>
      </c>
      <c r="N4179" t="s">
        <v>571</v>
      </c>
      <c r="O4179" t="s">
        <v>3218</v>
      </c>
      <c r="P4179" t="s">
        <v>540</v>
      </c>
      <c r="Q4179" t="s">
        <v>2943</v>
      </c>
      <c r="R4179" t="s">
        <v>2944</v>
      </c>
      <c r="S4179" t="s">
        <v>3219</v>
      </c>
      <c r="T4179" t="s">
        <v>2448</v>
      </c>
      <c r="U4179">
        <v>337000</v>
      </c>
      <c r="V4179" t="s">
        <v>22498</v>
      </c>
      <c r="W4179" t="s">
        <v>2455</v>
      </c>
      <c r="X4179" t="s">
        <v>12132</v>
      </c>
      <c r="Y4179" t="s">
        <v>12130</v>
      </c>
      <c r="AA4179" t="s">
        <v>12133</v>
      </c>
      <c r="AB4179" t="s">
        <v>12134</v>
      </c>
      <c r="AE4179">
        <v>-44.001790159999999</v>
      </c>
      <c r="AF4179">
        <v>171.56736291999999</v>
      </c>
      <c r="AG4179">
        <v>35</v>
      </c>
      <c r="AH4179">
        <v>10</v>
      </c>
      <c r="AI4179">
        <v>1</v>
      </c>
      <c r="AJ4179">
        <v>12</v>
      </c>
      <c r="AK4179">
        <v>14</v>
      </c>
      <c r="AL4179">
        <v>15</v>
      </c>
      <c r="AM4179">
        <v>16</v>
      </c>
      <c r="AN4179">
        <v>1</v>
      </c>
      <c r="AO4179">
        <v>59</v>
      </c>
      <c r="AP4179">
        <v>50</v>
      </c>
      <c r="AQ4179">
        <v>7</v>
      </c>
      <c r="AR4179">
        <v>1</v>
      </c>
      <c r="AS4179">
        <v>7</v>
      </c>
      <c r="AT4179">
        <v>1</v>
      </c>
    </row>
    <row r="4180" spans="1:46">
      <c r="A4180">
        <v>70122</v>
      </c>
      <c r="B4180" t="s">
        <v>22607</v>
      </c>
      <c r="C4180" t="s">
        <v>13791</v>
      </c>
      <c r="E4180" t="s">
        <v>22608</v>
      </c>
      <c r="G4180" t="s">
        <v>22609</v>
      </c>
      <c r="H4180" t="s">
        <v>298</v>
      </c>
      <c r="J4180" t="s">
        <v>518</v>
      </c>
      <c r="K4180" t="s">
        <v>519</v>
      </c>
      <c r="M4180" t="s">
        <v>2287</v>
      </c>
      <c r="N4180" t="s">
        <v>571</v>
      </c>
      <c r="O4180" t="s">
        <v>3208</v>
      </c>
      <c r="P4180" t="s">
        <v>540</v>
      </c>
      <c r="Q4180" t="s">
        <v>2943</v>
      </c>
      <c r="R4180" t="s">
        <v>2944</v>
      </c>
      <c r="S4180" t="s">
        <v>3179</v>
      </c>
      <c r="T4180" t="s">
        <v>2448</v>
      </c>
      <c r="U4180">
        <v>335400</v>
      </c>
      <c r="V4180" t="s">
        <v>22609</v>
      </c>
      <c r="W4180" t="s">
        <v>3210</v>
      </c>
      <c r="X4180" t="s">
        <v>13795</v>
      </c>
      <c r="Y4180" t="s">
        <v>5187</v>
      </c>
      <c r="AA4180" t="s">
        <v>5188</v>
      </c>
      <c r="AB4180" t="s">
        <v>13796</v>
      </c>
      <c r="AC4180">
        <v>99207</v>
      </c>
      <c r="AD4180" t="s">
        <v>21934</v>
      </c>
      <c r="AE4180">
        <v>-43.811516099999999</v>
      </c>
      <c r="AF4180">
        <v>172.25153710000001</v>
      </c>
      <c r="AG4180">
        <v>24</v>
      </c>
      <c r="AH4180">
        <v>10</v>
      </c>
      <c r="AI4180">
        <v>0</v>
      </c>
      <c r="AJ4180">
        <v>3</v>
      </c>
      <c r="AK4180">
        <v>4</v>
      </c>
      <c r="AL4180">
        <v>2</v>
      </c>
      <c r="AM4180">
        <v>1</v>
      </c>
      <c r="AN4180">
        <v>1</v>
      </c>
      <c r="AO4180">
        <v>11</v>
      </c>
      <c r="AP4180">
        <v>11</v>
      </c>
      <c r="AQ4180">
        <v>1</v>
      </c>
      <c r="AR4180">
        <v>0</v>
      </c>
      <c r="AS4180">
        <v>2</v>
      </c>
      <c r="AT4180">
        <v>1</v>
      </c>
    </row>
    <row r="4181" spans="1:46">
      <c r="A4181">
        <v>70123</v>
      </c>
      <c r="B4181" t="s">
        <v>22610</v>
      </c>
      <c r="C4181" t="s">
        <v>22611</v>
      </c>
      <c r="E4181" t="s">
        <v>22612</v>
      </c>
      <c r="G4181" t="s">
        <v>22613</v>
      </c>
      <c r="H4181" t="s">
        <v>3942</v>
      </c>
      <c r="J4181" t="s">
        <v>3962</v>
      </c>
      <c r="K4181" t="s">
        <v>519</v>
      </c>
      <c r="M4181" t="s">
        <v>2287</v>
      </c>
      <c r="N4181" t="s">
        <v>571</v>
      </c>
      <c r="O4181" t="s">
        <v>3208</v>
      </c>
      <c r="P4181" t="s">
        <v>540</v>
      </c>
      <c r="Q4181" t="s">
        <v>2943</v>
      </c>
      <c r="R4181" t="s">
        <v>2944</v>
      </c>
      <c r="S4181" t="s">
        <v>3179</v>
      </c>
      <c r="T4181" t="s">
        <v>2448</v>
      </c>
      <c r="U4181">
        <v>336301</v>
      </c>
      <c r="V4181" t="s">
        <v>22614</v>
      </c>
      <c r="W4181" t="s">
        <v>3664</v>
      </c>
      <c r="X4181" t="s">
        <v>22615</v>
      </c>
      <c r="Y4181" t="s">
        <v>4658</v>
      </c>
      <c r="Z4181" t="s">
        <v>958</v>
      </c>
      <c r="AA4181" t="s">
        <v>4659</v>
      </c>
      <c r="AB4181" t="s">
        <v>22611</v>
      </c>
      <c r="AC4181">
        <v>99113</v>
      </c>
      <c r="AD4181" t="s">
        <v>3665</v>
      </c>
      <c r="AE4181">
        <v>-43.662152919999997</v>
      </c>
      <c r="AF4181">
        <v>172.55085081999999</v>
      </c>
      <c r="AG4181">
        <v>59</v>
      </c>
      <c r="AH4181">
        <v>14</v>
      </c>
      <c r="AI4181">
        <v>0</v>
      </c>
      <c r="AJ4181">
        <v>9</v>
      </c>
      <c r="AK4181">
        <v>11</v>
      </c>
      <c r="AL4181">
        <v>9</v>
      </c>
      <c r="AM4181">
        <v>15</v>
      </c>
      <c r="AN4181">
        <v>0</v>
      </c>
      <c r="AO4181">
        <v>44</v>
      </c>
      <c r="AP4181">
        <v>36</v>
      </c>
      <c r="AQ4181">
        <v>11</v>
      </c>
      <c r="AR4181">
        <v>3</v>
      </c>
      <c r="AS4181">
        <v>0</v>
      </c>
      <c r="AT4181">
        <v>0</v>
      </c>
    </row>
    <row r="4182" spans="1:46">
      <c r="A4182">
        <v>70124</v>
      </c>
      <c r="B4182" t="s">
        <v>22616</v>
      </c>
      <c r="C4182" t="s">
        <v>13791</v>
      </c>
      <c r="E4182" t="s">
        <v>22617</v>
      </c>
      <c r="F4182" t="s">
        <v>3165</v>
      </c>
      <c r="G4182" t="s">
        <v>2941</v>
      </c>
      <c r="H4182" t="s">
        <v>298</v>
      </c>
      <c r="J4182" t="s">
        <v>518</v>
      </c>
      <c r="K4182" t="s">
        <v>519</v>
      </c>
      <c r="M4182" t="s">
        <v>2287</v>
      </c>
      <c r="N4182" t="s">
        <v>571</v>
      </c>
      <c r="O4182" t="s">
        <v>2942</v>
      </c>
      <c r="P4182" t="s">
        <v>654</v>
      </c>
      <c r="Q4182" t="s">
        <v>2943</v>
      </c>
      <c r="R4182" t="s">
        <v>2944</v>
      </c>
      <c r="S4182" t="s">
        <v>2973</v>
      </c>
      <c r="T4182" t="s">
        <v>2448</v>
      </c>
      <c r="U4182">
        <v>331700</v>
      </c>
      <c r="V4182" t="s">
        <v>3165</v>
      </c>
      <c r="W4182" t="s">
        <v>2974</v>
      </c>
      <c r="X4182" t="s">
        <v>13795</v>
      </c>
      <c r="Y4182" t="s">
        <v>5187</v>
      </c>
      <c r="AA4182" t="s">
        <v>5188</v>
      </c>
      <c r="AB4182" t="s">
        <v>13796</v>
      </c>
      <c r="AE4182">
        <v>-43.5276365</v>
      </c>
      <c r="AF4182">
        <v>172.73355910000001</v>
      </c>
      <c r="AG4182">
        <v>25</v>
      </c>
      <c r="AH4182">
        <v>15</v>
      </c>
      <c r="AI4182">
        <v>4</v>
      </c>
      <c r="AJ4182">
        <v>13</v>
      </c>
      <c r="AK4182">
        <v>11</v>
      </c>
      <c r="AL4182">
        <v>7</v>
      </c>
      <c r="AM4182">
        <v>4</v>
      </c>
      <c r="AN4182">
        <v>0</v>
      </c>
      <c r="AO4182">
        <v>39</v>
      </c>
      <c r="AP4182">
        <v>38</v>
      </c>
      <c r="AQ4182">
        <v>4</v>
      </c>
      <c r="AR4182">
        <v>4</v>
      </c>
      <c r="AS4182">
        <v>2</v>
      </c>
      <c r="AT4182">
        <v>5</v>
      </c>
    </row>
    <row r="4183" spans="1:46">
      <c r="A4183">
        <v>70126</v>
      </c>
      <c r="B4183" t="s">
        <v>22618</v>
      </c>
      <c r="C4183" t="s">
        <v>13791</v>
      </c>
      <c r="E4183" t="s">
        <v>22619</v>
      </c>
      <c r="G4183" t="s">
        <v>22620</v>
      </c>
      <c r="H4183" t="s">
        <v>298</v>
      </c>
      <c r="J4183" t="s">
        <v>518</v>
      </c>
      <c r="K4183" t="s">
        <v>519</v>
      </c>
      <c r="M4183" t="s">
        <v>2287</v>
      </c>
      <c r="N4183" t="s">
        <v>571</v>
      </c>
      <c r="O4183" t="s">
        <v>3218</v>
      </c>
      <c r="P4183" t="s">
        <v>540</v>
      </c>
      <c r="Q4183" t="s">
        <v>2943</v>
      </c>
      <c r="R4183" t="s">
        <v>2944</v>
      </c>
      <c r="S4183" t="s">
        <v>3219</v>
      </c>
      <c r="T4183" t="s">
        <v>2448</v>
      </c>
      <c r="U4183">
        <v>336800</v>
      </c>
      <c r="V4183" t="s">
        <v>22532</v>
      </c>
      <c r="W4183" t="s">
        <v>2461</v>
      </c>
      <c r="X4183" t="s">
        <v>13795</v>
      </c>
      <c r="Y4183" t="s">
        <v>5187</v>
      </c>
      <c r="AA4183" t="s">
        <v>5188</v>
      </c>
      <c r="AB4183" t="s">
        <v>13796</v>
      </c>
      <c r="AE4183">
        <v>-43.7060666</v>
      </c>
      <c r="AF4183">
        <v>171.40356879999999</v>
      </c>
      <c r="AG4183">
        <v>20</v>
      </c>
      <c r="AH4183">
        <v>10</v>
      </c>
      <c r="AI4183">
        <v>1</v>
      </c>
      <c r="AJ4183">
        <v>2</v>
      </c>
      <c r="AK4183">
        <v>4</v>
      </c>
      <c r="AL4183">
        <v>0</v>
      </c>
      <c r="AM4183">
        <v>4</v>
      </c>
      <c r="AN4183">
        <v>0</v>
      </c>
      <c r="AO4183">
        <v>11</v>
      </c>
      <c r="AP4183">
        <v>9</v>
      </c>
      <c r="AQ4183">
        <v>0</v>
      </c>
      <c r="AR4183">
        <v>0</v>
      </c>
      <c r="AS4183">
        <v>2</v>
      </c>
      <c r="AT4183">
        <v>0</v>
      </c>
    </row>
    <row r="4184" spans="1:46">
      <c r="A4184">
        <v>70128</v>
      </c>
      <c r="B4184" t="s">
        <v>22621</v>
      </c>
      <c r="C4184" t="s">
        <v>13791</v>
      </c>
      <c r="E4184" t="s">
        <v>22622</v>
      </c>
      <c r="F4184" t="s">
        <v>3173</v>
      </c>
      <c r="G4184" t="s">
        <v>2941</v>
      </c>
      <c r="H4184" t="s">
        <v>298</v>
      </c>
      <c r="J4184" t="s">
        <v>518</v>
      </c>
      <c r="K4184" t="s">
        <v>519</v>
      </c>
      <c r="M4184" t="s">
        <v>2287</v>
      </c>
      <c r="N4184" t="s">
        <v>571</v>
      </c>
      <c r="O4184" t="s">
        <v>2942</v>
      </c>
      <c r="P4184" t="s">
        <v>654</v>
      </c>
      <c r="Q4184" t="s">
        <v>2943</v>
      </c>
      <c r="R4184" t="s">
        <v>2944</v>
      </c>
      <c r="S4184" t="s">
        <v>2957</v>
      </c>
      <c r="T4184" t="s">
        <v>2448</v>
      </c>
      <c r="U4184">
        <v>321701</v>
      </c>
      <c r="V4184" t="s">
        <v>22623</v>
      </c>
      <c r="W4184" t="s">
        <v>3070</v>
      </c>
      <c r="X4184" t="s">
        <v>13795</v>
      </c>
      <c r="Y4184" t="s">
        <v>5187</v>
      </c>
      <c r="AA4184" t="s">
        <v>5188</v>
      </c>
      <c r="AB4184" t="s">
        <v>13796</v>
      </c>
      <c r="AE4184">
        <v>-43.492628529999998</v>
      </c>
      <c r="AF4184">
        <v>172.6360956</v>
      </c>
      <c r="AG4184">
        <v>25</v>
      </c>
      <c r="AH4184">
        <v>20</v>
      </c>
      <c r="AI4184">
        <v>5</v>
      </c>
      <c r="AJ4184">
        <v>17</v>
      </c>
      <c r="AK4184">
        <v>6</v>
      </c>
      <c r="AL4184">
        <v>1</v>
      </c>
      <c r="AM4184">
        <v>6</v>
      </c>
      <c r="AN4184">
        <v>0</v>
      </c>
      <c r="AO4184">
        <v>35</v>
      </c>
      <c r="AP4184">
        <v>34</v>
      </c>
      <c r="AQ4184">
        <v>4</v>
      </c>
      <c r="AR4184">
        <v>2</v>
      </c>
      <c r="AS4184">
        <v>2</v>
      </c>
      <c r="AT4184">
        <v>0</v>
      </c>
    </row>
    <row r="4185" spans="1:46">
      <c r="A4185">
        <v>70132</v>
      </c>
      <c r="B4185" t="s">
        <v>22624</v>
      </c>
      <c r="C4185" t="s">
        <v>13791</v>
      </c>
      <c r="E4185" t="s">
        <v>22625</v>
      </c>
      <c r="G4185" t="s">
        <v>22613</v>
      </c>
      <c r="H4185" t="s">
        <v>298</v>
      </c>
      <c r="J4185" t="s">
        <v>518</v>
      </c>
      <c r="K4185" t="s">
        <v>519</v>
      </c>
      <c r="M4185" t="s">
        <v>2287</v>
      </c>
      <c r="N4185" t="s">
        <v>4519</v>
      </c>
      <c r="O4185" t="s">
        <v>3208</v>
      </c>
      <c r="P4185" t="s">
        <v>572</v>
      </c>
      <c r="Q4185" t="s">
        <v>2943</v>
      </c>
      <c r="R4185" t="s">
        <v>2944</v>
      </c>
      <c r="S4185" t="s">
        <v>3179</v>
      </c>
      <c r="T4185" t="s">
        <v>2448</v>
      </c>
      <c r="U4185">
        <v>336301</v>
      </c>
      <c r="V4185" t="s">
        <v>22614</v>
      </c>
      <c r="W4185" t="s">
        <v>3664</v>
      </c>
      <c r="X4185" t="s">
        <v>13795</v>
      </c>
      <c r="Y4185" t="s">
        <v>5187</v>
      </c>
      <c r="AA4185" t="s">
        <v>5188</v>
      </c>
      <c r="AB4185" t="s">
        <v>13796</v>
      </c>
      <c r="AC4185">
        <v>99113</v>
      </c>
      <c r="AD4185" t="s">
        <v>3665</v>
      </c>
      <c r="AE4185">
        <v>-43.659590199999997</v>
      </c>
      <c r="AF4185">
        <v>172.5532106</v>
      </c>
      <c r="AG4185">
        <v>30</v>
      </c>
      <c r="AH4185">
        <v>20</v>
      </c>
      <c r="AI4185">
        <v>4</v>
      </c>
      <c r="AJ4185">
        <v>5</v>
      </c>
      <c r="AK4185">
        <v>14</v>
      </c>
      <c r="AL4185">
        <v>12</v>
      </c>
      <c r="AM4185">
        <v>7</v>
      </c>
      <c r="AN4185">
        <v>1</v>
      </c>
      <c r="AO4185">
        <v>43</v>
      </c>
      <c r="AP4185">
        <v>39</v>
      </c>
      <c r="AQ4185">
        <v>0</v>
      </c>
      <c r="AR4185">
        <v>0</v>
      </c>
      <c r="AS4185">
        <v>2</v>
      </c>
      <c r="AT4185">
        <v>2</v>
      </c>
    </row>
    <row r="4186" spans="1:46">
      <c r="A4186">
        <v>70136</v>
      </c>
      <c r="B4186" t="s">
        <v>22626</v>
      </c>
      <c r="C4186" t="s">
        <v>13791</v>
      </c>
      <c r="E4186" t="s">
        <v>22627</v>
      </c>
      <c r="G4186" t="s">
        <v>22628</v>
      </c>
      <c r="H4186" t="s">
        <v>298</v>
      </c>
      <c r="J4186" t="s">
        <v>518</v>
      </c>
      <c r="K4186" t="s">
        <v>519</v>
      </c>
      <c r="M4186" t="s">
        <v>2287</v>
      </c>
      <c r="N4186" t="s">
        <v>571</v>
      </c>
      <c r="O4186" t="s">
        <v>13482</v>
      </c>
      <c r="P4186" t="s">
        <v>540</v>
      </c>
      <c r="Q4186" t="s">
        <v>2943</v>
      </c>
      <c r="R4186" t="s">
        <v>2944</v>
      </c>
      <c r="S4186" t="s">
        <v>2825</v>
      </c>
      <c r="T4186" t="s">
        <v>2448</v>
      </c>
      <c r="U4186">
        <v>312200</v>
      </c>
      <c r="V4186" t="s">
        <v>22441</v>
      </c>
      <c r="W4186" t="s">
        <v>13794</v>
      </c>
      <c r="X4186" t="s">
        <v>13795</v>
      </c>
      <c r="Y4186" t="s">
        <v>5187</v>
      </c>
      <c r="AA4186" t="s">
        <v>5188</v>
      </c>
      <c r="AB4186" t="s">
        <v>13796</v>
      </c>
      <c r="AE4186">
        <v>-42.653554499999998</v>
      </c>
      <c r="AF4186">
        <v>173.043565</v>
      </c>
      <c r="AG4186">
        <v>29</v>
      </c>
      <c r="AH4186">
        <v>15</v>
      </c>
      <c r="AI4186">
        <v>2</v>
      </c>
      <c r="AJ4186">
        <v>3</v>
      </c>
      <c r="AK4186">
        <v>2</v>
      </c>
      <c r="AL4186">
        <v>6</v>
      </c>
      <c r="AM4186">
        <v>0</v>
      </c>
      <c r="AN4186">
        <v>0</v>
      </c>
      <c r="AO4186">
        <v>13</v>
      </c>
      <c r="AP4186">
        <v>13</v>
      </c>
      <c r="AQ4186">
        <v>1</v>
      </c>
      <c r="AR4186">
        <v>0</v>
      </c>
      <c r="AS4186">
        <v>0</v>
      </c>
      <c r="AT4186">
        <v>0</v>
      </c>
    </row>
    <row r="4187" spans="1:46">
      <c r="A4187">
        <v>70143</v>
      </c>
      <c r="B4187" t="s">
        <v>22629</v>
      </c>
      <c r="E4187" t="s">
        <v>22630</v>
      </c>
      <c r="F4187" t="s">
        <v>3173</v>
      </c>
      <c r="G4187" t="s">
        <v>2941</v>
      </c>
      <c r="H4187" t="s">
        <v>3942</v>
      </c>
      <c r="J4187" t="s">
        <v>3962</v>
      </c>
      <c r="K4187" t="s">
        <v>519</v>
      </c>
      <c r="M4187" t="s">
        <v>2287</v>
      </c>
      <c r="N4187" t="s">
        <v>571</v>
      </c>
      <c r="O4187" t="s">
        <v>2942</v>
      </c>
      <c r="P4187" t="s">
        <v>654</v>
      </c>
      <c r="Q4187" t="s">
        <v>2943</v>
      </c>
      <c r="R4187" t="s">
        <v>2944</v>
      </c>
      <c r="S4187" t="s">
        <v>2957</v>
      </c>
      <c r="T4187" t="s">
        <v>2448</v>
      </c>
      <c r="U4187">
        <v>325301</v>
      </c>
      <c r="V4187" t="s">
        <v>22631</v>
      </c>
      <c r="W4187" t="s">
        <v>3070</v>
      </c>
      <c r="X4187" t="s">
        <v>22632</v>
      </c>
      <c r="Y4187" t="s">
        <v>18243</v>
      </c>
      <c r="AA4187" t="s">
        <v>12325</v>
      </c>
      <c r="AE4187">
        <v>-43.508320980000001</v>
      </c>
      <c r="AF4187">
        <v>172.64817336999999</v>
      </c>
      <c r="AG4187">
        <v>18</v>
      </c>
      <c r="AH4187">
        <v>18</v>
      </c>
      <c r="AI4187">
        <v>4</v>
      </c>
      <c r="AJ4187">
        <v>10</v>
      </c>
      <c r="AK4187">
        <v>0</v>
      </c>
      <c r="AL4187">
        <v>0</v>
      </c>
      <c r="AM4187">
        <v>0</v>
      </c>
      <c r="AN4187">
        <v>0</v>
      </c>
      <c r="AO4187">
        <v>14</v>
      </c>
      <c r="AP4187">
        <v>12</v>
      </c>
      <c r="AQ4187">
        <v>2</v>
      </c>
      <c r="AR4187">
        <v>1</v>
      </c>
      <c r="AS4187">
        <v>2</v>
      </c>
      <c r="AT4187">
        <v>0</v>
      </c>
    </row>
    <row r="4188" spans="1:46">
      <c r="A4188">
        <v>70145</v>
      </c>
      <c r="B4188" t="s">
        <v>22633</v>
      </c>
      <c r="C4188" t="s">
        <v>22634</v>
      </c>
      <c r="D4188" t="s">
        <v>22635</v>
      </c>
      <c r="E4188" t="s">
        <v>22636</v>
      </c>
      <c r="F4188" t="s">
        <v>3115</v>
      </c>
      <c r="G4188" t="s">
        <v>2941</v>
      </c>
      <c r="H4188" t="s">
        <v>3942</v>
      </c>
      <c r="J4188" t="s">
        <v>3962</v>
      </c>
      <c r="K4188" t="s">
        <v>519</v>
      </c>
      <c r="M4188" t="s">
        <v>2287</v>
      </c>
      <c r="N4188" t="s">
        <v>571</v>
      </c>
      <c r="O4188" t="s">
        <v>2942</v>
      </c>
      <c r="P4188" t="s">
        <v>654</v>
      </c>
      <c r="Q4188" t="s">
        <v>2943</v>
      </c>
      <c r="R4188" t="s">
        <v>2944</v>
      </c>
      <c r="S4188" t="s">
        <v>2945</v>
      </c>
      <c r="T4188" t="s">
        <v>2448</v>
      </c>
      <c r="U4188">
        <v>321400</v>
      </c>
      <c r="V4188" t="s">
        <v>21770</v>
      </c>
      <c r="W4188" t="s">
        <v>2999</v>
      </c>
      <c r="X4188" t="s">
        <v>22637</v>
      </c>
      <c r="Y4188" t="s">
        <v>4658</v>
      </c>
      <c r="Z4188" t="s">
        <v>958</v>
      </c>
      <c r="AA4188" t="s">
        <v>4659</v>
      </c>
      <c r="AB4188" t="s">
        <v>22638</v>
      </c>
      <c r="AC4188">
        <v>99027</v>
      </c>
      <c r="AD4188" t="s">
        <v>3000</v>
      </c>
      <c r="AE4188">
        <v>-43.505214080000002</v>
      </c>
      <c r="AF4188">
        <v>172.60109764000001</v>
      </c>
      <c r="AG4188">
        <v>75</v>
      </c>
      <c r="AH4188">
        <v>25</v>
      </c>
      <c r="AI4188">
        <v>2</v>
      </c>
      <c r="AJ4188">
        <v>15</v>
      </c>
      <c r="AK4188">
        <v>20</v>
      </c>
      <c r="AL4188">
        <v>18</v>
      </c>
      <c r="AM4188">
        <v>20</v>
      </c>
      <c r="AN4188">
        <v>0</v>
      </c>
      <c r="AO4188">
        <v>75</v>
      </c>
      <c r="AP4188">
        <v>55</v>
      </c>
      <c r="AQ4188">
        <v>9</v>
      </c>
      <c r="AR4188">
        <v>5</v>
      </c>
      <c r="AS4188">
        <v>18</v>
      </c>
      <c r="AT4188">
        <v>3</v>
      </c>
    </row>
    <row r="4189" spans="1:46">
      <c r="A4189">
        <v>70147</v>
      </c>
      <c r="B4189" t="s">
        <v>22639</v>
      </c>
      <c r="C4189" t="s">
        <v>22640</v>
      </c>
      <c r="D4189" t="s">
        <v>22641</v>
      </c>
      <c r="E4189" t="s">
        <v>22642</v>
      </c>
      <c r="F4189" t="s">
        <v>22643</v>
      </c>
      <c r="G4189" t="s">
        <v>2941</v>
      </c>
      <c r="H4189" t="s">
        <v>3942</v>
      </c>
      <c r="J4189" t="s">
        <v>3962</v>
      </c>
      <c r="K4189" t="s">
        <v>519</v>
      </c>
      <c r="M4189" t="s">
        <v>2287</v>
      </c>
      <c r="N4189" t="s">
        <v>521</v>
      </c>
      <c r="O4189" t="s">
        <v>2942</v>
      </c>
      <c r="P4189" t="s">
        <v>654</v>
      </c>
      <c r="Q4189" t="s">
        <v>2943</v>
      </c>
      <c r="R4189" t="s">
        <v>2944</v>
      </c>
      <c r="S4189" t="s">
        <v>2973</v>
      </c>
      <c r="T4189" t="s">
        <v>2448</v>
      </c>
      <c r="U4189">
        <v>329800</v>
      </c>
      <c r="V4189" t="s">
        <v>15992</v>
      </c>
      <c r="W4189" t="s">
        <v>2993</v>
      </c>
      <c r="X4189" t="s">
        <v>22644</v>
      </c>
      <c r="Y4189" t="s">
        <v>22642</v>
      </c>
      <c r="Z4189" t="s">
        <v>3125</v>
      </c>
      <c r="AA4189" t="s">
        <v>15995</v>
      </c>
      <c r="AB4189" t="s">
        <v>22645</v>
      </c>
      <c r="AE4189">
        <v>-43.518098969999997</v>
      </c>
      <c r="AF4189">
        <v>172.70313553</v>
      </c>
      <c r="AG4189">
        <v>35</v>
      </c>
      <c r="AH4189">
        <v>5</v>
      </c>
      <c r="AI4189">
        <v>0</v>
      </c>
      <c r="AJ4189">
        <v>3</v>
      </c>
      <c r="AK4189">
        <v>9</v>
      </c>
      <c r="AL4189">
        <v>9</v>
      </c>
      <c r="AM4189">
        <v>12</v>
      </c>
      <c r="AN4189">
        <v>0</v>
      </c>
      <c r="AO4189">
        <v>33</v>
      </c>
      <c r="AP4189">
        <v>20</v>
      </c>
      <c r="AQ4189">
        <v>21</v>
      </c>
      <c r="AR4189">
        <v>8</v>
      </c>
      <c r="AS4189">
        <v>4</v>
      </c>
      <c r="AT4189">
        <v>0</v>
      </c>
    </row>
    <row r="4190" spans="1:46">
      <c r="A4190">
        <v>70148</v>
      </c>
      <c r="B4190" t="s">
        <v>22646</v>
      </c>
      <c r="C4190" t="s">
        <v>13791</v>
      </c>
      <c r="E4190" t="s">
        <v>22647</v>
      </c>
      <c r="G4190" t="s">
        <v>12605</v>
      </c>
      <c r="H4190" t="s">
        <v>298</v>
      </c>
      <c r="J4190" t="s">
        <v>518</v>
      </c>
      <c r="K4190" t="s">
        <v>519</v>
      </c>
      <c r="M4190" t="s">
        <v>2287</v>
      </c>
      <c r="N4190" t="s">
        <v>571</v>
      </c>
      <c r="O4190" t="s">
        <v>3208</v>
      </c>
      <c r="P4190" t="s">
        <v>523</v>
      </c>
      <c r="Q4190" t="s">
        <v>2943</v>
      </c>
      <c r="R4190" t="s">
        <v>2944</v>
      </c>
      <c r="S4190" t="s">
        <v>3179</v>
      </c>
      <c r="T4190" t="s">
        <v>2448</v>
      </c>
      <c r="U4190">
        <v>334601</v>
      </c>
      <c r="V4190" t="s">
        <v>12605</v>
      </c>
      <c r="W4190" t="s">
        <v>12606</v>
      </c>
      <c r="X4190" t="s">
        <v>13795</v>
      </c>
      <c r="Y4190" t="s">
        <v>5187</v>
      </c>
      <c r="AA4190" t="s">
        <v>5188</v>
      </c>
      <c r="AB4190" t="s">
        <v>13796</v>
      </c>
      <c r="AC4190">
        <v>99206</v>
      </c>
      <c r="AD4190" t="s">
        <v>3211</v>
      </c>
      <c r="AE4190">
        <v>-43.524258000000003</v>
      </c>
      <c r="AF4190">
        <v>172.36641299999999</v>
      </c>
      <c r="AG4190">
        <v>25</v>
      </c>
      <c r="AH4190">
        <v>20</v>
      </c>
      <c r="AI4190">
        <v>12</v>
      </c>
      <c r="AJ4190">
        <v>1</v>
      </c>
      <c r="AK4190">
        <v>5</v>
      </c>
      <c r="AL4190">
        <v>4</v>
      </c>
      <c r="AM4190">
        <v>4</v>
      </c>
      <c r="AN4190">
        <v>0</v>
      </c>
      <c r="AO4190">
        <v>26</v>
      </c>
      <c r="AP4190">
        <v>24</v>
      </c>
      <c r="AQ4190">
        <v>6</v>
      </c>
      <c r="AR4190">
        <v>0</v>
      </c>
      <c r="AS4190">
        <v>3</v>
      </c>
      <c r="AT4190">
        <v>1</v>
      </c>
    </row>
    <row r="4191" spans="1:46">
      <c r="A4191">
        <v>70149</v>
      </c>
      <c r="B4191" t="s">
        <v>22648</v>
      </c>
      <c r="C4191" t="s">
        <v>22649</v>
      </c>
      <c r="D4191" t="s">
        <v>22650</v>
      </c>
      <c r="E4191" t="s">
        <v>22651</v>
      </c>
      <c r="F4191" t="s">
        <v>10812</v>
      </c>
      <c r="G4191" t="s">
        <v>2941</v>
      </c>
      <c r="H4191" t="s">
        <v>3942</v>
      </c>
      <c r="J4191" t="s">
        <v>3962</v>
      </c>
      <c r="K4191" t="s">
        <v>519</v>
      </c>
      <c r="M4191" t="s">
        <v>2287</v>
      </c>
      <c r="N4191" t="s">
        <v>4519</v>
      </c>
      <c r="O4191" t="s">
        <v>2942</v>
      </c>
      <c r="P4191" t="s">
        <v>654</v>
      </c>
      <c r="Q4191" t="s">
        <v>2943</v>
      </c>
      <c r="R4191" t="s">
        <v>2944</v>
      </c>
      <c r="S4191" t="s">
        <v>2979</v>
      </c>
      <c r="T4191" t="s">
        <v>2448</v>
      </c>
      <c r="U4191">
        <v>330800</v>
      </c>
      <c r="V4191" t="s">
        <v>10812</v>
      </c>
      <c r="W4191" t="s">
        <v>2958</v>
      </c>
      <c r="X4191" t="s">
        <v>14275</v>
      </c>
      <c r="Y4191" t="s">
        <v>14276</v>
      </c>
      <c r="AA4191" t="s">
        <v>14277</v>
      </c>
      <c r="AB4191" t="s">
        <v>14278</v>
      </c>
      <c r="AC4191">
        <v>99177</v>
      </c>
      <c r="AD4191" t="s">
        <v>2959</v>
      </c>
      <c r="AE4191">
        <v>-43.556406199999998</v>
      </c>
      <c r="AF4191">
        <v>172.6491221</v>
      </c>
      <c r="AG4191">
        <v>54</v>
      </c>
      <c r="AH4191">
        <v>16</v>
      </c>
      <c r="AI4191">
        <v>0</v>
      </c>
      <c r="AJ4191">
        <v>15</v>
      </c>
      <c r="AK4191">
        <v>17</v>
      </c>
      <c r="AL4191">
        <v>13</v>
      </c>
      <c r="AM4191">
        <v>17</v>
      </c>
      <c r="AN4191">
        <v>2</v>
      </c>
      <c r="AO4191">
        <v>64</v>
      </c>
      <c r="AP4191">
        <v>60</v>
      </c>
      <c r="AQ4191">
        <v>11</v>
      </c>
      <c r="AR4191">
        <v>1</v>
      </c>
      <c r="AS4191">
        <v>2</v>
      </c>
      <c r="AT4191">
        <v>0</v>
      </c>
    </row>
    <row r="4192" spans="1:46">
      <c r="A4192">
        <v>70150</v>
      </c>
      <c r="B4192" t="s">
        <v>22652</v>
      </c>
      <c r="C4192" t="s">
        <v>13791</v>
      </c>
      <c r="E4192" t="s">
        <v>22653</v>
      </c>
      <c r="G4192" t="s">
        <v>12839</v>
      </c>
      <c r="H4192" t="s">
        <v>298</v>
      </c>
      <c r="J4192" t="s">
        <v>518</v>
      </c>
      <c r="K4192" t="s">
        <v>519</v>
      </c>
      <c r="M4192" t="s">
        <v>2287</v>
      </c>
      <c r="N4192" t="s">
        <v>571</v>
      </c>
      <c r="O4192" t="s">
        <v>2964</v>
      </c>
      <c r="P4192" t="s">
        <v>523</v>
      </c>
      <c r="Q4192" t="s">
        <v>2943</v>
      </c>
      <c r="R4192" t="s">
        <v>2944</v>
      </c>
      <c r="S4192" t="s">
        <v>2965</v>
      </c>
      <c r="T4192" t="s">
        <v>2448</v>
      </c>
      <c r="U4192">
        <v>315301</v>
      </c>
      <c r="V4192" t="s">
        <v>12839</v>
      </c>
      <c r="W4192" t="s">
        <v>3189</v>
      </c>
      <c r="X4192" t="s">
        <v>13795</v>
      </c>
      <c r="Y4192" t="s">
        <v>5187</v>
      </c>
      <c r="AA4192" t="s">
        <v>5188</v>
      </c>
      <c r="AB4192" t="s">
        <v>13796</v>
      </c>
      <c r="AE4192">
        <v>-43.323909800000003</v>
      </c>
      <c r="AF4192">
        <v>172.66474450000001</v>
      </c>
      <c r="AG4192">
        <v>25</v>
      </c>
      <c r="AH4192">
        <v>20</v>
      </c>
      <c r="AI4192">
        <v>7</v>
      </c>
      <c r="AJ4192">
        <v>9</v>
      </c>
      <c r="AK4192">
        <v>4</v>
      </c>
      <c r="AL4192">
        <v>3</v>
      </c>
      <c r="AM4192">
        <v>6</v>
      </c>
      <c r="AN4192">
        <v>0</v>
      </c>
      <c r="AO4192">
        <v>29</v>
      </c>
      <c r="AP4192">
        <v>26</v>
      </c>
      <c r="AQ4192">
        <v>0</v>
      </c>
      <c r="AR4192">
        <v>0</v>
      </c>
      <c r="AS4192">
        <v>2</v>
      </c>
      <c r="AT4192">
        <v>1</v>
      </c>
    </row>
    <row r="4193" spans="1:46">
      <c r="A4193">
        <v>70151</v>
      </c>
      <c r="B4193" t="s">
        <v>22654</v>
      </c>
      <c r="C4193" t="s">
        <v>22655</v>
      </c>
      <c r="D4193" t="s">
        <v>22656</v>
      </c>
      <c r="E4193" t="s">
        <v>22657</v>
      </c>
      <c r="F4193" t="s">
        <v>10949</v>
      </c>
      <c r="G4193" t="s">
        <v>2941</v>
      </c>
      <c r="H4193" t="s">
        <v>3942</v>
      </c>
      <c r="J4193" t="s">
        <v>3962</v>
      </c>
      <c r="K4193" t="s">
        <v>519</v>
      </c>
      <c r="M4193" t="s">
        <v>2287</v>
      </c>
      <c r="N4193" t="s">
        <v>571</v>
      </c>
      <c r="O4193" t="s">
        <v>2942</v>
      </c>
      <c r="P4193" t="s">
        <v>654</v>
      </c>
      <c r="Q4193" t="s">
        <v>2943</v>
      </c>
      <c r="R4193" t="s">
        <v>2944</v>
      </c>
      <c r="S4193" t="s">
        <v>2979</v>
      </c>
      <c r="T4193" t="s">
        <v>2448</v>
      </c>
      <c r="U4193">
        <v>329200</v>
      </c>
      <c r="V4193" t="s">
        <v>22528</v>
      </c>
      <c r="W4193" t="s">
        <v>2958</v>
      </c>
      <c r="X4193" t="s">
        <v>22658</v>
      </c>
      <c r="Y4193" t="s">
        <v>22657</v>
      </c>
      <c r="Z4193" t="s">
        <v>10949</v>
      </c>
      <c r="AA4193" t="s">
        <v>12325</v>
      </c>
      <c r="AB4193" t="s">
        <v>22659</v>
      </c>
      <c r="AC4193">
        <v>99177</v>
      </c>
      <c r="AD4193" t="s">
        <v>2959</v>
      </c>
      <c r="AE4193">
        <v>-43.563666580000003</v>
      </c>
      <c r="AF4193">
        <v>172.62481438</v>
      </c>
      <c r="AG4193">
        <v>35</v>
      </c>
      <c r="AH4193">
        <v>0</v>
      </c>
      <c r="AI4193">
        <v>0</v>
      </c>
      <c r="AJ4193">
        <v>0</v>
      </c>
      <c r="AK4193">
        <v>9</v>
      </c>
      <c r="AL4193">
        <v>20</v>
      </c>
      <c r="AM4193">
        <v>25</v>
      </c>
      <c r="AN4193">
        <v>2</v>
      </c>
      <c r="AO4193">
        <v>56</v>
      </c>
      <c r="AP4193">
        <v>49</v>
      </c>
      <c r="AQ4193">
        <v>6</v>
      </c>
      <c r="AR4193">
        <v>1</v>
      </c>
      <c r="AS4193">
        <v>4</v>
      </c>
      <c r="AT4193">
        <v>6</v>
      </c>
    </row>
    <row r="4194" spans="1:46">
      <c r="A4194">
        <v>70152</v>
      </c>
      <c r="B4194" t="s">
        <v>22660</v>
      </c>
      <c r="C4194" t="s">
        <v>13791</v>
      </c>
      <c r="E4194" t="s">
        <v>22661</v>
      </c>
      <c r="F4194" t="s">
        <v>2991</v>
      </c>
      <c r="G4194" t="s">
        <v>2941</v>
      </c>
      <c r="H4194" t="s">
        <v>298</v>
      </c>
      <c r="J4194" t="s">
        <v>518</v>
      </c>
      <c r="K4194" t="s">
        <v>519</v>
      </c>
      <c r="M4194" t="s">
        <v>2287</v>
      </c>
      <c r="N4194" t="s">
        <v>571</v>
      </c>
      <c r="O4194" t="s">
        <v>2942</v>
      </c>
      <c r="P4194" t="s">
        <v>654</v>
      </c>
      <c r="Q4194" t="s">
        <v>2943</v>
      </c>
      <c r="R4194" t="s">
        <v>2944</v>
      </c>
      <c r="S4194" t="s">
        <v>2979</v>
      </c>
      <c r="T4194" t="s">
        <v>2448</v>
      </c>
      <c r="U4194">
        <v>331100</v>
      </c>
      <c r="V4194" t="s">
        <v>21653</v>
      </c>
      <c r="W4194" t="s">
        <v>2993</v>
      </c>
      <c r="X4194" t="s">
        <v>13795</v>
      </c>
      <c r="Y4194" t="s">
        <v>5187</v>
      </c>
      <c r="AA4194" t="s">
        <v>5188</v>
      </c>
      <c r="AB4194" t="s">
        <v>13796</v>
      </c>
      <c r="AC4194">
        <v>99063</v>
      </c>
      <c r="AD4194" t="s">
        <v>2994</v>
      </c>
      <c r="AE4194">
        <v>-43.546657170000003</v>
      </c>
      <c r="AF4194">
        <v>172.68345027000001</v>
      </c>
      <c r="AG4194">
        <v>25</v>
      </c>
      <c r="AH4194">
        <v>20</v>
      </c>
      <c r="AI4194">
        <v>16</v>
      </c>
      <c r="AJ4194">
        <v>8</v>
      </c>
      <c r="AK4194">
        <v>13</v>
      </c>
      <c r="AL4194">
        <v>6</v>
      </c>
      <c r="AM4194">
        <v>5</v>
      </c>
      <c r="AN4194">
        <v>1</v>
      </c>
      <c r="AO4194">
        <v>49</v>
      </c>
      <c r="AP4194">
        <v>45</v>
      </c>
      <c r="AQ4194">
        <v>6</v>
      </c>
      <c r="AR4194">
        <v>3</v>
      </c>
      <c r="AS4194">
        <v>1</v>
      </c>
      <c r="AT4194">
        <v>1</v>
      </c>
    </row>
    <row r="4195" spans="1:46">
      <c r="A4195">
        <v>70156</v>
      </c>
      <c r="B4195" t="s">
        <v>22662</v>
      </c>
      <c r="C4195" t="s">
        <v>22663</v>
      </c>
      <c r="D4195" t="s">
        <v>22664</v>
      </c>
      <c r="E4195" t="s">
        <v>22665</v>
      </c>
      <c r="G4195" t="s">
        <v>22440</v>
      </c>
      <c r="H4195" t="s">
        <v>3942</v>
      </c>
      <c r="J4195" t="s">
        <v>3962</v>
      </c>
      <c r="K4195" t="s">
        <v>519</v>
      </c>
      <c r="M4195" t="s">
        <v>2287</v>
      </c>
      <c r="N4195" t="s">
        <v>571</v>
      </c>
      <c r="O4195" t="s">
        <v>13482</v>
      </c>
      <c r="P4195" t="s">
        <v>540</v>
      </c>
      <c r="Q4195" t="s">
        <v>2943</v>
      </c>
      <c r="R4195" t="s">
        <v>2944</v>
      </c>
      <c r="S4195" t="s">
        <v>2825</v>
      </c>
      <c r="T4195" t="s">
        <v>2448</v>
      </c>
      <c r="U4195">
        <v>312200</v>
      </c>
      <c r="V4195" t="s">
        <v>22441</v>
      </c>
      <c r="W4195" t="s">
        <v>13794</v>
      </c>
      <c r="X4195" t="s">
        <v>22666</v>
      </c>
      <c r="Y4195" t="s">
        <v>22667</v>
      </c>
      <c r="AA4195" t="s">
        <v>22668</v>
      </c>
      <c r="AB4195" t="s">
        <v>22669</v>
      </c>
      <c r="AE4195">
        <v>-42.775229379999999</v>
      </c>
      <c r="AF4195">
        <v>172.84810732</v>
      </c>
      <c r="AG4195">
        <v>55</v>
      </c>
      <c r="AH4195">
        <v>10</v>
      </c>
      <c r="AI4195">
        <v>1</v>
      </c>
      <c r="AJ4195">
        <v>5</v>
      </c>
      <c r="AK4195">
        <v>17</v>
      </c>
      <c r="AL4195">
        <v>14</v>
      </c>
      <c r="AM4195">
        <v>22</v>
      </c>
      <c r="AN4195">
        <v>0</v>
      </c>
      <c r="AO4195">
        <v>59</v>
      </c>
      <c r="AP4195">
        <v>48</v>
      </c>
      <c r="AQ4195">
        <v>8</v>
      </c>
      <c r="AR4195">
        <v>1</v>
      </c>
      <c r="AS4195">
        <v>7</v>
      </c>
      <c r="AT4195">
        <v>3</v>
      </c>
    </row>
    <row r="4196" spans="1:46">
      <c r="A4196">
        <v>70158</v>
      </c>
      <c r="B4196" t="s">
        <v>22670</v>
      </c>
      <c r="C4196" t="s">
        <v>22671</v>
      </c>
      <c r="D4196" t="s">
        <v>22672</v>
      </c>
      <c r="E4196" t="s">
        <v>22673</v>
      </c>
      <c r="G4196" t="s">
        <v>10911</v>
      </c>
      <c r="H4196" t="s">
        <v>3942</v>
      </c>
      <c r="J4196" t="s">
        <v>518</v>
      </c>
      <c r="K4196" t="s">
        <v>519</v>
      </c>
      <c r="M4196" t="s">
        <v>2287</v>
      </c>
      <c r="N4196" t="s">
        <v>571</v>
      </c>
      <c r="O4196" t="s">
        <v>3208</v>
      </c>
      <c r="P4196" t="s">
        <v>1262</v>
      </c>
      <c r="Q4196" t="s">
        <v>2943</v>
      </c>
      <c r="R4196" t="s">
        <v>2944</v>
      </c>
      <c r="S4196" t="s">
        <v>3179</v>
      </c>
      <c r="T4196" t="s">
        <v>2448</v>
      </c>
      <c r="U4196">
        <v>335201</v>
      </c>
      <c r="V4196" t="s">
        <v>10913</v>
      </c>
      <c r="W4196" t="s">
        <v>10914</v>
      </c>
      <c r="X4196" t="s">
        <v>10801</v>
      </c>
      <c r="Y4196" t="s">
        <v>3944</v>
      </c>
      <c r="Z4196" t="s">
        <v>3945</v>
      </c>
      <c r="AA4196" t="s">
        <v>3946</v>
      </c>
      <c r="AC4196">
        <v>99206</v>
      </c>
      <c r="AD4196" t="s">
        <v>3211</v>
      </c>
      <c r="AE4196">
        <v>-43.595764950000003</v>
      </c>
      <c r="AF4196">
        <v>172.39440690000001</v>
      </c>
      <c r="AG4196">
        <v>70</v>
      </c>
      <c r="AH4196">
        <v>20</v>
      </c>
      <c r="AI4196">
        <v>3</v>
      </c>
      <c r="AJ4196">
        <v>15</v>
      </c>
      <c r="AK4196">
        <v>19</v>
      </c>
      <c r="AL4196">
        <v>23</v>
      </c>
      <c r="AM4196">
        <v>25</v>
      </c>
      <c r="AN4196">
        <v>1</v>
      </c>
      <c r="AO4196">
        <v>86</v>
      </c>
      <c r="AP4196">
        <v>62</v>
      </c>
      <c r="AQ4196">
        <v>10</v>
      </c>
      <c r="AR4196">
        <v>3</v>
      </c>
      <c r="AS4196">
        <v>16</v>
      </c>
      <c r="AT4196">
        <v>15</v>
      </c>
    </row>
    <row r="4197" spans="1:46">
      <c r="A4197">
        <v>70163</v>
      </c>
      <c r="B4197" t="s">
        <v>22674</v>
      </c>
      <c r="C4197" t="s">
        <v>22675</v>
      </c>
      <c r="D4197" t="s">
        <v>22676</v>
      </c>
      <c r="E4197" t="s">
        <v>22677</v>
      </c>
      <c r="F4197" t="s">
        <v>2940</v>
      </c>
      <c r="G4197" t="s">
        <v>2941</v>
      </c>
      <c r="H4197" t="s">
        <v>3942</v>
      </c>
      <c r="J4197" t="s">
        <v>3962</v>
      </c>
      <c r="K4197" t="s">
        <v>519</v>
      </c>
      <c r="M4197" t="s">
        <v>2287</v>
      </c>
      <c r="N4197" t="s">
        <v>571</v>
      </c>
      <c r="O4197" t="s">
        <v>2942</v>
      </c>
      <c r="P4197" t="s">
        <v>654</v>
      </c>
      <c r="Q4197" t="s">
        <v>2943</v>
      </c>
      <c r="R4197" t="s">
        <v>2944</v>
      </c>
      <c r="S4197" t="s">
        <v>2945</v>
      </c>
      <c r="T4197" t="s">
        <v>2448</v>
      </c>
      <c r="U4197">
        <v>319700</v>
      </c>
      <c r="V4197" t="s">
        <v>2946</v>
      </c>
      <c r="W4197" t="s">
        <v>2947</v>
      </c>
      <c r="X4197" t="s">
        <v>12077</v>
      </c>
      <c r="Y4197" t="s">
        <v>4097</v>
      </c>
      <c r="Z4197" t="s">
        <v>4098</v>
      </c>
      <c r="AA4197" t="s">
        <v>4099</v>
      </c>
      <c r="AB4197" t="s">
        <v>10807</v>
      </c>
      <c r="AC4197">
        <v>99176</v>
      </c>
      <c r="AD4197" t="s">
        <v>3077</v>
      </c>
      <c r="AE4197">
        <v>-43.527209679999999</v>
      </c>
      <c r="AF4197">
        <v>172.55776854000001</v>
      </c>
      <c r="AG4197">
        <v>100</v>
      </c>
      <c r="AH4197">
        <v>25</v>
      </c>
      <c r="AI4197">
        <v>6</v>
      </c>
      <c r="AJ4197">
        <v>9</v>
      </c>
      <c r="AK4197">
        <v>20</v>
      </c>
      <c r="AL4197">
        <v>26</v>
      </c>
      <c r="AM4197">
        <v>29</v>
      </c>
      <c r="AN4197">
        <v>1</v>
      </c>
      <c r="AO4197">
        <v>91</v>
      </c>
      <c r="AP4197">
        <v>31</v>
      </c>
      <c r="AQ4197">
        <v>8</v>
      </c>
      <c r="AR4197">
        <v>8</v>
      </c>
      <c r="AS4197">
        <v>61</v>
      </c>
      <c r="AT4197">
        <v>2</v>
      </c>
    </row>
    <row r="4198" spans="1:46">
      <c r="A4198">
        <v>70164</v>
      </c>
      <c r="B4198" t="s">
        <v>22678</v>
      </c>
      <c r="C4198" t="s">
        <v>22679</v>
      </c>
      <c r="D4198" t="s">
        <v>22680</v>
      </c>
      <c r="E4198" t="s">
        <v>22681</v>
      </c>
      <c r="F4198" t="s">
        <v>3230</v>
      </c>
      <c r="G4198" t="s">
        <v>3217</v>
      </c>
      <c r="H4198" t="s">
        <v>3942</v>
      </c>
      <c r="J4198" t="s">
        <v>3962</v>
      </c>
      <c r="K4198" t="s">
        <v>519</v>
      </c>
      <c r="M4198" t="s">
        <v>2287</v>
      </c>
      <c r="N4198" t="s">
        <v>4519</v>
      </c>
      <c r="O4198" t="s">
        <v>3218</v>
      </c>
      <c r="P4198" t="s">
        <v>1262</v>
      </c>
      <c r="Q4198" t="s">
        <v>2943</v>
      </c>
      <c r="R4198" t="s">
        <v>2944</v>
      </c>
      <c r="S4198" t="s">
        <v>3219</v>
      </c>
      <c r="T4198" t="s">
        <v>2448</v>
      </c>
      <c r="U4198">
        <v>337900</v>
      </c>
      <c r="V4198" t="s">
        <v>22682</v>
      </c>
      <c r="W4198" t="s">
        <v>3221</v>
      </c>
      <c r="X4198" t="s">
        <v>22683</v>
      </c>
      <c r="Y4198" t="s">
        <v>22681</v>
      </c>
      <c r="Z4198" t="s">
        <v>3230</v>
      </c>
      <c r="AA4198" t="s">
        <v>3224</v>
      </c>
      <c r="AB4198" t="s">
        <v>22684</v>
      </c>
      <c r="AC4198">
        <v>99043</v>
      </c>
      <c r="AD4198" t="s">
        <v>3226</v>
      </c>
      <c r="AE4198">
        <v>-43.914564630000001</v>
      </c>
      <c r="AF4198">
        <v>171.72362304000001</v>
      </c>
      <c r="AG4198">
        <v>50</v>
      </c>
      <c r="AH4198">
        <v>14</v>
      </c>
      <c r="AI4198">
        <v>3</v>
      </c>
      <c r="AJ4198">
        <v>8</v>
      </c>
      <c r="AK4198">
        <v>16</v>
      </c>
      <c r="AL4198">
        <v>18</v>
      </c>
      <c r="AM4198">
        <v>17</v>
      </c>
      <c r="AN4198">
        <v>0</v>
      </c>
      <c r="AO4198">
        <v>62</v>
      </c>
      <c r="AP4198">
        <v>57</v>
      </c>
      <c r="AQ4198">
        <v>2</v>
      </c>
      <c r="AR4198">
        <v>0</v>
      </c>
      <c r="AS4198">
        <v>3</v>
      </c>
      <c r="AT4198">
        <v>2</v>
      </c>
    </row>
    <row r="4199" spans="1:46">
      <c r="A4199">
        <v>70166</v>
      </c>
      <c r="B4199" t="s">
        <v>22685</v>
      </c>
      <c r="C4199" t="s">
        <v>22686</v>
      </c>
      <c r="D4199" t="s">
        <v>22687</v>
      </c>
      <c r="E4199" t="s">
        <v>22688</v>
      </c>
      <c r="G4199" t="s">
        <v>2963</v>
      </c>
      <c r="H4199" t="s">
        <v>3942</v>
      </c>
      <c r="J4199" t="s">
        <v>3962</v>
      </c>
      <c r="K4199" t="s">
        <v>519</v>
      </c>
      <c r="M4199" t="s">
        <v>2287</v>
      </c>
      <c r="N4199" t="s">
        <v>571</v>
      </c>
      <c r="O4199" t="s">
        <v>2964</v>
      </c>
      <c r="P4199" t="s">
        <v>572</v>
      </c>
      <c r="Q4199" t="s">
        <v>2943</v>
      </c>
      <c r="R4199" t="s">
        <v>2944</v>
      </c>
      <c r="S4199" t="s">
        <v>2965</v>
      </c>
      <c r="T4199" t="s">
        <v>2448</v>
      </c>
      <c r="U4199">
        <v>313801</v>
      </c>
      <c r="V4199" t="s">
        <v>22689</v>
      </c>
      <c r="W4199" t="s">
        <v>2967</v>
      </c>
      <c r="X4199" t="s">
        <v>22690</v>
      </c>
      <c r="Y4199" t="s">
        <v>22691</v>
      </c>
      <c r="Z4199" t="s">
        <v>2963</v>
      </c>
      <c r="AA4199" t="s">
        <v>22692</v>
      </c>
      <c r="AB4199" t="s">
        <v>22693</v>
      </c>
      <c r="AC4199">
        <v>99077</v>
      </c>
      <c r="AD4199" t="s">
        <v>2968</v>
      </c>
      <c r="AE4199">
        <v>-43.321294709999997</v>
      </c>
      <c r="AF4199">
        <v>172.53565649999999</v>
      </c>
      <c r="AG4199">
        <v>62</v>
      </c>
      <c r="AH4199">
        <v>11</v>
      </c>
      <c r="AI4199">
        <v>1</v>
      </c>
      <c r="AJ4199">
        <v>15</v>
      </c>
      <c r="AK4199">
        <v>19</v>
      </c>
      <c r="AL4199">
        <v>20</v>
      </c>
      <c r="AM4199">
        <v>23</v>
      </c>
      <c r="AN4199">
        <v>1</v>
      </c>
      <c r="AO4199">
        <v>79</v>
      </c>
      <c r="AP4199">
        <v>76</v>
      </c>
      <c r="AQ4199">
        <v>6</v>
      </c>
      <c r="AR4199">
        <v>2</v>
      </c>
      <c r="AS4199">
        <v>2</v>
      </c>
      <c r="AT4199">
        <v>1</v>
      </c>
    </row>
    <row r="4200" spans="1:46">
      <c r="A4200">
        <v>70167</v>
      </c>
      <c r="B4200" t="s">
        <v>22694</v>
      </c>
      <c r="C4200" t="s">
        <v>22695</v>
      </c>
      <c r="D4200" t="s">
        <v>22696</v>
      </c>
      <c r="E4200" t="s">
        <v>22697</v>
      </c>
      <c r="F4200" t="s">
        <v>3209</v>
      </c>
      <c r="G4200" t="s">
        <v>2941</v>
      </c>
      <c r="H4200" t="s">
        <v>3942</v>
      </c>
      <c r="I4200" t="s">
        <v>4065</v>
      </c>
      <c r="J4200" t="s">
        <v>3962</v>
      </c>
      <c r="K4200" t="s">
        <v>519</v>
      </c>
      <c r="M4200" t="s">
        <v>2287</v>
      </c>
      <c r="N4200" t="s">
        <v>571</v>
      </c>
      <c r="O4200" t="s">
        <v>3208</v>
      </c>
      <c r="P4200" t="s">
        <v>572</v>
      </c>
      <c r="Q4200" t="s">
        <v>2943</v>
      </c>
      <c r="R4200" t="s">
        <v>2944</v>
      </c>
      <c r="S4200" t="s">
        <v>3179</v>
      </c>
      <c r="T4200" t="s">
        <v>2448</v>
      </c>
      <c r="U4200">
        <v>335001</v>
      </c>
      <c r="V4200" t="s">
        <v>15565</v>
      </c>
      <c r="W4200" t="s">
        <v>3210</v>
      </c>
      <c r="X4200" t="s">
        <v>22698</v>
      </c>
      <c r="Y4200" t="s">
        <v>22699</v>
      </c>
      <c r="Z4200" t="s">
        <v>12994</v>
      </c>
      <c r="AA4200" t="s">
        <v>18026</v>
      </c>
      <c r="AB4200" t="s">
        <v>22700</v>
      </c>
      <c r="AC4200">
        <v>99206</v>
      </c>
      <c r="AD4200" t="s">
        <v>3211</v>
      </c>
      <c r="AE4200">
        <v>-43.632907930000002</v>
      </c>
      <c r="AF4200">
        <v>172.29288724</v>
      </c>
      <c r="AG4200">
        <v>68</v>
      </c>
      <c r="AH4200">
        <v>15</v>
      </c>
      <c r="AI4200">
        <v>1</v>
      </c>
      <c r="AJ4200">
        <v>10</v>
      </c>
      <c r="AK4200">
        <v>9</v>
      </c>
      <c r="AL4200">
        <v>18</v>
      </c>
      <c r="AM4200">
        <v>21</v>
      </c>
      <c r="AN4200">
        <v>1</v>
      </c>
      <c r="AO4200">
        <v>60</v>
      </c>
      <c r="AP4200">
        <v>50</v>
      </c>
      <c r="AQ4200">
        <v>12</v>
      </c>
      <c r="AR4200">
        <v>3</v>
      </c>
      <c r="AS4200">
        <v>7</v>
      </c>
      <c r="AT4200">
        <v>4</v>
      </c>
    </row>
    <row r="4201" spans="1:46">
      <c r="A4201">
        <v>70168</v>
      </c>
      <c r="B4201" t="s">
        <v>22701</v>
      </c>
      <c r="D4201" t="s">
        <v>22702</v>
      </c>
      <c r="E4201" t="s">
        <v>22703</v>
      </c>
      <c r="G4201" t="s">
        <v>10885</v>
      </c>
      <c r="H4201" t="s">
        <v>3942</v>
      </c>
      <c r="J4201" t="s">
        <v>3962</v>
      </c>
      <c r="K4201" t="s">
        <v>519</v>
      </c>
      <c r="M4201" t="s">
        <v>2287</v>
      </c>
      <c r="N4201" t="s">
        <v>571</v>
      </c>
      <c r="O4201" t="s">
        <v>3218</v>
      </c>
      <c r="P4201" t="s">
        <v>523</v>
      </c>
      <c r="Q4201" t="s">
        <v>2943</v>
      </c>
      <c r="R4201" t="s">
        <v>2944</v>
      </c>
      <c r="S4201" t="s">
        <v>3219</v>
      </c>
      <c r="T4201" t="s">
        <v>2448</v>
      </c>
      <c r="U4201">
        <v>337600</v>
      </c>
      <c r="V4201" t="s">
        <v>22704</v>
      </c>
      <c r="W4201" t="s">
        <v>2455</v>
      </c>
      <c r="X4201" t="s">
        <v>22705</v>
      </c>
      <c r="Y4201" t="s">
        <v>22703</v>
      </c>
      <c r="AA4201" t="s">
        <v>22706</v>
      </c>
      <c r="AC4201">
        <v>99009</v>
      </c>
      <c r="AD4201" t="s">
        <v>10890</v>
      </c>
      <c r="AE4201">
        <v>-43.752419869999997</v>
      </c>
      <c r="AF4201">
        <v>172.02339119000001</v>
      </c>
      <c r="AG4201">
        <v>50</v>
      </c>
      <c r="AH4201">
        <v>11</v>
      </c>
      <c r="AI4201">
        <v>1</v>
      </c>
      <c r="AJ4201">
        <v>13</v>
      </c>
      <c r="AK4201">
        <v>14</v>
      </c>
      <c r="AL4201">
        <v>24</v>
      </c>
      <c r="AM4201">
        <v>18</v>
      </c>
      <c r="AN4201">
        <v>0</v>
      </c>
      <c r="AO4201">
        <v>70</v>
      </c>
      <c r="AP4201">
        <v>46</v>
      </c>
      <c r="AQ4201">
        <v>16</v>
      </c>
      <c r="AR4201">
        <v>6</v>
      </c>
      <c r="AS4201">
        <v>13</v>
      </c>
      <c r="AT4201">
        <v>0</v>
      </c>
    </row>
    <row r="4202" spans="1:46">
      <c r="A4202">
        <v>70170</v>
      </c>
      <c r="B4202" t="s">
        <v>22707</v>
      </c>
      <c r="C4202" t="s">
        <v>22708</v>
      </c>
      <c r="D4202" t="s">
        <v>22709</v>
      </c>
      <c r="E4202" t="s">
        <v>22710</v>
      </c>
      <c r="G4202" t="s">
        <v>3637</v>
      </c>
      <c r="H4202" t="s">
        <v>3942</v>
      </c>
      <c r="J4202" t="s">
        <v>3962</v>
      </c>
      <c r="K4202" t="s">
        <v>519</v>
      </c>
      <c r="M4202" t="s">
        <v>2287</v>
      </c>
      <c r="N4202" t="s">
        <v>571</v>
      </c>
      <c r="O4202" t="s">
        <v>3323</v>
      </c>
      <c r="P4202" t="s">
        <v>523</v>
      </c>
      <c r="Q4202" t="s">
        <v>2943</v>
      </c>
      <c r="R4202" t="s">
        <v>2944</v>
      </c>
      <c r="S4202" t="s">
        <v>3250</v>
      </c>
      <c r="T4202" t="s">
        <v>2448</v>
      </c>
      <c r="U4202">
        <v>342500</v>
      </c>
      <c r="V4202" t="s">
        <v>17011</v>
      </c>
      <c r="W4202" t="s">
        <v>3639</v>
      </c>
      <c r="X4202" t="s">
        <v>22711</v>
      </c>
      <c r="Y4202" t="s">
        <v>22710</v>
      </c>
      <c r="Z4202" t="s">
        <v>3637</v>
      </c>
      <c r="AA4202" t="s">
        <v>22712</v>
      </c>
      <c r="AB4202" t="s">
        <v>22713</v>
      </c>
      <c r="AC4202">
        <v>99040</v>
      </c>
      <c r="AD4202" t="s">
        <v>3330</v>
      </c>
      <c r="AE4202">
        <v>-44.73292867</v>
      </c>
      <c r="AF4202">
        <v>171.05329391999999</v>
      </c>
      <c r="AG4202">
        <v>51</v>
      </c>
      <c r="AH4202">
        <v>10</v>
      </c>
      <c r="AI4202">
        <v>3</v>
      </c>
      <c r="AJ4202">
        <v>12</v>
      </c>
      <c r="AK4202">
        <v>14</v>
      </c>
      <c r="AL4202">
        <v>21</v>
      </c>
      <c r="AM4202">
        <v>20</v>
      </c>
      <c r="AN4202">
        <v>1</v>
      </c>
      <c r="AO4202">
        <v>71</v>
      </c>
      <c r="AP4202">
        <v>65</v>
      </c>
      <c r="AQ4202">
        <v>14</v>
      </c>
      <c r="AR4202">
        <v>5</v>
      </c>
      <c r="AS4202">
        <v>3</v>
      </c>
      <c r="AT4202">
        <v>3</v>
      </c>
    </row>
    <row r="4203" spans="1:46">
      <c r="A4203">
        <v>70172</v>
      </c>
      <c r="B4203" t="s">
        <v>22714</v>
      </c>
      <c r="C4203" t="s">
        <v>22715</v>
      </c>
      <c r="D4203" t="s">
        <v>22716</v>
      </c>
      <c r="E4203" t="s">
        <v>22717</v>
      </c>
      <c r="F4203" t="s">
        <v>2950</v>
      </c>
      <c r="G4203" t="s">
        <v>2941</v>
      </c>
      <c r="H4203" t="s">
        <v>3942</v>
      </c>
      <c r="J4203" t="s">
        <v>518</v>
      </c>
      <c r="K4203" t="s">
        <v>519</v>
      </c>
      <c r="M4203" t="s">
        <v>2287</v>
      </c>
      <c r="N4203" t="s">
        <v>571</v>
      </c>
      <c r="O4203" t="s">
        <v>2942</v>
      </c>
      <c r="P4203" t="s">
        <v>654</v>
      </c>
      <c r="Q4203" t="s">
        <v>2943</v>
      </c>
      <c r="R4203" t="s">
        <v>2944</v>
      </c>
      <c r="S4203" t="s">
        <v>2945</v>
      </c>
      <c r="T4203" t="s">
        <v>2448</v>
      </c>
      <c r="U4203">
        <v>323200</v>
      </c>
      <c r="V4203" t="s">
        <v>3140</v>
      </c>
      <c r="W4203" t="s">
        <v>3076</v>
      </c>
      <c r="X4203" t="s">
        <v>10801</v>
      </c>
      <c r="Y4203" t="s">
        <v>3944</v>
      </c>
      <c r="Z4203" t="s">
        <v>3945</v>
      </c>
      <c r="AA4203" t="s">
        <v>3946</v>
      </c>
      <c r="AC4203">
        <v>99176</v>
      </c>
      <c r="AD4203" t="s">
        <v>3077</v>
      </c>
      <c r="AE4203">
        <v>-43.527111990000002</v>
      </c>
      <c r="AF4203">
        <v>172.60787529000001</v>
      </c>
      <c r="AG4203">
        <v>70</v>
      </c>
      <c r="AH4203">
        <v>16</v>
      </c>
      <c r="AI4203">
        <v>2</v>
      </c>
      <c r="AJ4203">
        <v>4</v>
      </c>
      <c r="AK4203">
        <v>11</v>
      </c>
      <c r="AL4203">
        <v>24</v>
      </c>
      <c r="AM4203">
        <v>16</v>
      </c>
      <c r="AN4203">
        <v>0</v>
      </c>
      <c r="AO4203">
        <v>57</v>
      </c>
      <c r="AP4203">
        <v>15</v>
      </c>
      <c r="AQ4203">
        <v>2</v>
      </c>
      <c r="AR4203">
        <v>7</v>
      </c>
      <c r="AS4203">
        <v>35</v>
      </c>
      <c r="AT4203">
        <v>11</v>
      </c>
    </row>
    <row r="4204" spans="1:46">
      <c r="A4204">
        <v>70301</v>
      </c>
      <c r="B4204" t="s">
        <v>22718</v>
      </c>
      <c r="C4204" t="s">
        <v>22719</v>
      </c>
      <c r="E4204" t="s">
        <v>22720</v>
      </c>
      <c r="F4204" t="s">
        <v>3173</v>
      </c>
      <c r="G4204" t="s">
        <v>2941</v>
      </c>
      <c r="H4204" t="s">
        <v>3942</v>
      </c>
      <c r="J4204" t="s">
        <v>3962</v>
      </c>
      <c r="K4204" t="s">
        <v>519</v>
      </c>
      <c r="M4204" t="s">
        <v>2287</v>
      </c>
      <c r="N4204" t="s">
        <v>571</v>
      </c>
      <c r="O4204" t="s">
        <v>2942</v>
      </c>
      <c r="P4204" t="s">
        <v>654</v>
      </c>
      <c r="Q4204" t="s">
        <v>2943</v>
      </c>
      <c r="R4204" t="s">
        <v>2944</v>
      </c>
      <c r="S4204" t="s">
        <v>2957</v>
      </c>
      <c r="T4204" t="s">
        <v>2448</v>
      </c>
      <c r="U4204">
        <v>323900</v>
      </c>
      <c r="V4204" t="s">
        <v>22721</v>
      </c>
      <c r="W4204" t="s">
        <v>3070</v>
      </c>
      <c r="X4204" t="s">
        <v>22632</v>
      </c>
      <c r="Y4204" t="s">
        <v>22722</v>
      </c>
      <c r="Z4204" t="s">
        <v>3662</v>
      </c>
      <c r="AA4204" t="s">
        <v>12325</v>
      </c>
      <c r="AB4204" t="s">
        <v>18244</v>
      </c>
      <c r="AE4204">
        <v>-43.51491935</v>
      </c>
      <c r="AF4204">
        <v>172.6314386</v>
      </c>
      <c r="AG4204">
        <v>32</v>
      </c>
      <c r="AH4204">
        <v>0</v>
      </c>
      <c r="AI4204">
        <v>0</v>
      </c>
      <c r="AJ4204">
        <v>0</v>
      </c>
      <c r="AK4204">
        <v>13</v>
      </c>
      <c r="AL4204">
        <v>6</v>
      </c>
      <c r="AM4204">
        <v>10</v>
      </c>
      <c r="AN4204">
        <v>1</v>
      </c>
      <c r="AO4204">
        <v>30</v>
      </c>
      <c r="AP4204">
        <v>25</v>
      </c>
      <c r="AQ4204">
        <v>3</v>
      </c>
      <c r="AR4204">
        <v>3</v>
      </c>
      <c r="AS4204">
        <v>5</v>
      </c>
      <c r="AT4204">
        <v>1</v>
      </c>
    </row>
    <row r="4205" spans="1:46">
      <c r="A4205">
        <v>70308</v>
      </c>
      <c r="B4205" t="s">
        <v>22723</v>
      </c>
      <c r="C4205" t="s">
        <v>22724</v>
      </c>
      <c r="D4205" t="s">
        <v>22725</v>
      </c>
      <c r="E4205" t="s">
        <v>22726</v>
      </c>
      <c r="F4205" t="s">
        <v>3125</v>
      </c>
      <c r="G4205" t="s">
        <v>2941</v>
      </c>
      <c r="H4205" t="s">
        <v>3942</v>
      </c>
      <c r="J4205" t="s">
        <v>518</v>
      </c>
      <c r="K4205" t="s">
        <v>519</v>
      </c>
      <c r="M4205" t="s">
        <v>2287</v>
      </c>
      <c r="N4205" t="s">
        <v>539</v>
      </c>
      <c r="O4205" t="s">
        <v>2942</v>
      </c>
      <c r="P4205" t="s">
        <v>654</v>
      </c>
      <c r="Q4205" t="s">
        <v>2943</v>
      </c>
      <c r="R4205" t="s">
        <v>2944</v>
      </c>
      <c r="S4205" t="s">
        <v>2973</v>
      </c>
      <c r="T4205" t="s">
        <v>2448</v>
      </c>
      <c r="U4205">
        <v>328400</v>
      </c>
      <c r="V4205" t="s">
        <v>3124</v>
      </c>
      <c r="W4205" t="s">
        <v>3126</v>
      </c>
      <c r="X4205" t="s">
        <v>22727</v>
      </c>
      <c r="Y4205" t="s">
        <v>22728</v>
      </c>
      <c r="Z4205" t="s">
        <v>3125</v>
      </c>
      <c r="AA4205" t="s">
        <v>22729</v>
      </c>
      <c r="AE4205">
        <v>-43.514691380000002</v>
      </c>
      <c r="AF4205">
        <v>172.69710196</v>
      </c>
      <c r="AG4205">
        <v>40</v>
      </c>
      <c r="AH4205">
        <v>10</v>
      </c>
      <c r="AI4205">
        <v>0</v>
      </c>
      <c r="AJ4205">
        <v>14</v>
      </c>
      <c r="AK4205">
        <v>7</v>
      </c>
      <c r="AL4205">
        <v>15</v>
      </c>
      <c r="AM4205">
        <v>9</v>
      </c>
      <c r="AN4205">
        <v>1</v>
      </c>
      <c r="AO4205">
        <v>46</v>
      </c>
      <c r="AP4205">
        <v>31</v>
      </c>
      <c r="AQ4205">
        <v>32</v>
      </c>
      <c r="AR4205">
        <v>12</v>
      </c>
      <c r="AS4205">
        <v>1</v>
      </c>
      <c r="AT4205">
        <v>3</v>
      </c>
    </row>
    <row r="4206" spans="1:46">
      <c r="A4206">
        <v>70309</v>
      </c>
      <c r="B4206" t="s">
        <v>22730</v>
      </c>
      <c r="C4206" t="s">
        <v>22731</v>
      </c>
      <c r="D4206" t="s">
        <v>22732</v>
      </c>
      <c r="E4206" t="s">
        <v>22733</v>
      </c>
      <c r="G4206" t="s">
        <v>3217</v>
      </c>
      <c r="H4206" t="s">
        <v>3942</v>
      </c>
      <c r="I4206" t="s">
        <v>5772</v>
      </c>
      <c r="J4206" t="s">
        <v>518</v>
      </c>
      <c r="K4206" t="s">
        <v>519</v>
      </c>
      <c r="M4206" t="s">
        <v>2287</v>
      </c>
      <c r="N4206" t="s">
        <v>571</v>
      </c>
      <c r="O4206" t="s">
        <v>3218</v>
      </c>
      <c r="P4206" t="s">
        <v>1262</v>
      </c>
      <c r="Q4206" t="s">
        <v>2943</v>
      </c>
      <c r="R4206" t="s">
        <v>2944</v>
      </c>
      <c r="S4206" t="s">
        <v>3219</v>
      </c>
      <c r="T4206" t="s">
        <v>2448</v>
      </c>
      <c r="U4206">
        <v>338501</v>
      </c>
      <c r="V4206" t="s">
        <v>3235</v>
      </c>
      <c r="W4206" t="s">
        <v>3221</v>
      </c>
      <c r="X4206" t="s">
        <v>22734</v>
      </c>
      <c r="Y4206" t="s">
        <v>22735</v>
      </c>
      <c r="AA4206" t="s">
        <v>3224</v>
      </c>
      <c r="AB4206" t="s">
        <v>22731</v>
      </c>
      <c r="AC4206">
        <v>99043</v>
      </c>
      <c r="AD4206" t="s">
        <v>3226</v>
      </c>
      <c r="AE4206">
        <v>-43.911082579999999</v>
      </c>
      <c r="AF4206">
        <v>171.75324107</v>
      </c>
      <c r="AG4206">
        <v>81</v>
      </c>
      <c r="AH4206">
        <v>25</v>
      </c>
      <c r="AI4206">
        <v>2</v>
      </c>
      <c r="AJ4206">
        <v>10</v>
      </c>
      <c r="AK4206">
        <v>12</v>
      </c>
      <c r="AL4206">
        <v>20</v>
      </c>
      <c r="AM4206">
        <v>25</v>
      </c>
      <c r="AN4206">
        <v>0</v>
      </c>
      <c r="AO4206">
        <v>69</v>
      </c>
      <c r="AP4206">
        <v>43</v>
      </c>
      <c r="AQ4206">
        <v>12</v>
      </c>
      <c r="AR4206">
        <v>18</v>
      </c>
      <c r="AS4206">
        <v>14</v>
      </c>
      <c r="AT4206">
        <v>6</v>
      </c>
    </row>
    <row r="4207" spans="1:46">
      <c r="A4207">
        <v>70311</v>
      </c>
      <c r="B4207" t="s">
        <v>22736</v>
      </c>
      <c r="C4207" t="s">
        <v>22737</v>
      </c>
      <c r="D4207" t="s">
        <v>22738</v>
      </c>
      <c r="E4207" t="s">
        <v>22739</v>
      </c>
      <c r="G4207" t="s">
        <v>3217</v>
      </c>
      <c r="H4207" t="s">
        <v>3942</v>
      </c>
      <c r="J4207" t="s">
        <v>518</v>
      </c>
      <c r="K4207" t="s">
        <v>519</v>
      </c>
      <c r="M4207" t="s">
        <v>2287</v>
      </c>
      <c r="N4207" t="s">
        <v>571</v>
      </c>
      <c r="O4207" t="s">
        <v>3218</v>
      </c>
      <c r="P4207" t="s">
        <v>1262</v>
      </c>
      <c r="Q4207" t="s">
        <v>2943</v>
      </c>
      <c r="R4207" t="s">
        <v>2944</v>
      </c>
      <c r="S4207" t="s">
        <v>3219</v>
      </c>
      <c r="T4207" t="s">
        <v>2448</v>
      </c>
      <c r="U4207">
        <v>337800</v>
      </c>
      <c r="V4207" t="s">
        <v>3243</v>
      </c>
      <c r="W4207" t="s">
        <v>3221</v>
      </c>
      <c r="X4207" t="s">
        <v>22740</v>
      </c>
      <c r="Y4207" t="s">
        <v>10048</v>
      </c>
      <c r="Z4207" t="s">
        <v>3217</v>
      </c>
      <c r="AA4207" t="s">
        <v>22436</v>
      </c>
      <c r="AC4207">
        <v>99043</v>
      </c>
      <c r="AD4207" t="s">
        <v>3226</v>
      </c>
      <c r="AE4207">
        <v>-43.890093190000002</v>
      </c>
      <c r="AF4207">
        <v>171.75152936999999</v>
      </c>
      <c r="AG4207">
        <v>50</v>
      </c>
      <c r="AH4207">
        <v>18</v>
      </c>
      <c r="AI4207">
        <v>3</v>
      </c>
      <c r="AJ4207">
        <v>11</v>
      </c>
      <c r="AK4207">
        <v>14</v>
      </c>
      <c r="AL4207">
        <v>24</v>
      </c>
      <c r="AM4207">
        <v>14</v>
      </c>
      <c r="AN4207">
        <v>2</v>
      </c>
      <c r="AO4207">
        <v>68</v>
      </c>
      <c r="AP4207">
        <v>68</v>
      </c>
      <c r="AQ4207">
        <v>5</v>
      </c>
      <c r="AR4207">
        <v>0</v>
      </c>
      <c r="AS4207">
        <v>2</v>
      </c>
      <c r="AT4207">
        <v>0</v>
      </c>
    </row>
    <row r="4208" spans="1:46">
      <c r="A4208">
        <v>70321</v>
      </c>
      <c r="B4208" t="s">
        <v>22741</v>
      </c>
      <c r="C4208" t="s">
        <v>22742</v>
      </c>
      <c r="E4208" t="s">
        <v>22743</v>
      </c>
      <c r="F4208" t="s">
        <v>21823</v>
      </c>
      <c r="G4208" t="s">
        <v>2941</v>
      </c>
      <c r="H4208" t="s">
        <v>3942</v>
      </c>
      <c r="J4208" t="s">
        <v>518</v>
      </c>
      <c r="K4208" t="s">
        <v>519</v>
      </c>
      <c r="M4208" t="s">
        <v>2287</v>
      </c>
      <c r="N4208" t="s">
        <v>557</v>
      </c>
      <c r="O4208" t="s">
        <v>2942</v>
      </c>
      <c r="P4208" t="s">
        <v>654</v>
      </c>
      <c r="Q4208" t="s">
        <v>2943</v>
      </c>
      <c r="R4208" t="s">
        <v>2944</v>
      </c>
      <c r="S4208" t="s">
        <v>2973</v>
      </c>
      <c r="T4208" t="s">
        <v>2448</v>
      </c>
      <c r="U4208">
        <v>327800</v>
      </c>
      <c r="V4208" t="s">
        <v>21823</v>
      </c>
      <c r="W4208" t="s">
        <v>3126</v>
      </c>
      <c r="X4208" t="s">
        <v>22744</v>
      </c>
      <c r="Y4208" t="s">
        <v>22743</v>
      </c>
      <c r="Z4208" t="s">
        <v>21823</v>
      </c>
      <c r="AA4208" t="s">
        <v>21657</v>
      </c>
      <c r="AB4208" t="s">
        <v>22745</v>
      </c>
      <c r="AC4208">
        <v>99063</v>
      </c>
      <c r="AD4208" t="s">
        <v>2994</v>
      </c>
      <c r="AE4208">
        <v>-43.524957899999997</v>
      </c>
      <c r="AF4208">
        <v>172.66332829999999</v>
      </c>
      <c r="AG4208">
        <v>35</v>
      </c>
      <c r="AH4208">
        <v>6</v>
      </c>
      <c r="AI4208">
        <v>0</v>
      </c>
      <c r="AJ4208">
        <v>4</v>
      </c>
      <c r="AK4208">
        <v>7</v>
      </c>
      <c r="AL4208">
        <v>10</v>
      </c>
      <c r="AM4208">
        <v>4</v>
      </c>
      <c r="AN4208">
        <v>1</v>
      </c>
      <c r="AO4208">
        <v>26</v>
      </c>
      <c r="AP4208">
        <v>23</v>
      </c>
      <c r="AQ4208">
        <v>3</v>
      </c>
      <c r="AR4208">
        <v>1</v>
      </c>
      <c r="AS4208">
        <v>6</v>
      </c>
      <c r="AT4208">
        <v>2</v>
      </c>
    </row>
    <row r="4209" spans="1:46">
      <c r="A4209">
        <v>70329</v>
      </c>
      <c r="B4209" t="s">
        <v>22746</v>
      </c>
      <c r="C4209" t="s">
        <v>22747</v>
      </c>
      <c r="D4209" t="s">
        <v>22748</v>
      </c>
      <c r="E4209" t="s">
        <v>22749</v>
      </c>
      <c r="F4209" t="s">
        <v>2984</v>
      </c>
      <c r="G4209" t="s">
        <v>2941</v>
      </c>
      <c r="H4209" t="s">
        <v>3942</v>
      </c>
      <c r="J4209" t="s">
        <v>518</v>
      </c>
      <c r="K4209" t="s">
        <v>519</v>
      </c>
      <c r="M4209" t="s">
        <v>2287</v>
      </c>
      <c r="N4209" t="s">
        <v>571</v>
      </c>
      <c r="O4209" t="s">
        <v>2942</v>
      </c>
      <c r="P4209" t="s">
        <v>654</v>
      </c>
      <c r="Q4209" t="s">
        <v>2943</v>
      </c>
      <c r="R4209" t="s">
        <v>2944</v>
      </c>
      <c r="S4209" t="s">
        <v>2945</v>
      </c>
      <c r="T4209" t="s">
        <v>2448</v>
      </c>
      <c r="U4209">
        <v>318000</v>
      </c>
      <c r="V4209" t="s">
        <v>22411</v>
      </c>
      <c r="W4209" t="s">
        <v>2986</v>
      </c>
      <c r="X4209" t="s">
        <v>22750</v>
      </c>
      <c r="Y4209" t="s">
        <v>22751</v>
      </c>
      <c r="Z4209" t="s">
        <v>2984</v>
      </c>
      <c r="AA4209" t="s">
        <v>22752</v>
      </c>
      <c r="AB4209" t="s">
        <v>22753</v>
      </c>
      <c r="AC4209">
        <v>99027</v>
      </c>
      <c r="AD4209" t="s">
        <v>3000</v>
      </c>
      <c r="AE4209">
        <v>-43.487270129999999</v>
      </c>
      <c r="AF4209">
        <v>172.57732382</v>
      </c>
      <c r="AG4209">
        <v>50</v>
      </c>
      <c r="AH4209">
        <v>10</v>
      </c>
      <c r="AI4209">
        <v>4</v>
      </c>
      <c r="AJ4209">
        <v>8</v>
      </c>
      <c r="AK4209">
        <v>10</v>
      </c>
      <c r="AL4209">
        <v>17</v>
      </c>
      <c r="AM4209">
        <v>16</v>
      </c>
      <c r="AN4209">
        <v>0</v>
      </c>
      <c r="AO4209">
        <v>55</v>
      </c>
      <c r="AP4209">
        <v>50</v>
      </c>
      <c r="AQ4209">
        <v>8</v>
      </c>
      <c r="AR4209">
        <v>6</v>
      </c>
      <c r="AS4209">
        <v>5</v>
      </c>
      <c r="AT4209">
        <v>0</v>
      </c>
    </row>
    <row r="4210" spans="1:46">
      <c r="A4210">
        <v>70332</v>
      </c>
      <c r="B4210" t="s">
        <v>22754</v>
      </c>
      <c r="C4210" t="s">
        <v>22755</v>
      </c>
      <c r="D4210" t="s">
        <v>22756</v>
      </c>
      <c r="E4210" t="s">
        <v>22757</v>
      </c>
      <c r="F4210" t="s">
        <v>2956</v>
      </c>
      <c r="G4210" t="s">
        <v>2941</v>
      </c>
      <c r="H4210" t="s">
        <v>3942</v>
      </c>
      <c r="J4210" t="s">
        <v>518</v>
      </c>
      <c r="K4210" t="s">
        <v>519</v>
      </c>
      <c r="M4210" t="s">
        <v>2287</v>
      </c>
      <c r="N4210" t="s">
        <v>571</v>
      </c>
      <c r="O4210" t="s">
        <v>2942</v>
      </c>
      <c r="P4210" t="s">
        <v>654</v>
      </c>
      <c r="Q4210" t="s">
        <v>2943</v>
      </c>
      <c r="R4210" t="s">
        <v>2944</v>
      </c>
      <c r="S4210" t="s">
        <v>2979</v>
      </c>
      <c r="T4210" t="s">
        <v>2448</v>
      </c>
      <c r="U4210">
        <v>329100</v>
      </c>
      <c r="V4210" t="s">
        <v>13620</v>
      </c>
      <c r="W4210" t="s">
        <v>2958</v>
      </c>
      <c r="X4210" t="s">
        <v>10801</v>
      </c>
      <c r="Y4210" t="s">
        <v>3944</v>
      </c>
      <c r="Z4210" t="s">
        <v>3945</v>
      </c>
      <c r="AA4210" t="s">
        <v>3946</v>
      </c>
      <c r="AC4210">
        <v>99177</v>
      </c>
      <c r="AD4210" t="s">
        <v>2959</v>
      </c>
      <c r="AE4210">
        <v>-43.560644670000002</v>
      </c>
      <c r="AF4210">
        <v>172.63615149</v>
      </c>
      <c r="AG4210">
        <v>80</v>
      </c>
      <c r="AH4210">
        <v>15</v>
      </c>
      <c r="AI4210">
        <v>2</v>
      </c>
      <c r="AJ4210">
        <v>14</v>
      </c>
      <c r="AK4210">
        <v>25</v>
      </c>
      <c r="AL4210">
        <v>13</v>
      </c>
      <c r="AM4210">
        <v>32</v>
      </c>
      <c r="AN4210">
        <v>1</v>
      </c>
      <c r="AO4210">
        <v>87</v>
      </c>
      <c r="AP4210">
        <v>60</v>
      </c>
      <c r="AQ4210">
        <v>10</v>
      </c>
      <c r="AR4210">
        <v>1</v>
      </c>
      <c r="AS4210">
        <v>11</v>
      </c>
      <c r="AT4210">
        <v>21</v>
      </c>
    </row>
    <row r="4211" spans="1:46">
      <c r="A4211">
        <v>70333</v>
      </c>
      <c r="B4211" t="s">
        <v>22758</v>
      </c>
      <c r="C4211" t="s">
        <v>22759</v>
      </c>
      <c r="D4211" t="s">
        <v>22760</v>
      </c>
      <c r="E4211" t="s">
        <v>22761</v>
      </c>
      <c r="F4211" t="s">
        <v>2882</v>
      </c>
      <c r="G4211" t="s">
        <v>2941</v>
      </c>
      <c r="H4211" t="s">
        <v>3942</v>
      </c>
      <c r="J4211" t="s">
        <v>518</v>
      </c>
      <c r="K4211" t="s">
        <v>519</v>
      </c>
      <c r="M4211" t="s">
        <v>2287</v>
      </c>
      <c r="N4211" t="s">
        <v>571</v>
      </c>
      <c r="O4211" t="s">
        <v>2942</v>
      </c>
      <c r="P4211" t="s">
        <v>654</v>
      </c>
      <c r="Q4211" t="s">
        <v>2943</v>
      </c>
      <c r="R4211" t="s">
        <v>2944</v>
      </c>
      <c r="S4211" t="s">
        <v>2973</v>
      </c>
      <c r="T4211" t="s">
        <v>2448</v>
      </c>
      <c r="U4211">
        <v>325900</v>
      </c>
      <c r="V4211" t="s">
        <v>3145</v>
      </c>
      <c r="W4211" t="s">
        <v>2443</v>
      </c>
      <c r="X4211" t="s">
        <v>22762</v>
      </c>
      <c r="Y4211" t="s">
        <v>22763</v>
      </c>
      <c r="Z4211" t="s">
        <v>22764</v>
      </c>
      <c r="AA4211" t="s">
        <v>22765</v>
      </c>
      <c r="AE4211">
        <v>-43.51689571</v>
      </c>
      <c r="AF4211">
        <v>172.66363777000001</v>
      </c>
      <c r="AG4211">
        <v>27</v>
      </c>
      <c r="AH4211">
        <v>0</v>
      </c>
      <c r="AI4211">
        <v>0</v>
      </c>
      <c r="AJ4211">
        <v>0</v>
      </c>
      <c r="AK4211">
        <v>9</v>
      </c>
      <c r="AL4211">
        <v>24</v>
      </c>
      <c r="AM4211">
        <v>8</v>
      </c>
      <c r="AN4211">
        <v>2</v>
      </c>
      <c r="AO4211">
        <v>43</v>
      </c>
      <c r="AP4211">
        <v>31</v>
      </c>
      <c r="AQ4211">
        <v>7</v>
      </c>
      <c r="AR4211">
        <v>3</v>
      </c>
      <c r="AS4211">
        <v>12</v>
      </c>
      <c r="AT4211">
        <v>3</v>
      </c>
    </row>
    <row r="4212" spans="1:46">
      <c r="A4212">
        <v>70337</v>
      </c>
      <c r="B4212" t="s">
        <v>22766</v>
      </c>
      <c r="C4212" t="s">
        <v>22767</v>
      </c>
      <c r="D4212" t="s">
        <v>22768</v>
      </c>
      <c r="E4212" t="s">
        <v>22769</v>
      </c>
      <c r="F4212" t="s">
        <v>17339</v>
      </c>
      <c r="G4212" t="s">
        <v>3261</v>
      </c>
      <c r="H4212" t="s">
        <v>3942</v>
      </c>
      <c r="J4212" t="s">
        <v>518</v>
      </c>
      <c r="K4212" t="s">
        <v>519</v>
      </c>
      <c r="M4212" t="s">
        <v>2287</v>
      </c>
      <c r="N4212" t="s">
        <v>571</v>
      </c>
      <c r="O4212" t="s">
        <v>3249</v>
      </c>
      <c r="P4212" t="s">
        <v>1262</v>
      </c>
      <c r="Q4212" t="s">
        <v>2943</v>
      </c>
      <c r="R4212" t="s">
        <v>2944</v>
      </c>
      <c r="S4212" t="s">
        <v>3219</v>
      </c>
      <c r="T4212" t="s">
        <v>2448</v>
      </c>
      <c r="U4212">
        <v>341300</v>
      </c>
      <c r="V4212" t="s">
        <v>17339</v>
      </c>
      <c r="W4212" t="s">
        <v>3263</v>
      </c>
      <c r="X4212" t="s">
        <v>22770</v>
      </c>
      <c r="Y4212" t="s">
        <v>22771</v>
      </c>
      <c r="Z4212" t="s">
        <v>17339</v>
      </c>
      <c r="AA4212" t="s">
        <v>22772</v>
      </c>
      <c r="AB4212" t="s">
        <v>22767</v>
      </c>
      <c r="AC4212">
        <v>99178</v>
      </c>
      <c r="AD4212" t="s">
        <v>3273</v>
      </c>
      <c r="AE4212">
        <v>-44.405853039999997</v>
      </c>
      <c r="AF4212">
        <v>171.24400840000001</v>
      </c>
      <c r="AG4212">
        <v>50</v>
      </c>
      <c r="AH4212">
        <v>15</v>
      </c>
      <c r="AI4212">
        <v>1</v>
      </c>
      <c r="AJ4212">
        <v>19</v>
      </c>
      <c r="AK4212">
        <v>16</v>
      </c>
      <c r="AL4212">
        <v>14</v>
      </c>
      <c r="AM4212">
        <v>8</v>
      </c>
      <c r="AN4212">
        <v>0</v>
      </c>
      <c r="AO4212">
        <v>58</v>
      </c>
      <c r="AP4212">
        <v>54</v>
      </c>
      <c r="AQ4212">
        <v>10</v>
      </c>
      <c r="AR4212">
        <v>2</v>
      </c>
      <c r="AS4212">
        <v>0</v>
      </c>
      <c r="AT4212">
        <v>3</v>
      </c>
    </row>
    <row r="4213" spans="1:46">
      <c r="A4213">
        <v>70338</v>
      </c>
      <c r="B4213" t="s">
        <v>22773</v>
      </c>
      <c r="C4213" t="s">
        <v>22774</v>
      </c>
      <c r="E4213" t="s">
        <v>22775</v>
      </c>
      <c r="F4213" t="s">
        <v>3012</v>
      </c>
      <c r="G4213" t="s">
        <v>2941</v>
      </c>
      <c r="H4213" t="s">
        <v>3942</v>
      </c>
      <c r="J4213" t="s">
        <v>3962</v>
      </c>
      <c r="K4213" t="s">
        <v>519</v>
      </c>
      <c r="M4213" t="s">
        <v>2287</v>
      </c>
      <c r="N4213" t="s">
        <v>557</v>
      </c>
      <c r="O4213" t="s">
        <v>2942</v>
      </c>
      <c r="P4213" t="s">
        <v>654</v>
      </c>
      <c r="Q4213" t="s">
        <v>2943</v>
      </c>
      <c r="R4213" t="s">
        <v>2944</v>
      </c>
      <c r="S4213" t="s">
        <v>2957</v>
      </c>
      <c r="T4213" t="s">
        <v>2448</v>
      </c>
      <c r="U4213">
        <v>329900</v>
      </c>
      <c r="V4213" t="s">
        <v>3012</v>
      </c>
      <c r="W4213" t="s">
        <v>3014</v>
      </c>
      <c r="X4213" t="s">
        <v>22776</v>
      </c>
      <c r="Y4213" t="s">
        <v>22777</v>
      </c>
      <c r="Z4213" t="s">
        <v>12994</v>
      </c>
      <c r="AA4213" t="s">
        <v>18026</v>
      </c>
      <c r="AC4213">
        <v>99177</v>
      </c>
      <c r="AD4213" t="s">
        <v>2959</v>
      </c>
      <c r="AE4213">
        <v>-43.546016799999997</v>
      </c>
      <c r="AF4213">
        <v>172.64931390000001</v>
      </c>
      <c r="AG4213">
        <v>29</v>
      </c>
      <c r="AH4213">
        <v>4</v>
      </c>
      <c r="AI4213">
        <v>0</v>
      </c>
      <c r="AJ4213">
        <v>4</v>
      </c>
      <c r="AK4213">
        <v>9</v>
      </c>
      <c r="AL4213">
        <v>9</v>
      </c>
      <c r="AM4213">
        <v>6</v>
      </c>
      <c r="AN4213">
        <v>0</v>
      </c>
      <c r="AO4213">
        <v>28</v>
      </c>
      <c r="AP4213">
        <v>14</v>
      </c>
      <c r="AQ4213">
        <v>7</v>
      </c>
      <c r="AR4213">
        <v>7</v>
      </c>
      <c r="AS4213">
        <v>7</v>
      </c>
      <c r="AT4213">
        <v>1</v>
      </c>
    </row>
    <row r="4214" spans="1:46">
      <c r="A4214">
        <v>70339</v>
      </c>
      <c r="B4214" t="s">
        <v>22778</v>
      </c>
      <c r="C4214" t="s">
        <v>22779</v>
      </c>
      <c r="D4214" t="s">
        <v>22780</v>
      </c>
      <c r="E4214" t="s">
        <v>22781</v>
      </c>
      <c r="F4214" t="s">
        <v>3130</v>
      </c>
      <c r="G4214" t="s">
        <v>2941</v>
      </c>
      <c r="H4214" t="s">
        <v>3942</v>
      </c>
      <c r="I4214" t="s">
        <v>4113</v>
      </c>
      <c r="J4214" t="s">
        <v>518</v>
      </c>
      <c r="K4214" t="s">
        <v>519</v>
      </c>
      <c r="M4214" t="s">
        <v>2287</v>
      </c>
      <c r="N4214" t="s">
        <v>571</v>
      </c>
      <c r="O4214" t="s">
        <v>2942</v>
      </c>
      <c r="P4214" t="s">
        <v>654</v>
      </c>
      <c r="Q4214" t="s">
        <v>2943</v>
      </c>
      <c r="R4214" t="s">
        <v>2944</v>
      </c>
      <c r="S4214" t="s">
        <v>2973</v>
      </c>
      <c r="T4214" t="s">
        <v>2448</v>
      </c>
      <c r="U4214">
        <v>324001</v>
      </c>
      <c r="V4214" t="s">
        <v>21752</v>
      </c>
      <c r="W4214" t="s">
        <v>2974</v>
      </c>
      <c r="X4214" t="s">
        <v>22782</v>
      </c>
      <c r="Y4214" t="s">
        <v>22783</v>
      </c>
      <c r="AA4214" t="s">
        <v>17869</v>
      </c>
      <c r="AB4214" t="s">
        <v>22784</v>
      </c>
      <c r="AE4214">
        <v>-43.479656249999998</v>
      </c>
      <c r="AF4214">
        <v>172.68150796</v>
      </c>
      <c r="AG4214">
        <v>45</v>
      </c>
      <c r="AH4214">
        <v>20</v>
      </c>
      <c r="AI4214">
        <v>8</v>
      </c>
      <c r="AJ4214">
        <v>3</v>
      </c>
      <c r="AK4214">
        <v>11</v>
      </c>
      <c r="AL4214">
        <v>16</v>
      </c>
      <c r="AM4214">
        <v>11</v>
      </c>
      <c r="AN4214">
        <v>8</v>
      </c>
      <c r="AO4214">
        <v>57</v>
      </c>
      <c r="AP4214">
        <v>46</v>
      </c>
      <c r="AQ4214">
        <v>11</v>
      </c>
      <c r="AR4214">
        <v>5</v>
      </c>
      <c r="AS4214">
        <v>6</v>
      </c>
      <c r="AT4214">
        <v>4</v>
      </c>
    </row>
    <row r="4215" spans="1:46">
      <c r="A4215">
        <v>70341</v>
      </c>
      <c r="B4215" t="s">
        <v>22785</v>
      </c>
      <c r="C4215" t="s">
        <v>22786</v>
      </c>
      <c r="D4215" t="s">
        <v>22787</v>
      </c>
      <c r="E4215" t="s">
        <v>22788</v>
      </c>
      <c r="F4215" t="s">
        <v>2957</v>
      </c>
      <c r="G4215" t="s">
        <v>2941</v>
      </c>
      <c r="H4215" t="s">
        <v>3942</v>
      </c>
      <c r="J4215" t="s">
        <v>518</v>
      </c>
      <c r="K4215" t="s">
        <v>519</v>
      </c>
      <c r="M4215" t="s">
        <v>2287</v>
      </c>
      <c r="N4215" t="s">
        <v>571</v>
      </c>
      <c r="O4215" t="s">
        <v>2942</v>
      </c>
      <c r="P4215" t="s">
        <v>654</v>
      </c>
      <c r="Q4215" t="s">
        <v>2943</v>
      </c>
      <c r="R4215" t="s">
        <v>2944</v>
      </c>
      <c r="S4215" t="s">
        <v>2957</v>
      </c>
      <c r="T4215" t="s">
        <v>2448</v>
      </c>
      <c r="U4215">
        <v>327100</v>
      </c>
      <c r="V4215" t="s">
        <v>16427</v>
      </c>
      <c r="W4215" t="s">
        <v>2443</v>
      </c>
      <c r="X4215" t="s">
        <v>22789</v>
      </c>
      <c r="Y4215" t="s">
        <v>7353</v>
      </c>
      <c r="AA4215" t="s">
        <v>7354</v>
      </c>
      <c r="AB4215" t="s">
        <v>22786</v>
      </c>
      <c r="AC4215">
        <v>99215</v>
      </c>
      <c r="AD4215" t="s">
        <v>10972</v>
      </c>
      <c r="AE4215">
        <v>-43.538012670000001</v>
      </c>
      <c r="AF4215">
        <v>172.6429727</v>
      </c>
      <c r="AG4215">
        <v>49</v>
      </c>
      <c r="AH4215">
        <v>12</v>
      </c>
      <c r="AI4215">
        <v>1</v>
      </c>
      <c r="AJ4215">
        <v>6</v>
      </c>
      <c r="AK4215">
        <v>9</v>
      </c>
      <c r="AL4215">
        <v>8</v>
      </c>
      <c r="AM4215">
        <v>14</v>
      </c>
      <c r="AN4215">
        <v>2</v>
      </c>
      <c r="AO4215">
        <v>40</v>
      </c>
      <c r="AP4215">
        <v>30</v>
      </c>
      <c r="AQ4215">
        <v>5</v>
      </c>
      <c r="AR4215">
        <v>4</v>
      </c>
      <c r="AS4215">
        <v>7</v>
      </c>
      <c r="AT4215">
        <v>8</v>
      </c>
    </row>
    <row r="4216" spans="1:46">
      <c r="A4216">
        <v>70342</v>
      </c>
      <c r="B4216" t="s">
        <v>22790</v>
      </c>
      <c r="C4216" t="s">
        <v>22791</v>
      </c>
      <c r="D4216" t="s">
        <v>10944</v>
      </c>
      <c r="E4216" t="s">
        <v>22792</v>
      </c>
      <c r="F4216" t="s">
        <v>2956</v>
      </c>
      <c r="G4216" t="s">
        <v>2941</v>
      </c>
      <c r="H4216" t="s">
        <v>3942</v>
      </c>
      <c r="J4216" t="s">
        <v>3962</v>
      </c>
      <c r="K4216" t="s">
        <v>519</v>
      </c>
      <c r="M4216" t="s">
        <v>2287</v>
      </c>
      <c r="N4216" t="s">
        <v>571</v>
      </c>
      <c r="O4216" t="s">
        <v>2942</v>
      </c>
      <c r="P4216" t="s">
        <v>654</v>
      </c>
      <c r="Q4216" t="s">
        <v>2943</v>
      </c>
      <c r="R4216" t="s">
        <v>2944</v>
      </c>
      <c r="S4216" t="s">
        <v>2957</v>
      </c>
      <c r="T4216" t="s">
        <v>2448</v>
      </c>
      <c r="U4216">
        <v>330600</v>
      </c>
      <c r="V4216" t="s">
        <v>2956</v>
      </c>
      <c r="W4216" t="s">
        <v>2958</v>
      </c>
      <c r="X4216" t="s">
        <v>10947</v>
      </c>
      <c r="Y4216" t="s">
        <v>10948</v>
      </c>
      <c r="Z4216" t="s">
        <v>10949</v>
      </c>
      <c r="AA4216" t="s">
        <v>10950</v>
      </c>
      <c r="AB4216" t="s">
        <v>10951</v>
      </c>
      <c r="AC4216">
        <v>99177</v>
      </c>
      <c r="AD4216" t="s">
        <v>2959</v>
      </c>
      <c r="AE4216">
        <v>-43.567070409999999</v>
      </c>
      <c r="AF4216">
        <v>172.64175008000001</v>
      </c>
      <c r="AG4216">
        <v>45</v>
      </c>
      <c r="AH4216">
        <v>14</v>
      </c>
      <c r="AI4216">
        <v>0</v>
      </c>
      <c r="AJ4216">
        <v>15</v>
      </c>
      <c r="AK4216">
        <v>12</v>
      </c>
      <c r="AL4216">
        <v>14</v>
      </c>
      <c r="AM4216">
        <v>18</v>
      </c>
      <c r="AN4216">
        <v>2</v>
      </c>
      <c r="AO4216">
        <v>61</v>
      </c>
      <c r="AP4216">
        <v>56</v>
      </c>
      <c r="AQ4216">
        <v>4</v>
      </c>
      <c r="AR4216">
        <v>1</v>
      </c>
      <c r="AS4216">
        <v>1</v>
      </c>
      <c r="AT4216">
        <v>7</v>
      </c>
    </row>
    <row r="4217" spans="1:46">
      <c r="A4217">
        <v>70345</v>
      </c>
      <c r="B4217" t="s">
        <v>22793</v>
      </c>
      <c r="C4217" t="s">
        <v>22794</v>
      </c>
      <c r="D4217" t="s">
        <v>3304</v>
      </c>
      <c r="E4217" t="s">
        <v>22795</v>
      </c>
      <c r="G4217" t="s">
        <v>3296</v>
      </c>
      <c r="H4217" t="s">
        <v>517</v>
      </c>
      <c r="J4217" t="s">
        <v>518</v>
      </c>
      <c r="K4217" t="s">
        <v>519</v>
      </c>
      <c r="M4217" t="s">
        <v>2287</v>
      </c>
      <c r="N4217" t="s">
        <v>571</v>
      </c>
      <c r="O4217" t="s">
        <v>3249</v>
      </c>
      <c r="P4217" t="s">
        <v>523</v>
      </c>
      <c r="Q4217" t="s">
        <v>2943</v>
      </c>
      <c r="R4217" t="s">
        <v>2944</v>
      </c>
      <c r="S4217" t="s">
        <v>3219</v>
      </c>
      <c r="T4217" t="s">
        <v>2448</v>
      </c>
      <c r="U4217">
        <v>339600</v>
      </c>
      <c r="V4217" t="s">
        <v>22796</v>
      </c>
      <c r="W4217" t="s">
        <v>3298</v>
      </c>
      <c r="X4217" t="s">
        <v>3264</v>
      </c>
      <c r="Y4217" t="s">
        <v>3265</v>
      </c>
      <c r="AA4217" t="s">
        <v>3266</v>
      </c>
      <c r="AB4217" t="s">
        <v>3267</v>
      </c>
      <c r="AC4217">
        <v>99053</v>
      </c>
      <c r="AD4217" t="s">
        <v>3256</v>
      </c>
      <c r="AE4217">
        <v>-44.23840878</v>
      </c>
      <c r="AF4217">
        <v>171.28924886999999</v>
      </c>
      <c r="AG4217">
        <v>20</v>
      </c>
      <c r="AH4217">
        <v>0</v>
      </c>
      <c r="AI4217">
        <v>0</v>
      </c>
      <c r="AJ4217">
        <v>0</v>
      </c>
      <c r="AK4217">
        <v>4</v>
      </c>
      <c r="AL4217">
        <v>6</v>
      </c>
      <c r="AM4217">
        <v>5</v>
      </c>
      <c r="AN4217">
        <v>1</v>
      </c>
      <c r="AO4217">
        <v>16</v>
      </c>
      <c r="AP4217">
        <v>10</v>
      </c>
      <c r="AQ4217">
        <v>3</v>
      </c>
      <c r="AR4217">
        <v>0</v>
      </c>
      <c r="AS4217">
        <v>1</v>
      </c>
      <c r="AT4217">
        <v>3</v>
      </c>
    </row>
    <row r="4218" spans="1:46">
      <c r="A4218">
        <v>70347</v>
      </c>
      <c r="B4218" t="s">
        <v>22797</v>
      </c>
      <c r="C4218" t="s">
        <v>22798</v>
      </c>
      <c r="D4218" t="s">
        <v>22799</v>
      </c>
      <c r="E4218" t="s">
        <v>22800</v>
      </c>
      <c r="G4218" t="s">
        <v>3261</v>
      </c>
      <c r="H4218" t="s">
        <v>3942</v>
      </c>
      <c r="J4218" t="s">
        <v>518</v>
      </c>
      <c r="K4218" t="s">
        <v>519</v>
      </c>
      <c r="M4218" t="s">
        <v>2287</v>
      </c>
      <c r="N4218" t="s">
        <v>571</v>
      </c>
      <c r="O4218" t="s">
        <v>3249</v>
      </c>
      <c r="P4218" t="s">
        <v>1262</v>
      </c>
      <c r="Q4218" t="s">
        <v>2943</v>
      </c>
      <c r="R4218" t="s">
        <v>2944</v>
      </c>
      <c r="S4218" t="s">
        <v>3219</v>
      </c>
      <c r="T4218" t="s">
        <v>2448</v>
      </c>
      <c r="U4218">
        <v>340400</v>
      </c>
      <c r="V4218" t="s">
        <v>17885</v>
      </c>
      <c r="W4218" t="s">
        <v>3263</v>
      </c>
      <c r="X4218" t="s">
        <v>22801</v>
      </c>
      <c r="Y4218" t="s">
        <v>22802</v>
      </c>
      <c r="Z4218" t="s">
        <v>3278</v>
      </c>
      <c r="AA4218" t="s">
        <v>16336</v>
      </c>
      <c r="AB4218" t="s">
        <v>22798</v>
      </c>
      <c r="AC4218">
        <v>99174</v>
      </c>
      <c r="AD4218" t="s">
        <v>3268</v>
      </c>
      <c r="AE4218">
        <v>-44.389340420000003</v>
      </c>
      <c r="AF4218">
        <v>171.22440950999999</v>
      </c>
      <c r="AG4218">
        <v>30</v>
      </c>
      <c r="AH4218">
        <v>0</v>
      </c>
      <c r="AI4218">
        <v>0</v>
      </c>
      <c r="AJ4218">
        <v>0</v>
      </c>
      <c r="AK4218">
        <v>6</v>
      </c>
      <c r="AL4218">
        <v>7</v>
      </c>
      <c r="AM4218">
        <v>23</v>
      </c>
      <c r="AN4218">
        <v>2</v>
      </c>
      <c r="AO4218">
        <v>38</v>
      </c>
      <c r="AP4218">
        <v>33</v>
      </c>
      <c r="AQ4218">
        <v>6</v>
      </c>
      <c r="AR4218">
        <v>1</v>
      </c>
      <c r="AS4218">
        <v>3</v>
      </c>
      <c r="AT4218">
        <v>1</v>
      </c>
    </row>
    <row r="4219" spans="1:46">
      <c r="A4219">
        <v>70350</v>
      </c>
      <c r="B4219" t="s">
        <v>22803</v>
      </c>
      <c r="C4219" t="s">
        <v>22804</v>
      </c>
      <c r="D4219" t="s">
        <v>22805</v>
      </c>
      <c r="E4219" t="s">
        <v>22806</v>
      </c>
      <c r="F4219" t="s">
        <v>17874</v>
      </c>
      <c r="G4219" t="s">
        <v>2941</v>
      </c>
      <c r="H4219" t="s">
        <v>3942</v>
      </c>
      <c r="I4219" t="s">
        <v>4113</v>
      </c>
      <c r="J4219" t="s">
        <v>518</v>
      </c>
      <c r="K4219" t="s">
        <v>519</v>
      </c>
      <c r="M4219" t="s">
        <v>2287</v>
      </c>
      <c r="N4219" t="s">
        <v>571</v>
      </c>
      <c r="O4219" t="s">
        <v>2942</v>
      </c>
      <c r="P4219" t="s">
        <v>654</v>
      </c>
      <c r="Q4219" t="s">
        <v>2943</v>
      </c>
      <c r="R4219" t="s">
        <v>2944</v>
      </c>
      <c r="S4219" t="s">
        <v>3019</v>
      </c>
      <c r="T4219" t="s">
        <v>2448</v>
      </c>
      <c r="U4219">
        <v>327600</v>
      </c>
      <c r="V4219" t="s">
        <v>22807</v>
      </c>
      <c r="W4219" t="s">
        <v>3088</v>
      </c>
      <c r="X4219" t="s">
        <v>22808</v>
      </c>
      <c r="Y4219" t="s">
        <v>22809</v>
      </c>
      <c r="Z4219" t="s">
        <v>17874</v>
      </c>
      <c r="AA4219" t="s">
        <v>22810</v>
      </c>
      <c r="AB4219" t="s">
        <v>22811</v>
      </c>
      <c r="AC4219">
        <v>99177</v>
      </c>
      <c r="AD4219" t="s">
        <v>2959</v>
      </c>
      <c r="AE4219">
        <v>-43.547644120000001</v>
      </c>
      <c r="AF4219">
        <v>172.61822233000001</v>
      </c>
      <c r="AG4219">
        <v>16</v>
      </c>
      <c r="AH4219">
        <v>6</v>
      </c>
      <c r="AI4219">
        <v>4</v>
      </c>
      <c r="AJ4219">
        <v>2</v>
      </c>
      <c r="AK4219">
        <v>4</v>
      </c>
      <c r="AL4219">
        <v>6</v>
      </c>
      <c r="AM4219">
        <v>6</v>
      </c>
      <c r="AN4219">
        <v>0</v>
      </c>
      <c r="AO4219">
        <v>22</v>
      </c>
      <c r="AP4219">
        <v>18</v>
      </c>
      <c r="AQ4219">
        <v>3</v>
      </c>
      <c r="AR4219">
        <v>2</v>
      </c>
      <c r="AS4219">
        <v>4</v>
      </c>
      <c r="AT4219">
        <v>0</v>
      </c>
    </row>
    <row r="4220" spans="1:46">
      <c r="A4220">
        <v>70353</v>
      </c>
      <c r="B4220" t="s">
        <v>22812</v>
      </c>
      <c r="C4220" t="s">
        <v>22813</v>
      </c>
      <c r="D4220" t="s">
        <v>22814</v>
      </c>
      <c r="E4220" t="s">
        <v>22815</v>
      </c>
      <c r="F4220" t="s">
        <v>3161</v>
      </c>
      <c r="G4220" t="s">
        <v>2941</v>
      </c>
      <c r="H4220" t="s">
        <v>3942</v>
      </c>
      <c r="J4220" t="s">
        <v>518</v>
      </c>
      <c r="K4220" t="s">
        <v>519</v>
      </c>
      <c r="M4220" t="s">
        <v>2287</v>
      </c>
      <c r="N4220" t="s">
        <v>557</v>
      </c>
      <c r="O4220" t="s">
        <v>2942</v>
      </c>
      <c r="P4220" t="s">
        <v>654</v>
      </c>
      <c r="Q4220" t="s">
        <v>2943</v>
      </c>
      <c r="R4220" t="s">
        <v>2944</v>
      </c>
      <c r="S4220" t="s">
        <v>2973</v>
      </c>
      <c r="T4220" t="s">
        <v>2448</v>
      </c>
      <c r="U4220">
        <v>326500</v>
      </c>
      <c r="V4220" t="s">
        <v>3161</v>
      </c>
      <c r="W4220" t="s">
        <v>3126</v>
      </c>
      <c r="X4220" t="s">
        <v>22816</v>
      </c>
      <c r="Y4220" t="s">
        <v>22815</v>
      </c>
      <c r="Z4220" t="s">
        <v>2941</v>
      </c>
      <c r="AA4220" t="s">
        <v>15995</v>
      </c>
      <c r="AB4220" t="s">
        <v>22817</v>
      </c>
      <c r="AE4220">
        <v>-43.516135040000002</v>
      </c>
      <c r="AF4220">
        <v>172.67472839999999</v>
      </c>
      <c r="AG4220">
        <v>36</v>
      </c>
      <c r="AH4220">
        <v>8</v>
      </c>
      <c r="AI4220">
        <v>3</v>
      </c>
      <c r="AJ4220">
        <v>6</v>
      </c>
      <c r="AK4220">
        <v>12</v>
      </c>
      <c r="AL4220">
        <v>11</v>
      </c>
      <c r="AM4220">
        <v>7</v>
      </c>
      <c r="AN4220">
        <v>4</v>
      </c>
      <c r="AO4220">
        <v>43</v>
      </c>
      <c r="AP4220">
        <v>17</v>
      </c>
      <c r="AQ4220">
        <v>25</v>
      </c>
      <c r="AR4220">
        <v>5</v>
      </c>
      <c r="AS4220">
        <v>3</v>
      </c>
      <c r="AT4220">
        <v>0</v>
      </c>
    </row>
    <row r="4221" spans="1:46">
      <c r="A4221">
        <v>70355</v>
      </c>
      <c r="B4221" t="s">
        <v>22818</v>
      </c>
      <c r="C4221" t="s">
        <v>22819</v>
      </c>
      <c r="D4221" t="s">
        <v>22820</v>
      </c>
      <c r="E4221" t="s">
        <v>22821</v>
      </c>
      <c r="G4221" t="s">
        <v>22366</v>
      </c>
      <c r="H4221" t="s">
        <v>3942</v>
      </c>
      <c r="J4221" t="s">
        <v>3962</v>
      </c>
      <c r="K4221" t="s">
        <v>519</v>
      </c>
      <c r="M4221" t="s">
        <v>2287</v>
      </c>
      <c r="N4221" t="s">
        <v>571</v>
      </c>
      <c r="O4221" t="s">
        <v>3208</v>
      </c>
      <c r="P4221" t="s">
        <v>523</v>
      </c>
      <c r="Q4221" t="s">
        <v>2943</v>
      </c>
      <c r="R4221" t="s">
        <v>2944</v>
      </c>
      <c r="S4221" t="s">
        <v>3179</v>
      </c>
      <c r="T4221" t="s">
        <v>2448</v>
      </c>
      <c r="U4221">
        <v>336200</v>
      </c>
      <c r="V4221" t="s">
        <v>22366</v>
      </c>
      <c r="W4221" t="s">
        <v>3210</v>
      </c>
      <c r="X4221" t="s">
        <v>22822</v>
      </c>
      <c r="Y4221" t="s">
        <v>22823</v>
      </c>
      <c r="AA4221" t="s">
        <v>22824</v>
      </c>
      <c r="AB4221" t="s">
        <v>22825</v>
      </c>
      <c r="AC4221">
        <v>99207</v>
      </c>
      <c r="AD4221" t="s">
        <v>21934</v>
      </c>
      <c r="AE4221">
        <v>-43.764692549999999</v>
      </c>
      <c r="AF4221">
        <v>172.29257407</v>
      </c>
      <c r="AG4221">
        <v>55</v>
      </c>
      <c r="AH4221">
        <v>0</v>
      </c>
      <c r="AI4221">
        <v>0</v>
      </c>
      <c r="AJ4221">
        <v>0</v>
      </c>
      <c r="AK4221">
        <v>10</v>
      </c>
      <c r="AL4221">
        <v>24</v>
      </c>
      <c r="AM4221">
        <v>28</v>
      </c>
      <c r="AN4221">
        <v>0</v>
      </c>
      <c r="AO4221">
        <v>62</v>
      </c>
      <c r="AP4221">
        <v>53</v>
      </c>
      <c r="AQ4221">
        <v>9</v>
      </c>
      <c r="AR4221">
        <v>8</v>
      </c>
      <c r="AS4221">
        <v>4</v>
      </c>
      <c r="AT4221">
        <v>0</v>
      </c>
    </row>
    <row r="4222" spans="1:46">
      <c r="A4222">
        <v>70357</v>
      </c>
      <c r="B4222" t="s">
        <v>22826</v>
      </c>
      <c r="C4222" t="s">
        <v>22827</v>
      </c>
      <c r="D4222" t="s">
        <v>22828</v>
      </c>
      <c r="E4222" t="s">
        <v>22829</v>
      </c>
      <c r="F4222" t="s">
        <v>3183</v>
      </c>
      <c r="G4222" t="s">
        <v>2941</v>
      </c>
      <c r="H4222" t="s">
        <v>3942</v>
      </c>
      <c r="J4222" t="s">
        <v>518</v>
      </c>
      <c r="K4222" t="s">
        <v>519</v>
      </c>
      <c r="M4222" t="s">
        <v>2287</v>
      </c>
      <c r="N4222" t="s">
        <v>571</v>
      </c>
      <c r="O4222" t="s">
        <v>2942</v>
      </c>
      <c r="P4222" t="s">
        <v>654</v>
      </c>
      <c r="Q4222" t="s">
        <v>2943</v>
      </c>
      <c r="R4222" t="s">
        <v>2944</v>
      </c>
      <c r="S4222" t="s">
        <v>2945</v>
      </c>
      <c r="T4222" t="s">
        <v>2448</v>
      </c>
      <c r="U4222">
        <v>322600</v>
      </c>
      <c r="V4222" t="s">
        <v>14095</v>
      </c>
      <c r="W4222" t="s">
        <v>2999</v>
      </c>
      <c r="X4222" t="s">
        <v>22830</v>
      </c>
      <c r="Y4222" t="s">
        <v>22831</v>
      </c>
      <c r="Z4222" t="s">
        <v>2941</v>
      </c>
      <c r="AA4222" t="s">
        <v>18026</v>
      </c>
      <c r="AB4222" t="s">
        <v>22827</v>
      </c>
      <c r="AE4222">
        <v>-43.519123030000003</v>
      </c>
      <c r="AF4222">
        <v>172.61073517</v>
      </c>
      <c r="AG4222">
        <v>45</v>
      </c>
      <c r="AH4222">
        <v>0</v>
      </c>
      <c r="AI4222">
        <v>0</v>
      </c>
      <c r="AJ4222">
        <v>0</v>
      </c>
      <c r="AK4222">
        <v>15</v>
      </c>
      <c r="AL4222">
        <v>23</v>
      </c>
      <c r="AM4222">
        <v>21</v>
      </c>
      <c r="AN4222">
        <v>1</v>
      </c>
      <c r="AO4222">
        <v>60</v>
      </c>
      <c r="AP4222">
        <v>53</v>
      </c>
      <c r="AQ4222">
        <v>13</v>
      </c>
      <c r="AR4222">
        <v>4</v>
      </c>
      <c r="AS4222">
        <v>6</v>
      </c>
      <c r="AT4222">
        <v>2</v>
      </c>
    </row>
    <row r="4223" spans="1:46">
      <c r="A4223">
        <v>70358</v>
      </c>
      <c r="B4223" t="s">
        <v>22832</v>
      </c>
      <c r="C4223" t="s">
        <v>22833</v>
      </c>
      <c r="D4223" t="s">
        <v>22065</v>
      </c>
      <c r="E4223" t="s">
        <v>22834</v>
      </c>
      <c r="F4223" t="s">
        <v>3125</v>
      </c>
      <c r="G4223" t="s">
        <v>2941</v>
      </c>
      <c r="H4223" t="s">
        <v>3942</v>
      </c>
      <c r="J4223" t="s">
        <v>518</v>
      </c>
      <c r="K4223" t="s">
        <v>519</v>
      </c>
      <c r="M4223" t="s">
        <v>2287</v>
      </c>
      <c r="N4223" t="s">
        <v>539</v>
      </c>
      <c r="O4223" t="s">
        <v>2942</v>
      </c>
      <c r="P4223" t="s">
        <v>654</v>
      </c>
      <c r="Q4223" t="s">
        <v>2943</v>
      </c>
      <c r="R4223" t="s">
        <v>2944</v>
      </c>
      <c r="S4223" t="s">
        <v>2973</v>
      </c>
      <c r="T4223" t="s">
        <v>2448</v>
      </c>
      <c r="U4223">
        <v>328400</v>
      </c>
      <c r="V4223" t="s">
        <v>3124</v>
      </c>
      <c r="W4223" t="s">
        <v>2993</v>
      </c>
      <c r="X4223" t="s">
        <v>15993</v>
      </c>
      <c r="Y4223" t="s">
        <v>15994</v>
      </c>
      <c r="Z4223" t="s">
        <v>3124</v>
      </c>
      <c r="AA4223" t="s">
        <v>15995</v>
      </c>
      <c r="AB4223" t="s">
        <v>15990</v>
      </c>
      <c r="AC4223">
        <v>99175</v>
      </c>
      <c r="AD4223" t="s">
        <v>3071</v>
      </c>
      <c r="AE4223">
        <v>-43.521796369999997</v>
      </c>
      <c r="AF4223">
        <v>172.69274633000001</v>
      </c>
      <c r="AG4223">
        <v>21</v>
      </c>
      <c r="AH4223">
        <v>4</v>
      </c>
      <c r="AI4223">
        <v>0</v>
      </c>
      <c r="AJ4223">
        <v>3</v>
      </c>
      <c r="AK4223">
        <v>4</v>
      </c>
      <c r="AL4223">
        <v>9</v>
      </c>
      <c r="AM4223">
        <v>8</v>
      </c>
      <c r="AN4223">
        <v>0</v>
      </c>
      <c r="AO4223">
        <v>24</v>
      </c>
      <c r="AP4223">
        <v>15</v>
      </c>
      <c r="AQ4223">
        <v>18</v>
      </c>
      <c r="AR4223">
        <v>8</v>
      </c>
      <c r="AS4223">
        <v>1</v>
      </c>
      <c r="AT4223">
        <v>1</v>
      </c>
    </row>
    <row r="4224" spans="1:46">
      <c r="A4224">
        <v>70359</v>
      </c>
      <c r="B4224" t="s">
        <v>22835</v>
      </c>
      <c r="C4224" t="s">
        <v>22836</v>
      </c>
      <c r="D4224" t="s">
        <v>22837</v>
      </c>
      <c r="E4224" t="s">
        <v>22838</v>
      </c>
      <c r="G4224" t="s">
        <v>3248</v>
      </c>
      <c r="H4224" t="s">
        <v>3942</v>
      </c>
      <c r="J4224" t="s">
        <v>518</v>
      </c>
      <c r="K4224" t="s">
        <v>519</v>
      </c>
      <c r="M4224" t="s">
        <v>2287</v>
      </c>
      <c r="N4224" t="s">
        <v>571</v>
      </c>
      <c r="O4224" t="s">
        <v>3249</v>
      </c>
      <c r="P4224" t="s">
        <v>523</v>
      </c>
      <c r="Q4224" t="s">
        <v>2943</v>
      </c>
      <c r="R4224" t="s">
        <v>2944</v>
      </c>
      <c r="S4224" t="s">
        <v>3250</v>
      </c>
      <c r="T4224" t="s">
        <v>2448</v>
      </c>
      <c r="U4224">
        <v>338901</v>
      </c>
      <c r="V4224" t="s">
        <v>3248</v>
      </c>
      <c r="W4224" t="s">
        <v>3251</v>
      </c>
      <c r="X4224" t="s">
        <v>22839</v>
      </c>
      <c r="Y4224" t="s">
        <v>22838</v>
      </c>
      <c r="Z4224" t="s">
        <v>3248</v>
      </c>
      <c r="AA4224" t="s">
        <v>14019</v>
      </c>
      <c r="AB4224" t="s">
        <v>22840</v>
      </c>
      <c r="AC4224">
        <v>99053</v>
      </c>
      <c r="AD4224" t="s">
        <v>3256</v>
      </c>
      <c r="AE4224">
        <v>-44.100779940000002</v>
      </c>
      <c r="AF4224">
        <v>171.24262009</v>
      </c>
      <c r="AG4224">
        <v>72</v>
      </c>
      <c r="AH4224">
        <v>12</v>
      </c>
      <c r="AI4224">
        <v>2</v>
      </c>
      <c r="AJ4224">
        <v>13</v>
      </c>
      <c r="AK4224">
        <v>15</v>
      </c>
      <c r="AL4224">
        <v>35</v>
      </c>
      <c r="AM4224">
        <v>22</v>
      </c>
      <c r="AN4224">
        <v>2</v>
      </c>
      <c r="AO4224">
        <v>89</v>
      </c>
      <c r="AP4224">
        <v>87</v>
      </c>
      <c r="AQ4224">
        <v>9</v>
      </c>
      <c r="AR4224">
        <v>2</v>
      </c>
      <c r="AS4224">
        <v>1</v>
      </c>
      <c r="AT4224">
        <v>2</v>
      </c>
    </row>
    <row r="4225" spans="1:46">
      <c r="A4225">
        <v>70361</v>
      </c>
      <c r="B4225" t="s">
        <v>22841</v>
      </c>
      <c r="C4225" t="s">
        <v>22842</v>
      </c>
      <c r="D4225" t="s">
        <v>22843</v>
      </c>
      <c r="E4225" t="s">
        <v>22844</v>
      </c>
      <c r="F4225" t="s">
        <v>3173</v>
      </c>
      <c r="G4225" t="s">
        <v>2941</v>
      </c>
      <c r="H4225" t="s">
        <v>3942</v>
      </c>
      <c r="J4225" t="s">
        <v>518</v>
      </c>
      <c r="K4225" t="s">
        <v>519</v>
      </c>
      <c r="M4225" t="s">
        <v>2287</v>
      </c>
      <c r="N4225" t="s">
        <v>571</v>
      </c>
      <c r="O4225" t="s">
        <v>2942</v>
      </c>
      <c r="P4225" t="s">
        <v>654</v>
      </c>
      <c r="Q4225" t="s">
        <v>2943</v>
      </c>
      <c r="R4225" t="s">
        <v>2944</v>
      </c>
      <c r="S4225" t="s">
        <v>2957</v>
      </c>
      <c r="T4225" t="s">
        <v>2448</v>
      </c>
      <c r="U4225">
        <v>323100</v>
      </c>
      <c r="V4225" t="s">
        <v>3082</v>
      </c>
      <c r="W4225" t="s">
        <v>3070</v>
      </c>
      <c r="X4225" t="s">
        <v>22845</v>
      </c>
      <c r="Y4225" t="s">
        <v>22844</v>
      </c>
      <c r="Z4225" t="s">
        <v>2941</v>
      </c>
      <c r="AA4225" t="s">
        <v>18026</v>
      </c>
      <c r="AB4225" t="s">
        <v>22846</v>
      </c>
      <c r="AE4225">
        <v>-43.506822620000001</v>
      </c>
      <c r="AF4225">
        <v>172.64107865</v>
      </c>
      <c r="AG4225">
        <v>47</v>
      </c>
      <c r="AH4225">
        <v>15</v>
      </c>
      <c r="AI4225">
        <v>4</v>
      </c>
      <c r="AJ4225">
        <v>16</v>
      </c>
      <c r="AK4225">
        <v>16</v>
      </c>
      <c r="AL4225">
        <v>10</v>
      </c>
      <c r="AM4225">
        <v>12</v>
      </c>
      <c r="AN4225">
        <v>0</v>
      </c>
      <c r="AO4225">
        <v>58</v>
      </c>
      <c r="AP4225">
        <v>54</v>
      </c>
      <c r="AQ4225">
        <v>7</v>
      </c>
      <c r="AR4225">
        <v>1</v>
      </c>
      <c r="AS4225">
        <v>5</v>
      </c>
      <c r="AT4225">
        <v>1</v>
      </c>
    </row>
    <row r="4226" spans="1:46">
      <c r="A4226">
        <v>70364</v>
      </c>
      <c r="B4226" t="s">
        <v>22847</v>
      </c>
      <c r="C4226" t="s">
        <v>22848</v>
      </c>
      <c r="D4226" t="s">
        <v>12261</v>
      </c>
      <c r="E4226" t="s">
        <v>22849</v>
      </c>
      <c r="F4226" t="s">
        <v>3194</v>
      </c>
      <c r="G4226" t="s">
        <v>2941</v>
      </c>
      <c r="H4226" t="s">
        <v>3942</v>
      </c>
      <c r="I4226" t="s">
        <v>3953</v>
      </c>
      <c r="J4226" t="s">
        <v>518</v>
      </c>
      <c r="K4226" t="s">
        <v>519</v>
      </c>
      <c r="M4226" t="s">
        <v>2287</v>
      </c>
      <c r="N4226" t="s">
        <v>571</v>
      </c>
      <c r="O4226" t="s">
        <v>2942</v>
      </c>
      <c r="P4226" t="s">
        <v>654</v>
      </c>
      <c r="Q4226" t="s">
        <v>2943</v>
      </c>
      <c r="R4226" t="s">
        <v>2944</v>
      </c>
      <c r="S4226" t="s">
        <v>2979</v>
      </c>
      <c r="T4226" t="s">
        <v>2448</v>
      </c>
      <c r="U4226">
        <v>326301</v>
      </c>
      <c r="V4226" t="s">
        <v>3195</v>
      </c>
      <c r="W4226" t="s">
        <v>3196</v>
      </c>
      <c r="X4226" t="s">
        <v>12265</v>
      </c>
      <c r="Y4226" t="s">
        <v>12266</v>
      </c>
      <c r="Z4226" t="s">
        <v>12263</v>
      </c>
      <c r="AA4226" t="s">
        <v>12267</v>
      </c>
      <c r="AB4226" t="s">
        <v>12268</v>
      </c>
      <c r="AE4226">
        <v>-43.574475390000003</v>
      </c>
      <c r="AF4226">
        <v>172.56641791999999</v>
      </c>
      <c r="AG4226">
        <v>50</v>
      </c>
      <c r="AH4226">
        <v>14</v>
      </c>
      <c r="AI4226">
        <v>2</v>
      </c>
      <c r="AJ4226">
        <v>12</v>
      </c>
      <c r="AK4226">
        <v>12</v>
      </c>
      <c r="AL4226">
        <v>16</v>
      </c>
      <c r="AM4226">
        <v>27</v>
      </c>
      <c r="AN4226">
        <v>1</v>
      </c>
      <c r="AO4226">
        <v>70</v>
      </c>
      <c r="AP4226">
        <v>53</v>
      </c>
      <c r="AQ4226">
        <v>9</v>
      </c>
      <c r="AR4226">
        <v>4</v>
      </c>
      <c r="AS4226">
        <v>12</v>
      </c>
      <c r="AT4226">
        <v>7</v>
      </c>
    </row>
    <row r="4227" spans="1:46">
      <c r="A4227">
        <v>70366</v>
      </c>
      <c r="B4227" t="s">
        <v>22850</v>
      </c>
      <c r="C4227" t="s">
        <v>22851</v>
      </c>
      <c r="D4227" t="s">
        <v>22852</v>
      </c>
      <c r="E4227" t="s">
        <v>22853</v>
      </c>
      <c r="G4227" t="s">
        <v>3217</v>
      </c>
      <c r="H4227" t="s">
        <v>3942</v>
      </c>
      <c r="J4227" t="s">
        <v>3962</v>
      </c>
      <c r="K4227" t="s">
        <v>519</v>
      </c>
      <c r="M4227" t="s">
        <v>2287</v>
      </c>
      <c r="N4227" t="s">
        <v>571</v>
      </c>
      <c r="O4227" t="s">
        <v>3218</v>
      </c>
      <c r="P4227" t="s">
        <v>1262</v>
      </c>
      <c r="Q4227" t="s">
        <v>2943</v>
      </c>
      <c r="R4227" t="s">
        <v>2944</v>
      </c>
      <c r="S4227" t="s">
        <v>3219</v>
      </c>
      <c r="T4227" t="s">
        <v>2448</v>
      </c>
      <c r="U4227">
        <v>338100</v>
      </c>
      <c r="V4227" t="s">
        <v>22854</v>
      </c>
      <c r="W4227" t="s">
        <v>3221</v>
      </c>
      <c r="X4227" t="s">
        <v>22855</v>
      </c>
      <c r="Y4227" t="s">
        <v>22853</v>
      </c>
      <c r="Z4227" t="s">
        <v>3217</v>
      </c>
      <c r="AA4227" t="s">
        <v>3224</v>
      </c>
      <c r="AB4227" t="s">
        <v>22856</v>
      </c>
      <c r="AC4227">
        <v>99043</v>
      </c>
      <c r="AD4227" t="s">
        <v>3226</v>
      </c>
      <c r="AE4227">
        <v>-43.894475890000002</v>
      </c>
      <c r="AF4227">
        <v>171.74501028</v>
      </c>
      <c r="AG4227">
        <v>30</v>
      </c>
      <c r="AH4227">
        <v>10</v>
      </c>
      <c r="AI4227">
        <v>1</v>
      </c>
      <c r="AJ4227">
        <v>7</v>
      </c>
      <c r="AK4227">
        <v>9</v>
      </c>
      <c r="AL4227">
        <v>15</v>
      </c>
      <c r="AM4227">
        <v>14</v>
      </c>
      <c r="AN4227">
        <v>1</v>
      </c>
      <c r="AO4227">
        <v>47</v>
      </c>
      <c r="AP4227">
        <v>33</v>
      </c>
      <c r="AQ4227">
        <v>3</v>
      </c>
      <c r="AR4227">
        <v>4</v>
      </c>
      <c r="AS4227">
        <v>12</v>
      </c>
      <c r="AT4227">
        <v>0</v>
      </c>
    </row>
    <row r="4228" spans="1:46">
      <c r="A4228">
        <v>70367</v>
      </c>
      <c r="B4228" t="s">
        <v>22857</v>
      </c>
      <c r="C4228" t="s">
        <v>22858</v>
      </c>
      <c r="D4228" t="s">
        <v>22859</v>
      </c>
      <c r="E4228" t="s">
        <v>22860</v>
      </c>
      <c r="F4228" t="s">
        <v>3086</v>
      </c>
      <c r="G4228" t="s">
        <v>2941</v>
      </c>
      <c r="H4228" t="s">
        <v>3942</v>
      </c>
      <c r="J4228" t="s">
        <v>518</v>
      </c>
      <c r="K4228" t="s">
        <v>519</v>
      </c>
      <c r="M4228" t="s">
        <v>2287</v>
      </c>
      <c r="N4228" t="s">
        <v>727</v>
      </c>
      <c r="O4228" t="s">
        <v>2942</v>
      </c>
      <c r="P4228" t="s">
        <v>654</v>
      </c>
      <c r="Q4228" t="s">
        <v>2943</v>
      </c>
      <c r="R4228" t="s">
        <v>2944</v>
      </c>
      <c r="S4228" t="s">
        <v>3019</v>
      </c>
      <c r="T4228" t="s">
        <v>2448</v>
      </c>
      <c r="U4228">
        <v>326701</v>
      </c>
      <c r="V4228" t="s">
        <v>3087</v>
      </c>
      <c r="W4228" t="s">
        <v>3088</v>
      </c>
      <c r="X4228" t="s">
        <v>22861</v>
      </c>
      <c r="Y4228" t="s">
        <v>22860</v>
      </c>
      <c r="Z4228" t="s">
        <v>3086</v>
      </c>
      <c r="AA4228" t="s">
        <v>12954</v>
      </c>
      <c r="AB4228" t="s">
        <v>22862</v>
      </c>
      <c r="AE4228">
        <v>-43.563724209999997</v>
      </c>
      <c r="AF4228">
        <v>172.59038151999999</v>
      </c>
      <c r="AG4228">
        <v>36</v>
      </c>
      <c r="AH4228">
        <v>10</v>
      </c>
      <c r="AI4228">
        <v>2</v>
      </c>
      <c r="AJ4228">
        <v>5</v>
      </c>
      <c r="AK4228">
        <v>6</v>
      </c>
      <c r="AL4228">
        <v>6</v>
      </c>
      <c r="AM4228">
        <v>12</v>
      </c>
      <c r="AN4228">
        <v>1</v>
      </c>
      <c r="AO4228">
        <v>32</v>
      </c>
      <c r="AP4228">
        <v>16</v>
      </c>
      <c r="AQ4228">
        <v>19</v>
      </c>
      <c r="AR4228">
        <v>10</v>
      </c>
      <c r="AS4228">
        <v>1</v>
      </c>
      <c r="AT4228">
        <v>0</v>
      </c>
    </row>
    <row r="4229" spans="1:46">
      <c r="A4229">
        <v>70368</v>
      </c>
      <c r="B4229" t="s">
        <v>22863</v>
      </c>
      <c r="C4229" t="s">
        <v>13487</v>
      </c>
      <c r="D4229" t="s">
        <v>22864</v>
      </c>
      <c r="E4229" t="s">
        <v>13485</v>
      </c>
      <c r="G4229" t="s">
        <v>13481</v>
      </c>
      <c r="H4229" t="s">
        <v>3942</v>
      </c>
      <c r="J4229" t="s">
        <v>518</v>
      </c>
      <c r="K4229" t="s">
        <v>519</v>
      </c>
      <c r="M4229" t="s">
        <v>2287</v>
      </c>
      <c r="N4229" t="s">
        <v>571</v>
      </c>
      <c r="O4229" t="s">
        <v>13482</v>
      </c>
      <c r="P4229" t="s">
        <v>523</v>
      </c>
      <c r="Q4229" t="s">
        <v>2943</v>
      </c>
      <c r="R4229" t="s">
        <v>2944</v>
      </c>
      <c r="S4229" t="s">
        <v>2825</v>
      </c>
      <c r="T4229" t="s">
        <v>2448</v>
      </c>
      <c r="U4229">
        <v>312901</v>
      </c>
      <c r="V4229" t="s">
        <v>13481</v>
      </c>
      <c r="W4229" t="s">
        <v>13483</v>
      </c>
      <c r="X4229" t="s">
        <v>13484</v>
      </c>
      <c r="Y4229" t="s">
        <v>13485</v>
      </c>
      <c r="AA4229" t="s">
        <v>13486</v>
      </c>
      <c r="AB4229" t="s">
        <v>13487</v>
      </c>
      <c r="AC4229">
        <v>99077</v>
      </c>
      <c r="AD4229" t="s">
        <v>2968</v>
      </c>
      <c r="AE4229">
        <v>-43.154601890000002</v>
      </c>
      <c r="AF4229">
        <v>172.72910496</v>
      </c>
      <c r="AG4229">
        <v>50</v>
      </c>
      <c r="AH4229">
        <v>10</v>
      </c>
      <c r="AI4229">
        <v>2</v>
      </c>
      <c r="AJ4229">
        <v>9</v>
      </c>
      <c r="AK4229">
        <v>14</v>
      </c>
      <c r="AL4229">
        <v>13</v>
      </c>
      <c r="AM4229">
        <v>8</v>
      </c>
      <c r="AN4229">
        <v>0</v>
      </c>
      <c r="AO4229">
        <v>46</v>
      </c>
      <c r="AP4229">
        <v>35</v>
      </c>
      <c r="AQ4229">
        <v>12</v>
      </c>
      <c r="AR4229">
        <v>0</v>
      </c>
      <c r="AS4229">
        <v>5</v>
      </c>
      <c r="AT4229">
        <v>8</v>
      </c>
    </row>
    <row r="4230" spans="1:46">
      <c r="A4230">
        <v>70371</v>
      </c>
      <c r="B4230" t="s">
        <v>22865</v>
      </c>
      <c r="C4230" t="s">
        <v>22866</v>
      </c>
      <c r="D4230" t="s">
        <v>22867</v>
      </c>
      <c r="E4230" t="s">
        <v>22868</v>
      </c>
      <c r="F4230" t="s">
        <v>13210</v>
      </c>
      <c r="G4230" t="s">
        <v>2941</v>
      </c>
      <c r="H4230" t="s">
        <v>3942</v>
      </c>
      <c r="J4230" t="s">
        <v>518</v>
      </c>
      <c r="K4230" t="s">
        <v>519</v>
      </c>
      <c r="M4230" t="s">
        <v>2287</v>
      </c>
      <c r="N4230" t="s">
        <v>557</v>
      </c>
      <c r="O4230" t="s">
        <v>2942</v>
      </c>
      <c r="P4230" t="s">
        <v>654</v>
      </c>
      <c r="Q4230" t="s">
        <v>2943</v>
      </c>
      <c r="R4230" t="s">
        <v>2944</v>
      </c>
      <c r="S4230" t="s">
        <v>3019</v>
      </c>
      <c r="T4230" t="s">
        <v>2448</v>
      </c>
      <c r="U4230">
        <v>321000</v>
      </c>
      <c r="V4230" t="s">
        <v>16935</v>
      </c>
      <c r="W4230" t="s">
        <v>3076</v>
      </c>
      <c r="X4230" t="s">
        <v>22869</v>
      </c>
      <c r="Y4230" t="s">
        <v>22870</v>
      </c>
      <c r="Z4230" t="s">
        <v>13210</v>
      </c>
      <c r="AA4230" t="s">
        <v>11419</v>
      </c>
      <c r="AB4230" t="s">
        <v>22871</v>
      </c>
      <c r="AC4230">
        <v>99176</v>
      </c>
      <c r="AD4230" t="s">
        <v>3077</v>
      </c>
      <c r="AE4230">
        <v>-43.536472629999999</v>
      </c>
      <c r="AF4230">
        <v>172.55626040999999</v>
      </c>
      <c r="AG4230">
        <v>35</v>
      </c>
      <c r="AH4230">
        <v>14</v>
      </c>
      <c r="AI4230">
        <v>1</v>
      </c>
      <c r="AJ4230">
        <v>9</v>
      </c>
      <c r="AK4230">
        <v>7</v>
      </c>
      <c r="AL4230">
        <v>10</v>
      </c>
      <c r="AM4230">
        <v>12</v>
      </c>
      <c r="AN4230">
        <v>0</v>
      </c>
      <c r="AO4230">
        <v>39</v>
      </c>
      <c r="AP4230">
        <v>15</v>
      </c>
      <c r="AQ4230">
        <v>21</v>
      </c>
      <c r="AR4230">
        <v>6</v>
      </c>
      <c r="AS4230">
        <v>7</v>
      </c>
      <c r="AT4230">
        <v>2</v>
      </c>
    </row>
    <row r="4231" spans="1:46">
      <c r="A4231">
        <v>70373</v>
      </c>
      <c r="B4231" t="s">
        <v>22872</v>
      </c>
      <c r="D4231" t="s">
        <v>22873</v>
      </c>
      <c r="E4231" t="s">
        <v>22874</v>
      </c>
      <c r="F4231" t="s">
        <v>13680</v>
      </c>
      <c r="G4231" t="s">
        <v>2941</v>
      </c>
      <c r="H4231" t="s">
        <v>3942</v>
      </c>
      <c r="J4231" t="s">
        <v>518</v>
      </c>
      <c r="K4231" t="s">
        <v>519</v>
      </c>
      <c r="M4231" t="s">
        <v>2287</v>
      </c>
      <c r="N4231" t="s">
        <v>571</v>
      </c>
      <c r="O4231" t="s">
        <v>2942</v>
      </c>
      <c r="P4231" t="s">
        <v>654</v>
      </c>
      <c r="Q4231" t="s">
        <v>2943</v>
      </c>
      <c r="R4231" t="s">
        <v>2944</v>
      </c>
      <c r="S4231" t="s">
        <v>2979</v>
      </c>
      <c r="T4231" t="s">
        <v>2448</v>
      </c>
      <c r="U4231">
        <v>331200</v>
      </c>
      <c r="V4231" t="s">
        <v>13680</v>
      </c>
      <c r="W4231" t="s">
        <v>2958</v>
      </c>
      <c r="X4231" t="s">
        <v>22875</v>
      </c>
      <c r="Y4231" t="s">
        <v>22876</v>
      </c>
      <c r="Z4231" t="s">
        <v>2956</v>
      </c>
      <c r="AA4231" t="s">
        <v>11410</v>
      </c>
      <c r="AC4231">
        <v>99177</v>
      </c>
      <c r="AD4231" t="s">
        <v>2959</v>
      </c>
      <c r="AE4231">
        <v>-43.566418859999999</v>
      </c>
      <c r="AF4231">
        <v>172.65202554000001</v>
      </c>
      <c r="AG4231">
        <v>30</v>
      </c>
      <c r="AH4231">
        <v>0</v>
      </c>
      <c r="AI4231">
        <v>0</v>
      </c>
      <c r="AJ4231">
        <v>0</v>
      </c>
      <c r="AK4231">
        <v>12</v>
      </c>
      <c r="AL4231">
        <v>10</v>
      </c>
      <c r="AM4231">
        <v>11</v>
      </c>
      <c r="AN4231">
        <v>2</v>
      </c>
      <c r="AO4231">
        <v>35</v>
      </c>
      <c r="AP4231">
        <v>34</v>
      </c>
      <c r="AQ4231">
        <v>5</v>
      </c>
      <c r="AR4231">
        <v>1</v>
      </c>
      <c r="AS4231">
        <v>2</v>
      </c>
      <c r="AT4231">
        <v>1</v>
      </c>
    </row>
    <row r="4232" spans="1:46">
      <c r="A4232">
        <v>70381</v>
      </c>
      <c r="B4232" t="s">
        <v>22877</v>
      </c>
      <c r="C4232" t="s">
        <v>22878</v>
      </c>
      <c r="D4232" t="s">
        <v>22879</v>
      </c>
      <c r="E4232" t="s">
        <v>22880</v>
      </c>
      <c r="F4232" t="s">
        <v>13207</v>
      </c>
      <c r="G4232" t="s">
        <v>2941</v>
      </c>
      <c r="H4232" t="s">
        <v>3942</v>
      </c>
      <c r="J4232" t="s">
        <v>3962</v>
      </c>
      <c r="K4232" t="s">
        <v>519</v>
      </c>
      <c r="M4232" t="s">
        <v>2287</v>
      </c>
      <c r="N4232" t="s">
        <v>571</v>
      </c>
      <c r="O4232" t="s">
        <v>2942</v>
      </c>
      <c r="P4232" t="s">
        <v>654</v>
      </c>
      <c r="Q4232" t="s">
        <v>2943</v>
      </c>
      <c r="R4232" t="s">
        <v>2944</v>
      </c>
      <c r="S4232" t="s">
        <v>2945</v>
      </c>
      <c r="T4232" t="s">
        <v>2448</v>
      </c>
      <c r="U4232">
        <v>319700</v>
      </c>
      <c r="V4232" t="s">
        <v>2946</v>
      </c>
      <c r="W4232" t="s">
        <v>2947</v>
      </c>
      <c r="X4232" t="s">
        <v>22881</v>
      </c>
      <c r="Y4232" t="s">
        <v>4107</v>
      </c>
      <c r="AA4232" t="s">
        <v>3982</v>
      </c>
      <c r="AB4232" t="s">
        <v>22882</v>
      </c>
      <c r="AE4232">
        <v>-43.526258480000003</v>
      </c>
      <c r="AF4232">
        <v>172.55449621</v>
      </c>
      <c r="AG4232">
        <v>65</v>
      </c>
      <c r="AH4232">
        <v>12</v>
      </c>
      <c r="AI4232">
        <v>2</v>
      </c>
      <c r="AJ4232">
        <v>7</v>
      </c>
      <c r="AK4232">
        <v>9</v>
      </c>
      <c r="AL4232">
        <v>16</v>
      </c>
      <c r="AM4232">
        <v>14</v>
      </c>
      <c r="AN4232">
        <v>0</v>
      </c>
      <c r="AO4232">
        <v>48</v>
      </c>
      <c r="AP4232">
        <v>19</v>
      </c>
      <c r="AQ4232">
        <v>5</v>
      </c>
      <c r="AR4232">
        <v>4</v>
      </c>
      <c r="AS4232">
        <v>24</v>
      </c>
      <c r="AT4232">
        <v>4</v>
      </c>
    </row>
    <row r="4233" spans="1:46">
      <c r="A4233">
        <v>70385</v>
      </c>
      <c r="B4233" t="s">
        <v>22883</v>
      </c>
      <c r="C4233" t="s">
        <v>22884</v>
      </c>
      <c r="D4233" t="s">
        <v>22885</v>
      </c>
      <c r="E4233" t="s">
        <v>22886</v>
      </c>
      <c r="F4233" t="s">
        <v>13207</v>
      </c>
      <c r="G4233" t="s">
        <v>2941</v>
      </c>
      <c r="H4233" t="s">
        <v>3942</v>
      </c>
      <c r="I4233" t="s">
        <v>3953</v>
      </c>
      <c r="J4233" t="s">
        <v>518</v>
      </c>
      <c r="K4233" t="s">
        <v>519</v>
      </c>
      <c r="M4233" t="s">
        <v>2287</v>
      </c>
      <c r="N4233" t="s">
        <v>571</v>
      </c>
      <c r="O4233" t="s">
        <v>2942</v>
      </c>
      <c r="P4233" t="s">
        <v>654</v>
      </c>
      <c r="Q4233" t="s">
        <v>2943</v>
      </c>
      <c r="R4233" t="s">
        <v>2944</v>
      </c>
      <c r="S4233" t="s">
        <v>3019</v>
      </c>
      <c r="T4233" t="s">
        <v>2448</v>
      </c>
      <c r="U4233">
        <v>322700</v>
      </c>
      <c r="V4233" t="s">
        <v>22887</v>
      </c>
      <c r="W4233" t="s">
        <v>3076</v>
      </c>
      <c r="X4233" t="s">
        <v>22888</v>
      </c>
      <c r="Y4233" t="s">
        <v>22889</v>
      </c>
      <c r="Z4233" t="s">
        <v>13207</v>
      </c>
      <c r="AA4233" t="s">
        <v>11942</v>
      </c>
      <c r="AB4233" t="s">
        <v>22890</v>
      </c>
      <c r="AC4233">
        <v>99173</v>
      </c>
      <c r="AD4233" t="s">
        <v>12205</v>
      </c>
      <c r="AE4233">
        <v>-43.534787289999997</v>
      </c>
      <c r="AF4233">
        <v>172.57530086</v>
      </c>
      <c r="AG4233">
        <v>50</v>
      </c>
      <c r="AH4233">
        <v>0</v>
      </c>
      <c r="AI4233">
        <v>0</v>
      </c>
      <c r="AJ4233">
        <v>0</v>
      </c>
      <c r="AK4233">
        <v>11</v>
      </c>
      <c r="AL4233">
        <v>25</v>
      </c>
      <c r="AM4233">
        <v>25</v>
      </c>
      <c r="AN4233">
        <v>1</v>
      </c>
      <c r="AO4233">
        <v>62</v>
      </c>
      <c r="AP4233">
        <v>24</v>
      </c>
      <c r="AQ4233">
        <v>1</v>
      </c>
      <c r="AR4233">
        <v>3</v>
      </c>
      <c r="AS4233">
        <v>37</v>
      </c>
      <c r="AT4233">
        <v>4</v>
      </c>
    </row>
    <row r="4234" spans="1:46">
      <c r="A4234">
        <v>70391</v>
      </c>
      <c r="B4234" t="s">
        <v>22891</v>
      </c>
      <c r="C4234" t="s">
        <v>22892</v>
      </c>
      <c r="D4234" t="s">
        <v>22893</v>
      </c>
      <c r="E4234" t="s">
        <v>22894</v>
      </c>
      <c r="F4234" t="s">
        <v>3057</v>
      </c>
      <c r="G4234" t="s">
        <v>2941</v>
      </c>
      <c r="H4234" t="s">
        <v>3942</v>
      </c>
      <c r="J4234" t="s">
        <v>3962</v>
      </c>
      <c r="K4234" t="s">
        <v>519</v>
      </c>
      <c r="M4234" t="s">
        <v>2287</v>
      </c>
      <c r="N4234" t="s">
        <v>539</v>
      </c>
      <c r="O4234" t="s">
        <v>2942</v>
      </c>
      <c r="P4234" t="s">
        <v>654</v>
      </c>
      <c r="Q4234" t="s">
        <v>2943</v>
      </c>
      <c r="R4234" t="s">
        <v>2944</v>
      </c>
      <c r="S4234" t="s">
        <v>2957</v>
      </c>
      <c r="T4234" t="s">
        <v>2448</v>
      </c>
      <c r="U4234">
        <v>327901</v>
      </c>
      <c r="V4234" t="s">
        <v>22895</v>
      </c>
      <c r="W4234" t="s">
        <v>2443</v>
      </c>
      <c r="X4234" t="s">
        <v>22896</v>
      </c>
      <c r="Y4234" t="s">
        <v>22894</v>
      </c>
      <c r="Z4234" t="s">
        <v>3057</v>
      </c>
      <c r="AA4234" t="s">
        <v>21800</v>
      </c>
      <c r="AB4234" t="s">
        <v>22892</v>
      </c>
      <c r="AC4234">
        <v>99063</v>
      </c>
      <c r="AD4234" t="s">
        <v>2994</v>
      </c>
      <c r="AE4234">
        <v>-43.530694879999999</v>
      </c>
      <c r="AF4234">
        <v>172.65579991999999</v>
      </c>
      <c r="AG4234">
        <v>51</v>
      </c>
      <c r="AH4234">
        <v>14</v>
      </c>
      <c r="AI4234">
        <v>3</v>
      </c>
      <c r="AJ4234">
        <v>4</v>
      </c>
      <c r="AK4234">
        <v>9</v>
      </c>
      <c r="AL4234">
        <v>13</v>
      </c>
      <c r="AM4234">
        <v>11</v>
      </c>
      <c r="AN4234">
        <v>1</v>
      </c>
      <c r="AO4234">
        <v>41</v>
      </c>
      <c r="AP4234">
        <v>6</v>
      </c>
      <c r="AQ4234">
        <v>3</v>
      </c>
      <c r="AR4234">
        <v>3</v>
      </c>
      <c r="AS4234">
        <v>32</v>
      </c>
      <c r="AT4234">
        <v>0</v>
      </c>
    </row>
    <row r="4235" spans="1:46">
      <c r="A4235">
        <v>70395</v>
      </c>
      <c r="B4235" t="s">
        <v>22897</v>
      </c>
      <c r="C4235" t="s">
        <v>22898</v>
      </c>
      <c r="D4235" t="s">
        <v>22899</v>
      </c>
      <c r="E4235" t="s">
        <v>22900</v>
      </c>
      <c r="F4235" t="s">
        <v>3057</v>
      </c>
      <c r="G4235" t="s">
        <v>2941</v>
      </c>
      <c r="H4235" t="s">
        <v>3942</v>
      </c>
      <c r="J4235" t="s">
        <v>518</v>
      </c>
      <c r="K4235" t="s">
        <v>519</v>
      </c>
      <c r="M4235" t="s">
        <v>2287</v>
      </c>
      <c r="N4235" t="s">
        <v>521</v>
      </c>
      <c r="O4235" t="s">
        <v>2942</v>
      </c>
      <c r="P4235" t="s">
        <v>654</v>
      </c>
      <c r="Q4235" t="s">
        <v>2943</v>
      </c>
      <c r="R4235" t="s">
        <v>2944</v>
      </c>
      <c r="S4235" t="s">
        <v>2979</v>
      </c>
      <c r="T4235" t="s">
        <v>2448</v>
      </c>
      <c r="U4235">
        <v>330100</v>
      </c>
      <c r="V4235" t="s">
        <v>2992</v>
      </c>
      <c r="W4235" t="s">
        <v>2993</v>
      </c>
      <c r="X4235" t="s">
        <v>22901</v>
      </c>
      <c r="Y4235" t="s">
        <v>22900</v>
      </c>
      <c r="Z4235" t="s">
        <v>3057</v>
      </c>
      <c r="AA4235" t="s">
        <v>21657</v>
      </c>
      <c r="AB4235" t="s">
        <v>22902</v>
      </c>
      <c r="AC4235">
        <v>99063</v>
      </c>
      <c r="AD4235" t="s">
        <v>2994</v>
      </c>
      <c r="AE4235">
        <v>-43.53545484</v>
      </c>
      <c r="AF4235">
        <v>172.67144389000001</v>
      </c>
      <c r="AG4235">
        <v>36</v>
      </c>
      <c r="AH4235">
        <v>6</v>
      </c>
      <c r="AI4235">
        <v>0</v>
      </c>
      <c r="AJ4235">
        <v>3</v>
      </c>
      <c r="AK4235">
        <v>4</v>
      </c>
      <c r="AL4235">
        <v>16</v>
      </c>
      <c r="AM4235">
        <v>13</v>
      </c>
      <c r="AN4235">
        <v>3</v>
      </c>
      <c r="AO4235">
        <v>39</v>
      </c>
      <c r="AP4235">
        <v>23</v>
      </c>
      <c r="AQ4235">
        <v>19</v>
      </c>
      <c r="AR4235">
        <v>7</v>
      </c>
      <c r="AS4235">
        <v>7</v>
      </c>
      <c r="AT4235">
        <v>0</v>
      </c>
    </row>
    <row r="4236" spans="1:46">
      <c r="A4236">
        <v>70401</v>
      </c>
      <c r="B4236" t="s">
        <v>22903</v>
      </c>
      <c r="C4236" t="s">
        <v>22904</v>
      </c>
      <c r="D4236" t="s">
        <v>22905</v>
      </c>
      <c r="E4236" t="s">
        <v>22906</v>
      </c>
      <c r="G4236" t="s">
        <v>21669</v>
      </c>
      <c r="H4236" t="s">
        <v>3942</v>
      </c>
      <c r="J4236" t="s">
        <v>518</v>
      </c>
      <c r="K4236" t="s">
        <v>519</v>
      </c>
      <c r="M4236" t="s">
        <v>2287</v>
      </c>
      <c r="N4236" t="s">
        <v>571</v>
      </c>
      <c r="O4236" t="s">
        <v>3208</v>
      </c>
      <c r="P4236" t="s">
        <v>523</v>
      </c>
      <c r="Q4236" t="s">
        <v>2943</v>
      </c>
      <c r="R4236" t="s">
        <v>2944</v>
      </c>
      <c r="S4236" t="s">
        <v>3179</v>
      </c>
      <c r="T4236" t="s">
        <v>2448</v>
      </c>
      <c r="U4236">
        <v>334001</v>
      </c>
      <c r="V4236" t="s">
        <v>21669</v>
      </c>
      <c r="W4236" t="s">
        <v>12606</v>
      </c>
      <c r="X4236" t="s">
        <v>22907</v>
      </c>
      <c r="Y4236" t="s">
        <v>22906</v>
      </c>
      <c r="Z4236" t="s">
        <v>21669</v>
      </c>
      <c r="AA4236" t="s">
        <v>21671</v>
      </c>
      <c r="AB4236" t="s">
        <v>22904</v>
      </c>
      <c r="AC4236">
        <v>99008</v>
      </c>
      <c r="AD4236" t="s">
        <v>17593</v>
      </c>
      <c r="AE4236">
        <v>-43.49338023</v>
      </c>
      <c r="AF4236">
        <v>172.11405296000001</v>
      </c>
      <c r="AG4236">
        <v>60</v>
      </c>
      <c r="AH4236">
        <v>15</v>
      </c>
      <c r="AI4236">
        <v>1</v>
      </c>
      <c r="AJ4236">
        <v>12</v>
      </c>
      <c r="AK4236">
        <v>19</v>
      </c>
      <c r="AL4236">
        <v>25</v>
      </c>
      <c r="AM4236">
        <v>19</v>
      </c>
      <c r="AN4236">
        <v>0</v>
      </c>
      <c r="AO4236">
        <v>76</v>
      </c>
      <c r="AP4236">
        <v>75</v>
      </c>
      <c r="AQ4236">
        <v>9</v>
      </c>
      <c r="AR4236">
        <v>0</v>
      </c>
      <c r="AS4236">
        <v>1</v>
      </c>
      <c r="AT4236">
        <v>3</v>
      </c>
    </row>
    <row r="4237" spans="1:46">
      <c r="A4237">
        <v>70403</v>
      </c>
      <c r="B4237" t="s">
        <v>22908</v>
      </c>
      <c r="C4237" t="s">
        <v>22909</v>
      </c>
      <c r="D4237" t="s">
        <v>22910</v>
      </c>
      <c r="E4237" t="s">
        <v>22911</v>
      </c>
      <c r="F4237" t="s">
        <v>14879</v>
      </c>
      <c r="G4237" t="s">
        <v>3261</v>
      </c>
      <c r="H4237" t="s">
        <v>3942</v>
      </c>
      <c r="J4237" t="s">
        <v>518</v>
      </c>
      <c r="K4237" t="s">
        <v>519</v>
      </c>
      <c r="M4237" t="s">
        <v>2287</v>
      </c>
      <c r="N4237" t="s">
        <v>557</v>
      </c>
      <c r="O4237" t="s">
        <v>3249</v>
      </c>
      <c r="P4237" t="s">
        <v>1262</v>
      </c>
      <c r="Q4237" t="s">
        <v>2943</v>
      </c>
      <c r="R4237" t="s">
        <v>2944</v>
      </c>
      <c r="S4237" t="s">
        <v>3219</v>
      </c>
      <c r="T4237" t="s">
        <v>2448</v>
      </c>
      <c r="U4237">
        <v>340300</v>
      </c>
      <c r="V4237" t="s">
        <v>3291</v>
      </c>
      <c r="W4237" t="s">
        <v>3263</v>
      </c>
      <c r="X4237" t="s">
        <v>10801</v>
      </c>
      <c r="Y4237" t="s">
        <v>3944</v>
      </c>
      <c r="Z4237" t="s">
        <v>3945</v>
      </c>
      <c r="AA4237" t="s">
        <v>3946</v>
      </c>
      <c r="AC4237">
        <v>99174</v>
      </c>
      <c r="AD4237" t="s">
        <v>3268</v>
      </c>
      <c r="AE4237">
        <v>-44.378877019999997</v>
      </c>
      <c r="AF4237">
        <v>171.23382036999999</v>
      </c>
      <c r="AG4237">
        <v>44</v>
      </c>
      <c r="AH4237">
        <v>10</v>
      </c>
      <c r="AI4237">
        <v>1</v>
      </c>
      <c r="AJ4237">
        <v>12</v>
      </c>
      <c r="AK4237">
        <v>9</v>
      </c>
      <c r="AL4237">
        <v>9</v>
      </c>
      <c r="AM4237">
        <v>15</v>
      </c>
      <c r="AN4237">
        <v>1</v>
      </c>
      <c r="AO4237">
        <v>47</v>
      </c>
      <c r="AP4237">
        <v>31</v>
      </c>
      <c r="AQ4237">
        <v>10</v>
      </c>
      <c r="AR4237">
        <v>5</v>
      </c>
      <c r="AS4237">
        <v>6</v>
      </c>
      <c r="AT4237">
        <v>6</v>
      </c>
    </row>
    <row r="4238" spans="1:46">
      <c r="A4238">
        <v>70405</v>
      </c>
      <c r="B4238" t="s">
        <v>22912</v>
      </c>
      <c r="C4238" t="s">
        <v>22913</v>
      </c>
      <c r="D4238" t="s">
        <v>22914</v>
      </c>
      <c r="E4238" t="s">
        <v>22915</v>
      </c>
      <c r="F4238" t="s">
        <v>21770</v>
      </c>
      <c r="G4238" t="s">
        <v>2941</v>
      </c>
      <c r="H4238" t="s">
        <v>3942</v>
      </c>
      <c r="J4238" t="s">
        <v>518</v>
      </c>
      <c r="K4238" t="s">
        <v>519</v>
      </c>
      <c r="M4238" t="s">
        <v>2287</v>
      </c>
      <c r="N4238" t="s">
        <v>571</v>
      </c>
      <c r="O4238" t="s">
        <v>2942</v>
      </c>
      <c r="P4238" t="s">
        <v>654</v>
      </c>
      <c r="Q4238" t="s">
        <v>2943</v>
      </c>
      <c r="R4238" t="s">
        <v>2944</v>
      </c>
      <c r="S4238" t="s">
        <v>2957</v>
      </c>
      <c r="T4238" t="s">
        <v>2448</v>
      </c>
      <c r="U4238">
        <v>322200</v>
      </c>
      <c r="V4238" t="s">
        <v>12027</v>
      </c>
      <c r="W4238" t="s">
        <v>3098</v>
      </c>
      <c r="X4238" t="s">
        <v>10801</v>
      </c>
      <c r="Y4238" t="s">
        <v>3944</v>
      </c>
      <c r="Z4238" t="s">
        <v>3945</v>
      </c>
      <c r="AA4238" t="s">
        <v>3946</v>
      </c>
      <c r="AE4238">
        <v>-43.504807960000001</v>
      </c>
      <c r="AF4238">
        <v>172.61527771999999</v>
      </c>
      <c r="AG4238">
        <v>50</v>
      </c>
      <c r="AH4238">
        <v>16</v>
      </c>
      <c r="AI4238">
        <v>1</v>
      </c>
      <c r="AJ4238">
        <v>10</v>
      </c>
      <c r="AK4238">
        <v>16</v>
      </c>
      <c r="AL4238">
        <v>15</v>
      </c>
      <c r="AM4238">
        <v>14</v>
      </c>
      <c r="AN4238">
        <v>1</v>
      </c>
      <c r="AO4238">
        <v>57</v>
      </c>
      <c r="AP4238">
        <v>33</v>
      </c>
      <c r="AQ4238">
        <v>4</v>
      </c>
      <c r="AR4238">
        <v>3</v>
      </c>
      <c r="AS4238">
        <v>22</v>
      </c>
      <c r="AT4238">
        <v>5</v>
      </c>
    </row>
    <row r="4239" spans="1:46">
      <c r="A4239">
        <v>70407</v>
      </c>
      <c r="B4239" t="s">
        <v>22916</v>
      </c>
      <c r="C4239" t="s">
        <v>22917</v>
      </c>
      <c r="D4239" t="s">
        <v>22918</v>
      </c>
      <c r="E4239" t="s">
        <v>22919</v>
      </c>
      <c r="F4239" t="s">
        <v>3115</v>
      </c>
      <c r="G4239" t="s">
        <v>2941</v>
      </c>
      <c r="H4239" t="s">
        <v>3942</v>
      </c>
      <c r="I4239" t="s">
        <v>6183</v>
      </c>
      <c r="J4239" t="s">
        <v>518</v>
      </c>
      <c r="K4239" t="s">
        <v>519</v>
      </c>
      <c r="M4239" t="s">
        <v>2287</v>
      </c>
      <c r="N4239" t="s">
        <v>539</v>
      </c>
      <c r="O4239" t="s">
        <v>2942</v>
      </c>
      <c r="P4239" t="s">
        <v>654</v>
      </c>
      <c r="Q4239" t="s">
        <v>2943</v>
      </c>
      <c r="R4239" t="s">
        <v>2944</v>
      </c>
      <c r="S4239" t="s">
        <v>2945</v>
      </c>
      <c r="T4239" t="s">
        <v>2448</v>
      </c>
      <c r="U4239">
        <v>320100</v>
      </c>
      <c r="V4239" t="s">
        <v>13947</v>
      </c>
      <c r="W4239" t="s">
        <v>3098</v>
      </c>
      <c r="X4239" t="s">
        <v>22920</v>
      </c>
      <c r="Y4239" t="s">
        <v>22919</v>
      </c>
      <c r="Z4239" t="s">
        <v>3115</v>
      </c>
      <c r="AA4239" t="s">
        <v>11521</v>
      </c>
      <c r="AB4239" t="s">
        <v>22921</v>
      </c>
      <c r="AC4239">
        <v>99027</v>
      </c>
      <c r="AD4239" t="s">
        <v>3000</v>
      </c>
      <c r="AE4239">
        <v>-43.494062980000002</v>
      </c>
      <c r="AF4239">
        <v>172.6016051</v>
      </c>
      <c r="AG4239">
        <v>39</v>
      </c>
      <c r="AH4239">
        <v>9</v>
      </c>
      <c r="AI4239">
        <v>1</v>
      </c>
      <c r="AJ4239">
        <v>8</v>
      </c>
      <c r="AK4239">
        <v>10</v>
      </c>
      <c r="AL4239">
        <v>9</v>
      </c>
      <c r="AM4239">
        <v>15</v>
      </c>
      <c r="AN4239">
        <v>0</v>
      </c>
      <c r="AO4239">
        <v>43</v>
      </c>
      <c r="AP4239">
        <v>17</v>
      </c>
      <c r="AQ4239">
        <v>24</v>
      </c>
      <c r="AR4239">
        <v>1</v>
      </c>
      <c r="AS4239">
        <v>6</v>
      </c>
      <c r="AT4239">
        <v>3</v>
      </c>
    </row>
    <row r="4240" spans="1:46">
      <c r="A4240">
        <v>70409</v>
      </c>
      <c r="B4240" t="s">
        <v>22922</v>
      </c>
      <c r="C4240" t="s">
        <v>22923</v>
      </c>
      <c r="D4240" t="s">
        <v>22924</v>
      </c>
      <c r="E4240" t="s">
        <v>22925</v>
      </c>
      <c r="G4240" t="s">
        <v>12131</v>
      </c>
      <c r="H4240" t="s">
        <v>3942</v>
      </c>
      <c r="J4240" t="s">
        <v>518</v>
      </c>
      <c r="K4240" t="s">
        <v>519</v>
      </c>
      <c r="M4240" t="s">
        <v>2287</v>
      </c>
      <c r="N4240" t="s">
        <v>571</v>
      </c>
      <c r="O4240" t="s">
        <v>3218</v>
      </c>
      <c r="P4240" t="s">
        <v>523</v>
      </c>
      <c r="Q4240" t="s">
        <v>2943</v>
      </c>
      <c r="R4240" t="s">
        <v>2944</v>
      </c>
      <c r="S4240" t="s">
        <v>3219</v>
      </c>
      <c r="T4240" t="s">
        <v>2448</v>
      </c>
      <c r="U4240">
        <v>336901</v>
      </c>
      <c r="V4240" t="s">
        <v>12131</v>
      </c>
      <c r="W4240" t="s">
        <v>2461</v>
      </c>
      <c r="X4240" t="s">
        <v>22926</v>
      </c>
      <c r="Y4240" t="s">
        <v>22927</v>
      </c>
      <c r="Z4240" t="s">
        <v>12131</v>
      </c>
      <c r="AA4240" t="s">
        <v>22928</v>
      </c>
      <c r="AB4240" t="s">
        <v>22929</v>
      </c>
      <c r="AC4240">
        <v>99009</v>
      </c>
      <c r="AD4240" t="s">
        <v>10890</v>
      </c>
      <c r="AE4240">
        <v>-43.63616098</v>
      </c>
      <c r="AF4240">
        <v>171.64382430000001</v>
      </c>
      <c r="AG4240">
        <v>50</v>
      </c>
      <c r="AH4240">
        <v>10</v>
      </c>
      <c r="AI4240">
        <v>1</v>
      </c>
      <c r="AJ4240">
        <v>5</v>
      </c>
      <c r="AK4240">
        <v>18</v>
      </c>
      <c r="AL4240">
        <v>27</v>
      </c>
      <c r="AM4240">
        <v>22</v>
      </c>
      <c r="AN4240">
        <v>0</v>
      </c>
      <c r="AO4240">
        <v>73</v>
      </c>
      <c r="AP4240">
        <v>70</v>
      </c>
      <c r="AQ4240">
        <v>10</v>
      </c>
      <c r="AR4240">
        <v>2</v>
      </c>
      <c r="AS4240">
        <v>2</v>
      </c>
      <c r="AT4240">
        <v>3</v>
      </c>
    </row>
    <row r="4241" spans="1:46">
      <c r="A4241">
        <v>70411</v>
      </c>
      <c r="B4241" t="s">
        <v>22930</v>
      </c>
      <c r="C4241" t="s">
        <v>22931</v>
      </c>
      <c r="D4241" t="s">
        <v>22932</v>
      </c>
      <c r="E4241" t="s">
        <v>22933</v>
      </c>
      <c r="G4241" t="s">
        <v>2941</v>
      </c>
      <c r="H4241" t="s">
        <v>3942</v>
      </c>
      <c r="J4241" t="s">
        <v>3962</v>
      </c>
      <c r="K4241" t="s">
        <v>519</v>
      </c>
      <c r="M4241" t="s">
        <v>2287</v>
      </c>
      <c r="N4241" t="s">
        <v>571</v>
      </c>
      <c r="O4241" t="s">
        <v>2942</v>
      </c>
      <c r="P4241" t="s">
        <v>654</v>
      </c>
      <c r="Q4241" t="s">
        <v>2943</v>
      </c>
      <c r="R4241" t="s">
        <v>2944</v>
      </c>
      <c r="S4241" t="s">
        <v>2945</v>
      </c>
      <c r="T4241" t="s">
        <v>2448</v>
      </c>
      <c r="U4241">
        <v>321400</v>
      </c>
      <c r="V4241" t="s">
        <v>21770</v>
      </c>
      <c r="W4241" t="s">
        <v>2999</v>
      </c>
      <c r="X4241" t="s">
        <v>14545</v>
      </c>
      <c r="Y4241" t="s">
        <v>22934</v>
      </c>
      <c r="Z4241" t="s">
        <v>2882</v>
      </c>
      <c r="AA4241" t="s">
        <v>15077</v>
      </c>
      <c r="AB4241" t="s">
        <v>22935</v>
      </c>
      <c r="AE4241">
        <v>-43.51228493</v>
      </c>
      <c r="AF4241">
        <v>172.60824828</v>
      </c>
      <c r="AG4241">
        <v>42</v>
      </c>
      <c r="AH4241">
        <v>12</v>
      </c>
      <c r="AI4241">
        <v>0</v>
      </c>
      <c r="AJ4241">
        <v>11</v>
      </c>
      <c r="AK4241">
        <v>11</v>
      </c>
      <c r="AL4241">
        <v>11</v>
      </c>
      <c r="AM4241">
        <v>10</v>
      </c>
      <c r="AN4241">
        <v>0</v>
      </c>
      <c r="AO4241">
        <v>43</v>
      </c>
      <c r="AP4241">
        <v>31</v>
      </c>
      <c r="AQ4241">
        <v>4</v>
      </c>
      <c r="AR4241">
        <v>0</v>
      </c>
      <c r="AS4241">
        <v>8</v>
      </c>
      <c r="AT4241">
        <v>4</v>
      </c>
    </row>
    <row r="4242" spans="1:46">
      <c r="A4242">
        <v>70417</v>
      </c>
      <c r="B4242" t="s">
        <v>22936</v>
      </c>
      <c r="C4242" t="s">
        <v>22937</v>
      </c>
      <c r="D4242" t="s">
        <v>22938</v>
      </c>
      <c r="E4242" t="s">
        <v>22939</v>
      </c>
      <c r="F4242" t="s">
        <v>3107</v>
      </c>
      <c r="G4242" t="s">
        <v>2941</v>
      </c>
      <c r="H4242" t="s">
        <v>3942</v>
      </c>
      <c r="J4242" t="s">
        <v>518</v>
      </c>
      <c r="K4242" t="s">
        <v>519</v>
      </c>
      <c r="M4242" t="s">
        <v>2287</v>
      </c>
      <c r="N4242" t="s">
        <v>557</v>
      </c>
      <c r="O4242" t="s">
        <v>2942</v>
      </c>
      <c r="P4242" t="s">
        <v>654</v>
      </c>
      <c r="Q4242" t="s">
        <v>2943</v>
      </c>
      <c r="R4242" t="s">
        <v>2944</v>
      </c>
      <c r="S4242" t="s">
        <v>2973</v>
      </c>
      <c r="T4242" t="s">
        <v>2448</v>
      </c>
      <c r="U4242">
        <v>330200</v>
      </c>
      <c r="V4242" t="s">
        <v>3107</v>
      </c>
      <c r="W4242" t="s">
        <v>2974</v>
      </c>
      <c r="X4242" t="s">
        <v>22940</v>
      </c>
      <c r="Y4242" t="s">
        <v>22939</v>
      </c>
      <c r="Z4242" t="s">
        <v>2941</v>
      </c>
      <c r="AA4242" t="s">
        <v>15995</v>
      </c>
      <c r="AB4242" t="s">
        <v>22941</v>
      </c>
      <c r="AE4242">
        <v>-43.509588989999997</v>
      </c>
      <c r="AF4242">
        <v>172.72380440000001</v>
      </c>
      <c r="AG4242">
        <v>39</v>
      </c>
      <c r="AH4242">
        <v>9</v>
      </c>
      <c r="AI4242">
        <v>2</v>
      </c>
      <c r="AJ4242">
        <v>10</v>
      </c>
      <c r="AK4242">
        <v>14</v>
      </c>
      <c r="AL4242">
        <v>13</v>
      </c>
      <c r="AM4242">
        <v>13</v>
      </c>
      <c r="AN4242">
        <v>1</v>
      </c>
      <c r="AO4242">
        <v>53</v>
      </c>
      <c r="AP4242">
        <v>48</v>
      </c>
      <c r="AQ4242">
        <v>16</v>
      </c>
      <c r="AR4242">
        <v>6</v>
      </c>
      <c r="AS4242">
        <v>4</v>
      </c>
      <c r="AT4242">
        <v>1</v>
      </c>
    </row>
    <row r="4243" spans="1:46">
      <c r="A4243">
        <v>70419</v>
      </c>
      <c r="B4243" t="s">
        <v>22942</v>
      </c>
      <c r="C4243" t="s">
        <v>22943</v>
      </c>
      <c r="D4243" t="s">
        <v>22944</v>
      </c>
      <c r="E4243" t="s">
        <v>22945</v>
      </c>
      <c r="F4243" t="s">
        <v>22541</v>
      </c>
      <c r="G4243" t="s">
        <v>2941</v>
      </c>
      <c r="H4243" t="s">
        <v>3942</v>
      </c>
      <c r="J4243" t="s">
        <v>518</v>
      </c>
      <c r="K4243" t="s">
        <v>519</v>
      </c>
      <c r="M4243" t="s">
        <v>2287</v>
      </c>
      <c r="N4243" t="s">
        <v>571</v>
      </c>
      <c r="O4243" t="s">
        <v>2942</v>
      </c>
      <c r="P4243" t="s">
        <v>654</v>
      </c>
      <c r="Q4243" t="s">
        <v>2943</v>
      </c>
      <c r="R4243" t="s">
        <v>2944</v>
      </c>
      <c r="S4243" t="s">
        <v>2973</v>
      </c>
      <c r="T4243" t="s">
        <v>2448</v>
      </c>
      <c r="U4243">
        <v>327200</v>
      </c>
      <c r="V4243" t="s">
        <v>22541</v>
      </c>
      <c r="W4243" t="s">
        <v>2974</v>
      </c>
      <c r="X4243" t="s">
        <v>22946</v>
      </c>
      <c r="Y4243" t="s">
        <v>22947</v>
      </c>
      <c r="Z4243" t="s">
        <v>3102</v>
      </c>
      <c r="AA4243" t="s">
        <v>14297</v>
      </c>
      <c r="AB4243" t="s">
        <v>22948</v>
      </c>
      <c r="AE4243">
        <v>-43.496264930000002</v>
      </c>
      <c r="AF4243">
        <v>172.71776989</v>
      </c>
      <c r="AG4243">
        <v>45</v>
      </c>
      <c r="AH4243">
        <v>10</v>
      </c>
      <c r="AI4243">
        <v>2</v>
      </c>
      <c r="AJ4243">
        <v>12</v>
      </c>
      <c r="AK4243">
        <v>10</v>
      </c>
      <c r="AL4243">
        <v>22</v>
      </c>
      <c r="AM4243">
        <v>13</v>
      </c>
      <c r="AN4243">
        <v>0</v>
      </c>
      <c r="AO4243">
        <v>59</v>
      </c>
      <c r="AP4243">
        <v>49</v>
      </c>
      <c r="AQ4243">
        <v>19</v>
      </c>
      <c r="AR4243">
        <v>5</v>
      </c>
      <c r="AS4243">
        <v>2</v>
      </c>
      <c r="AT4243">
        <v>1</v>
      </c>
    </row>
    <row r="4244" spans="1:46">
      <c r="A4244">
        <v>70421</v>
      </c>
      <c r="B4244" t="s">
        <v>22949</v>
      </c>
      <c r="C4244" t="s">
        <v>22950</v>
      </c>
      <c r="D4244" t="s">
        <v>22951</v>
      </c>
      <c r="E4244" t="s">
        <v>22952</v>
      </c>
      <c r="G4244" t="s">
        <v>3261</v>
      </c>
      <c r="H4244" t="s">
        <v>3942</v>
      </c>
      <c r="J4244" t="s">
        <v>518</v>
      </c>
      <c r="K4244" t="s">
        <v>519</v>
      </c>
      <c r="M4244" t="s">
        <v>2287</v>
      </c>
      <c r="N4244" t="s">
        <v>571</v>
      </c>
      <c r="O4244" t="s">
        <v>3249</v>
      </c>
      <c r="P4244" t="s">
        <v>1262</v>
      </c>
      <c r="Q4244" t="s">
        <v>2943</v>
      </c>
      <c r="R4244" t="s">
        <v>2944</v>
      </c>
      <c r="S4244" t="s">
        <v>3219</v>
      </c>
      <c r="T4244" t="s">
        <v>2448</v>
      </c>
      <c r="U4244">
        <v>341101</v>
      </c>
      <c r="V4244" t="s">
        <v>21828</v>
      </c>
      <c r="W4244" t="s">
        <v>3263</v>
      </c>
      <c r="X4244" t="s">
        <v>22953</v>
      </c>
      <c r="Y4244" t="s">
        <v>22954</v>
      </c>
      <c r="Z4244" t="s">
        <v>3261</v>
      </c>
      <c r="AA4244" t="s">
        <v>3266</v>
      </c>
      <c r="AC4244">
        <v>99178</v>
      </c>
      <c r="AD4244" t="s">
        <v>3273</v>
      </c>
      <c r="AE4244">
        <v>-44.398331130000003</v>
      </c>
      <c r="AF4244">
        <v>171.24700147999999</v>
      </c>
      <c r="AG4244">
        <v>50</v>
      </c>
      <c r="AH4244">
        <v>15</v>
      </c>
      <c r="AI4244">
        <v>3</v>
      </c>
      <c r="AJ4244">
        <v>12</v>
      </c>
      <c r="AK4244">
        <v>9</v>
      </c>
      <c r="AL4244">
        <v>14</v>
      </c>
      <c r="AM4244">
        <v>14</v>
      </c>
      <c r="AN4244">
        <v>0</v>
      </c>
      <c r="AO4244">
        <v>52</v>
      </c>
      <c r="AP4244">
        <v>34</v>
      </c>
      <c r="AQ4244">
        <v>8</v>
      </c>
      <c r="AR4244">
        <v>4</v>
      </c>
      <c r="AS4244">
        <v>8</v>
      </c>
      <c r="AT4244">
        <v>7</v>
      </c>
    </row>
    <row r="4245" spans="1:46">
      <c r="A4245">
        <v>70422</v>
      </c>
      <c r="B4245" t="s">
        <v>22955</v>
      </c>
      <c r="C4245" t="s">
        <v>22956</v>
      </c>
      <c r="E4245" t="s">
        <v>22957</v>
      </c>
      <c r="G4245" t="s">
        <v>11201</v>
      </c>
      <c r="H4245" t="s">
        <v>3942</v>
      </c>
      <c r="I4245" t="s">
        <v>3953</v>
      </c>
      <c r="J4245" t="s">
        <v>518</v>
      </c>
      <c r="K4245" t="s">
        <v>519</v>
      </c>
      <c r="M4245" t="s">
        <v>2287</v>
      </c>
      <c r="N4245" t="s">
        <v>571</v>
      </c>
      <c r="O4245" t="s">
        <v>2964</v>
      </c>
      <c r="P4245" t="s">
        <v>523</v>
      </c>
      <c r="Q4245" t="s">
        <v>2943</v>
      </c>
      <c r="R4245" t="s">
        <v>2944</v>
      </c>
      <c r="S4245" t="s">
        <v>2965</v>
      </c>
      <c r="T4245" t="s">
        <v>2448</v>
      </c>
      <c r="U4245">
        <v>313200</v>
      </c>
      <c r="V4245" t="s">
        <v>11201</v>
      </c>
      <c r="W4245" t="s">
        <v>11202</v>
      </c>
      <c r="X4245" t="s">
        <v>22958</v>
      </c>
      <c r="Y4245" t="s">
        <v>22959</v>
      </c>
      <c r="AA4245" t="s">
        <v>11205</v>
      </c>
      <c r="AC4245">
        <v>99077</v>
      </c>
      <c r="AD4245" t="s">
        <v>2968</v>
      </c>
      <c r="AE4245">
        <v>-43.293026900000001</v>
      </c>
      <c r="AF4245">
        <v>172.19759500000001</v>
      </c>
      <c r="AG4245">
        <v>84</v>
      </c>
      <c r="AH4245">
        <v>14</v>
      </c>
      <c r="AI4245">
        <v>2</v>
      </c>
      <c r="AJ4245">
        <v>12</v>
      </c>
      <c r="AK4245">
        <v>20</v>
      </c>
      <c r="AL4245">
        <v>21</v>
      </c>
      <c r="AM4245">
        <v>17</v>
      </c>
      <c r="AN4245">
        <v>2</v>
      </c>
      <c r="AO4245">
        <v>74</v>
      </c>
      <c r="AP4245">
        <v>68</v>
      </c>
      <c r="AQ4245">
        <v>5</v>
      </c>
      <c r="AR4245">
        <v>2</v>
      </c>
      <c r="AS4245">
        <v>6</v>
      </c>
      <c r="AT4245">
        <v>1</v>
      </c>
    </row>
    <row r="4246" spans="1:46">
      <c r="A4246">
        <v>70423</v>
      </c>
      <c r="B4246" t="s">
        <v>22960</v>
      </c>
      <c r="C4246" t="s">
        <v>22961</v>
      </c>
      <c r="E4246" t="s">
        <v>22962</v>
      </c>
      <c r="F4246" t="s">
        <v>10949</v>
      </c>
      <c r="G4246" t="s">
        <v>2941</v>
      </c>
      <c r="H4246" t="s">
        <v>3942</v>
      </c>
      <c r="J4246" t="s">
        <v>3962</v>
      </c>
      <c r="K4246" t="s">
        <v>519</v>
      </c>
      <c r="M4246" t="s">
        <v>2287</v>
      </c>
      <c r="N4246" t="s">
        <v>571</v>
      </c>
      <c r="O4246" t="s">
        <v>2942</v>
      </c>
      <c r="P4246" t="s">
        <v>654</v>
      </c>
      <c r="Q4246" t="s">
        <v>2943</v>
      </c>
      <c r="R4246" t="s">
        <v>2944</v>
      </c>
      <c r="S4246" t="s">
        <v>2979</v>
      </c>
      <c r="T4246" t="s">
        <v>2448</v>
      </c>
      <c r="U4246">
        <v>329100</v>
      </c>
      <c r="V4246" t="s">
        <v>13620</v>
      </c>
      <c r="W4246" t="s">
        <v>2958</v>
      </c>
      <c r="X4246" t="s">
        <v>22963</v>
      </c>
      <c r="Y4246" t="s">
        <v>22964</v>
      </c>
      <c r="AA4246" t="s">
        <v>22824</v>
      </c>
      <c r="AB4246" t="s">
        <v>22965</v>
      </c>
      <c r="AC4246">
        <v>99177</v>
      </c>
      <c r="AD4246" t="s">
        <v>2959</v>
      </c>
      <c r="AE4246">
        <v>-43.559070980000001</v>
      </c>
      <c r="AF4246">
        <v>172.63165709</v>
      </c>
      <c r="AG4246">
        <v>30</v>
      </c>
      <c r="AH4246">
        <v>0</v>
      </c>
      <c r="AI4246">
        <v>0</v>
      </c>
      <c r="AJ4246">
        <v>0</v>
      </c>
      <c r="AK4246">
        <v>10</v>
      </c>
      <c r="AL4246">
        <v>6</v>
      </c>
      <c r="AM4246">
        <v>14</v>
      </c>
      <c r="AN4246">
        <v>0</v>
      </c>
      <c r="AO4246">
        <v>30</v>
      </c>
      <c r="AP4246">
        <v>23</v>
      </c>
      <c r="AQ4246">
        <v>5</v>
      </c>
      <c r="AR4246">
        <v>2</v>
      </c>
      <c r="AS4246">
        <v>5</v>
      </c>
      <c r="AT4246">
        <v>2</v>
      </c>
    </row>
    <row r="4247" spans="1:46">
      <c r="A4247">
        <v>70426</v>
      </c>
      <c r="B4247" t="s">
        <v>22966</v>
      </c>
      <c r="C4247" t="s">
        <v>22967</v>
      </c>
      <c r="D4247" t="s">
        <v>11517</v>
      </c>
      <c r="E4247" t="s">
        <v>22968</v>
      </c>
      <c r="F4247" t="s">
        <v>3049</v>
      </c>
      <c r="G4247" t="s">
        <v>2941</v>
      </c>
      <c r="H4247" t="s">
        <v>3942</v>
      </c>
      <c r="J4247" t="s">
        <v>3962</v>
      </c>
      <c r="K4247" t="s">
        <v>519</v>
      </c>
      <c r="M4247" t="s">
        <v>2287</v>
      </c>
      <c r="N4247" t="s">
        <v>4519</v>
      </c>
      <c r="O4247" t="s">
        <v>2942</v>
      </c>
      <c r="P4247" t="s">
        <v>654</v>
      </c>
      <c r="Q4247" t="s">
        <v>2943</v>
      </c>
      <c r="R4247" t="s">
        <v>2944</v>
      </c>
      <c r="S4247" t="s">
        <v>2945</v>
      </c>
      <c r="T4247" t="s">
        <v>2448</v>
      </c>
      <c r="U4247">
        <v>319200</v>
      </c>
      <c r="V4247" t="s">
        <v>3049</v>
      </c>
      <c r="W4247" t="s">
        <v>2999</v>
      </c>
      <c r="X4247" t="s">
        <v>11520</v>
      </c>
      <c r="Y4247" t="s">
        <v>11518</v>
      </c>
      <c r="Z4247" t="s">
        <v>3049</v>
      </c>
      <c r="AA4247" t="s">
        <v>11521</v>
      </c>
      <c r="AB4247" t="s">
        <v>11516</v>
      </c>
      <c r="AE4247">
        <v>-43.50588553</v>
      </c>
      <c r="AF4247">
        <v>172.57992089000001</v>
      </c>
      <c r="AG4247">
        <v>75</v>
      </c>
      <c r="AH4247">
        <v>15</v>
      </c>
      <c r="AI4247">
        <v>1</v>
      </c>
      <c r="AJ4247">
        <v>14</v>
      </c>
      <c r="AK4247">
        <v>17</v>
      </c>
      <c r="AL4247">
        <v>27</v>
      </c>
      <c r="AM4247">
        <v>14</v>
      </c>
      <c r="AN4247">
        <v>2</v>
      </c>
      <c r="AO4247">
        <v>75</v>
      </c>
      <c r="AP4247">
        <v>56</v>
      </c>
      <c r="AQ4247">
        <v>16</v>
      </c>
      <c r="AR4247">
        <v>4</v>
      </c>
      <c r="AS4247">
        <v>16</v>
      </c>
      <c r="AT4247">
        <v>11</v>
      </c>
    </row>
    <row r="4248" spans="1:46">
      <c r="A4248">
        <v>70427</v>
      </c>
      <c r="B4248" t="s">
        <v>22969</v>
      </c>
      <c r="C4248" t="s">
        <v>22970</v>
      </c>
      <c r="D4248" t="s">
        <v>22971</v>
      </c>
      <c r="E4248" t="s">
        <v>22972</v>
      </c>
      <c r="F4248" t="s">
        <v>3115</v>
      </c>
      <c r="G4248" t="s">
        <v>2941</v>
      </c>
      <c r="H4248" t="s">
        <v>3942</v>
      </c>
      <c r="J4248" t="s">
        <v>518</v>
      </c>
      <c r="K4248" t="s">
        <v>519</v>
      </c>
      <c r="M4248" t="s">
        <v>2287</v>
      </c>
      <c r="N4248" t="s">
        <v>571</v>
      </c>
      <c r="O4248" t="s">
        <v>2942</v>
      </c>
      <c r="P4248" t="s">
        <v>654</v>
      </c>
      <c r="Q4248" t="s">
        <v>2943</v>
      </c>
      <c r="R4248" t="s">
        <v>2944</v>
      </c>
      <c r="S4248" t="s">
        <v>2945</v>
      </c>
      <c r="T4248" t="s">
        <v>2448</v>
      </c>
      <c r="U4248">
        <v>320800</v>
      </c>
      <c r="V4248" t="s">
        <v>22973</v>
      </c>
      <c r="W4248" t="s">
        <v>3098</v>
      </c>
      <c r="X4248" t="s">
        <v>10801</v>
      </c>
      <c r="Y4248" t="s">
        <v>3944</v>
      </c>
      <c r="Z4248" t="s">
        <v>3945</v>
      </c>
      <c r="AA4248" t="s">
        <v>3946</v>
      </c>
      <c r="AC4248">
        <v>99027</v>
      </c>
      <c r="AD4248" t="s">
        <v>3000</v>
      </c>
      <c r="AE4248">
        <v>-43.50376919</v>
      </c>
      <c r="AF4248">
        <v>172.60268418999999</v>
      </c>
      <c r="AG4248">
        <v>40</v>
      </c>
      <c r="AH4248">
        <v>9</v>
      </c>
      <c r="AI4248">
        <v>1</v>
      </c>
      <c r="AJ4248">
        <v>4</v>
      </c>
      <c r="AK4248">
        <v>12</v>
      </c>
      <c r="AL4248">
        <v>15</v>
      </c>
      <c r="AM4248">
        <v>12</v>
      </c>
      <c r="AN4248">
        <v>0</v>
      </c>
      <c r="AO4248">
        <v>44</v>
      </c>
      <c r="AP4248">
        <v>28</v>
      </c>
      <c r="AQ4248">
        <v>8</v>
      </c>
      <c r="AR4248">
        <v>3</v>
      </c>
      <c r="AS4248">
        <v>13</v>
      </c>
      <c r="AT4248">
        <v>6</v>
      </c>
    </row>
    <row r="4249" spans="1:46">
      <c r="A4249">
        <v>70429</v>
      </c>
      <c r="B4249" t="s">
        <v>22974</v>
      </c>
      <c r="C4249" t="s">
        <v>22975</v>
      </c>
      <c r="D4249" t="s">
        <v>22976</v>
      </c>
      <c r="E4249" t="s">
        <v>22977</v>
      </c>
      <c r="F4249" t="s">
        <v>3156</v>
      </c>
      <c r="G4249" t="s">
        <v>2941</v>
      </c>
      <c r="H4249" t="s">
        <v>3942</v>
      </c>
      <c r="J4249" t="s">
        <v>518</v>
      </c>
      <c r="K4249" t="s">
        <v>519</v>
      </c>
      <c r="M4249" t="s">
        <v>2287</v>
      </c>
      <c r="N4249" t="s">
        <v>571</v>
      </c>
      <c r="O4249" t="s">
        <v>2942</v>
      </c>
      <c r="P4249" t="s">
        <v>654</v>
      </c>
      <c r="Q4249" t="s">
        <v>2943</v>
      </c>
      <c r="R4249" t="s">
        <v>2944</v>
      </c>
      <c r="S4249" t="s">
        <v>2979</v>
      </c>
      <c r="T4249" t="s">
        <v>2448</v>
      </c>
      <c r="U4249">
        <v>329200</v>
      </c>
      <c r="V4249" t="s">
        <v>22528</v>
      </c>
      <c r="W4249" t="s">
        <v>2958</v>
      </c>
      <c r="X4249" t="s">
        <v>10801</v>
      </c>
      <c r="Y4249" t="s">
        <v>3944</v>
      </c>
      <c r="Z4249" t="s">
        <v>3945</v>
      </c>
      <c r="AA4249" t="s">
        <v>3946</v>
      </c>
      <c r="AE4249">
        <v>-43.565573100000002</v>
      </c>
      <c r="AF4249">
        <v>172.61415747999999</v>
      </c>
      <c r="AG4249">
        <v>36</v>
      </c>
      <c r="AH4249">
        <v>12</v>
      </c>
      <c r="AI4249">
        <v>4</v>
      </c>
      <c r="AJ4249">
        <v>14</v>
      </c>
      <c r="AK4249">
        <v>11</v>
      </c>
      <c r="AL4249">
        <v>12</v>
      </c>
      <c r="AM4249">
        <v>10</v>
      </c>
      <c r="AN4249">
        <v>1</v>
      </c>
      <c r="AO4249">
        <v>52</v>
      </c>
      <c r="AP4249">
        <v>45</v>
      </c>
      <c r="AQ4249">
        <v>13</v>
      </c>
      <c r="AR4249">
        <v>2</v>
      </c>
      <c r="AS4249">
        <v>8</v>
      </c>
      <c r="AT4249">
        <v>4</v>
      </c>
    </row>
    <row r="4250" spans="1:46">
      <c r="A4250">
        <v>70430</v>
      </c>
      <c r="B4250" t="s">
        <v>22978</v>
      </c>
      <c r="C4250" t="s">
        <v>22979</v>
      </c>
      <c r="D4250" t="s">
        <v>22980</v>
      </c>
      <c r="E4250" t="s">
        <v>22981</v>
      </c>
      <c r="F4250" t="s">
        <v>2882</v>
      </c>
      <c r="G4250" t="s">
        <v>2941</v>
      </c>
      <c r="H4250" t="s">
        <v>3942</v>
      </c>
      <c r="J4250" t="s">
        <v>3962</v>
      </c>
      <c r="K4250" t="s">
        <v>519</v>
      </c>
      <c r="M4250" t="s">
        <v>2287</v>
      </c>
      <c r="N4250" t="s">
        <v>571</v>
      </c>
      <c r="O4250" t="s">
        <v>2942</v>
      </c>
      <c r="P4250" t="s">
        <v>654</v>
      </c>
      <c r="Q4250" t="s">
        <v>2943</v>
      </c>
      <c r="R4250" t="s">
        <v>2944</v>
      </c>
      <c r="S4250" t="s">
        <v>2973</v>
      </c>
      <c r="T4250" t="s">
        <v>2448</v>
      </c>
      <c r="U4250">
        <v>325900</v>
      </c>
      <c r="V4250" t="s">
        <v>3145</v>
      </c>
      <c r="W4250" t="s">
        <v>2443</v>
      </c>
      <c r="X4250" t="s">
        <v>22982</v>
      </c>
      <c r="Y4250" t="s">
        <v>22983</v>
      </c>
      <c r="Z4250" t="s">
        <v>3068</v>
      </c>
      <c r="AA4250" t="s">
        <v>15995</v>
      </c>
      <c r="AB4250" t="s">
        <v>22984</v>
      </c>
      <c r="AE4250">
        <v>-43.514970079999998</v>
      </c>
      <c r="AF4250">
        <v>172.65949853000001</v>
      </c>
      <c r="AG4250">
        <v>35</v>
      </c>
      <c r="AH4250">
        <v>15</v>
      </c>
      <c r="AI4250">
        <v>3</v>
      </c>
      <c r="AJ4250">
        <v>8</v>
      </c>
      <c r="AK4250">
        <v>6</v>
      </c>
      <c r="AL4250">
        <v>9</v>
      </c>
      <c r="AM4250">
        <v>10</v>
      </c>
      <c r="AN4250">
        <v>0</v>
      </c>
      <c r="AO4250">
        <v>36</v>
      </c>
      <c r="AP4250">
        <v>28</v>
      </c>
      <c r="AQ4250">
        <v>7</v>
      </c>
      <c r="AR4250">
        <v>2</v>
      </c>
      <c r="AS4250">
        <v>12</v>
      </c>
      <c r="AT4250">
        <v>0</v>
      </c>
    </row>
    <row r="4251" spans="1:46">
      <c r="A4251">
        <v>70437</v>
      </c>
      <c r="B4251" t="s">
        <v>22985</v>
      </c>
      <c r="C4251" t="s">
        <v>22986</v>
      </c>
      <c r="D4251" t="s">
        <v>22987</v>
      </c>
      <c r="E4251" t="s">
        <v>22988</v>
      </c>
      <c r="G4251" t="s">
        <v>2963</v>
      </c>
      <c r="H4251" t="s">
        <v>3942</v>
      </c>
      <c r="J4251" t="s">
        <v>518</v>
      </c>
      <c r="K4251" t="s">
        <v>519</v>
      </c>
      <c r="M4251" t="s">
        <v>2287</v>
      </c>
      <c r="N4251" t="s">
        <v>571</v>
      </c>
      <c r="O4251" t="s">
        <v>2964</v>
      </c>
      <c r="P4251" t="s">
        <v>1262</v>
      </c>
      <c r="Q4251" t="s">
        <v>2943</v>
      </c>
      <c r="R4251" t="s">
        <v>2944</v>
      </c>
      <c r="S4251" t="s">
        <v>2965</v>
      </c>
      <c r="T4251" t="s">
        <v>2448</v>
      </c>
      <c r="U4251">
        <v>314200</v>
      </c>
      <c r="V4251" t="s">
        <v>3053</v>
      </c>
      <c r="W4251" t="s">
        <v>2967</v>
      </c>
      <c r="X4251" t="s">
        <v>22989</v>
      </c>
      <c r="Y4251" t="s">
        <v>22990</v>
      </c>
      <c r="Z4251" t="s">
        <v>2963</v>
      </c>
      <c r="AA4251" t="s">
        <v>21664</v>
      </c>
      <c r="AB4251" t="s">
        <v>22991</v>
      </c>
      <c r="AC4251">
        <v>99077</v>
      </c>
      <c r="AD4251" t="s">
        <v>2968</v>
      </c>
      <c r="AE4251">
        <v>-43.2961502</v>
      </c>
      <c r="AF4251">
        <v>172.59852735999999</v>
      </c>
      <c r="AG4251">
        <v>45</v>
      </c>
      <c r="AH4251">
        <v>0</v>
      </c>
      <c r="AI4251">
        <v>0</v>
      </c>
      <c r="AJ4251">
        <v>0</v>
      </c>
      <c r="AK4251">
        <v>10</v>
      </c>
      <c r="AL4251">
        <v>20</v>
      </c>
      <c r="AM4251">
        <v>21</v>
      </c>
      <c r="AN4251">
        <v>3</v>
      </c>
      <c r="AO4251">
        <v>54</v>
      </c>
      <c r="AP4251">
        <v>50</v>
      </c>
      <c r="AQ4251">
        <v>9</v>
      </c>
      <c r="AR4251">
        <v>1</v>
      </c>
      <c r="AS4251">
        <v>3</v>
      </c>
      <c r="AT4251">
        <v>2</v>
      </c>
    </row>
    <row r="4252" spans="1:46">
      <c r="A4252">
        <v>70438</v>
      </c>
      <c r="B4252" t="s">
        <v>22992</v>
      </c>
      <c r="C4252" t="s">
        <v>22993</v>
      </c>
      <c r="D4252" t="s">
        <v>22994</v>
      </c>
      <c r="E4252" t="s">
        <v>22995</v>
      </c>
      <c r="F4252" t="s">
        <v>12994</v>
      </c>
      <c r="G4252" t="s">
        <v>2941</v>
      </c>
      <c r="H4252" t="s">
        <v>3942</v>
      </c>
      <c r="J4252" t="s">
        <v>518</v>
      </c>
      <c r="K4252" t="s">
        <v>519</v>
      </c>
      <c r="M4252" t="s">
        <v>2287</v>
      </c>
      <c r="N4252" t="s">
        <v>571</v>
      </c>
      <c r="O4252" t="s">
        <v>2942</v>
      </c>
      <c r="P4252" t="s">
        <v>654</v>
      </c>
      <c r="Q4252" t="s">
        <v>2943</v>
      </c>
      <c r="R4252" t="s">
        <v>2944</v>
      </c>
      <c r="S4252" t="s">
        <v>2945</v>
      </c>
      <c r="T4252" t="s">
        <v>2448</v>
      </c>
      <c r="U4252">
        <v>323000</v>
      </c>
      <c r="V4252" t="s">
        <v>12994</v>
      </c>
      <c r="W4252" t="s">
        <v>2999</v>
      </c>
      <c r="X4252" t="s">
        <v>22996</v>
      </c>
      <c r="Y4252" t="s">
        <v>22997</v>
      </c>
      <c r="Z4252" t="s">
        <v>12994</v>
      </c>
      <c r="AA4252" t="s">
        <v>18026</v>
      </c>
      <c r="AB4252" t="s">
        <v>22993</v>
      </c>
      <c r="AC4252">
        <v>99215</v>
      </c>
      <c r="AD4252" t="s">
        <v>10972</v>
      </c>
      <c r="AE4252">
        <v>-43.520860229999997</v>
      </c>
      <c r="AF4252">
        <v>172.61767286</v>
      </c>
      <c r="AG4252">
        <v>30</v>
      </c>
      <c r="AH4252">
        <v>0</v>
      </c>
      <c r="AI4252">
        <v>0</v>
      </c>
      <c r="AJ4252">
        <v>0</v>
      </c>
      <c r="AK4252">
        <v>3</v>
      </c>
      <c r="AL4252">
        <v>16</v>
      </c>
      <c r="AM4252">
        <v>10</v>
      </c>
      <c r="AN4252">
        <v>1</v>
      </c>
      <c r="AO4252">
        <v>30</v>
      </c>
      <c r="AP4252">
        <v>28</v>
      </c>
      <c r="AQ4252">
        <v>6</v>
      </c>
      <c r="AR4252">
        <v>0</v>
      </c>
      <c r="AS4252">
        <v>5</v>
      </c>
      <c r="AT4252">
        <v>1</v>
      </c>
    </row>
    <row r="4253" spans="1:46">
      <c r="A4253">
        <v>70439</v>
      </c>
      <c r="B4253" t="s">
        <v>22998</v>
      </c>
      <c r="C4253" t="s">
        <v>13791</v>
      </c>
      <c r="E4253" t="s">
        <v>22999</v>
      </c>
      <c r="G4253" t="s">
        <v>10885</v>
      </c>
      <c r="H4253" t="s">
        <v>298</v>
      </c>
      <c r="J4253" t="s">
        <v>518</v>
      </c>
      <c r="K4253" t="s">
        <v>519</v>
      </c>
      <c r="M4253" t="s">
        <v>2287</v>
      </c>
      <c r="N4253" t="s">
        <v>571</v>
      </c>
      <c r="O4253" t="s">
        <v>3218</v>
      </c>
      <c r="P4253" t="s">
        <v>523</v>
      </c>
      <c r="Q4253" t="s">
        <v>2943</v>
      </c>
      <c r="R4253" t="s">
        <v>2944</v>
      </c>
      <c r="S4253" t="s">
        <v>3219</v>
      </c>
      <c r="T4253" t="s">
        <v>2448</v>
      </c>
      <c r="U4253">
        <v>337600</v>
      </c>
      <c r="V4253" t="s">
        <v>22704</v>
      </c>
      <c r="W4253" t="s">
        <v>2455</v>
      </c>
      <c r="X4253" t="s">
        <v>13795</v>
      </c>
      <c r="Y4253" t="s">
        <v>5187</v>
      </c>
      <c r="AA4253" t="s">
        <v>5188</v>
      </c>
      <c r="AB4253" t="s">
        <v>13796</v>
      </c>
      <c r="AC4253">
        <v>99009</v>
      </c>
      <c r="AD4253" t="s">
        <v>10890</v>
      </c>
      <c r="AE4253">
        <v>-43.751543300000002</v>
      </c>
      <c r="AF4253">
        <v>172.02390940000001</v>
      </c>
      <c r="AG4253">
        <v>25</v>
      </c>
      <c r="AH4253">
        <v>15</v>
      </c>
      <c r="AI4253">
        <v>1</v>
      </c>
      <c r="AJ4253">
        <v>2</v>
      </c>
      <c r="AK4253">
        <v>3</v>
      </c>
      <c r="AL4253">
        <v>2</v>
      </c>
      <c r="AM4253">
        <v>0</v>
      </c>
      <c r="AN4253">
        <v>0</v>
      </c>
      <c r="AO4253">
        <v>8</v>
      </c>
      <c r="AP4253">
        <v>6</v>
      </c>
      <c r="AQ4253">
        <v>1</v>
      </c>
      <c r="AR4253">
        <v>0</v>
      </c>
      <c r="AS4253">
        <v>0</v>
      </c>
      <c r="AT4253">
        <v>1</v>
      </c>
    </row>
    <row r="4254" spans="1:46">
      <c r="A4254">
        <v>70441</v>
      </c>
      <c r="B4254" t="s">
        <v>23000</v>
      </c>
      <c r="C4254" t="s">
        <v>23001</v>
      </c>
      <c r="D4254" t="s">
        <v>23002</v>
      </c>
      <c r="E4254" t="s">
        <v>23003</v>
      </c>
      <c r="F4254" t="s">
        <v>3135</v>
      </c>
      <c r="G4254" t="s">
        <v>2941</v>
      </c>
      <c r="H4254" t="s">
        <v>3942</v>
      </c>
      <c r="J4254" t="s">
        <v>518</v>
      </c>
      <c r="K4254" t="s">
        <v>519</v>
      </c>
      <c r="M4254" t="s">
        <v>2287</v>
      </c>
      <c r="N4254" t="s">
        <v>571</v>
      </c>
      <c r="O4254" t="s">
        <v>2942</v>
      </c>
      <c r="P4254" t="s">
        <v>654</v>
      </c>
      <c r="Q4254" t="s">
        <v>2943</v>
      </c>
      <c r="R4254" t="s">
        <v>2944</v>
      </c>
      <c r="S4254" t="s">
        <v>2957</v>
      </c>
      <c r="T4254" t="s">
        <v>2448</v>
      </c>
      <c r="U4254">
        <v>318800</v>
      </c>
      <c r="V4254" t="s">
        <v>3136</v>
      </c>
      <c r="W4254" t="s">
        <v>3098</v>
      </c>
      <c r="X4254" t="s">
        <v>23004</v>
      </c>
      <c r="Y4254" t="s">
        <v>23003</v>
      </c>
      <c r="Z4254" t="s">
        <v>2941</v>
      </c>
      <c r="AA4254" t="s">
        <v>11642</v>
      </c>
      <c r="AB4254" t="s">
        <v>23005</v>
      </c>
      <c r="AC4254">
        <v>99039</v>
      </c>
      <c r="AD4254" t="s">
        <v>2987</v>
      </c>
      <c r="AE4254">
        <v>-43.477410630000001</v>
      </c>
      <c r="AF4254">
        <v>172.61647872</v>
      </c>
      <c r="AG4254">
        <v>40</v>
      </c>
      <c r="AH4254">
        <v>10</v>
      </c>
      <c r="AI4254">
        <v>0</v>
      </c>
      <c r="AJ4254">
        <v>9</v>
      </c>
      <c r="AK4254">
        <v>15</v>
      </c>
      <c r="AL4254">
        <v>12</v>
      </c>
      <c r="AM4254">
        <v>13</v>
      </c>
      <c r="AN4254">
        <v>1</v>
      </c>
      <c r="AO4254">
        <v>50</v>
      </c>
      <c r="AP4254">
        <v>39</v>
      </c>
      <c r="AQ4254">
        <v>11</v>
      </c>
      <c r="AR4254">
        <v>4</v>
      </c>
      <c r="AS4254">
        <v>3</v>
      </c>
      <c r="AT4254">
        <v>3</v>
      </c>
    </row>
    <row r="4255" spans="1:46">
      <c r="A4255">
        <v>70445</v>
      </c>
      <c r="B4255" t="s">
        <v>23006</v>
      </c>
      <c r="C4255" t="s">
        <v>23007</v>
      </c>
      <c r="D4255" t="s">
        <v>23008</v>
      </c>
      <c r="E4255" t="s">
        <v>23009</v>
      </c>
      <c r="F4255" t="s">
        <v>10812</v>
      </c>
      <c r="G4255" t="s">
        <v>2941</v>
      </c>
      <c r="H4255" t="s">
        <v>3942</v>
      </c>
      <c r="I4255" t="s">
        <v>4231</v>
      </c>
      <c r="J4255" t="s">
        <v>518</v>
      </c>
      <c r="K4255" t="s">
        <v>519</v>
      </c>
      <c r="M4255" t="s">
        <v>2287</v>
      </c>
      <c r="N4255" t="s">
        <v>571</v>
      </c>
      <c r="O4255" t="s">
        <v>2942</v>
      </c>
      <c r="P4255" t="s">
        <v>654</v>
      </c>
      <c r="Q4255" t="s">
        <v>2943</v>
      </c>
      <c r="R4255" t="s">
        <v>2944</v>
      </c>
      <c r="S4255" t="s">
        <v>2957</v>
      </c>
      <c r="T4255" t="s">
        <v>2448</v>
      </c>
      <c r="U4255">
        <v>330900</v>
      </c>
      <c r="V4255" t="s">
        <v>3111</v>
      </c>
      <c r="W4255" t="s">
        <v>3014</v>
      </c>
      <c r="X4255" t="s">
        <v>23010</v>
      </c>
      <c r="Y4255" t="s">
        <v>23011</v>
      </c>
      <c r="Z4255" t="s">
        <v>2991</v>
      </c>
      <c r="AA4255" t="s">
        <v>22373</v>
      </c>
      <c r="AB4255" t="s">
        <v>23012</v>
      </c>
      <c r="AC4255">
        <v>99110</v>
      </c>
      <c r="AD4255" t="s">
        <v>4237</v>
      </c>
      <c r="AE4255">
        <v>-43.560400100000003</v>
      </c>
      <c r="AF4255">
        <v>172.65930639999999</v>
      </c>
      <c r="AG4255">
        <v>100</v>
      </c>
      <c r="AH4255">
        <v>0</v>
      </c>
      <c r="AI4255">
        <v>0</v>
      </c>
      <c r="AJ4255">
        <v>0</v>
      </c>
      <c r="AK4255">
        <v>7</v>
      </c>
      <c r="AL4255">
        <v>7</v>
      </c>
      <c r="AM4255">
        <v>25</v>
      </c>
      <c r="AN4255">
        <v>26</v>
      </c>
      <c r="AO4255">
        <v>65</v>
      </c>
      <c r="AP4255">
        <v>61</v>
      </c>
      <c r="AQ4255">
        <v>7</v>
      </c>
      <c r="AR4255">
        <v>1</v>
      </c>
      <c r="AS4255">
        <v>4</v>
      </c>
      <c r="AT4255">
        <v>1</v>
      </c>
    </row>
    <row r="4256" spans="1:46">
      <c r="A4256">
        <v>70447</v>
      </c>
      <c r="B4256" t="s">
        <v>23013</v>
      </c>
      <c r="C4256" t="s">
        <v>23014</v>
      </c>
      <c r="D4256" t="s">
        <v>23015</v>
      </c>
      <c r="E4256" t="s">
        <v>23016</v>
      </c>
      <c r="F4256" t="s">
        <v>2941</v>
      </c>
      <c r="G4256" t="s">
        <v>2941</v>
      </c>
      <c r="H4256" t="s">
        <v>3942</v>
      </c>
      <c r="J4256" t="s">
        <v>518</v>
      </c>
      <c r="K4256" t="s">
        <v>519</v>
      </c>
      <c r="M4256" t="s">
        <v>2287</v>
      </c>
      <c r="N4256" t="s">
        <v>571</v>
      </c>
      <c r="O4256" t="s">
        <v>2942</v>
      </c>
      <c r="P4256" t="s">
        <v>654</v>
      </c>
      <c r="Q4256" t="s">
        <v>2943</v>
      </c>
      <c r="R4256" t="s">
        <v>2944</v>
      </c>
      <c r="S4256" t="s">
        <v>2957</v>
      </c>
      <c r="T4256" t="s">
        <v>2448</v>
      </c>
      <c r="U4256">
        <v>325800</v>
      </c>
      <c r="V4256" t="s">
        <v>17773</v>
      </c>
      <c r="W4256" t="s">
        <v>2443</v>
      </c>
      <c r="X4256" t="s">
        <v>10801</v>
      </c>
      <c r="Y4256" t="s">
        <v>3944</v>
      </c>
      <c r="Z4256" t="s">
        <v>3945</v>
      </c>
      <c r="AA4256" t="s">
        <v>3946</v>
      </c>
      <c r="AC4256">
        <v>99215</v>
      </c>
      <c r="AD4256" t="s">
        <v>10972</v>
      </c>
      <c r="AE4256">
        <v>-43.524610269999997</v>
      </c>
      <c r="AF4256">
        <v>172.63831200000001</v>
      </c>
      <c r="AG4256">
        <v>66</v>
      </c>
      <c r="AH4256">
        <v>20</v>
      </c>
      <c r="AI4256">
        <v>3</v>
      </c>
      <c r="AJ4256">
        <v>6</v>
      </c>
      <c r="AK4256">
        <v>12</v>
      </c>
      <c r="AL4256">
        <v>8</v>
      </c>
      <c r="AM4256">
        <v>2</v>
      </c>
      <c r="AN4256">
        <v>1</v>
      </c>
      <c r="AO4256">
        <v>32</v>
      </c>
      <c r="AP4256">
        <v>19</v>
      </c>
      <c r="AQ4256">
        <v>8</v>
      </c>
      <c r="AR4256">
        <v>2</v>
      </c>
      <c r="AS4256">
        <v>10</v>
      </c>
      <c r="AT4256">
        <v>3</v>
      </c>
    </row>
    <row r="4257" spans="1:46">
      <c r="A4257">
        <v>70451</v>
      </c>
      <c r="B4257" t="s">
        <v>23017</v>
      </c>
      <c r="C4257" t="s">
        <v>23018</v>
      </c>
      <c r="D4257" t="s">
        <v>12261</v>
      </c>
      <c r="E4257" t="s">
        <v>23019</v>
      </c>
      <c r="F4257" t="s">
        <v>3156</v>
      </c>
      <c r="G4257" t="s">
        <v>2941</v>
      </c>
      <c r="H4257" t="s">
        <v>3942</v>
      </c>
      <c r="I4257" t="s">
        <v>3953</v>
      </c>
      <c r="J4257" t="s">
        <v>518</v>
      </c>
      <c r="K4257" t="s">
        <v>519</v>
      </c>
      <c r="M4257" t="s">
        <v>2287</v>
      </c>
      <c r="N4257" t="s">
        <v>571</v>
      </c>
      <c r="O4257" t="s">
        <v>2942</v>
      </c>
      <c r="P4257" t="s">
        <v>654</v>
      </c>
      <c r="Q4257" t="s">
        <v>2943</v>
      </c>
      <c r="R4257" t="s">
        <v>2944</v>
      </c>
      <c r="S4257" t="s">
        <v>3019</v>
      </c>
      <c r="T4257" t="s">
        <v>2448</v>
      </c>
      <c r="U4257">
        <v>326900</v>
      </c>
      <c r="V4257" t="s">
        <v>12264</v>
      </c>
      <c r="W4257" t="s">
        <v>3088</v>
      </c>
      <c r="X4257" t="s">
        <v>12265</v>
      </c>
      <c r="Y4257" t="s">
        <v>12266</v>
      </c>
      <c r="Z4257" t="s">
        <v>12263</v>
      </c>
      <c r="AA4257" t="s">
        <v>12267</v>
      </c>
      <c r="AB4257" t="s">
        <v>12268</v>
      </c>
      <c r="AC4257">
        <v>99177</v>
      </c>
      <c r="AD4257" t="s">
        <v>2959</v>
      </c>
      <c r="AE4257">
        <v>-43.556129030000001</v>
      </c>
      <c r="AF4257">
        <v>172.60734793</v>
      </c>
      <c r="AG4257">
        <v>41</v>
      </c>
      <c r="AH4257">
        <v>16</v>
      </c>
      <c r="AI4257">
        <v>3</v>
      </c>
      <c r="AJ4257">
        <v>19</v>
      </c>
      <c r="AK4257">
        <v>16</v>
      </c>
      <c r="AL4257">
        <v>11</v>
      </c>
      <c r="AM4257">
        <v>2</v>
      </c>
      <c r="AN4257">
        <v>0</v>
      </c>
      <c r="AO4257">
        <v>51</v>
      </c>
      <c r="AP4257">
        <v>39</v>
      </c>
      <c r="AQ4257">
        <v>13</v>
      </c>
      <c r="AR4257">
        <v>3</v>
      </c>
      <c r="AS4257">
        <v>6</v>
      </c>
      <c r="AT4257">
        <v>1</v>
      </c>
    </row>
    <row r="4258" spans="1:46">
      <c r="A4258">
        <v>70455</v>
      </c>
      <c r="B4258" t="s">
        <v>23020</v>
      </c>
      <c r="C4258" t="s">
        <v>23021</v>
      </c>
      <c r="D4258" t="s">
        <v>23022</v>
      </c>
      <c r="E4258" t="s">
        <v>23023</v>
      </c>
      <c r="F4258" t="s">
        <v>3173</v>
      </c>
      <c r="G4258" t="s">
        <v>2941</v>
      </c>
      <c r="H4258" t="s">
        <v>3942</v>
      </c>
      <c r="J4258" t="s">
        <v>518</v>
      </c>
      <c r="K4258" t="s">
        <v>519</v>
      </c>
      <c r="M4258" t="s">
        <v>2287</v>
      </c>
      <c r="N4258" t="s">
        <v>571</v>
      </c>
      <c r="O4258" t="s">
        <v>2942</v>
      </c>
      <c r="P4258" t="s">
        <v>654</v>
      </c>
      <c r="Q4258" t="s">
        <v>2943</v>
      </c>
      <c r="R4258" t="s">
        <v>2944</v>
      </c>
      <c r="S4258" t="s">
        <v>2957</v>
      </c>
      <c r="T4258" t="s">
        <v>2448</v>
      </c>
      <c r="U4258">
        <v>323100</v>
      </c>
      <c r="V4258" t="s">
        <v>3082</v>
      </c>
      <c r="W4258" t="s">
        <v>3070</v>
      </c>
      <c r="X4258" t="s">
        <v>23024</v>
      </c>
      <c r="Y4258" t="s">
        <v>23023</v>
      </c>
      <c r="Z4258" t="s">
        <v>3081</v>
      </c>
      <c r="AA4258" t="s">
        <v>12325</v>
      </c>
      <c r="AE4258">
        <v>-43.504523040000002</v>
      </c>
      <c r="AF4258">
        <v>172.63922109999999</v>
      </c>
      <c r="AG4258">
        <v>35</v>
      </c>
      <c r="AH4258">
        <v>0</v>
      </c>
      <c r="AI4258">
        <v>0</v>
      </c>
      <c r="AJ4258">
        <v>0</v>
      </c>
      <c r="AK4258">
        <v>6</v>
      </c>
      <c r="AL4258">
        <v>11</v>
      </c>
      <c r="AM4258">
        <v>12</v>
      </c>
      <c r="AN4258">
        <v>2</v>
      </c>
      <c r="AO4258">
        <v>31</v>
      </c>
      <c r="AP4258">
        <v>22</v>
      </c>
      <c r="AQ4258">
        <v>8</v>
      </c>
      <c r="AR4258">
        <v>6</v>
      </c>
      <c r="AS4258">
        <v>3</v>
      </c>
      <c r="AT4258">
        <v>1</v>
      </c>
    </row>
    <row r="4259" spans="1:46">
      <c r="A4259">
        <v>70457</v>
      </c>
      <c r="B4259" t="s">
        <v>23025</v>
      </c>
      <c r="C4259" t="s">
        <v>23026</v>
      </c>
      <c r="D4259" t="s">
        <v>23027</v>
      </c>
      <c r="E4259" t="s">
        <v>23028</v>
      </c>
      <c r="F4259" t="s">
        <v>2984</v>
      </c>
      <c r="G4259" t="s">
        <v>2941</v>
      </c>
      <c r="H4259" t="s">
        <v>3942</v>
      </c>
      <c r="J4259" t="s">
        <v>518</v>
      </c>
      <c r="K4259" t="s">
        <v>519</v>
      </c>
      <c r="M4259" t="s">
        <v>2287</v>
      </c>
      <c r="N4259" t="s">
        <v>571</v>
      </c>
      <c r="O4259" t="s">
        <v>2942</v>
      </c>
      <c r="P4259" t="s">
        <v>654</v>
      </c>
      <c r="Q4259" t="s">
        <v>2943</v>
      </c>
      <c r="R4259" t="s">
        <v>2944</v>
      </c>
      <c r="S4259" t="s">
        <v>2945</v>
      </c>
      <c r="T4259" t="s">
        <v>2448</v>
      </c>
      <c r="U4259">
        <v>317800</v>
      </c>
      <c r="V4259" t="s">
        <v>2985</v>
      </c>
      <c r="W4259" t="s">
        <v>2986</v>
      </c>
      <c r="X4259" t="s">
        <v>23029</v>
      </c>
      <c r="Y4259" t="s">
        <v>23030</v>
      </c>
      <c r="Z4259" t="s">
        <v>2941</v>
      </c>
      <c r="AA4259" t="s">
        <v>22752</v>
      </c>
      <c r="AB4259" t="s">
        <v>23031</v>
      </c>
      <c r="AC4259">
        <v>99039</v>
      </c>
      <c r="AD4259" t="s">
        <v>2987</v>
      </c>
      <c r="AE4259">
        <v>-43.485013010000003</v>
      </c>
      <c r="AF4259">
        <v>172.58722463999999</v>
      </c>
      <c r="AG4259">
        <v>40</v>
      </c>
      <c r="AH4259">
        <v>8</v>
      </c>
      <c r="AI4259">
        <v>2</v>
      </c>
      <c r="AJ4259">
        <v>6</v>
      </c>
      <c r="AK4259">
        <v>11</v>
      </c>
      <c r="AL4259">
        <v>20</v>
      </c>
      <c r="AM4259">
        <v>11</v>
      </c>
      <c r="AN4259">
        <v>1</v>
      </c>
      <c r="AO4259">
        <v>51</v>
      </c>
      <c r="AP4259">
        <v>37</v>
      </c>
      <c r="AQ4259">
        <v>9</v>
      </c>
      <c r="AR4259">
        <v>2</v>
      </c>
      <c r="AS4259">
        <v>10</v>
      </c>
      <c r="AT4259">
        <v>1</v>
      </c>
    </row>
    <row r="4260" spans="1:46">
      <c r="A4260">
        <v>70459</v>
      </c>
      <c r="B4260" t="s">
        <v>23032</v>
      </c>
      <c r="C4260" t="s">
        <v>23033</v>
      </c>
      <c r="D4260" t="s">
        <v>23034</v>
      </c>
      <c r="E4260" t="s">
        <v>23035</v>
      </c>
      <c r="F4260" t="s">
        <v>12997</v>
      </c>
      <c r="G4260" t="s">
        <v>2941</v>
      </c>
      <c r="H4260" t="s">
        <v>3942</v>
      </c>
      <c r="J4260" t="s">
        <v>518</v>
      </c>
      <c r="K4260" t="s">
        <v>519</v>
      </c>
      <c r="M4260" t="s">
        <v>2287</v>
      </c>
      <c r="N4260" t="s">
        <v>4519</v>
      </c>
      <c r="O4260" t="s">
        <v>2942</v>
      </c>
      <c r="P4260" t="s">
        <v>654</v>
      </c>
      <c r="Q4260" t="s">
        <v>2943</v>
      </c>
      <c r="R4260" t="s">
        <v>2944</v>
      </c>
      <c r="S4260" t="s">
        <v>2979</v>
      </c>
      <c r="T4260" t="s">
        <v>2448</v>
      </c>
      <c r="U4260">
        <v>332400</v>
      </c>
      <c r="V4260" t="s">
        <v>23036</v>
      </c>
      <c r="W4260" t="s">
        <v>3014</v>
      </c>
      <c r="X4260" t="s">
        <v>23037</v>
      </c>
      <c r="Y4260" t="s">
        <v>23038</v>
      </c>
      <c r="Z4260" t="s">
        <v>14659</v>
      </c>
      <c r="AA4260" t="s">
        <v>23039</v>
      </c>
      <c r="AB4260" t="s">
        <v>23033</v>
      </c>
      <c r="AC4260">
        <v>99196</v>
      </c>
      <c r="AD4260" t="s">
        <v>3064</v>
      </c>
      <c r="AE4260">
        <v>-43.563601689999999</v>
      </c>
      <c r="AF4260">
        <v>172.74015463000001</v>
      </c>
      <c r="AG4260">
        <v>50</v>
      </c>
      <c r="AH4260">
        <v>10</v>
      </c>
      <c r="AI4260">
        <v>2</v>
      </c>
      <c r="AJ4260">
        <v>15</v>
      </c>
      <c r="AK4260">
        <v>13</v>
      </c>
      <c r="AL4260">
        <v>15</v>
      </c>
      <c r="AM4260">
        <v>14</v>
      </c>
      <c r="AN4260">
        <v>0</v>
      </c>
      <c r="AO4260">
        <v>59</v>
      </c>
      <c r="AP4260">
        <v>57</v>
      </c>
      <c r="AQ4260">
        <v>7</v>
      </c>
      <c r="AR4260">
        <v>1</v>
      </c>
      <c r="AS4260">
        <v>2</v>
      </c>
      <c r="AT4260">
        <v>1</v>
      </c>
    </row>
    <row r="4261" spans="1:46">
      <c r="A4261">
        <v>70461</v>
      </c>
      <c r="B4261" t="s">
        <v>23040</v>
      </c>
      <c r="C4261" t="s">
        <v>23041</v>
      </c>
      <c r="D4261" t="s">
        <v>23042</v>
      </c>
      <c r="E4261" t="s">
        <v>23043</v>
      </c>
      <c r="F4261" t="s">
        <v>3115</v>
      </c>
      <c r="G4261" t="s">
        <v>2941</v>
      </c>
      <c r="H4261" t="s">
        <v>3942</v>
      </c>
      <c r="J4261" t="s">
        <v>3962</v>
      </c>
      <c r="K4261" t="s">
        <v>519</v>
      </c>
      <c r="M4261" t="s">
        <v>2287</v>
      </c>
      <c r="N4261" t="s">
        <v>4519</v>
      </c>
      <c r="O4261" t="s">
        <v>2942</v>
      </c>
      <c r="P4261" t="s">
        <v>654</v>
      </c>
      <c r="Q4261" t="s">
        <v>2943</v>
      </c>
      <c r="R4261" t="s">
        <v>2944</v>
      </c>
      <c r="S4261" t="s">
        <v>2945</v>
      </c>
      <c r="T4261" t="s">
        <v>2448</v>
      </c>
      <c r="U4261">
        <v>319200</v>
      </c>
      <c r="V4261" t="s">
        <v>3049</v>
      </c>
      <c r="W4261" t="s">
        <v>2999</v>
      </c>
      <c r="X4261" t="s">
        <v>11708</v>
      </c>
      <c r="Y4261" t="s">
        <v>11709</v>
      </c>
      <c r="Z4261" t="s">
        <v>11710</v>
      </c>
      <c r="AA4261" t="s">
        <v>11642</v>
      </c>
      <c r="AB4261" t="s">
        <v>11711</v>
      </c>
      <c r="AC4261">
        <v>99027</v>
      </c>
      <c r="AD4261" t="s">
        <v>3000</v>
      </c>
      <c r="AE4261">
        <v>-43.500027639999999</v>
      </c>
      <c r="AF4261">
        <v>172.58547074000001</v>
      </c>
      <c r="AG4261">
        <v>33</v>
      </c>
      <c r="AH4261">
        <v>10</v>
      </c>
      <c r="AI4261">
        <v>1</v>
      </c>
      <c r="AJ4261">
        <v>7</v>
      </c>
      <c r="AK4261">
        <v>17</v>
      </c>
      <c r="AL4261">
        <v>12</v>
      </c>
      <c r="AM4261">
        <v>8</v>
      </c>
      <c r="AN4261">
        <v>0</v>
      </c>
      <c r="AO4261">
        <v>45</v>
      </c>
      <c r="AP4261">
        <v>28</v>
      </c>
      <c r="AQ4261">
        <v>13</v>
      </c>
      <c r="AR4261">
        <v>4</v>
      </c>
      <c r="AS4261">
        <v>7</v>
      </c>
      <c r="AT4261">
        <v>9</v>
      </c>
    </row>
    <row r="4262" spans="1:46">
      <c r="A4262">
        <v>70463</v>
      </c>
      <c r="B4262" t="s">
        <v>23044</v>
      </c>
      <c r="C4262" t="s">
        <v>23045</v>
      </c>
      <c r="D4262" t="s">
        <v>23046</v>
      </c>
      <c r="E4262" t="s">
        <v>23047</v>
      </c>
      <c r="F4262" t="s">
        <v>11707</v>
      </c>
      <c r="G4262" t="s">
        <v>2941</v>
      </c>
      <c r="H4262" t="s">
        <v>3942</v>
      </c>
      <c r="J4262" t="s">
        <v>518</v>
      </c>
      <c r="K4262" t="s">
        <v>519</v>
      </c>
      <c r="M4262" t="s">
        <v>2287</v>
      </c>
      <c r="N4262" t="s">
        <v>539</v>
      </c>
      <c r="O4262" t="s">
        <v>2942</v>
      </c>
      <c r="P4262" t="s">
        <v>654</v>
      </c>
      <c r="Q4262" t="s">
        <v>2943</v>
      </c>
      <c r="R4262" t="s">
        <v>2944</v>
      </c>
      <c r="S4262" t="s">
        <v>2957</v>
      </c>
      <c r="T4262" t="s">
        <v>2448</v>
      </c>
      <c r="U4262">
        <v>329900</v>
      </c>
      <c r="V4262" t="s">
        <v>3012</v>
      </c>
      <c r="W4262" t="s">
        <v>3014</v>
      </c>
      <c r="X4262" t="s">
        <v>23048</v>
      </c>
      <c r="Y4262" t="s">
        <v>23049</v>
      </c>
      <c r="Z4262" t="s">
        <v>2941</v>
      </c>
      <c r="AA4262" t="s">
        <v>23050</v>
      </c>
      <c r="AB4262" t="s">
        <v>23051</v>
      </c>
      <c r="AC4262">
        <v>99177</v>
      </c>
      <c r="AD4262" t="s">
        <v>2959</v>
      </c>
      <c r="AE4262">
        <v>-43.548835510000004</v>
      </c>
      <c r="AF4262">
        <v>172.64720120000001</v>
      </c>
      <c r="AG4262">
        <v>40</v>
      </c>
      <c r="AH4262">
        <v>10</v>
      </c>
      <c r="AI4262">
        <v>0</v>
      </c>
      <c r="AJ4262">
        <v>6</v>
      </c>
      <c r="AK4262">
        <v>15</v>
      </c>
      <c r="AL4262">
        <v>10</v>
      </c>
      <c r="AM4262">
        <v>15</v>
      </c>
      <c r="AN4262">
        <v>2</v>
      </c>
      <c r="AO4262">
        <v>48</v>
      </c>
      <c r="AP4262">
        <v>35</v>
      </c>
      <c r="AQ4262">
        <v>9</v>
      </c>
      <c r="AR4262">
        <v>3</v>
      </c>
      <c r="AS4262">
        <v>6</v>
      </c>
      <c r="AT4262">
        <v>0</v>
      </c>
    </row>
    <row r="4263" spans="1:46">
      <c r="A4263">
        <v>70466</v>
      </c>
      <c r="B4263" t="s">
        <v>23052</v>
      </c>
      <c r="C4263" t="s">
        <v>23053</v>
      </c>
      <c r="D4263" t="s">
        <v>23054</v>
      </c>
      <c r="E4263" t="s">
        <v>23055</v>
      </c>
      <c r="G4263" t="s">
        <v>2963</v>
      </c>
      <c r="H4263" t="s">
        <v>3942</v>
      </c>
      <c r="J4263" t="s">
        <v>518</v>
      </c>
      <c r="K4263" t="s">
        <v>519</v>
      </c>
      <c r="M4263" t="s">
        <v>2287</v>
      </c>
      <c r="N4263" t="s">
        <v>571</v>
      </c>
      <c r="O4263" t="s">
        <v>2964</v>
      </c>
      <c r="P4263" t="s">
        <v>572</v>
      </c>
      <c r="Q4263" t="s">
        <v>2943</v>
      </c>
      <c r="R4263" t="s">
        <v>2944</v>
      </c>
      <c r="S4263" t="s">
        <v>2965</v>
      </c>
      <c r="T4263" t="s">
        <v>2448</v>
      </c>
      <c r="U4263">
        <v>315100</v>
      </c>
      <c r="V4263" t="s">
        <v>23056</v>
      </c>
      <c r="W4263" t="s">
        <v>11202</v>
      </c>
      <c r="X4263" t="s">
        <v>23057</v>
      </c>
      <c r="Y4263" t="s">
        <v>23058</v>
      </c>
      <c r="AA4263" t="s">
        <v>23059</v>
      </c>
      <c r="AB4263" t="s">
        <v>23060</v>
      </c>
      <c r="AC4263">
        <v>99077</v>
      </c>
      <c r="AD4263" t="s">
        <v>2968</v>
      </c>
      <c r="AE4263">
        <v>-43.369982780000001</v>
      </c>
      <c r="AF4263">
        <v>172.49770989999999</v>
      </c>
      <c r="AG4263">
        <v>110</v>
      </c>
      <c r="AH4263">
        <v>25</v>
      </c>
      <c r="AI4263">
        <v>0</v>
      </c>
      <c r="AJ4263">
        <v>19</v>
      </c>
      <c r="AK4263">
        <v>26</v>
      </c>
      <c r="AL4263">
        <v>38</v>
      </c>
      <c r="AM4263">
        <v>48</v>
      </c>
      <c r="AN4263">
        <v>0</v>
      </c>
      <c r="AO4263">
        <v>131</v>
      </c>
      <c r="AP4263">
        <v>123</v>
      </c>
      <c r="AQ4263">
        <v>20</v>
      </c>
      <c r="AR4263">
        <v>2</v>
      </c>
      <c r="AS4263">
        <v>2</v>
      </c>
      <c r="AT4263">
        <v>1</v>
      </c>
    </row>
    <row r="4264" spans="1:46">
      <c r="A4264">
        <v>70472</v>
      </c>
      <c r="B4264" t="s">
        <v>23061</v>
      </c>
      <c r="C4264" t="s">
        <v>23062</v>
      </c>
      <c r="E4264" t="s">
        <v>23063</v>
      </c>
      <c r="F4264" t="s">
        <v>2957</v>
      </c>
      <c r="G4264" t="s">
        <v>2941</v>
      </c>
      <c r="H4264" t="s">
        <v>3942</v>
      </c>
      <c r="I4264" t="s">
        <v>6806</v>
      </c>
      <c r="J4264" t="s">
        <v>518</v>
      </c>
      <c r="K4264" t="s">
        <v>519</v>
      </c>
      <c r="M4264" t="s">
        <v>2287</v>
      </c>
      <c r="N4264" t="s">
        <v>571</v>
      </c>
      <c r="O4264" t="s">
        <v>2942</v>
      </c>
      <c r="P4264" t="s">
        <v>654</v>
      </c>
      <c r="Q4264" t="s">
        <v>2943</v>
      </c>
      <c r="R4264" t="s">
        <v>2944</v>
      </c>
      <c r="S4264" t="s">
        <v>2957</v>
      </c>
      <c r="T4264" t="s">
        <v>2448</v>
      </c>
      <c r="U4264">
        <v>325700</v>
      </c>
      <c r="V4264" t="s">
        <v>18549</v>
      </c>
      <c r="W4264" t="s">
        <v>2443</v>
      </c>
      <c r="X4264" t="s">
        <v>23064</v>
      </c>
      <c r="Y4264" t="s">
        <v>23065</v>
      </c>
      <c r="Z4264" t="s">
        <v>22013</v>
      </c>
      <c r="AA4264" t="s">
        <v>17869</v>
      </c>
      <c r="AB4264" t="s">
        <v>23062</v>
      </c>
      <c r="AE4264">
        <v>-43.527879849999998</v>
      </c>
      <c r="AF4264">
        <v>172.62878910000001</v>
      </c>
      <c r="AG4264">
        <v>50</v>
      </c>
      <c r="AH4264">
        <v>0</v>
      </c>
      <c r="AI4264">
        <v>0</v>
      </c>
      <c r="AJ4264">
        <v>0</v>
      </c>
      <c r="AK4264">
        <v>3</v>
      </c>
      <c r="AL4264">
        <v>11</v>
      </c>
      <c r="AM4264">
        <v>20</v>
      </c>
      <c r="AN4264">
        <v>0</v>
      </c>
      <c r="AO4264">
        <v>34</v>
      </c>
      <c r="AP4264">
        <v>20</v>
      </c>
      <c r="AQ4264">
        <v>1</v>
      </c>
      <c r="AR4264">
        <v>0</v>
      </c>
      <c r="AS4264">
        <v>17</v>
      </c>
      <c r="AT4264">
        <v>1</v>
      </c>
    </row>
    <row r="4265" spans="1:46">
      <c r="A4265">
        <v>70475</v>
      </c>
      <c r="B4265" t="s">
        <v>23066</v>
      </c>
      <c r="C4265" t="s">
        <v>23067</v>
      </c>
      <c r="D4265" t="s">
        <v>23068</v>
      </c>
      <c r="E4265" t="s">
        <v>23069</v>
      </c>
      <c r="F4265" t="s">
        <v>10949</v>
      </c>
      <c r="G4265" t="s">
        <v>2941</v>
      </c>
      <c r="H4265" t="s">
        <v>3942</v>
      </c>
      <c r="J4265" t="s">
        <v>518</v>
      </c>
      <c r="K4265" t="s">
        <v>519</v>
      </c>
      <c r="M4265" t="s">
        <v>2287</v>
      </c>
      <c r="N4265" t="s">
        <v>571</v>
      </c>
      <c r="O4265" t="s">
        <v>2942</v>
      </c>
      <c r="P4265" t="s">
        <v>654</v>
      </c>
      <c r="Q4265" t="s">
        <v>2943</v>
      </c>
      <c r="R4265" t="s">
        <v>2944</v>
      </c>
      <c r="S4265" t="s">
        <v>2979</v>
      </c>
      <c r="T4265" t="s">
        <v>2448</v>
      </c>
      <c r="U4265">
        <v>329100</v>
      </c>
      <c r="V4265" t="s">
        <v>13620</v>
      </c>
      <c r="W4265" t="s">
        <v>2958</v>
      </c>
      <c r="X4265" t="s">
        <v>23070</v>
      </c>
      <c r="Y4265" t="s">
        <v>23069</v>
      </c>
      <c r="Z4265" t="s">
        <v>10949</v>
      </c>
      <c r="AA4265" t="s">
        <v>10950</v>
      </c>
      <c r="AB4265" t="s">
        <v>23071</v>
      </c>
      <c r="AC4265">
        <v>99177</v>
      </c>
      <c r="AD4265" t="s">
        <v>2959</v>
      </c>
      <c r="AE4265">
        <v>-43.559286579999998</v>
      </c>
      <c r="AF4265">
        <v>172.63255014000001</v>
      </c>
      <c r="AG4265">
        <v>70</v>
      </c>
      <c r="AH4265">
        <v>0</v>
      </c>
      <c r="AI4265">
        <v>0</v>
      </c>
      <c r="AJ4265">
        <v>0</v>
      </c>
      <c r="AK4265">
        <v>11</v>
      </c>
      <c r="AL4265">
        <v>15</v>
      </c>
      <c r="AM4265">
        <v>22</v>
      </c>
      <c r="AN4265">
        <v>2</v>
      </c>
      <c r="AO4265">
        <v>50</v>
      </c>
      <c r="AP4265">
        <v>40</v>
      </c>
      <c r="AQ4265">
        <v>4</v>
      </c>
      <c r="AR4265">
        <v>2</v>
      </c>
      <c r="AS4265">
        <v>11</v>
      </c>
      <c r="AT4265">
        <v>9</v>
      </c>
    </row>
    <row r="4266" spans="1:46">
      <c r="A4266">
        <v>70478</v>
      </c>
      <c r="B4266" t="s">
        <v>23072</v>
      </c>
      <c r="C4266" t="s">
        <v>23073</v>
      </c>
      <c r="D4266" t="s">
        <v>23074</v>
      </c>
      <c r="E4266" t="s">
        <v>23075</v>
      </c>
      <c r="G4266" t="s">
        <v>3187</v>
      </c>
      <c r="H4266" t="s">
        <v>3942</v>
      </c>
      <c r="J4266" t="s">
        <v>518</v>
      </c>
      <c r="K4266" t="s">
        <v>519</v>
      </c>
      <c r="M4266" t="s">
        <v>2287</v>
      </c>
      <c r="N4266" t="s">
        <v>571</v>
      </c>
      <c r="O4266" t="s">
        <v>2964</v>
      </c>
      <c r="P4266" t="s">
        <v>572</v>
      </c>
      <c r="Q4266" t="s">
        <v>2943</v>
      </c>
      <c r="R4266" t="s">
        <v>2944</v>
      </c>
      <c r="S4266" t="s">
        <v>2965</v>
      </c>
      <c r="T4266" t="s">
        <v>2448</v>
      </c>
      <c r="U4266">
        <v>315200</v>
      </c>
      <c r="V4266" t="s">
        <v>23076</v>
      </c>
      <c r="W4266" t="s">
        <v>3189</v>
      </c>
      <c r="X4266" t="s">
        <v>23077</v>
      </c>
      <c r="Y4266" t="s">
        <v>23078</v>
      </c>
      <c r="Z4266" t="s">
        <v>3187</v>
      </c>
      <c r="AA4266" t="s">
        <v>23079</v>
      </c>
      <c r="AB4266" t="s">
        <v>23080</v>
      </c>
      <c r="AC4266">
        <v>99061</v>
      </c>
      <c r="AD4266" t="s">
        <v>3190</v>
      </c>
      <c r="AE4266">
        <v>-43.334338639999999</v>
      </c>
      <c r="AF4266">
        <v>172.64330584999999</v>
      </c>
      <c r="AG4266">
        <v>55</v>
      </c>
      <c r="AH4266">
        <v>0</v>
      </c>
      <c r="AI4266">
        <v>0</v>
      </c>
      <c r="AJ4266">
        <v>0</v>
      </c>
      <c r="AK4266">
        <v>14</v>
      </c>
      <c r="AL4266">
        <v>11</v>
      </c>
      <c r="AM4266">
        <v>29</v>
      </c>
      <c r="AN4266">
        <v>1</v>
      </c>
      <c r="AO4266">
        <v>55</v>
      </c>
      <c r="AP4266">
        <v>33</v>
      </c>
      <c r="AQ4266">
        <v>17</v>
      </c>
      <c r="AR4266">
        <v>3</v>
      </c>
      <c r="AS4266">
        <v>0</v>
      </c>
      <c r="AT4266">
        <v>3</v>
      </c>
    </row>
    <row r="4267" spans="1:46">
      <c r="A4267">
        <v>70479</v>
      </c>
      <c r="B4267" t="s">
        <v>23081</v>
      </c>
      <c r="C4267" t="s">
        <v>23082</v>
      </c>
      <c r="E4267" t="s">
        <v>23083</v>
      </c>
      <c r="F4267" t="s">
        <v>18456</v>
      </c>
      <c r="G4267" t="s">
        <v>2941</v>
      </c>
      <c r="H4267" t="s">
        <v>3942</v>
      </c>
      <c r="J4267" t="s">
        <v>3962</v>
      </c>
      <c r="K4267" t="s">
        <v>519</v>
      </c>
      <c r="M4267" t="s">
        <v>2287</v>
      </c>
      <c r="N4267" t="s">
        <v>571</v>
      </c>
      <c r="O4267" t="s">
        <v>2942</v>
      </c>
      <c r="P4267" t="s">
        <v>654</v>
      </c>
      <c r="Q4267" t="s">
        <v>2943</v>
      </c>
      <c r="R4267" t="s">
        <v>2944</v>
      </c>
      <c r="S4267" t="s">
        <v>3019</v>
      </c>
      <c r="T4267" t="s">
        <v>2448</v>
      </c>
      <c r="U4267">
        <v>325000</v>
      </c>
      <c r="V4267" t="s">
        <v>18456</v>
      </c>
      <c r="W4267" t="s">
        <v>3088</v>
      </c>
      <c r="X4267" t="s">
        <v>23084</v>
      </c>
      <c r="Y4267" t="s">
        <v>23085</v>
      </c>
      <c r="Z4267" t="s">
        <v>3049</v>
      </c>
      <c r="AA4267" t="s">
        <v>11942</v>
      </c>
      <c r="AB4267" t="s">
        <v>23086</v>
      </c>
      <c r="AC4267">
        <v>99177</v>
      </c>
      <c r="AD4267" t="s">
        <v>2959</v>
      </c>
      <c r="AE4267">
        <v>-43.550341260000003</v>
      </c>
      <c r="AF4267">
        <v>172.59072411</v>
      </c>
      <c r="AG4267">
        <v>98</v>
      </c>
      <c r="AH4267">
        <v>25</v>
      </c>
      <c r="AI4267">
        <v>4</v>
      </c>
      <c r="AJ4267">
        <v>16</v>
      </c>
      <c r="AK4267">
        <v>24</v>
      </c>
      <c r="AL4267">
        <v>26</v>
      </c>
      <c r="AM4267">
        <v>25</v>
      </c>
      <c r="AN4267">
        <v>1</v>
      </c>
      <c r="AO4267">
        <v>96</v>
      </c>
      <c r="AP4267">
        <v>81</v>
      </c>
      <c r="AQ4267">
        <v>13</v>
      </c>
      <c r="AR4267">
        <v>7</v>
      </c>
      <c r="AS4267">
        <v>18</v>
      </c>
      <c r="AT4267">
        <v>2</v>
      </c>
    </row>
    <row r="4268" spans="1:46">
      <c r="A4268">
        <v>70481</v>
      </c>
      <c r="B4268" t="s">
        <v>23087</v>
      </c>
      <c r="C4268" t="s">
        <v>23088</v>
      </c>
      <c r="E4268" t="s">
        <v>23089</v>
      </c>
      <c r="F4268" t="s">
        <v>3057</v>
      </c>
      <c r="G4268" t="s">
        <v>2941</v>
      </c>
      <c r="H4268" t="s">
        <v>3942</v>
      </c>
      <c r="J4268" t="s">
        <v>3962</v>
      </c>
      <c r="K4268" t="s">
        <v>519</v>
      </c>
      <c r="M4268" t="s">
        <v>2287</v>
      </c>
      <c r="N4268" t="s">
        <v>571</v>
      </c>
      <c r="O4268" t="s">
        <v>2942</v>
      </c>
      <c r="P4268" t="s">
        <v>654</v>
      </c>
      <c r="Q4268" t="s">
        <v>2943</v>
      </c>
      <c r="R4268" t="s">
        <v>2944</v>
      </c>
      <c r="S4268" t="s">
        <v>2957</v>
      </c>
      <c r="T4268" t="s">
        <v>2448</v>
      </c>
      <c r="U4268">
        <v>327902</v>
      </c>
      <c r="V4268" t="s">
        <v>23090</v>
      </c>
      <c r="W4268" t="s">
        <v>2443</v>
      </c>
      <c r="X4268" t="s">
        <v>23091</v>
      </c>
      <c r="Y4268" t="s">
        <v>16265</v>
      </c>
      <c r="Z4268" t="s">
        <v>911</v>
      </c>
      <c r="AA4268" t="s">
        <v>7047</v>
      </c>
      <c r="AB4268" t="s">
        <v>23092</v>
      </c>
      <c r="AC4268">
        <v>99063</v>
      </c>
      <c r="AD4268" t="s">
        <v>2994</v>
      </c>
      <c r="AE4268">
        <v>-43.528360890000002</v>
      </c>
      <c r="AF4268">
        <v>172.66344131</v>
      </c>
      <c r="AG4268">
        <v>62</v>
      </c>
      <c r="AH4268">
        <v>12</v>
      </c>
      <c r="AI4268">
        <v>5</v>
      </c>
      <c r="AJ4268">
        <v>11</v>
      </c>
      <c r="AK4268">
        <v>10</v>
      </c>
      <c r="AL4268">
        <v>11</v>
      </c>
      <c r="AM4268">
        <v>12</v>
      </c>
      <c r="AN4268">
        <v>4</v>
      </c>
      <c r="AO4268">
        <v>53</v>
      </c>
      <c r="AP4268">
        <v>31</v>
      </c>
      <c r="AQ4268">
        <v>16</v>
      </c>
      <c r="AR4268">
        <v>2</v>
      </c>
      <c r="AS4268">
        <v>13</v>
      </c>
      <c r="AT4268">
        <v>3</v>
      </c>
    </row>
    <row r="4269" spans="1:46">
      <c r="A4269">
        <v>70489</v>
      </c>
      <c r="B4269" t="s">
        <v>23093</v>
      </c>
      <c r="C4269" t="s">
        <v>23094</v>
      </c>
      <c r="D4269" t="s">
        <v>23095</v>
      </c>
      <c r="E4269" t="s">
        <v>23096</v>
      </c>
      <c r="G4269" t="s">
        <v>3306</v>
      </c>
      <c r="H4269" t="s">
        <v>3942</v>
      </c>
      <c r="J4269" t="s">
        <v>518</v>
      </c>
      <c r="K4269" t="s">
        <v>519</v>
      </c>
      <c r="M4269" t="s">
        <v>2287</v>
      </c>
      <c r="N4269" t="s">
        <v>571</v>
      </c>
      <c r="O4269" t="s">
        <v>3284</v>
      </c>
      <c r="P4269" t="s">
        <v>523</v>
      </c>
      <c r="Q4269" t="s">
        <v>2943</v>
      </c>
      <c r="R4269" t="s">
        <v>2944</v>
      </c>
      <c r="S4269" t="s">
        <v>3250</v>
      </c>
      <c r="T4269" t="s">
        <v>2448</v>
      </c>
      <c r="U4269">
        <v>341801</v>
      </c>
      <c r="V4269" t="s">
        <v>3306</v>
      </c>
      <c r="W4269" t="s">
        <v>3307</v>
      </c>
      <c r="X4269" t="s">
        <v>23097</v>
      </c>
      <c r="Y4269" t="s">
        <v>23098</v>
      </c>
      <c r="AA4269" t="s">
        <v>23099</v>
      </c>
      <c r="AB4269" t="s">
        <v>23094</v>
      </c>
      <c r="AE4269">
        <v>-44.255887080000001</v>
      </c>
      <c r="AF4269">
        <v>170.09846062</v>
      </c>
      <c r="AG4269">
        <v>39</v>
      </c>
      <c r="AH4269">
        <v>7</v>
      </c>
      <c r="AI4269">
        <v>2</v>
      </c>
      <c r="AJ4269">
        <v>8</v>
      </c>
      <c r="AK4269">
        <v>7</v>
      </c>
      <c r="AL4269">
        <v>7</v>
      </c>
      <c r="AM4269">
        <v>9</v>
      </c>
      <c r="AN4269">
        <v>0</v>
      </c>
      <c r="AO4269">
        <v>33</v>
      </c>
      <c r="AP4269">
        <v>28</v>
      </c>
      <c r="AQ4269">
        <v>4</v>
      </c>
      <c r="AR4269">
        <v>0</v>
      </c>
      <c r="AS4269">
        <v>5</v>
      </c>
      <c r="AT4269">
        <v>2</v>
      </c>
    </row>
    <row r="4270" spans="1:46">
      <c r="A4270">
        <v>70491</v>
      </c>
      <c r="B4270" t="s">
        <v>23100</v>
      </c>
      <c r="C4270" t="s">
        <v>23101</v>
      </c>
      <c r="D4270" t="s">
        <v>23102</v>
      </c>
      <c r="E4270" t="s">
        <v>23103</v>
      </c>
      <c r="F4270" t="s">
        <v>2945</v>
      </c>
      <c r="G4270" t="s">
        <v>2941</v>
      </c>
      <c r="H4270" t="s">
        <v>3942</v>
      </c>
      <c r="J4270" t="s">
        <v>518</v>
      </c>
      <c r="K4270" t="s">
        <v>519</v>
      </c>
      <c r="M4270" t="s">
        <v>2287</v>
      </c>
      <c r="N4270" t="s">
        <v>571</v>
      </c>
      <c r="O4270" t="s">
        <v>2942</v>
      </c>
      <c r="P4270" t="s">
        <v>654</v>
      </c>
      <c r="Q4270" t="s">
        <v>2943</v>
      </c>
      <c r="R4270" t="s">
        <v>2944</v>
      </c>
      <c r="S4270" t="s">
        <v>2945</v>
      </c>
      <c r="T4270" t="s">
        <v>2448</v>
      </c>
      <c r="U4270">
        <v>321200</v>
      </c>
      <c r="V4270" t="s">
        <v>22396</v>
      </c>
      <c r="W4270" t="s">
        <v>3076</v>
      </c>
      <c r="X4270" t="s">
        <v>23104</v>
      </c>
      <c r="Y4270" t="s">
        <v>23105</v>
      </c>
      <c r="AA4270" t="s">
        <v>17869</v>
      </c>
      <c r="AB4270" t="s">
        <v>23106</v>
      </c>
      <c r="AE4270">
        <v>-43.5212583</v>
      </c>
      <c r="AF4270">
        <v>172.57982580000001</v>
      </c>
      <c r="AG4270">
        <v>64</v>
      </c>
      <c r="AH4270">
        <v>19</v>
      </c>
      <c r="AI4270">
        <v>3</v>
      </c>
      <c r="AJ4270">
        <v>8</v>
      </c>
      <c r="AK4270">
        <v>14</v>
      </c>
      <c r="AL4270">
        <v>13</v>
      </c>
      <c r="AM4270">
        <v>13</v>
      </c>
      <c r="AN4270">
        <v>1</v>
      </c>
      <c r="AO4270">
        <v>52</v>
      </c>
      <c r="AP4270">
        <v>30</v>
      </c>
      <c r="AQ4270">
        <v>4</v>
      </c>
      <c r="AR4270">
        <v>2</v>
      </c>
      <c r="AS4270">
        <v>19</v>
      </c>
      <c r="AT4270">
        <v>5</v>
      </c>
    </row>
    <row r="4271" spans="1:46">
      <c r="A4271">
        <v>70493</v>
      </c>
      <c r="B4271" t="s">
        <v>23107</v>
      </c>
      <c r="C4271" t="s">
        <v>23108</v>
      </c>
      <c r="E4271" t="s">
        <v>23109</v>
      </c>
      <c r="F4271" t="s">
        <v>2945</v>
      </c>
      <c r="G4271" t="s">
        <v>2941</v>
      </c>
      <c r="H4271" t="s">
        <v>3942</v>
      </c>
      <c r="J4271" t="s">
        <v>518</v>
      </c>
      <c r="K4271" t="s">
        <v>519</v>
      </c>
      <c r="M4271" t="s">
        <v>2287</v>
      </c>
      <c r="N4271" t="s">
        <v>571</v>
      </c>
      <c r="O4271" t="s">
        <v>2942</v>
      </c>
      <c r="P4271" t="s">
        <v>654</v>
      </c>
      <c r="Q4271" t="s">
        <v>2943</v>
      </c>
      <c r="R4271" t="s">
        <v>2944</v>
      </c>
      <c r="S4271" t="s">
        <v>2945</v>
      </c>
      <c r="T4271" t="s">
        <v>2448</v>
      </c>
      <c r="U4271">
        <v>321200</v>
      </c>
      <c r="V4271" t="s">
        <v>22396</v>
      </c>
      <c r="W4271" t="s">
        <v>3076</v>
      </c>
      <c r="X4271" t="s">
        <v>22397</v>
      </c>
      <c r="Y4271" t="s">
        <v>22398</v>
      </c>
      <c r="Z4271" t="s">
        <v>2945</v>
      </c>
      <c r="AA4271" t="s">
        <v>22399</v>
      </c>
      <c r="AB4271" t="s">
        <v>22394</v>
      </c>
      <c r="AE4271">
        <v>-43.523025099999998</v>
      </c>
      <c r="AF4271">
        <v>172.5669049</v>
      </c>
      <c r="AG4271">
        <v>65</v>
      </c>
      <c r="AH4271">
        <v>25</v>
      </c>
      <c r="AI4271">
        <v>3</v>
      </c>
      <c r="AJ4271">
        <v>14</v>
      </c>
      <c r="AK4271">
        <v>13</v>
      </c>
      <c r="AL4271">
        <v>19</v>
      </c>
      <c r="AM4271">
        <v>18</v>
      </c>
      <c r="AN4271">
        <v>2</v>
      </c>
      <c r="AO4271">
        <v>69</v>
      </c>
      <c r="AP4271">
        <v>36</v>
      </c>
      <c r="AQ4271">
        <v>4</v>
      </c>
      <c r="AR4271">
        <v>1</v>
      </c>
      <c r="AS4271">
        <v>33</v>
      </c>
      <c r="AT4271">
        <v>6</v>
      </c>
    </row>
    <row r="4272" spans="1:46">
      <c r="A4272">
        <v>70497</v>
      </c>
      <c r="B4272" t="s">
        <v>23110</v>
      </c>
      <c r="C4272" t="s">
        <v>23111</v>
      </c>
      <c r="D4272" t="s">
        <v>23112</v>
      </c>
      <c r="E4272" t="s">
        <v>7843</v>
      </c>
      <c r="G4272" t="s">
        <v>3637</v>
      </c>
      <c r="H4272" t="s">
        <v>3942</v>
      </c>
      <c r="J4272" t="s">
        <v>518</v>
      </c>
      <c r="K4272" t="s">
        <v>519</v>
      </c>
      <c r="M4272" t="s">
        <v>2287</v>
      </c>
      <c r="N4272" t="s">
        <v>571</v>
      </c>
      <c r="O4272" t="s">
        <v>3323</v>
      </c>
      <c r="P4272" t="s">
        <v>523</v>
      </c>
      <c r="Q4272" t="s">
        <v>2943</v>
      </c>
      <c r="R4272" t="s">
        <v>2944</v>
      </c>
      <c r="S4272" t="s">
        <v>3250</v>
      </c>
      <c r="T4272" t="s">
        <v>2448</v>
      </c>
      <c r="U4272">
        <v>342800</v>
      </c>
      <c r="V4272" t="s">
        <v>3638</v>
      </c>
      <c r="W4272" t="s">
        <v>3639</v>
      </c>
      <c r="X4272" t="s">
        <v>23113</v>
      </c>
      <c r="Y4272" t="s">
        <v>23114</v>
      </c>
      <c r="AA4272" t="s">
        <v>3328</v>
      </c>
      <c r="AB4272" t="s">
        <v>23115</v>
      </c>
      <c r="AC4272">
        <v>99040</v>
      </c>
      <c r="AD4272" t="s">
        <v>3330</v>
      </c>
      <c r="AE4272">
        <v>-44.735279609999999</v>
      </c>
      <c r="AF4272">
        <v>171.04668221</v>
      </c>
      <c r="AG4272">
        <v>47</v>
      </c>
      <c r="AH4272">
        <v>10</v>
      </c>
      <c r="AI4272">
        <v>1</v>
      </c>
      <c r="AJ4272">
        <v>7</v>
      </c>
      <c r="AK4272">
        <v>18</v>
      </c>
      <c r="AL4272">
        <v>13</v>
      </c>
      <c r="AM4272">
        <v>17</v>
      </c>
      <c r="AN4272">
        <v>0</v>
      </c>
      <c r="AO4272">
        <v>56</v>
      </c>
      <c r="AP4272">
        <v>44</v>
      </c>
      <c r="AQ4272">
        <v>1</v>
      </c>
      <c r="AR4272">
        <v>0</v>
      </c>
      <c r="AS4272">
        <v>8</v>
      </c>
      <c r="AT4272">
        <v>5</v>
      </c>
    </row>
    <row r="4273" spans="1:46">
      <c r="A4273">
        <v>70505</v>
      </c>
      <c r="B4273" t="s">
        <v>23116</v>
      </c>
      <c r="C4273" t="s">
        <v>23117</v>
      </c>
      <c r="E4273" t="s">
        <v>23118</v>
      </c>
      <c r="F4273" t="s">
        <v>2991</v>
      </c>
      <c r="G4273" t="s">
        <v>2941</v>
      </c>
      <c r="H4273" t="s">
        <v>3942</v>
      </c>
      <c r="J4273" t="s">
        <v>518</v>
      </c>
      <c r="K4273" t="s">
        <v>519</v>
      </c>
      <c r="M4273" t="s">
        <v>2287</v>
      </c>
      <c r="N4273" t="s">
        <v>539</v>
      </c>
      <c r="O4273" t="s">
        <v>2942</v>
      </c>
      <c r="P4273" t="s">
        <v>654</v>
      </c>
      <c r="Q4273" t="s">
        <v>2943</v>
      </c>
      <c r="R4273" t="s">
        <v>2944</v>
      </c>
      <c r="S4273" t="s">
        <v>2979</v>
      </c>
      <c r="T4273" t="s">
        <v>2448</v>
      </c>
      <c r="U4273">
        <v>331100</v>
      </c>
      <c r="V4273" t="s">
        <v>21653</v>
      </c>
      <c r="W4273" t="s">
        <v>2993</v>
      </c>
      <c r="X4273" t="s">
        <v>23119</v>
      </c>
      <c r="Y4273" t="s">
        <v>23120</v>
      </c>
      <c r="Z4273" t="s">
        <v>2991</v>
      </c>
      <c r="AA4273" t="s">
        <v>22373</v>
      </c>
      <c r="AB4273" t="s">
        <v>23121</v>
      </c>
      <c r="AC4273">
        <v>99063</v>
      </c>
      <c r="AD4273" t="s">
        <v>2994</v>
      </c>
      <c r="AE4273">
        <v>-43.548390699999999</v>
      </c>
      <c r="AF4273">
        <v>172.6833445</v>
      </c>
      <c r="AG4273">
        <v>39</v>
      </c>
      <c r="AH4273">
        <v>15</v>
      </c>
      <c r="AI4273">
        <v>1</v>
      </c>
      <c r="AJ4273">
        <v>3</v>
      </c>
      <c r="AK4273">
        <v>13</v>
      </c>
      <c r="AL4273">
        <v>5</v>
      </c>
      <c r="AM4273">
        <v>17</v>
      </c>
      <c r="AN4273">
        <v>2</v>
      </c>
      <c r="AO4273">
        <v>41</v>
      </c>
      <c r="AP4273">
        <v>25</v>
      </c>
      <c r="AQ4273">
        <v>11</v>
      </c>
      <c r="AR4273">
        <v>6</v>
      </c>
      <c r="AS4273">
        <v>6</v>
      </c>
      <c r="AT4273">
        <v>6</v>
      </c>
    </row>
    <row r="4274" spans="1:46">
      <c r="A4274">
        <v>70511</v>
      </c>
      <c r="B4274" t="s">
        <v>23122</v>
      </c>
      <c r="C4274" t="s">
        <v>23123</v>
      </c>
      <c r="D4274" t="s">
        <v>23124</v>
      </c>
      <c r="E4274" t="s">
        <v>23125</v>
      </c>
      <c r="G4274" t="s">
        <v>3296</v>
      </c>
      <c r="H4274" t="s">
        <v>4716</v>
      </c>
      <c r="J4274" t="s">
        <v>518</v>
      </c>
      <c r="K4274" t="s">
        <v>519</v>
      </c>
      <c r="M4274" t="s">
        <v>2287</v>
      </c>
      <c r="N4274" t="s">
        <v>571</v>
      </c>
      <c r="O4274" t="s">
        <v>3249</v>
      </c>
      <c r="P4274" t="s">
        <v>572</v>
      </c>
      <c r="Q4274" t="s">
        <v>2943</v>
      </c>
      <c r="R4274" t="s">
        <v>2944</v>
      </c>
      <c r="S4274" t="s">
        <v>3219</v>
      </c>
      <c r="T4274" t="s">
        <v>2448</v>
      </c>
      <c r="U4274">
        <v>339100</v>
      </c>
      <c r="V4274" t="s">
        <v>23126</v>
      </c>
      <c r="W4274" t="s">
        <v>3298</v>
      </c>
      <c r="X4274" t="s">
        <v>23127</v>
      </c>
      <c r="Y4274" t="s">
        <v>6369</v>
      </c>
      <c r="Z4274" t="s">
        <v>4555</v>
      </c>
      <c r="AA4274" t="s">
        <v>4556</v>
      </c>
      <c r="AB4274" t="s">
        <v>23128</v>
      </c>
      <c r="AE4274">
        <v>-44.260044870000002</v>
      </c>
      <c r="AF4274">
        <v>171.33625028</v>
      </c>
      <c r="AG4274">
        <v>50</v>
      </c>
      <c r="AH4274">
        <v>50</v>
      </c>
      <c r="AI4274">
        <v>2</v>
      </c>
      <c r="AJ4274">
        <v>7</v>
      </c>
      <c r="AK4274">
        <v>10</v>
      </c>
      <c r="AL4274">
        <v>6</v>
      </c>
      <c r="AM4274">
        <v>4</v>
      </c>
      <c r="AN4274">
        <v>0</v>
      </c>
      <c r="AO4274">
        <v>29</v>
      </c>
      <c r="AP4274">
        <v>26</v>
      </c>
      <c r="AQ4274">
        <v>4</v>
      </c>
      <c r="AR4274">
        <v>0</v>
      </c>
      <c r="AS4274">
        <v>3</v>
      </c>
      <c r="AT4274">
        <v>0</v>
      </c>
    </row>
    <row r="4275" spans="1:46">
      <c r="A4275">
        <v>70521</v>
      </c>
      <c r="B4275" t="s">
        <v>23129</v>
      </c>
      <c r="C4275" t="s">
        <v>23130</v>
      </c>
      <c r="D4275" t="s">
        <v>23131</v>
      </c>
      <c r="E4275" t="s">
        <v>23132</v>
      </c>
      <c r="F4275" t="s">
        <v>3173</v>
      </c>
      <c r="G4275" t="s">
        <v>2941</v>
      </c>
      <c r="H4275" t="s">
        <v>3942</v>
      </c>
      <c r="J4275" t="s">
        <v>518</v>
      </c>
      <c r="K4275" t="s">
        <v>519</v>
      </c>
      <c r="M4275" t="s">
        <v>2287</v>
      </c>
      <c r="N4275" t="s">
        <v>571</v>
      </c>
      <c r="O4275" t="s">
        <v>2942</v>
      </c>
      <c r="P4275" t="s">
        <v>654</v>
      </c>
      <c r="Q4275" t="s">
        <v>2943</v>
      </c>
      <c r="R4275" t="s">
        <v>2944</v>
      </c>
      <c r="S4275" t="s">
        <v>2957</v>
      </c>
      <c r="T4275" t="s">
        <v>2448</v>
      </c>
      <c r="U4275">
        <v>325302</v>
      </c>
      <c r="V4275" t="s">
        <v>23133</v>
      </c>
      <c r="W4275" t="s">
        <v>3070</v>
      </c>
      <c r="X4275" t="s">
        <v>10801</v>
      </c>
      <c r="Y4275" t="s">
        <v>3944</v>
      </c>
      <c r="Z4275" t="s">
        <v>3945</v>
      </c>
      <c r="AA4275" t="s">
        <v>3946</v>
      </c>
      <c r="AC4275">
        <v>99175</v>
      </c>
      <c r="AD4275" t="s">
        <v>3071</v>
      </c>
      <c r="AE4275">
        <v>-43.51797543</v>
      </c>
      <c r="AF4275">
        <v>172.64942332999999</v>
      </c>
      <c r="AG4275">
        <v>50</v>
      </c>
      <c r="AH4275">
        <v>16</v>
      </c>
      <c r="AI4275">
        <v>4</v>
      </c>
      <c r="AJ4275">
        <v>10</v>
      </c>
      <c r="AK4275">
        <v>15</v>
      </c>
      <c r="AL4275">
        <v>12</v>
      </c>
      <c r="AM4275">
        <v>20</v>
      </c>
      <c r="AN4275">
        <v>2</v>
      </c>
      <c r="AO4275">
        <v>63</v>
      </c>
      <c r="AP4275">
        <v>31</v>
      </c>
      <c r="AQ4275">
        <v>18</v>
      </c>
      <c r="AR4275">
        <v>2</v>
      </c>
      <c r="AS4275">
        <v>20</v>
      </c>
      <c r="AT4275">
        <v>9</v>
      </c>
    </row>
    <row r="4276" spans="1:46">
      <c r="A4276">
        <v>70540</v>
      </c>
      <c r="B4276" t="s">
        <v>23134</v>
      </c>
      <c r="C4276" t="s">
        <v>23135</v>
      </c>
      <c r="E4276" t="s">
        <v>23136</v>
      </c>
      <c r="G4276" t="s">
        <v>21736</v>
      </c>
      <c r="H4276" t="s">
        <v>3942</v>
      </c>
      <c r="J4276" t="s">
        <v>3962</v>
      </c>
      <c r="K4276" t="s">
        <v>519</v>
      </c>
      <c r="M4276" t="s">
        <v>2287</v>
      </c>
      <c r="N4276" t="s">
        <v>4519</v>
      </c>
      <c r="O4276" t="s">
        <v>13482</v>
      </c>
      <c r="P4276" t="s">
        <v>540</v>
      </c>
      <c r="Q4276" t="s">
        <v>2943</v>
      </c>
      <c r="R4276" t="s">
        <v>2944</v>
      </c>
      <c r="S4276" t="s">
        <v>2825</v>
      </c>
      <c r="T4276" t="s">
        <v>2448</v>
      </c>
      <c r="U4276">
        <v>312500</v>
      </c>
      <c r="V4276" t="s">
        <v>21737</v>
      </c>
      <c r="W4276" t="s">
        <v>21738</v>
      </c>
      <c r="X4276" t="s">
        <v>23137</v>
      </c>
      <c r="Y4276" t="s">
        <v>23138</v>
      </c>
      <c r="AA4276" t="s">
        <v>23139</v>
      </c>
      <c r="AB4276" t="s">
        <v>23140</v>
      </c>
      <c r="AE4276">
        <v>-42.809917640000002</v>
      </c>
      <c r="AF4276">
        <v>173.27113270000001</v>
      </c>
      <c r="AG4276">
        <v>30</v>
      </c>
      <c r="AH4276">
        <v>10</v>
      </c>
      <c r="AI4276">
        <v>2</v>
      </c>
      <c r="AJ4276">
        <v>8</v>
      </c>
      <c r="AK4276">
        <v>4</v>
      </c>
      <c r="AL4276">
        <v>9</v>
      </c>
      <c r="AM4276">
        <v>9</v>
      </c>
      <c r="AN4276">
        <v>1</v>
      </c>
      <c r="AO4276">
        <v>33</v>
      </c>
      <c r="AP4276">
        <v>32</v>
      </c>
      <c r="AQ4276">
        <v>3</v>
      </c>
      <c r="AR4276">
        <v>3</v>
      </c>
      <c r="AS4276">
        <v>2</v>
      </c>
      <c r="AT4276">
        <v>0</v>
      </c>
    </row>
    <row r="4277" spans="1:46">
      <c r="A4277">
        <v>70542</v>
      </c>
      <c r="B4277" t="s">
        <v>23141</v>
      </c>
      <c r="C4277" t="s">
        <v>23142</v>
      </c>
      <c r="D4277" t="s">
        <v>23143</v>
      </c>
      <c r="E4277" t="s">
        <v>23144</v>
      </c>
      <c r="F4277" t="s">
        <v>12997</v>
      </c>
      <c r="G4277" t="s">
        <v>2941</v>
      </c>
      <c r="H4277" t="s">
        <v>3942</v>
      </c>
      <c r="J4277" t="s">
        <v>3962</v>
      </c>
      <c r="K4277" t="s">
        <v>519</v>
      </c>
      <c r="M4277" t="s">
        <v>2287</v>
      </c>
      <c r="N4277" t="s">
        <v>571</v>
      </c>
      <c r="O4277" t="s">
        <v>2942</v>
      </c>
      <c r="P4277" t="s">
        <v>654</v>
      </c>
      <c r="Q4277" t="s">
        <v>2943</v>
      </c>
      <c r="R4277" t="s">
        <v>2944</v>
      </c>
      <c r="S4277" t="s">
        <v>2979</v>
      </c>
      <c r="T4277" t="s">
        <v>2448</v>
      </c>
      <c r="U4277">
        <v>332100</v>
      </c>
      <c r="V4277" t="s">
        <v>12997</v>
      </c>
      <c r="W4277" t="s">
        <v>3014</v>
      </c>
      <c r="X4277" t="s">
        <v>23145</v>
      </c>
      <c r="Y4277" t="s">
        <v>23146</v>
      </c>
      <c r="Z4277" t="s">
        <v>23147</v>
      </c>
      <c r="AA4277" t="s">
        <v>4117</v>
      </c>
      <c r="AB4277" t="s">
        <v>23148</v>
      </c>
      <c r="AC4277">
        <v>99196</v>
      </c>
      <c r="AD4277" t="s">
        <v>3064</v>
      </c>
      <c r="AE4277">
        <v>-43.561210520000003</v>
      </c>
      <c r="AF4277">
        <v>172.73624121</v>
      </c>
      <c r="AG4277">
        <v>54</v>
      </c>
      <c r="AH4277">
        <v>12</v>
      </c>
      <c r="AI4277">
        <v>7</v>
      </c>
      <c r="AJ4277">
        <v>13</v>
      </c>
      <c r="AK4277">
        <v>23</v>
      </c>
      <c r="AL4277">
        <v>21</v>
      </c>
      <c r="AM4277">
        <v>23</v>
      </c>
      <c r="AN4277">
        <v>0</v>
      </c>
      <c r="AO4277">
        <v>87</v>
      </c>
      <c r="AP4277">
        <v>78</v>
      </c>
      <c r="AQ4277">
        <v>6</v>
      </c>
      <c r="AR4277">
        <v>3</v>
      </c>
      <c r="AS4277">
        <v>2</v>
      </c>
      <c r="AT4277">
        <v>10</v>
      </c>
    </row>
    <row r="4278" spans="1:46">
      <c r="A4278">
        <v>70543</v>
      </c>
      <c r="B4278" t="s">
        <v>23149</v>
      </c>
      <c r="C4278" t="s">
        <v>23150</v>
      </c>
      <c r="D4278" t="s">
        <v>23151</v>
      </c>
      <c r="E4278" t="s">
        <v>23152</v>
      </c>
      <c r="F4278" t="s">
        <v>2950</v>
      </c>
      <c r="G4278" t="s">
        <v>2941</v>
      </c>
      <c r="H4278" t="s">
        <v>3942</v>
      </c>
      <c r="J4278" t="s">
        <v>3962</v>
      </c>
      <c r="K4278" t="s">
        <v>519</v>
      </c>
      <c r="M4278" t="s">
        <v>2287</v>
      </c>
      <c r="N4278" t="s">
        <v>571</v>
      </c>
      <c r="O4278" t="s">
        <v>2942</v>
      </c>
      <c r="P4278" t="s">
        <v>654</v>
      </c>
      <c r="Q4278" t="s">
        <v>2943</v>
      </c>
      <c r="R4278" t="s">
        <v>2944</v>
      </c>
      <c r="S4278" t="s">
        <v>2945</v>
      </c>
      <c r="T4278" t="s">
        <v>2448</v>
      </c>
      <c r="U4278">
        <v>322400</v>
      </c>
      <c r="V4278" t="s">
        <v>23153</v>
      </c>
      <c r="W4278" t="s">
        <v>2999</v>
      </c>
      <c r="X4278" t="s">
        <v>10806</v>
      </c>
      <c r="Y4278" t="s">
        <v>4097</v>
      </c>
      <c r="Z4278" t="s">
        <v>4098</v>
      </c>
      <c r="AA4278" t="s">
        <v>4099</v>
      </c>
      <c r="AB4278" t="s">
        <v>10807</v>
      </c>
      <c r="AE4278">
        <v>-43.522584969999997</v>
      </c>
      <c r="AF4278">
        <v>172.59256138000001</v>
      </c>
      <c r="AG4278">
        <v>50</v>
      </c>
      <c r="AH4278">
        <v>14</v>
      </c>
      <c r="AI4278">
        <v>4</v>
      </c>
      <c r="AJ4278">
        <v>11</v>
      </c>
      <c r="AK4278">
        <v>13</v>
      </c>
      <c r="AL4278">
        <v>9</v>
      </c>
      <c r="AM4278">
        <v>18</v>
      </c>
      <c r="AN4278">
        <v>0</v>
      </c>
      <c r="AO4278">
        <v>55</v>
      </c>
      <c r="AP4278">
        <v>45</v>
      </c>
      <c r="AQ4278">
        <v>1</v>
      </c>
      <c r="AR4278">
        <v>0</v>
      </c>
      <c r="AS4278">
        <v>7</v>
      </c>
      <c r="AT4278">
        <v>5</v>
      </c>
    </row>
    <row r="4279" spans="1:46">
      <c r="A4279">
        <v>70544</v>
      </c>
      <c r="B4279" t="s">
        <v>23154</v>
      </c>
      <c r="C4279" t="s">
        <v>23155</v>
      </c>
      <c r="D4279" t="s">
        <v>23156</v>
      </c>
      <c r="E4279" t="s">
        <v>23157</v>
      </c>
      <c r="F4279" t="s">
        <v>2957</v>
      </c>
      <c r="G4279" t="s">
        <v>2941</v>
      </c>
      <c r="H4279" t="s">
        <v>4032</v>
      </c>
      <c r="I4279" t="s">
        <v>4033</v>
      </c>
      <c r="J4279" t="s">
        <v>518</v>
      </c>
      <c r="K4279" t="s">
        <v>519</v>
      </c>
      <c r="M4279" t="s">
        <v>2287</v>
      </c>
      <c r="N4279" t="s">
        <v>727</v>
      </c>
      <c r="O4279" t="s">
        <v>2942</v>
      </c>
      <c r="P4279" t="s">
        <v>654</v>
      </c>
      <c r="Q4279" t="s">
        <v>2943</v>
      </c>
      <c r="R4279" t="s">
        <v>2944</v>
      </c>
      <c r="S4279" t="s">
        <v>2957</v>
      </c>
      <c r="T4279" t="s">
        <v>2448</v>
      </c>
      <c r="U4279">
        <v>324900</v>
      </c>
      <c r="V4279" t="s">
        <v>23158</v>
      </c>
      <c r="W4279" t="s">
        <v>2443</v>
      </c>
      <c r="X4279" t="s">
        <v>23159</v>
      </c>
      <c r="Y4279" t="s">
        <v>23160</v>
      </c>
      <c r="AA4279" t="s">
        <v>17869</v>
      </c>
      <c r="AB4279" t="s">
        <v>23155</v>
      </c>
      <c r="AE4279">
        <v>-43.533912800000003</v>
      </c>
      <c r="AF4279">
        <v>172.62355259</v>
      </c>
      <c r="AG4279">
        <v>28</v>
      </c>
      <c r="AH4279">
        <v>18</v>
      </c>
    </row>
    <row r="4280" spans="1:46">
      <c r="A4280">
        <v>70547</v>
      </c>
      <c r="B4280" t="s">
        <v>23161</v>
      </c>
      <c r="C4280" t="s">
        <v>23162</v>
      </c>
      <c r="D4280" t="s">
        <v>23163</v>
      </c>
      <c r="E4280" t="s">
        <v>23164</v>
      </c>
      <c r="F4280" t="s">
        <v>18192</v>
      </c>
      <c r="G4280" t="s">
        <v>2941</v>
      </c>
      <c r="H4280" t="s">
        <v>3942</v>
      </c>
      <c r="J4280" t="s">
        <v>518</v>
      </c>
      <c r="K4280" t="s">
        <v>519</v>
      </c>
      <c r="M4280" t="s">
        <v>2287</v>
      </c>
      <c r="N4280" t="s">
        <v>571</v>
      </c>
      <c r="O4280" t="s">
        <v>2942</v>
      </c>
      <c r="P4280" t="s">
        <v>654</v>
      </c>
      <c r="Q4280" t="s">
        <v>2943</v>
      </c>
      <c r="R4280" t="s">
        <v>2944</v>
      </c>
      <c r="S4280" t="s">
        <v>2945</v>
      </c>
      <c r="T4280" t="s">
        <v>2448</v>
      </c>
      <c r="U4280">
        <v>317501</v>
      </c>
      <c r="V4280" t="s">
        <v>22546</v>
      </c>
      <c r="W4280" t="s">
        <v>2947</v>
      </c>
      <c r="X4280" t="s">
        <v>10801</v>
      </c>
      <c r="Y4280" t="s">
        <v>3944</v>
      </c>
      <c r="Z4280" t="s">
        <v>3945</v>
      </c>
      <c r="AA4280" t="s">
        <v>3946</v>
      </c>
      <c r="AC4280">
        <v>99027</v>
      </c>
      <c r="AD4280" t="s">
        <v>3000</v>
      </c>
      <c r="AE4280">
        <v>-43.493954600000002</v>
      </c>
      <c r="AF4280">
        <v>172.56005733000001</v>
      </c>
      <c r="AG4280">
        <v>85</v>
      </c>
      <c r="AH4280">
        <v>18</v>
      </c>
      <c r="AI4280">
        <v>6</v>
      </c>
      <c r="AJ4280">
        <v>13</v>
      </c>
      <c r="AK4280">
        <v>18</v>
      </c>
      <c r="AL4280">
        <v>21</v>
      </c>
      <c r="AM4280">
        <v>20</v>
      </c>
      <c r="AN4280">
        <v>0</v>
      </c>
      <c r="AO4280">
        <v>78</v>
      </c>
      <c r="AP4280">
        <v>51</v>
      </c>
      <c r="AQ4280">
        <v>13</v>
      </c>
      <c r="AR4280">
        <v>9</v>
      </c>
      <c r="AS4280">
        <v>18</v>
      </c>
      <c r="AT4280">
        <v>7</v>
      </c>
    </row>
    <row r="4281" spans="1:46">
      <c r="A4281">
        <v>70549</v>
      </c>
      <c r="B4281" t="s">
        <v>23165</v>
      </c>
      <c r="C4281" t="s">
        <v>23166</v>
      </c>
      <c r="D4281" t="s">
        <v>23167</v>
      </c>
      <c r="E4281" t="s">
        <v>23168</v>
      </c>
      <c r="F4281" t="s">
        <v>3194</v>
      </c>
      <c r="G4281" t="s">
        <v>2941</v>
      </c>
      <c r="H4281" t="s">
        <v>3942</v>
      </c>
      <c r="J4281" t="s">
        <v>518</v>
      </c>
      <c r="K4281" t="s">
        <v>519</v>
      </c>
      <c r="M4281" t="s">
        <v>2287</v>
      </c>
      <c r="N4281" t="s">
        <v>571</v>
      </c>
      <c r="O4281" t="s">
        <v>2942</v>
      </c>
      <c r="P4281" t="s">
        <v>654</v>
      </c>
      <c r="Q4281" t="s">
        <v>2943</v>
      </c>
      <c r="R4281" t="s">
        <v>2944</v>
      </c>
      <c r="S4281" t="s">
        <v>2979</v>
      </c>
      <c r="T4281" t="s">
        <v>2448</v>
      </c>
      <c r="U4281">
        <v>326301</v>
      </c>
      <c r="V4281" t="s">
        <v>3195</v>
      </c>
      <c r="W4281" t="s">
        <v>3196</v>
      </c>
      <c r="X4281" t="s">
        <v>10801</v>
      </c>
      <c r="Y4281" t="s">
        <v>3944</v>
      </c>
      <c r="Z4281" t="s">
        <v>3945</v>
      </c>
      <c r="AA4281" t="s">
        <v>3946</v>
      </c>
      <c r="AE4281">
        <v>-43.575698109999998</v>
      </c>
      <c r="AF4281">
        <v>172.56330131000001</v>
      </c>
      <c r="AG4281">
        <v>53</v>
      </c>
      <c r="AH4281">
        <v>15</v>
      </c>
      <c r="AI4281">
        <v>2</v>
      </c>
      <c r="AJ4281">
        <v>9</v>
      </c>
      <c r="AK4281">
        <v>9</v>
      </c>
      <c r="AL4281">
        <v>16</v>
      </c>
      <c r="AM4281">
        <v>13</v>
      </c>
      <c r="AN4281">
        <v>0</v>
      </c>
      <c r="AO4281">
        <v>49</v>
      </c>
      <c r="AP4281">
        <v>24</v>
      </c>
      <c r="AQ4281">
        <v>6</v>
      </c>
      <c r="AR4281">
        <v>3</v>
      </c>
      <c r="AS4281">
        <v>22</v>
      </c>
      <c r="AT4281">
        <v>1</v>
      </c>
    </row>
    <row r="4282" spans="1:46">
      <c r="A4282">
        <v>70550</v>
      </c>
      <c r="B4282" t="s">
        <v>23169</v>
      </c>
      <c r="C4282" t="s">
        <v>23170</v>
      </c>
      <c r="E4282" t="s">
        <v>23171</v>
      </c>
      <c r="F4282" t="s">
        <v>2941</v>
      </c>
      <c r="G4282" t="s">
        <v>2941</v>
      </c>
      <c r="H4282" t="s">
        <v>3942</v>
      </c>
      <c r="I4282" t="s">
        <v>4165</v>
      </c>
      <c r="J4282" t="s">
        <v>518</v>
      </c>
      <c r="K4282" t="s">
        <v>519</v>
      </c>
      <c r="M4282" t="s">
        <v>2287</v>
      </c>
      <c r="N4282" t="s">
        <v>539</v>
      </c>
      <c r="O4282" t="s">
        <v>2942</v>
      </c>
      <c r="P4282" t="s">
        <v>654</v>
      </c>
      <c r="Q4282" t="s">
        <v>2943</v>
      </c>
      <c r="R4282" t="s">
        <v>2944</v>
      </c>
      <c r="S4282" t="s">
        <v>2957</v>
      </c>
      <c r="T4282" t="s">
        <v>2448</v>
      </c>
      <c r="U4282">
        <v>327100</v>
      </c>
      <c r="V4282" t="s">
        <v>16427</v>
      </c>
      <c r="W4282" t="s">
        <v>2443</v>
      </c>
      <c r="X4282" t="s">
        <v>23172</v>
      </c>
      <c r="Y4282" t="s">
        <v>23173</v>
      </c>
      <c r="Z4282" t="s">
        <v>3057</v>
      </c>
      <c r="AA4282" t="s">
        <v>23174</v>
      </c>
      <c r="AB4282" t="s">
        <v>23175</v>
      </c>
      <c r="AE4282">
        <v>-43.538858220000002</v>
      </c>
      <c r="AF4282">
        <v>172.64599831000001</v>
      </c>
      <c r="AG4282">
        <v>30</v>
      </c>
      <c r="AH4282">
        <v>8</v>
      </c>
      <c r="AI4282">
        <v>1</v>
      </c>
      <c r="AJ4282">
        <v>7</v>
      </c>
      <c r="AK4282">
        <v>5</v>
      </c>
      <c r="AL4282">
        <v>5</v>
      </c>
      <c r="AM4282">
        <v>5</v>
      </c>
      <c r="AN4282">
        <v>1</v>
      </c>
      <c r="AO4282">
        <v>24</v>
      </c>
      <c r="AP4282">
        <v>9</v>
      </c>
      <c r="AQ4282">
        <v>2</v>
      </c>
      <c r="AR4282">
        <v>24</v>
      </c>
      <c r="AS4282">
        <v>0</v>
      </c>
      <c r="AT4282">
        <v>0</v>
      </c>
    </row>
    <row r="4283" spans="1:46">
      <c r="A4283">
        <v>70551</v>
      </c>
      <c r="B4283" t="s">
        <v>23176</v>
      </c>
      <c r="C4283" t="s">
        <v>23177</v>
      </c>
      <c r="D4283" t="s">
        <v>23178</v>
      </c>
      <c r="E4283" t="s">
        <v>23179</v>
      </c>
      <c r="F4283" t="s">
        <v>2941</v>
      </c>
      <c r="G4283" t="s">
        <v>2941</v>
      </c>
      <c r="H4283" t="s">
        <v>3942</v>
      </c>
      <c r="J4283" t="s">
        <v>518</v>
      </c>
      <c r="K4283" t="s">
        <v>519</v>
      </c>
      <c r="M4283" t="s">
        <v>2287</v>
      </c>
      <c r="N4283" t="s">
        <v>571</v>
      </c>
      <c r="O4283" t="s">
        <v>2942</v>
      </c>
      <c r="P4283" t="s">
        <v>654</v>
      </c>
      <c r="Q4283" t="s">
        <v>2943</v>
      </c>
      <c r="R4283" t="s">
        <v>2944</v>
      </c>
      <c r="S4283" t="s">
        <v>2957</v>
      </c>
      <c r="T4283" t="s">
        <v>2448</v>
      </c>
      <c r="U4283">
        <v>327100</v>
      </c>
      <c r="V4283" t="s">
        <v>16427</v>
      </c>
      <c r="W4283" t="s">
        <v>2443</v>
      </c>
      <c r="X4283" t="s">
        <v>10801</v>
      </c>
      <c r="Y4283" t="s">
        <v>3944</v>
      </c>
      <c r="Z4283" t="s">
        <v>3945</v>
      </c>
      <c r="AA4283" t="s">
        <v>3946</v>
      </c>
      <c r="AC4283">
        <v>99215</v>
      </c>
      <c r="AD4283" t="s">
        <v>10972</v>
      </c>
      <c r="AE4283">
        <v>-43.539346690000002</v>
      </c>
      <c r="AF4283">
        <v>172.61970149999999</v>
      </c>
      <c r="AG4283">
        <v>50</v>
      </c>
      <c r="AH4283">
        <v>16</v>
      </c>
      <c r="AI4283">
        <v>7</v>
      </c>
      <c r="AJ4283">
        <v>10</v>
      </c>
      <c r="AK4283">
        <v>19</v>
      </c>
      <c r="AL4283">
        <v>12</v>
      </c>
      <c r="AM4283">
        <v>12</v>
      </c>
      <c r="AN4283">
        <v>0</v>
      </c>
      <c r="AO4283">
        <v>60</v>
      </c>
      <c r="AP4283">
        <v>23</v>
      </c>
      <c r="AQ4283">
        <v>7</v>
      </c>
      <c r="AR4283">
        <v>3</v>
      </c>
      <c r="AS4283">
        <v>24</v>
      </c>
      <c r="AT4283">
        <v>12</v>
      </c>
    </row>
    <row r="4284" spans="1:46">
      <c r="A4284">
        <v>70554</v>
      </c>
      <c r="B4284" t="s">
        <v>23180</v>
      </c>
      <c r="C4284" t="s">
        <v>23181</v>
      </c>
      <c r="D4284" t="s">
        <v>23182</v>
      </c>
      <c r="E4284" t="s">
        <v>23183</v>
      </c>
      <c r="F4284" t="s">
        <v>3068</v>
      </c>
      <c r="G4284" t="s">
        <v>2941</v>
      </c>
      <c r="H4284" t="s">
        <v>3942</v>
      </c>
      <c r="J4284" t="s">
        <v>3962</v>
      </c>
      <c r="K4284" t="s">
        <v>519</v>
      </c>
      <c r="M4284" t="s">
        <v>2287</v>
      </c>
      <c r="N4284" t="s">
        <v>571</v>
      </c>
      <c r="O4284" t="s">
        <v>2942</v>
      </c>
      <c r="P4284" t="s">
        <v>654</v>
      </c>
      <c r="Q4284" t="s">
        <v>2943</v>
      </c>
      <c r="R4284" t="s">
        <v>2944</v>
      </c>
      <c r="S4284" t="s">
        <v>2973</v>
      </c>
      <c r="T4284" t="s">
        <v>2448</v>
      </c>
      <c r="U4284">
        <v>325900</v>
      </c>
      <c r="V4284" t="s">
        <v>3145</v>
      </c>
      <c r="W4284" t="s">
        <v>2443</v>
      </c>
      <c r="X4284" t="s">
        <v>23184</v>
      </c>
      <c r="Y4284" t="s">
        <v>23185</v>
      </c>
      <c r="AA4284" t="s">
        <v>23186</v>
      </c>
      <c r="AB4284" t="s">
        <v>23187</v>
      </c>
      <c r="AE4284">
        <v>-43.511901889999997</v>
      </c>
      <c r="AF4284">
        <v>172.65288878999999</v>
      </c>
      <c r="AG4284">
        <v>39</v>
      </c>
      <c r="AH4284">
        <v>12</v>
      </c>
      <c r="AI4284">
        <v>0</v>
      </c>
      <c r="AJ4284">
        <v>5</v>
      </c>
      <c r="AK4284">
        <v>6</v>
      </c>
      <c r="AL4284">
        <v>10</v>
      </c>
      <c r="AM4284">
        <v>9</v>
      </c>
      <c r="AN4284">
        <v>1</v>
      </c>
      <c r="AO4284">
        <v>31</v>
      </c>
      <c r="AP4284">
        <v>19</v>
      </c>
      <c r="AQ4284">
        <v>8</v>
      </c>
      <c r="AR4284">
        <v>2</v>
      </c>
      <c r="AS4284">
        <v>1</v>
      </c>
      <c r="AT4284">
        <v>7</v>
      </c>
    </row>
    <row r="4285" spans="1:46">
      <c r="A4285">
        <v>70555</v>
      </c>
      <c r="B4285" t="s">
        <v>23188</v>
      </c>
      <c r="C4285" t="s">
        <v>23189</v>
      </c>
      <c r="D4285" t="s">
        <v>23190</v>
      </c>
      <c r="E4285" t="s">
        <v>23191</v>
      </c>
      <c r="F4285" t="s">
        <v>23192</v>
      </c>
      <c r="G4285" t="s">
        <v>3005</v>
      </c>
      <c r="H4285" t="s">
        <v>3942</v>
      </c>
      <c r="I4285" t="s">
        <v>3953</v>
      </c>
      <c r="J4285" t="s">
        <v>518</v>
      </c>
      <c r="K4285" t="s">
        <v>519</v>
      </c>
      <c r="M4285" t="s">
        <v>2287</v>
      </c>
      <c r="N4285" t="s">
        <v>4519</v>
      </c>
      <c r="O4285" t="s">
        <v>3006</v>
      </c>
      <c r="P4285" t="s">
        <v>540</v>
      </c>
      <c r="Q4285" t="s">
        <v>2928</v>
      </c>
      <c r="R4285" t="s">
        <v>2824</v>
      </c>
      <c r="S4285" t="s">
        <v>2870</v>
      </c>
      <c r="T4285" t="s">
        <v>2448</v>
      </c>
      <c r="U4285">
        <v>311101</v>
      </c>
      <c r="V4285" t="s">
        <v>23193</v>
      </c>
      <c r="W4285" t="s">
        <v>2455</v>
      </c>
      <c r="X4285" t="s">
        <v>23194</v>
      </c>
      <c r="Y4285" t="s">
        <v>23195</v>
      </c>
      <c r="AA4285" t="s">
        <v>23196</v>
      </c>
      <c r="AB4285" t="s">
        <v>23197</v>
      </c>
      <c r="AE4285">
        <v>-42.594179799999999</v>
      </c>
      <c r="AF4285">
        <v>171.71007539999999</v>
      </c>
      <c r="AG4285">
        <v>40</v>
      </c>
      <c r="AH4285">
        <v>0</v>
      </c>
      <c r="AI4285">
        <v>0</v>
      </c>
      <c r="AJ4285">
        <v>0</v>
      </c>
      <c r="AK4285">
        <v>7</v>
      </c>
      <c r="AL4285">
        <v>0</v>
      </c>
      <c r="AM4285">
        <v>6</v>
      </c>
      <c r="AN4285">
        <v>1</v>
      </c>
      <c r="AO4285">
        <v>14</v>
      </c>
      <c r="AP4285">
        <v>14</v>
      </c>
      <c r="AQ4285">
        <v>0</v>
      </c>
      <c r="AR4285">
        <v>0</v>
      </c>
      <c r="AS4285">
        <v>0</v>
      </c>
      <c r="AT4285">
        <v>0</v>
      </c>
    </row>
    <row r="4286" spans="1:46">
      <c r="A4286">
        <v>70557</v>
      </c>
      <c r="B4286" t="s">
        <v>23198</v>
      </c>
      <c r="C4286" t="s">
        <v>23199</v>
      </c>
      <c r="D4286" t="s">
        <v>23200</v>
      </c>
      <c r="E4286" t="s">
        <v>23201</v>
      </c>
      <c r="G4286" t="s">
        <v>3662</v>
      </c>
      <c r="H4286" t="s">
        <v>3942</v>
      </c>
      <c r="J4286" t="s">
        <v>518</v>
      </c>
      <c r="K4286" t="s">
        <v>519</v>
      </c>
      <c r="M4286" t="s">
        <v>2287</v>
      </c>
      <c r="N4286" t="s">
        <v>571</v>
      </c>
      <c r="O4286" t="s">
        <v>3208</v>
      </c>
      <c r="P4286" t="s">
        <v>523</v>
      </c>
      <c r="Q4286" t="s">
        <v>2943</v>
      </c>
      <c r="R4286" t="s">
        <v>2944</v>
      </c>
      <c r="S4286" t="s">
        <v>3179</v>
      </c>
      <c r="T4286" t="s">
        <v>2448</v>
      </c>
      <c r="U4286">
        <v>336001</v>
      </c>
      <c r="V4286" t="s">
        <v>3663</v>
      </c>
      <c r="W4286" t="s">
        <v>3664</v>
      </c>
      <c r="X4286" t="s">
        <v>23202</v>
      </c>
      <c r="Y4286" t="s">
        <v>23203</v>
      </c>
      <c r="AA4286" t="s">
        <v>23204</v>
      </c>
      <c r="AB4286" t="s">
        <v>23199</v>
      </c>
      <c r="AC4286">
        <v>99113</v>
      </c>
      <c r="AD4286" t="s">
        <v>3665</v>
      </c>
      <c r="AE4286">
        <v>-43.643545189999998</v>
      </c>
      <c r="AF4286">
        <v>172.47141232999999</v>
      </c>
      <c r="AG4286">
        <v>33</v>
      </c>
      <c r="AH4286">
        <v>9</v>
      </c>
      <c r="AI4286">
        <v>1</v>
      </c>
      <c r="AJ4286">
        <v>7</v>
      </c>
      <c r="AK4286">
        <v>7</v>
      </c>
      <c r="AL4286">
        <v>10</v>
      </c>
      <c r="AM4286">
        <v>13</v>
      </c>
      <c r="AN4286">
        <v>1</v>
      </c>
      <c r="AO4286">
        <v>39</v>
      </c>
      <c r="AP4286">
        <v>21</v>
      </c>
      <c r="AQ4286">
        <v>3</v>
      </c>
      <c r="AR4286">
        <v>4</v>
      </c>
      <c r="AS4286">
        <v>8</v>
      </c>
      <c r="AT4286">
        <v>10</v>
      </c>
    </row>
    <row r="4287" spans="1:46">
      <c r="A4287">
        <v>70561</v>
      </c>
      <c r="B4287" t="s">
        <v>23205</v>
      </c>
      <c r="C4287" t="s">
        <v>23206</v>
      </c>
      <c r="D4287" t="s">
        <v>23207</v>
      </c>
      <c r="E4287" t="s">
        <v>23208</v>
      </c>
      <c r="G4287" t="s">
        <v>3062</v>
      </c>
      <c r="H4287" t="s">
        <v>3942</v>
      </c>
      <c r="J4287" t="s">
        <v>3962</v>
      </c>
      <c r="K4287" t="s">
        <v>519</v>
      </c>
      <c r="M4287" t="s">
        <v>2287</v>
      </c>
      <c r="N4287" t="s">
        <v>571</v>
      </c>
      <c r="O4287" t="s">
        <v>2942</v>
      </c>
      <c r="P4287" t="s">
        <v>523</v>
      </c>
      <c r="Q4287" t="s">
        <v>2943</v>
      </c>
      <c r="R4287" t="s">
        <v>2944</v>
      </c>
      <c r="S4287" t="s">
        <v>2979</v>
      </c>
      <c r="T4287" t="s">
        <v>2448</v>
      </c>
      <c r="U4287">
        <v>332501</v>
      </c>
      <c r="V4287" t="s">
        <v>3062</v>
      </c>
      <c r="W4287" t="s">
        <v>3063</v>
      </c>
      <c r="X4287" t="s">
        <v>23209</v>
      </c>
      <c r="Y4287" t="s">
        <v>23210</v>
      </c>
      <c r="AA4287" t="s">
        <v>23211</v>
      </c>
      <c r="AB4287" t="s">
        <v>23212</v>
      </c>
      <c r="AC4287">
        <v>99196</v>
      </c>
      <c r="AD4287" t="s">
        <v>3064</v>
      </c>
      <c r="AE4287">
        <v>-43.60130418</v>
      </c>
      <c r="AF4287">
        <v>172.72242113999999</v>
      </c>
      <c r="AG4287">
        <v>30</v>
      </c>
      <c r="AH4287">
        <v>9</v>
      </c>
      <c r="AI4287">
        <v>2</v>
      </c>
      <c r="AJ4287">
        <v>17</v>
      </c>
      <c r="AK4287">
        <v>10</v>
      </c>
      <c r="AL4287">
        <v>12</v>
      </c>
      <c r="AM4287">
        <v>10</v>
      </c>
      <c r="AN4287">
        <v>1</v>
      </c>
      <c r="AO4287">
        <v>52</v>
      </c>
      <c r="AP4287">
        <v>50</v>
      </c>
      <c r="AQ4287">
        <v>4</v>
      </c>
      <c r="AR4287">
        <v>1</v>
      </c>
      <c r="AS4287">
        <v>1</v>
      </c>
      <c r="AT4287">
        <v>1</v>
      </c>
    </row>
    <row r="4288" spans="1:46">
      <c r="A4288">
        <v>70564</v>
      </c>
      <c r="B4288" t="s">
        <v>23213</v>
      </c>
      <c r="C4288" t="s">
        <v>23214</v>
      </c>
      <c r="D4288" t="s">
        <v>23215</v>
      </c>
      <c r="E4288" t="s">
        <v>23216</v>
      </c>
      <c r="F4288" t="s">
        <v>3049</v>
      </c>
      <c r="G4288" t="s">
        <v>2941</v>
      </c>
      <c r="H4288" t="s">
        <v>3942</v>
      </c>
      <c r="J4288" t="s">
        <v>518</v>
      </c>
      <c r="K4288" t="s">
        <v>519</v>
      </c>
      <c r="M4288" t="s">
        <v>2287</v>
      </c>
      <c r="N4288" t="s">
        <v>571</v>
      </c>
      <c r="O4288" t="s">
        <v>2942</v>
      </c>
      <c r="P4288" t="s">
        <v>654</v>
      </c>
      <c r="Q4288" t="s">
        <v>2943</v>
      </c>
      <c r="R4288" t="s">
        <v>2944</v>
      </c>
      <c r="S4288" t="s">
        <v>2945</v>
      </c>
      <c r="T4288" t="s">
        <v>2448</v>
      </c>
      <c r="U4288">
        <v>317501</v>
      </c>
      <c r="V4288" t="s">
        <v>22546</v>
      </c>
      <c r="W4288" t="s">
        <v>2947</v>
      </c>
      <c r="X4288" t="s">
        <v>10801</v>
      </c>
      <c r="Y4288" t="s">
        <v>3944</v>
      </c>
      <c r="Z4288" t="s">
        <v>3945</v>
      </c>
      <c r="AA4288" t="s">
        <v>3946</v>
      </c>
      <c r="AC4288">
        <v>99027</v>
      </c>
      <c r="AD4288" t="s">
        <v>3000</v>
      </c>
      <c r="AE4288">
        <v>-43.49301646</v>
      </c>
      <c r="AF4288">
        <v>172.5644341</v>
      </c>
      <c r="AG4288">
        <v>62</v>
      </c>
      <c r="AH4288">
        <v>16</v>
      </c>
      <c r="AI4288">
        <v>3</v>
      </c>
      <c r="AJ4288">
        <v>11</v>
      </c>
      <c r="AK4288">
        <v>17</v>
      </c>
      <c r="AL4288">
        <v>18</v>
      </c>
      <c r="AM4288">
        <v>20</v>
      </c>
      <c r="AN4288">
        <v>1</v>
      </c>
      <c r="AO4288">
        <v>70</v>
      </c>
      <c r="AP4288">
        <v>37</v>
      </c>
      <c r="AQ4288">
        <v>7</v>
      </c>
      <c r="AR4288">
        <v>2</v>
      </c>
      <c r="AS4288">
        <v>23</v>
      </c>
      <c r="AT4288">
        <v>17</v>
      </c>
    </row>
    <row r="4289" spans="1:46">
      <c r="A4289">
        <v>70566</v>
      </c>
      <c r="B4289" t="s">
        <v>23217</v>
      </c>
      <c r="C4289" t="s">
        <v>23218</v>
      </c>
      <c r="E4289" t="s">
        <v>23219</v>
      </c>
      <c r="F4289" t="s">
        <v>3230</v>
      </c>
      <c r="G4289" t="s">
        <v>3217</v>
      </c>
      <c r="H4289" t="s">
        <v>3942</v>
      </c>
      <c r="J4289" t="s">
        <v>3962</v>
      </c>
      <c r="K4289" t="s">
        <v>519</v>
      </c>
      <c r="M4289" t="s">
        <v>2287</v>
      </c>
      <c r="N4289" t="s">
        <v>571</v>
      </c>
      <c r="O4289" t="s">
        <v>3218</v>
      </c>
      <c r="P4289" t="s">
        <v>1262</v>
      </c>
      <c r="Q4289" t="s">
        <v>2943</v>
      </c>
      <c r="R4289" t="s">
        <v>2944</v>
      </c>
      <c r="S4289" t="s">
        <v>3219</v>
      </c>
      <c r="T4289" t="s">
        <v>2448</v>
      </c>
      <c r="U4289">
        <v>338200</v>
      </c>
      <c r="V4289" t="s">
        <v>3231</v>
      </c>
      <c r="W4289" t="s">
        <v>3221</v>
      </c>
      <c r="X4289" t="s">
        <v>23220</v>
      </c>
      <c r="Y4289" t="s">
        <v>4658</v>
      </c>
      <c r="Z4289" t="s">
        <v>958</v>
      </c>
      <c r="AA4289" t="s">
        <v>4659</v>
      </c>
      <c r="AB4289" t="s">
        <v>23221</v>
      </c>
      <c r="AC4289">
        <v>99043</v>
      </c>
      <c r="AD4289" t="s">
        <v>3226</v>
      </c>
      <c r="AE4289">
        <v>-43.914930320000003</v>
      </c>
      <c r="AF4289">
        <v>171.73038932</v>
      </c>
      <c r="AG4289">
        <v>71</v>
      </c>
      <c r="AH4289">
        <v>20</v>
      </c>
      <c r="AI4289">
        <v>3</v>
      </c>
      <c r="AJ4289">
        <v>15</v>
      </c>
      <c r="AK4289">
        <v>18</v>
      </c>
      <c r="AL4289">
        <v>19</v>
      </c>
      <c r="AM4289">
        <v>22</v>
      </c>
      <c r="AN4289">
        <v>1</v>
      </c>
      <c r="AO4289">
        <v>78</v>
      </c>
      <c r="AP4289">
        <v>68</v>
      </c>
      <c r="AQ4289">
        <v>11</v>
      </c>
      <c r="AR4289">
        <v>2</v>
      </c>
      <c r="AS4289">
        <v>8</v>
      </c>
      <c r="AT4289">
        <v>2</v>
      </c>
    </row>
    <row r="4290" spans="1:46">
      <c r="A4290">
        <v>70573</v>
      </c>
      <c r="B4290" t="s">
        <v>23222</v>
      </c>
      <c r="C4290" t="s">
        <v>23223</v>
      </c>
      <c r="E4290" t="s">
        <v>23224</v>
      </c>
      <c r="G4290" t="s">
        <v>2963</v>
      </c>
      <c r="H4290" t="s">
        <v>3942</v>
      </c>
      <c r="J4290" t="s">
        <v>3962</v>
      </c>
      <c r="K4290" t="s">
        <v>519</v>
      </c>
      <c r="M4290" t="s">
        <v>2287</v>
      </c>
      <c r="N4290" t="s">
        <v>4519</v>
      </c>
      <c r="O4290" t="s">
        <v>2964</v>
      </c>
      <c r="P4290" t="s">
        <v>1262</v>
      </c>
      <c r="Q4290" t="s">
        <v>2943</v>
      </c>
      <c r="R4290" t="s">
        <v>2944</v>
      </c>
      <c r="S4290" t="s">
        <v>2965</v>
      </c>
      <c r="T4290" t="s">
        <v>2448</v>
      </c>
      <c r="U4290">
        <v>314900</v>
      </c>
      <c r="V4290" t="s">
        <v>21808</v>
      </c>
      <c r="W4290" t="s">
        <v>2967</v>
      </c>
      <c r="X4290" t="s">
        <v>14275</v>
      </c>
      <c r="Y4290" t="s">
        <v>14276</v>
      </c>
      <c r="AA4290" t="s">
        <v>14277</v>
      </c>
      <c r="AB4290" t="s">
        <v>14278</v>
      </c>
      <c r="AC4290">
        <v>99077</v>
      </c>
      <c r="AD4290" t="s">
        <v>2968</v>
      </c>
      <c r="AE4290">
        <v>-43.303376380000003</v>
      </c>
      <c r="AF4290">
        <v>172.60089704999999</v>
      </c>
      <c r="AG4290">
        <v>25</v>
      </c>
      <c r="AH4290">
        <v>0</v>
      </c>
      <c r="AI4290">
        <v>0</v>
      </c>
      <c r="AJ4290">
        <v>0</v>
      </c>
      <c r="AK4290">
        <v>6</v>
      </c>
      <c r="AL4290">
        <v>10</v>
      </c>
      <c r="AM4290">
        <v>10</v>
      </c>
      <c r="AN4290">
        <v>2</v>
      </c>
      <c r="AO4290">
        <v>28</v>
      </c>
      <c r="AP4290">
        <v>26</v>
      </c>
      <c r="AQ4290">
        <v>1</v>
      </c>
      <c r="AR4290">
        <v>2</v>
      </c>
      <c r="AS4290">
        <v>3</v>
      </c>
      <c r="AT4290">
        <v>0</v>
      </c>
    </row>
    <row r="4291" spans="1:46">
      <c r="A4291">
        <v>70575</v>
      </c>
      <c r="B4291" t="s">
        <v>23225</v>
      </c>
      <c r="C4291" t="s">
        <v>23226</v>
      </c>
      <c r="D4291" t="s">
        <v>23227</v>
      </c>
      <c r="E4291" t="s">
        <v>23228</v>
      </c>
      <c r="F4291" t="s">
        <v>2945</v>
      </c>
      <c r="G4291" t="s">
        <v>2941</v>
      </c>
      <c r="H4291" t="s">
        <v>3942</v>
      </c>
      <c r="J4291" t="s">
        <v>3962</v>
      </c>
      <c r="K4291" t="s">
        <v>519</v>
      </c>
      <c r="M4291" t="s">
        <v>2287</v>
      </c>
      <c r="N4291" t="s">
        <v>571</v>
      </c>
      <c r="O4291" t="s">
        <v>2942</v>
      </c>
      <c r="P4291" t="s">
        <v>654</v>
      </c>
      <c r="Q4291" t="s">
        <v>2943</v>
      </c>
      <c r="R4291" t="s">
        <v>2944</v>
      </c>
      <c r="S4291" t="s">
        <v>2945</v>
      </c>
      <c r="T4291" t="s">
        <v>2448</v>
      </c>
      <c r="U4291">
        <v>321800</v>
      </c>
      <c r="V4291" t="s">
        <v>23229</v>
      </c>
      <c r="W4291" t="s">
        <v>3076</v>
      </c>
      <c r="X4291" t="s">
        <v>23230</v>
      </c>
      <c r="Y4291" t="s">
        <v>4097</v>
      </c>
      <c r="Z4291" t="s">
        <v>4098</v>
      </c>
      <c r="AA4291" t="s">
        <v>4099</v>
      </c>
      <c r="AE4291">
        <v>-43.530014139999999</v>
      </c>
      <c r="AF4291">
        <v>172.58664847</v>
      </c>
      <c r="AG4291">
        <v>50</v>
      </c>
      <c r="AH4291">
        <v>14</v>
      </c>
      <c r="AI4291">
        <v>2</v>
      </c>
      <c r="AJ4291">
        <v>13</v>
      </c>
      <c r="AK4291">
        <v>7</v>
      </c>
      <c r="AL4291">
        <v>14</v>
      </c>
      <c r="AM4291">
        <v>15</v>
      </c>
      <c r="AN4291">
        <v>1</v>
      </c>
      <c r="AO4291">
        <v>52</v>
      </c>
      <c r="AP4291">
        <v>19</v>
      </c>
      <c r="AQ4291">
        <v>4</v>
      </c>
      <c r="AR4291">
        <v>1</v>
      </c>
      <c r="AS4291">
        <v>33</v>
      </c>
      <c r="AT4291">
        <v>2</v>
      </c>
    </row>
    <row r="4292" spans="1:46">
      <c r="A4292">
        <v>70582</v>
      </c>
      <c r="B4292" t="s">
        <v>23231</v>
      </c>
      <c r="C4292" t="s">
        <v>23232</v>
      </c>
      <c r="D4292" t="s">
        <v>23233</v>
      </c>
      <c r="E4292" t="s">
        <v>23234</v>
      </c>
      <c r="F4292" t="s">
        <v>3165</v>
      </c>
      <c r="G4292" t="s">
        <v>2941</v>
      </c>
      <c r="H4292" t="s">
        <v>3942</v>
      </c>
      <c r="J4292" t="s">
        <v>3962</v>
      </c>
      <c r="K4292" t="s">
        <v>519</v>
      </c>
      <c r="M4292" t="s">
        <v>2287</v>
      </c>
      <c r="N4292" t="s">
        <v>571</v>
      </c>
      <c r="O4292" t="s">
        <v>2942</v>
      </c>
      <c r="P4292" t="s">
        <v>654</v>
      </c>
      <c r="Q4292" t="s">
        <v>2943</v>
      </c>
      <c r="R4292" t="s">
        <v>2944</v>
      </c>
      <c r="S4292" t="s">
        <v>2973</v>
      </c>
      <c r="T4292" t="s">
        <v>2448</v>
      </c>
      <c r="U4292">
        <v>331700</v>
      </c>
      <c r="V4292" t="s">
        <v>3165</v>
      </c>
      <c r="W4292" t="s">
        <v>2974</v>
      </c>
      <c r="X4292" t="s">
        <v>21791</v>
      </c>
      <c r="Y4292" t="s">
        <v>21792</v>
      </c>
      <c r="Z4292" t="s">
        <v>2978</v>
      </c>
      <c r="AA4292" t="s">
        <v>10814</v>
      </c>
      <c r="AB4292" t="s">
        <v>21793</v>
      </c>
      <c r="AE4292">
        <v>-43.5259012</v>
      </c>
      <c r="AF4292">
        <v>172.73349379999999</v>
      </c>
      <c r="AG4292">
        <v>46</v>
      </c>
      <c r="AH4292">
        <v>12</v>
      </c>
      <c r="AI4292">
        <v>1</v>
      </c>
      <c r="AJ4292">
        <v>8</v>
      </c>
      <c r="AK4292">
        <v>15</v>
      </c>
      <c r="AL4292">
        <v>13</v>
      </c>
      <c r="AM4292">
        <v>11</v>
      </c>
      <c r="AN4292">
        <v>0</v>
      </c>
      <c r="AO4292">
        <v>48</v>
      </c>
      <c r="AP4292">
        <v>47</v>
      </c>
      <c r="AQ4292">
        <v>7</v>
      </c>
      <c r="AR4292">
        <v>1</v>
      </c>
      <c r="AS4292">
        <v>0</v>
      </c>
      <c r="AT4292">
        <v>1</v>
      </c>
    </row>
    <row r="4293" spans="1:46">
      <c r="A4293">
        <v>70602</v>
      </c>
      <c r="B4293" t="s">
        <v>23235</v>
      </c>
      <c r="C4293" t="s">
        <v>23236</v>
      </c>
      <c r="E4293" t="s">
        <v>23237</v>
      </c>
      <c r="F4293" t="s">
        <v>23238</v>
      </c>
      <c r="G4293" t="s">
        <v>23238</v>
      </c>
      <c r="H4293" t="s">
        <v>343</v>
      </c>
      <c r="J4293" t="s">
        <v>518</v>
      </c>
      <c r="K4293" t="s">
        <v>519</v>
      </c>
      <c r="L4293" t="s">
        <v>4205</v>
      </c>
      <c r="M4293" t="s">
        <v>2287</v>
      </c>
      <c r="N4293" t="s">
        <v>571</v>
      </c>
      <c r="O4293" t="s">
        <v>23239</v>
      </c>
      <c r="P4293" t="s">
        <v>540</v>
      </c>
      <c r="Q4293" t="s">
        <v>23240</v>
      </c>
      <c r="R4293" t="s">
        <v>2944</v>
      </c>
      <c r="S4293" t="s">
        <v>2537</v>
      </c>
      <c r="T4293" t="s">
        <v>2448</v>
      </c>
      <c r="U4293">
        <v>343000</v>
      </c>
      <c r="V4293" t="s">
        <v>23238</v>
      </c>
      <c r="W4293" t="s">
        <v>1652</v>
      </c>
      <c r="X4293" t="s">
        <v>12058</v>
      </c>
      <c r="Y4293" t="s">
        <v>4208</v>
      </c>
      <c r="Z4293" t="s">
        <v>4209</v>
      </c>
      <c r="AA4293" t="s">
        <v>4210</v>
      </c>
      <c r="AB4293" t="s">
        <v>12059</v>
      </c>
      <c r="AE4293">
        <v>-43.930529</v>
      </c>
      <c r="AF4293">
        <v>-176.52666400000001</v>
      </c>
      <c r="AG4293">
        <v>24</v>
      </c>
      <c r="AH4293">
        <v>8</v>
      </c>
      <c r="AI4293">
        <v>3</v>
      </c>
      <c r="AJ4293">
        <v>1</v>
      </c>
      <c r="AK4293">
        <v>4</v>
      </c>
      <c r="AL4293">
        <v>5</v>
      </c>
      <c r="AM4293">
        <v>6</v>
      </c>
      <c r="AN4293">
        <v>0</v>
      </c>
      <c r="AO4293">
        <v>19</v>
      </c>
      <c r="AP4293">
        <v>0</v>
      </c>
      <c r="AQ4293">
        <v>16</v>
      </c>
      <c r="AR4293">
        <v>0</v>
      </c>
      <c r="AS4293">
        <v>0</v>
      </c>
      <c r="AT4293">
        <v>3</v>
      </c>
    </row>
    <row r="4294" spans="1:46">
      <c r="A4294">
        <v>70606</v>
      </c>
      <c r="B4294" t="s">
        <v>23241</v>
      </c>
      <c r="C4294" t="s">
        <v>23242</v>
      </c>
      <c r="E4294" t="s">
        <v>23243</v>
      </c>
      <c r="F4294" t="s">
        <v>3012</v>
      </c>
      <c r="G4294" t="s">
        <v>2941</v>
      </c>
      <c r="H4294" t="s">
        <v>343</v>
      </c>
      <c r="J4294" t="s">
        <v>518</v>
      </c>
      <c r="K4294" t="s">
        <v>519</v>
      </c>
      <c r="L4294" t="s">
        <v>4205</v>
      </c>
      <c r="M4294" t="s">
        <v>2287</v>
      </c>
      <c r="N4294" t="s">
        <v>521</v>
      </c>
      <c r="O4294" t="s">
        <v>2942</v>
      </c>
      <c r="P4294" t="s">
        <v>654</v>
      </c>
      <c r="Q4294" t="s">
        <v>2943</v>
      </c>
      <c r="R4294" t="s">
        <v>2944</v>
      </c>
      <c r="S4294" t="s">
        <v>2957</v>
      </c>
      <c r="T4294" t="s">
        <v>2448</v>
      </c>
      <c r="U4294">
        <v>329900</v>
      </c>
      <c r="V4294" t="s">
        <v>3012</v>
      </c>
      <c r="W4294" t="s">
        <v>3014</v>
      </c>
      <c r="X4294" t="s">
        <v>12058</v>
      </c>
      <c r="Y4294" t="s">
        <v>4208</v>
      </c>
      <c r="Z4294" t="s">
        <v>4209</v>
      </c>
      <c r="AA4294" t="s">
        <v>4210</v>
      </c>
      <c r="AB4294" t="s">
        <v>12059</v>
      </c>
      <c r="AE4294">
        <v>-43.551188740000001</v>
      </c>
      <c r="AF4294">
        <v>172.65574038</v>
      </c>
      <c r="AG4294">
        <v>44</v>
      </c>
      <c r="AH4294">
        <v>8</v>
      </c>
      <c r="AI4294">
        <v>1</v>
      </c>
      <c r="AJ4294">
        <v>3</v>
      </c>
      <c r="AK4294">
        <v>11</v>
      </c>
      <c r="AL4294">
        <v>7</v>
      </c>
      <c r="AM4294">
        <v>10</v>
      </c>
      <c r="AN4294">
        <v>0</v>
      </c>
      <c r="AO4294">
        <v>32</v>
      </c>
      <c r="AP4294">
        <v>0</v>
      </c>
      <c r="AQ4294">
        <v>31</v>
      </c>
      <c r="AR4294">
        <v>1</v>
      </c>
      <c r="AS4294">
        <v>0</v>
      </c>
      <c r="AT4294">
        <v>0</v>
      </c>
    </row>
    <row r="4295" spans="1:46">
      <c r="A4295">
        <v>70607</v>
      </c>
      <c r="B4295" t="s">
        <v>23244</v>
      </c>
      <c r="C4295" t="s">
        <v>23245</v>
      </c>
      <c r="E4295" t="s">
        <v>23246</v>
      </c>
      <c r="G4295" t="s">
        <v>2963</v>
      </c>
      <c r="H4295" t="s">
        <v>343</v>
      </c>
      <c r="J4295" t="s">
        <v>518</v>
      </c>
      <c r="K4295" t="s">
        <v>519</v>
      </c>
      <c r="L4295" t="s">
        <v>4205</v>
      </c>
      <c r="M4295" t="s">
        <v>2287</v>
      </c>
      <c r="N4295" t="s">
        <v>557</v>
      </c>
      <c r="O4295" t="s">
        <v>2964</v>
      </c>
      <c r="P4295" t="s">
        <v>1262</v>
      </c>
      <c r="Q4295" t="s">
        <v>2943</v>
      </c>
      <c r="R4295" t="s">
        <v>2944</v>
      </c>
      <c r="S4295" t="s">
        <v>2965</v>
      </c>
      <c r="T4295" t="s">
        <v>2448</v>
      </c>
      <c r="U4295">
        <v>314600</v>
      </c>
      <c r="V4295" t="s">
        <v>15871</v>
      </c>
      <c r="W4295" t="s">
        <v>2967</v>
      </c>
      <c r="X4295" t="s">
        <v>12058</v>
      </c>
      <c r="Y4295" t="s">
        <v>4208</v>
      </c>
      <c r="Z4295" t="s">
        <v>4209</v>
      </c>
      <c r="AA4295" t="s">
        <v>4210</v>
      </c>
      <c r="AB4295" t="s">
        <v>12059</v>
      </c>
      <c r="AE4295">
        <v>-43.306886210000002</v>
      </c>
      <c r="AF4295">
        <v>172.59740662999999</v>
      </c>
      <c r="AG4295">
        <v>34</v>
      </c>
      <c r="AH4295">
        <v>12</v>
      </c>
      <c r="AI4295">
        <v>2</v>
      </c>
      <c r="AJ4295">
        <v>10</v>
      </c>
      <c r="AK4295">
        <v>9</v>
      </c>
      <c r="AL4295">
        <v>5</v>
      </c>
      <c r="AM4295">
        <v>6</v>
      </c>
      <c r="AN4295">
        <v>0</v>
      </c>
      <c r="AO4295">
        <v>32</v>
      </c>
      <c r="AP4295">
        <v>0</v>
      </c>
      <c r="AQ4295">
        <v>31</v>
      </c>
      <c r="AR4295">
        <v>0</v>
      </c>
      <c r="AS4295">
        <v>0</v>
      </c>
      <c r="AT4295">
        <v>1</v>
      </c>
    </row>
    <row r="4296" spans="1:46">
      <c r="A4296">
        <v>70608</v>
      </c>
      <c r="B4296" t="s">
        <v>23247</v>
      </c>
      <c r="C4296" t="s">
        <v>23248</v>
      </c>
      <c r="E4296" t="s">
        <v>23249</v>
      </c>
      <c r="F4296" t="s">
        <v>17299</v>
      </c>
      <c r="G4296" t="s">
        <v>2941</v>
      </c>
      <c r="H4296" t="s">
        <v>343</v>
      </c>
      <c r="J4296" t="s">
        <v>518</v>
      </c>
      <c r="K4296" t="s">
        <v>519</v>
      </c>
      <c r="L4296" t="s">
        <v>4205</v>
      </c>
      <c r="M4296" t="s">
        <v>2287</v>
      </c>
      <c r="N4296" t="s">
        <v>539</v>
      </c>
      <c r="O4296" t="s">
        <v>2942</v>
      </c>
      <c r="P4296" t="s">
        <v>654</v>
      </c>
      <c r="Q4296" t="s">
        <v>2943</v>
      </c>
      <c r="R4296" t="s">
        <v>2944</v>
      </c>
      <c r="S4296" t="s">
        <v>2957</v>
      </c>
      <c r="T4296" t="s">
        <v>2448</v>
      </c>
      <c r="U4296">
        <v>328800</v>
      </c>
      <c r="V4296" t="s">
        <v>17300</v>
      </c>
      <c r="W4296" t="s">
        <v>2443</v>
      </c>
      <c r="X4296" t="s">
        <v>12058</v>
      </c>
      <c r="Y4296" t="s">
        <v>4208</v>
      </c>
      <c r="Z4296" t="s">
        <v>4209</v>
      </c>
      <c r="AA4296" t="s">
        <v>4210</v>
      </c>
      <c r="AB4296" t="s">
        <v>12059</v>
      </c>
      <c r="AE4296">
        <v>-43.53769157</v>
      </c>
      <c r="AF4296">
        <v>172.6548818</v>
      </c>
      <c r="AG4296">
        <v>44</v>
      </c>
      <c r="AH4296">
        <v>10</v>
      </c>
      <c r="AI4296">
        <v>1</v>
      </c>
      <c r="AJ4296">
        <v>8</v>
      </c>
      <c r="AK4296">
        <v>9</v>
      </c>
      <c r="AL4296">
        <v>11</v>
      </c>
      <c r="AM4296">
        <v>12</v>
      </c>
      <c r="AN4296">
        <v>0</v>
      </c>
      <c r="AO4296">
        <v>41</v>
      </c>
      <c r="AP4296">
        <v>0</v>
      </c>
      <c r="AQ4296">
        <v>41</v>
      </c>
      <c r="AR4296">
        <v>0</v>
      </c>
      <c r="AS4296">
        <v>0</v>
      </c>
      <c r="AT4296">
        <v>0</v>
      </c>
    </row>
    <row r="4297" spans="1:46">
      <c r="A4297">
        <v>70609</v>
      </c>
      <c r="B4297" t="s">
        <v>23250</v>
      </c>
      <c r="C4297" t="s">
        <v>23251</v>
      </c>
      <c r="E4297" t="s">
        <v>23252</v>
      </c>
      <c r="F4297" t="s">
        <v>23253</v>
      </c>
      <c r="G4297" t="s">
        <v>2941</v>
      </c>
      <c r="H4297" t="s">
        <v>343</v>
      </c>
      <c r="J4297" t="s">
        <v>518</v>
      </c>
      <c r="K4297" t="s">
        <v>519</v>
      </c>
      <c r="L4297" t="s">
        <v>4205</v>
      </c>
      <c r="M4297" t="s">
        <v>2287</v>
      </c>
      <c r="N4297" t="s">
        <v>539</v>
      </c>
      <c r="O4297" t="s">
        <v>2942</v>
      </c>
      <c r="P4297" t="s">
        <v>654</v>
      </c>
      <c r="Q4297" t="s">
        <v>2943</v>
      </c>
      <c r="R4297" t="s">
        <v>2944</v>
      </c>
      <c r="S4297" t="s">
        <v>3019</v>
      </c>
      <c r="T4297" t="s">
        <v>2448</v>
      </c>
      <c r="U4297">
        <v>318200</v>
      </c>
      <c r="V4297" t="s">
        <v>23254</v>
      </c>
      <c r="W4297" t="s">
        <v>3020</v>
      </c>
      <c r="X4297" t="s">
        <v>12058</v>
      </c>
      <c r="Y4297" t="s">
        <v>4208</v>
      </c>
      <c r="Z4297" t="s">
        <v>4209</v>
      </c>
      <c r="AA4297" t="s">
        <v>4210</v>
      </c>
      <c r="AB4297" t="s">
        <v>12059</v>
      </c>
      <c r="AE4297">
        <v>-43.539397860000001</v>
      </c>
      <c r="AF4297">
        <v>172.5155614</v>
      </c>
      <c r="AG4297">
        <v>35</v>
      </c>
      <c r="AH4297">
        <v>10</v>
      </c>
      <c r="AI4297">
        <v>0</v>
      </c>
      <c r="AJ4297">
        <v>5</v>
      </c>
      <c r="AK4297">
        <v>6</v>
      </c>
      <c r="AL4297">
        <v>8</v>
      </c>
      <c r="AM4297">
        <v>6</v>
      </c>
      <c r="AN4297">
        <v>0</v>
      </c>
      <c r="AO4297">
        <v>25</v>
      </c>
      <c r="AP4297">
        <v>0</v>
      </c>
      <c r="AQ4297">
        <v>23</v>
      </c>
      <c r="AR4297">
        <v>0</v>
      </c>
      <c r="AS4297">
        <v>0</v>
      </c>
      <c r="AT4297">
        <v>2</v>
      </c>
    </row>
    <row r="4298" spans="1:46">
      <c r="A4298">
        <v>70613</v>
      </c>
      <c r="B4298" t="s">
        <v>23255</v>
      </c>
      <c r="C4298" t="s">
        <v>23256</v>
      </c>
      <c r="D4298" t="s">
        <v>23257</v>
      </c>
      <c r="E4298" t="s">
        <v>23258</v>
      </c>
      <c r="F4298" t="s">
        <v>3086</v>
      </c>
      <c r="G4298" t="s">
        <v>2941</v>
      </c>
      <c r="H4298" t="s">
        <v>343</v>
      </c>
      <c r="J4298" t="s">
        <v>518</v>
      </c>
      <c r="K4298" t="s">
        <v>519</v>
      </c>
      <c r="L4298" t="s">
        <v>4205</v>
      </c>
      <c r="M4298" t="s">
        <v>2287</v>
      </c>
      <c r="N4298" t="s">
        <v>539</v>
      </c>
      <c r="O4298" t="s">
        <v>2942</v>
      </c>
      <c r="P4298" t="s">
        <v>654</v>
      </c>
      <c r="Q4298" t="s">
        <v>2943</v>
      </c>
      <c r="R4298" t="s">
        <v>2944</v>
      </c>
      <c r="S4298" t="s">
        <v>3019</v>
      </c>
      <c r="T4298" t="s">
        <v>2448</v>
      </c>
      <c r="U4298">
        <v>326701</v>
      </c>
      <c r="V4298" t="s">
        <v>3087</v>
      </c>
      <c r="W4298" t="s">
        <v>3088</v>
      </c>
      <c r="X4298" t="s">
        <v>12058</v>
      </c>
      <c r="Y4298" t="s">
        <v>4208</v>
      </c>
      <c r="Z4298" t="s">
        <v>4209</v>
      </c>
      <c r="AA4298" t="s">
        <v>4210</v>
      </c>
      <c r="AB4298" t="s">
        <v>12059</v>
      </c>
      <c r="AE4298">
        <v>-43.562152959999999</v>
      </c>
      <c r="AF4298">
        <v>172.58783198</v>
      </c>
      <c r="AG4298">
        <v>30</v>
      </c>
      <c r="AH4298">
        <v>6</v>
      </c>
      <c r="AI4298">
        <v>1</v>
      </c>
      <c r="AJ4298">
        <v>3</v>
      </c>
      <c r="AK4298">
        <v>7</v>
      </c>
      <c r="AL4298">
        <v>7</v>
      </c>
      <c r="AM4298">
        <v>6</v>
      </c>
      <c r="AN4298">
        <v>0</v>
      </c>
      <c r="AO4298">
        <v>24</v>
      </c>
      <c r="AP4298">
        <v>0</v>
      </c>
      <c r="AQ4298">
        <v>23</v>
      </c>
      <c r="AR4298">
        <v>1</v>
      </c>
      <c r="AS4298">
        <v>0</v>
      </c>
      <c r="AT4298">
        <v>0</v>
      </c>
    </row>
    <row r="4299" spans="1:46">
      <c r="A4299">
        <v>70617</v>
      </c>
      <c r="B4299" t="s">
        <v>23259</v>
      </c>
      <c r="C4299" t="s">
        <v>23260</v>
      </c>
      <c r="E4299" t="s">
        <v>23261</v>
      </c>
      <c r="F4299" t="s">
        <v>3124</v>
      </c>
      <c r="G4299" t="s">
        <v>2941</v>
      </c>
      <c r="H4299" t="s">
        <v>343</v>
      </c>
      <c r="J4299" t="s">
        <v>518</v>
      </c>
      <c r="K4299" t="s">
        <v>519</v>
      </c>
      <c r="L4299" t="s">
        <v>4205</v>
      </c>
      <c r="M4299" t="s">
        <v>2287</v>
      </c>
      <c r="N4299" t="s">
        <v>727</v>
      </c>
      <c r="O4299" t="s">
        <v>2942</v>
      </c>
      <c r="P4299" t="s">
        <v>654</v>
      </c>
      <c r="Q4299" t="s">
        <v>2943</v>
      </c>
      <c r="R4299" t="s">
        <v>2944</v>
      </c>
      <c r="S4299" t="s">
        <v>2973</v>
      </c>
      <c r="T4299" t="s">
        <v>2448</v>
      </c>
      <c r="U4299">
        <v>328600</v>
      </c>
      <c r="V4299" t="s">
        <v>3125</v>
      </c>
      <c r="W4299" t="s">
        <v>3126</v>
      </c>
      <c r="X4299" t="s">
        <v>12058</v>
      </c>
      <c r="Y4299" t="s">
        <v>4208</v>
      </c>
      <c r="Z4299" t="s">
        <v>4209</v>
      </c>
      <c r="AA4299" t="s">
        <v>4210</v>
      </c>
      <c r="AB4299" t="s">
        <v>12059</v>
      </c>
      <c r="AE4299">
        <v>-43.510574949999999</v>
      </c>
      <c r="AF4299">
        <v>172.71038278</v>
      </c>
      <c r="AG4299">
        <v>26</v>
      </c>
      <c r="AH4299">
        <v>8</v>
      </c>
      <c r="AI4299">
        <v>1</v>
      </c>
      <c r="AJ4299">
        <v>5</v>
      </c>
      <c r="AK4299">
        <v>7</v>
      </c>
      <c r="AL4299">
        <v>3</v>
      </c>
      <c r="AM4299">
        <v>5</v>
      </c>
      <c r="AN4299">
        <v>0</v>
      </c>
      <c r="AO4299">
        <v>21</v>
      </c>
      <c r="AP4299">
        <v>0</v>
      </c>
      <c r="AQ4299">
        <v>20</v>
      </c>
      <c r="AR4299">
        <v>1</v>
      </c>
      <c r="AS4299">
        <v>0</v>
      </c>
      <c r="AT4299">
        <v>0</v>
      </c>
    </row>
    <row r="4300" spans="1:46">
      <c r="A4300">
        <v>80002</v>
      </c>
      <c r="B4300" t="s">
        <v>23262</v>
      </c>
      <c r="C4300" t="s">
        <v>23263</v>
      </c>
      <c r="D4300" t="s">
        <v>23264</v>
      </c>
      <c r="E4300" t="s">
        <v>23265</v>
      </c>
      <c r="F4300" t="s">
        <v>3394</v>
      </c>
      <c r="G4300" t="s">
        <v>3382</v>
      </c>
      <c r="H4300" t="s">
        <v>4716</v>
      </c>
      <c r="J4300" t="s">
        <v>518</v>
      </c>
      <c r="K4300" t="s">
        <v>519</v>
      </c>
      <c r="M4300" t="s">
        <v>2287</v>
      </c>
      <c r="N4300" t="s">
        <v>571</v>
      </c>
      <c r="O4300" t="s">
        <v>3383</v>
      </c>
      <c r="P4300" t="s">
        <v>654</v>
      </c>
      <c r="Q4300" t="s">
        <v>3337</v>
      </c>
      <c r="R4300" t="s">
        <v>3338</v>
      </c>
      <c r="S4300" t="s">
        <v>3384</v>
      </c>
      <c r="T4300" t="s">
        <v>2448</v>
      </c>
      <c r="U4300">
        <v>355300</v>
      </c>
      <c r="V4300" t="s">
        <v>3394</v>
      </c>
      <c r="W4300" t="s">
        <v>1652</v>
      </c>
      <c r="X4300" t="s">
        <v>23266</v>
      </c>
      <c r="Y4300" t="s">
        <v>23265</v>
      </c>
      <c r="Z4300" t="s">
        <v>3394</v>
      </c>
      <c r="AA4300" t="s">
        <v>15793</v>
      </c>
      <c r="AB4300" t="s">
        <v>23263</v>
      </c>
      <c r="AE4300">
        <v>-45.898067580000003</v>
      </c>
      <c r="AF4300">
        <v>170.51626241</v>
      </c>
      <c r="AG4300">
        <v>80</v>
      </c>
      <c r="AH4300">
        <v>80</v>
      </c>
      <c r="AI4300">
        <v>3</v>
      </c>
      <c r="AJ4300">
        <v>11</v>
      </c>
      <c r="AK4300">
        <v>7</v>
      </c>
      <c r="AL4300">
        <v>7</v>
      </c>
      <c r="AM4300">
        <v>2</v>
      </c>
      <c r="AN4300">
        <v>0</v>
      </c>
      <c r="AO4300">
        <v>30</v>
      </c>
      <c r="AP4300">
        <v>27</v>
      </c>
      <c r="AQ4300">
        <v>5</v>
      </c>
      <c r="AR4300">
        <v>2</v>
      </c>
      <c r="AS4300">
        <v>0</v>
      </c>
      <c r="AT4300">
        <v>4</v>
      </c>
    </row>
    <row r="4301" spans="1:46">
      <c r="A4301">
        <v>80009</v>
      </c>
      <c r="B4301" t="s">
        <v>23267</v>
      </c>
      <c r="C4301" t="s">
        <v>23268</v>
      </c>
      <c r="D4301" t="s">
        <v>23269</v>
      </c>
      <c r="E4301" t="s">
        <v>23270</v>
      </c>
      <c r="G4301" t="s">
        <v>11192</v>
      </c>
      <c r="H4301" t="s">
        <v>3942</v>
      </c>
      <c r="J4301" t="s">
        <v>518</v>
      </c>
      <c r="K4301" t="s">
        <v>519</v>
      </c>
      <c r="M4301" t="s">
        <v>2287</v>
      </c>
      <c r="N4301" t="s">
        <v>571</v>
      </c>
      <c r="O4301" t="s">
        <v>3835</v>
      </c>
      <c r="P4301" t="s">
        <v>1262</v>
      </c>
      <c r="Q4301" t="s">
        <v>3337</v>
      </c>
      <c r="R4301" t="s">
        <v>3338</v>
      </c>
      <c r="S4301" t="s">
        <v>3250</v>
      </c>
      <c r="T4301" t="s">
        <v>2448</v>
      </c>
      <c r="U4301">
        <v>347000</v>
      </c>
      <c r="V4301" t="s">
        <v>18704</v>
      </c>
      <c r="W4301" t="s">
        <v>11194</v>
      </c>
      <c r="X4301" t="s">
        <v>23271</v>
      </c>
      <c r="Y4301" t="s">
        <v>23270</v>
      </c>
      <c r="AA4301" t="s">
        <v>11196</v>
      </c>
      <c r="AB4301" t="s">
        <v>23268</v>
      </c>
      <c r="AE4301">
        <v>-44.701090360000002</v>
      </c>
      <c r="AF4301">
        <v>169.13413649</v>
      </c>
      <c r="AG4301">
        <v>40</v>
      </c>
      <c r="AH4301">
        <v>12</v>
      </c>
      <c r="AI4301">
        <v>2</v>
      </c>
      <c r="AJ4301">
        <v>7</v>
      </c>
      <c r="AK4301">
        <v>12</v>
      </c>
      <c r="AL4301">
        <v>15</v>
      </c>
      <c r="AM4301">
        <v>14</v>
      </c>
      <c r="AN4301">
        <v>0</v>
      </c>
      <c r="AO4301">
        <v>50</v>
      </c>
      <c r="AP4301">
        <v>45</v>
      </c>
      <c r="AQ4301">
        <v>4</v>
      </c>
      <c r="AR4301">
        <v>1</v>
      </c>
      <c r="AS4301">
        <v>2</v>
      </c>
      <c r="AT4301">
        <v>3</v>
      </c>
    </row>
    <row r="4302" spans="1:46">
      <c r="A4302">
        <v>80010</v>
      </c>
      <c r="B4302" t="s">
        <v>23272</v>
      </c>
      <c r="C4302" t="s">
        <v>23273</v>
      </c>
      <c r="D4302" t="s">
        <v>23274</v>
      </c>
      <c r="E4302" t="s">
        <v>23275</v>
      </c>
      <c r="F4302" t="s">
        <v>3394</v>
      </c>
      <c r="G4302" t="s">
        <v>3382</v>
      </c>
      <c r="H4302" t="s">
        <v>3942</v>
      </c>
      <c r="J4302" t="s">
        <v>3962</v>
      </c>
      <c r="K4302" t="s">
        <v>519</v>
      </c>
      <c r="M4302" t="s">
        <v>2287</v>
      </c>
      <c r="N4302" t="s">
        <v>571</v>
      </c>
      <c r="O4302" t="s">
        <v>3383</v>
      </c>
      <c r="P4302" t="s">
        <v>654</v>
      </c>
      <c r="Q4302" t="s">
        <v>3337</v>
      </c>
      <c r="R4302" t="s">
        <v>3338</v>
      </c>
      <c r="S4302" t="s">
        <v>3384</v>
      </c>
      <c r="T4302" t="s">
        <v>2448</v>
      </c>
      <c r="U4302">
        <v>355300</v>
      </c>
      <c r="V4302" t="s">
        <v>3394</v>
      </c>
      <c r="W4302" t="s">
        <v>1652</v>
      </c>
      <c r="X4302" t="s">
        <v>23276</v>
      </c>
      <c r="Y4302" t="s">
        <v>23277</v>
      </c>
      <c r="Z4302" t="s">
        <v>2049</v>
      </c>
      <c r="AA4302" t="s">
        <v>11560</v>
      </c>
      <c r="AB4302" t="s">
        <v>23278</v>
      </c>
      <c r="AE4302">
        <v>-45.897884830000002</v>
      </c>
      <c r="AF4302">
        <v>170.51955104000001</v>
      </c>
      <c r="AG4302">
        <v>25</v>
      </c>
      <c r="AH4302">
        <v>10</v>
      </c>
      <c r="AI4302">
        <v>0</v>
      </c>
      <c r="AJ4302">
        <v>1</v>
      </c>
      <c r="AK4302">
        <v>2</v>
      </c>
      <c r="AL4302">
        <v>4</v>
      </c>
      <c r="AM4302">
        <v>4</v>
      </c>
      <c r="AN4302">
        <v>0</v>
      </c>
      <c r="AO4302">
        <v>11</v>
      </c>
      <c r="AP4302">
        <v>9</v>
      </c>
      <c r="AQ4302">
        <v>1</v>
      </c>
      <c r="AR4302">
        <v>1</v>
      </c>
      <c r="AS4302">
        <v>3</v>
      </c>
      <c r="AT4302">
        <v>0</v>
      </c>
    </row>
    <row r="4303" spans="1:46">
      <c r="A4303">
        <v>80012</v>
      </c>
      <c r="B4303" t="s">
        <v>23279</v>
      </c>
      <c r="C4303" t="s">
        <v>23280</v>
      </c>
      <c r="D4303" t="s">
        <v>23281</v>
      </c>
      <c r="E4303" t="s">
        <v>23282</v>
      </c>
      <c r="G4303" t="s">
        <v>3470</v>
      </c>
      <c r="H4303" t="s">
        <v>3942</v>
      </c>
      <c r="J4303" t="s">
        <v>518</v>
      </c>
      <c r="K4303" t="s">
        <v>519</v>
      </c>
      <c r="M4303" t="s">
        <v>2287</v>
      </c>
      <c r="N4303" t="s">
        <v>571</v>
      </c>
      <c r="O4303" t="s">
        <v>3383</v>
      </c>
      <c r="P4303" t="s">
        <v>1262</v>
      </c>
      <c r="Q4303" t="s">
        <v>3337</v>
      </c>
      <c r="R4303" t="s">
        <v>3338</v>
      </c>
      <c r="S4303" t="s">
        <v>3384</v>
      </c>
      <c r="T4303" t="s">
        <v>2448</v>
      </c>
      <c r="U4303">
        <v>350000</v>
      </c>
      <c r="V4303" t="s">
        <v>3475</v>
      </c>
      <c r="W4303" t="s">
        <v>1652</v>
      </c>
      <c r="X4303" t="s">
        <v>23283</v>
      </c>
      <c r="Y4303" t="s">
        <v>23284</v>
      </c>
      <c r="AA4303" t="s">
        <v>14596</v>
      </c>
      <c r="AB4303" t="s">
        <v>23285</v>
      </c>
      <c r="AE4303">
        <v>-45.875500459999998</v>
      </c>
      <c r="AF4303">
        <v>170.36036003000001</v>
      </c>
      <c r="AG4303">
        <v>30</v>
      </c>
      <c r="AH4303">
        <v>0</v>
      </c>
      <c r="AI4303">
        <v>0</v>
      </c>
      <c r="AJ4303">
        <v>0</v>
      </c>
      <c r="AK4303">
        <v>6</v>
      </c>
      <c r="AL4303">
        <v>15</v>
      </c>
      <c r="AM4303">
        <v>17</v>
      </c>
      <c r="AN4303">
        <v>0</v>
      </c>
      <c r="AO4303">
        <v>38</v>
      </c>
      <c r="AP4303">
        <v>29</v>
      </c>
      <c r="AQ4303">
        <v>7</v>
      </c>
      <c r="AR4303">
        <v>1</v>
      </c>
      <c r="AS4303">
        <v>4</v>
      </c>
      <c r="AT4303">
        <v>3</v>
      </c>
    </row>
    <row r="4304" spans="1:46">
      <c r="A4304">
        <v>80014</v>
      </c>
      <c r="B4304" t="s">
        <v>23286</v>
      </c>
      <c r="C4304" t="s">
        <v>3485</v>
      </c>
      <c r="D4304" t="s">
        <v>23287</v>
      </c>
      <c r="E4304" t="s">
        <v>23288</v>
      </c>
      <c r="G4304" t="s">
        <v>23289</v>
      </c>
      <c r="H4304" t="s">
        <v>517</v>
      </c>
      <c r="J4304" t="s">
        <v>518</v>
      </c>
      <c r="K4304" t="s">
        <v>519</v>
      </c>
      <c r="M4304" t="s">
        <v>2287</v>
      </c>
      <c r="N4304" t="s">
        <v>571</v>
      </c>
      <c r="O4304" t="s">
        <v>3481</v>
      </c>
      <c r="P4304" t="s">
        <v>540</v>
      </c>
      <c r="Q4304" t="s">
        <v>3337</v>
      </c>
      <c r="R4304" t="s">
        <v>3338</v>
      </c>
      <c r="S4304" t="s">
        <v>3384</v>
      </c>
      <c r="T4304" t="s">
        <v>2448</v>
      </c>
      <c r="U4304">
        <v>355900</v>
      </c>
      <c r="V4304" t="s">
        <v>23290</v>
      </c>
      <c r="W4304" t="s">
        <v>23291</v>
      </c>
      <c r="X4304" t="s">
        <v>3484</v>
      </c>
      <c r="Y4304" t="s">
        <v>1890</v>
      </c>
      <c r="AA4304" t="s">
        <v>1891</v>
      </c>
      <c r="AB4304" t="s">
        <v>3485</v>
      </c>
      <c r="AC4304">
        <v>99179</v>
      </c>
      <c r="AD4304" t="s">
        <v>3881</v>
      </c>
      <c r="AE4304">
        <v>-45.92123883</v>
      </c>
      <c r="AF4304">
        <v>169.68897204000001</v>
      </c>
      <c r="AG4304">
        <v>40</v>
      </c>
      <c r="AH4304">
        <v>10</v>
      </c>
      <c r="AI4304">
        <v>0</v>
      </c>
      <c r="AJ4304">
        <v>4</v>
      </c>
      <c r="AK4304">
        <v>6</v>
      </c>
      <c r="AL4304">
        <v>3</v>
      </c>
      <c r="AM4304">
        <v>10</v>
      </c>
      <c r="AN4304">
        <v>0</v>
      </c>
      <c r="AO4304">
        <v>23</v>
      </c>
      <c r="AP4304">
        <v>22</v>
      </c>
      <c r="AQ4304">
        <v>5</v>
      </c>
      <c r="AR4304">
        <v>0</v>
      </c>
      <c r="AS4304">
        <v>1</v>
      </c>
      <c r="AT4304">
        <v>0</v>
      </c>
    </row>
    <row r="4305" spans="1:46">
      <c r="A4305">
        <v>80015</v>
      </c>
      <c r="B4305" t="s">
        <v>23292</v>
      </c>
      <c r="C4305" t="s">
        <v>23293</v>
      </c>
      <c r="D4305" t="s">
        <v>23294</v>
      </c>
      <c r="E4305" t="s">
        <v>23295</v>
      </c>
      <c r="G4305" t="s">
        <v>11192</v>
      </c>
      <c r="H4305" t="s">
        <v>3942</v>
      </c>
      <c r="J4305" t="s">
        <v>518</v>
      </c>
      <c r="K4305" t="s">
        <v>519</v>
      </c>
      <c r="M4305" t="s">
        <v>2287</v>
      </c>
      <c r="N4305" t="s">
        <v>571</v>
      </c>
      <c r="O4305" t="s">
        <v>3835</v>
      </c>
      <c r="P4305" t="s">
        <v>1262</v>
      </c>
      <c r="Q4305" t="s">
        <v>3337</v>
      </c>
      <c r="R4305" t="s">
        <v>3338</v>
      </c>
      <c r="S4305" t="s">
        <v>3250</v>
      </c>
      <c r="T4305" t="s">
        <v>2448</v>
      </c>
      <c r="U4305">
        <v>346701</v>
      </c>
      <c r="V4305" t="s">
        <v>15182</v>
      </c>
      <c r="W4305" t="s">
        <v>11194</v>
      </c>
      <c r="X4305" t="s">
        <v>23296</v>
      </c>
      <c r="Y4305" t="s">
        <v>23295</v>
      </c>
      <c r="AA4305" t="s">
        <v>11196</v>
      </c>
      <c r="AB4305" t="s">
        <v>23297</v>
      </c>
      <c r="AE4305">
        <v>-44.681578880000004</v>
      </c>
      <c r="AF4305">
        <v>169.13759003999999</v>
      </c>
      <c r="AG4305">
        <v>56</v>
      </c>
      <c r="AH4305">
        <v>16</v>
      </c>
      <c r="AI4305">
        <v>0</v>
      </c>
      <c r="AJ4305">
        <v>13</v>
      </c>
      <c r="AK4305">
        <v>15</v>
      </c>
      <c r="AL4305">
        <v>14</v>
      </c>
      <c r="AM4305">
        <v>16</v>
      </c>
      <c r="AN4305">
        <v>1</v>
      </c>
      <c r="AO4305">
        <v>59</v>
      </c>
      <c r="AP4305">
        <v>56</v>
      </c>
      <c r="AQ4305">
        <v>4</v>
      </c>
      <c r="AR4305">
        <v>1</v>
      </c>
      <c r="AS4305">
        <v>5</v>
      </c>
      <c r="AT4305">
        <v>3</v>
      </c>
    </row>
    <row r="4306" spans="1:46">
      <c r="A4306">
        <v>80016</v>
      </c>
      <c r="B4306" t="s">
        <v>23298</v>
      </c>
      <c r="C4306" t="s">
        <v>23299</v>
      </c>
      <c r="D4306" t="s">
        <v>23300</v>
      </c>
      <c r="E4306" t="s">
        <v>23301</v>
      </c>
      <c r="G4306" t="s">
        <v>3442</v>
      </c>
      <c r="H4306" t="s">
        <v>3942</v>
      </c>
      <c r="J4306" t="s">
        <v>518</v>
      </c>
      <c r="K4306" t="s">
        <v>519</v>
      </c>
      <c r="M4306" t="s">
        <v>2287</v>
      </c>
      <c r="N4306" t="s">
        <v>571</v>
      </c>
      <c r="O4306" t="s">
        <v>3383</v>
      </c>
      <c r="P4306" t="s">
        <v>654</v>
      </c>
      <c r="Q4306" t="s">
        <v>3337</v>
      </c>
      <c r="R4306" t="s">
        <v>3338</v>
      </c>
      <c r="S4306" t="s">
        <v>3382</v>
      </c>
      <c r="T4306" t="s">
        <v>2448</v>
      </c>
      <c r="U4306">
        <v>352701</v>
      </c>
      <c r="V4306" t="s">
        <v>3442</v>
      </c>
      <c r="W4306" t="s">
        <v>1652</v>
      </c>
      <c r="X4306" t="s">
        <v>23266</v>
      </c>
      <c r="Y4306" t="s">
        <v>23265</v>
      </c>
      <c r="Z4306" t="s">
        <v>3394</v>
      </c>
      <c r="AA4306" t="s">
        <v>15793</v>
      </c>
      <c r="AB4306" t="s">
        <v>23263</v>
      </c>
      <c r="AC4306">
        <v>99208</v>
      </c>
      <c r="AD4306" t="s">
        <v>3428</v>
      </c>
      <c r="AE4306">
        <v>-45.819722800000001</v>
      </c>
      <c r="AF4306">
        <v>170.61678491000001</v>
      </c>
      <c r="AG4306">
        <v>35</v>
      </c>
      <c r="AH4306">
        <v>15</v>
      </c>
      <c r="AI4306">
        <v>1</v>
      </c>
      <c r="AJ4306">
        <v>9</v>
      </c>
      <c r="AK4306">
        <v>10</v>
      </c>
      <c r="AL4306">
        <v>9</v>
      </c>
      <c r="AM4306">
        <v>6</v>
      </c>
      <c r="AN4306">
        <v>0</v>
      </c>
      <c r="AO4306">
        <v>35</v>
      </c>
      <c r="AP4306">
        <v>33</v>
      </c>
      <c r="AQ4306">
        <v>3</v>
      </c>
      <c r="AR4306">
        <v>1</v>
      </c>
      <c r="AS4306">
        <v>0</v>
      </c>
      <c r="AT4306">
        <v>2</v>
      </c>
    </row>
    <row r="4307" spans="1:46">
      <c r="A4307">
        <v>80017</v>
      </c>
      <c r="B4307" t="s">
        <v>23302</v>
      </c>
      <c r="C4307" t="s">
        <v>23303</v>
      </c>
      <c r="D4307" t="s">
        <v>23304</v>
      </c>
      <c r="E4307" t="s">
        <v>20115</v>
      </c>
      <c r="G4307" t="s">
        <v>23305</v>
      </c>
      <c r="H4307" t="s">
        <v>517</v>
      </c>
      <c r="J4307" t="s">
        <v>518</v>
      </c>
      <c r="K4307" t="s">
        <v>519</v>
      </c>
      <c r="M4307" t="s">
        <v>2287</v>
      </c>
      <c r="N4307" t="s">
        <v>571</v>
      </c>
      <c r="O4307" t="s">
        <v>3527</v>
      </c>
      <c r="P4307" t="s">
        <v>572</v>
      </c>
      <c r="Q4307" t="s">
        <v>3497</v>
      </c>
      <c r="R4307" t="s">
        <v>3338</v>
      </c>
      <c r="S4307" t="s">
        <v>3361</v>
      </c>
      <c r="T4307" t="s">
        <v>2448</v>
      </c>
      <c r="U4307">
        <v>358400</v>
      </c>
      <c r="V4307" t="s">
        <v>23306</v>
      </c>
      <c r="W4307" t="s">
        <v>3575</v>
      </c>
      <c r="X4307" t="s">
        <v>3499</v>
      </c>
      <c r="Y4307" t="s">
        <v>3500</v>
      </c>
      <c r="Z4307" t="s">
        <v>3498</v>
      </c>
      <c r="AA4307" t="s">
        <v>3501</v>
      </c>
      <c r="AB4307" t="s">
        <v>3502</v>
      </c>
      <c r="AE4307">
        <v>-46.151653699999997</v>
      </c>
      <c r="AF4307">
        <v>168.15060781</v>
      </c>
      <c r="AG4307">
        <v>33</v>
      </c>
      <c r="AH4307">
        <v>0</v>
      </c>
      <c r="AI4307">
        <v>0</v>
      </c>
      <c r="AJ4307">
        <v>0</v>
      </c>
      <c r="AK4307">
        <v>0</v>
      </c>
      <c r="AL4307">
        <v>12</v>
      </c>
      <c r="AM4307">
        <v>31</v>
      </c>
      <c r="AN4307">
        <v>0</v>
      </c>
      <c r="AO4307">
        <v>43</v>
      </c>
      <c r="AP4307">
        <v>37</v>
      </c>
      <c r="AQ4307">
        <v>4</v>
      </c>
      <c r="AR4307">
        <v>1</v>
      </c>
      <c r="AS4307">
        <v>5</v>
      </c>
      <c r="AT4307">
        <v>1</v>
      </c>
    </row>
    <row r="4308" spans="1:46">
      <c r="A4308">
        <v>80019</v>
      </c>
      <c r="B4308" t="s">
        <v>23307</v>
      </c>
      <c r="C4308" t="s">
        <v>23308</v>
      </c>
      <c r="D4308" t="s">
        <v>23309</v>
      </c>
      <c r="E4308" t="s">
        <v>23310</v>
      </c>
      <c r="G4308" t="s">
        <v>23311</v>
      </c>
      <c r="H4308" t="s">
        <v>517</v>
      </c>
      <c r="J4308" t="s">
        <v>518</v>
      </c>
      <c r="K4308" t="s">
        <v>519</v>
      </c>
      <c r="M4308" t="s">
        <v>2287</v>
      </c>
      <c r="N4308" t="s">
        <v>571</v>
      </c>
      <c r="O4308" t="s">
        <v>3527</v>
      </c>
      <c r="P4308" t="s">
        <v>540</v>
      </c>
      <c r="Q4308" t="s">
        <v>3497</v>
      </c>
      <c r="R4308" t="s">
        <v>3338</v>
      </c>
      <c r="S4308" t="s">
        <v>3498</v>
      </c>
      <c r="T4308" t="s">
        <v>2448</v>
      </c>
      <c r="U4308">
        <v>359100</v>
      </c>
      <c r="V4308" t="s">
        <v>21967</v>
      </c>
      <c r="W4308" t="s">
        <v>21968</v>
      </c>
      <c r="X4308" t="s">
        <v>3499</v>
      </c>
      <c r="Y4308" t="s">
        <v>3500</v>
      </c>
      <c r="Z4308" t="s">
        <v>3498</v>
      </c>
      <c r="AA4308" t="s">
        <v>3501</v>
      </c>
      <c r="AB4308" t="s">
        <v>3502</v>
      </c>
      <c r="AE4308">
        <v>-46.370431750000002</v>
      </c>
      <c r="AF4308">
        <v>168.52048679999999</v>
      </c>
      <c r="AG4308">
        <v>40</v>
      </c>
      <c r="AH4308">
        <v>0</v>
      </c>
      <c r="AI4308">
        <v>0</v>
      </c>
      <c r="AJ4308">
        <v>0</v>
      </c>
      <c r="AK4308">
        <v>1</v>
      </c>
      <c r="AL4308">
        <v>10</v>
      </c>
      <c r="AM4308">
        <v>25</v>
      </c>
      <c r="AN4308">
        <v>3</v>
      </c>
      <c r="AO4308">
        <v>39</v>
      </c>
      <c r="AP4308">
        <v>31</v>
      </c>
      <c r="AQ4308">
        <v>2</v>
      </c>
      <c r="AR4308">
        <v>0</v>
      </c>
      <c r="AS4308">
        <v>7</v>
      </c>
      <c r="AT4308">
        <v>1</v>
      </c>
    </row>
    <row r="4309" spans="1:46">
      <c r="A4309">
        <v>80020</v>
      </c>
      <c r="B4309" t="s">
        <v>23312</v>
      </c>
      <c r="C4309" t="s">
        <v>23313</v>
      </c>
      <c r="D4309" t="s">
        <v>23314</v>
      </c>
      <c r="E4309" t="s">
        <v>23315</v>
      </c>
      <c r="G4309" t="s">
        <v>3470</v>
      </c>
      <c r="H4309" t="s">
        <v>3942</v>
      </c>
      <c r="J4309" t="s">
        <v>518</v>
      </c>
      <c r="K4309" t="s">
        <v>519</v>
      </c>
      <c r="M4309" t="s">
        <v>2287</v>
      </c>
      <c r="N4309" t="s">
        <v>571</v>
      </c>
      <c r="O4309" t="s">
        <v>3383</v>
      </c>
      <c r="P4309" t="s">
        <v>1262</v>
      </c>
      <c r="Q4309" t="s">
        <v>3337</v>
      </c>
      <c r="R4309" t="s">
        <v>3338</v>
      </c>
      <c r="S4309" t="s">
        <v>3384</v>
      </c>
      <c r="T4309" t="s">
        <v>2448</v>
      </c>
      <c r="U4309">
        <v>349700</v>
      </c>
      <c r="V4309" t="s">
        <v>23316</v>
      </c>
      <c r="W4309" t="s">
        <v>1652</v>
      </c>
      <c r="X4309" t="s">
        <v>11085</v>
      </c>
      <c r="Y4309" t="s">
        <v>3944</v>
      </c>
      <c r="Z4309" t="s">
        <v>3945</v>
      </c>
      <c r="AA4309" t="s">
        <v>3946</v>
      </c>
      <c r="AE4309">
        <v>-45.875739719999999</v>
      </c>
      <c r="AF4309">
        <v>170.34069916000001</v>
      </c>
      <c r="AG4309">
        <v>55</v>
      </c>
      <c r="AH4309">
        <v>15</v>
      </c>
      <c r="AI4309">
        <v>2</v>
      </c>
      <c r="AJ4309">
        <v>12</v>
      </c>
      <c r="AK4309">
        <v>20</v>
      </c>
      <c r="AL4309">
        <v>16</v>
      </c>
      <c r="AM4309">
        <v>18</v>
      </c>
      <c r="AN4309">
        <v>1</v>
      </c>
      <c r="AO4309">
        <v>69</v>
      </c>
      <c r="AP4309">
        <v>58</v>
      </c>
      <c r="AQ4309">
        <v>19</v>
      </c>
      <c r="AR4309">
        <v>6</v>
      </c>
      <c r="AS4309">
        <v>5</v>
      </c>
      <c r="AT4309">
        <v>4</v>
      </c>
    </row>
    <row r="4310" spans="1:46">
      <c r="A4310">
        <v>80021</v>
      </c>
      <c r="B4310" t="s">
        <v>23317</v>
      </c>
      <c r="C4310" t="s">
        <v>23318</v>
      </c>
      <c r="D4310" t="s">
        <v>23319</v>
      </c>
      <c r="E4310" t="s">
        <v>23320</v>
      </c>
      <c r="F4310" t="s">
        <v>3426</v>
      </c>
      <c r="G4310" t="s">
        <v>3382</v>
      </c>
      <c r="H4310" t="s">
        <v>3942</v>
      </c>
      <c r="I4310" t="s">
        <v>4065</v>
      </c>
      <c r="J4310" t="s">
        <v>518</v>
      </c>
      <c r="K4310" t="s">
        <v>519</v>
      </c>
      <c r="M4310" t="s">
        <v>2287</v>
      </c>
      <c r="N4310" t="s">
        <v>571</v>
      </c>
      <c r="O4310" t="s">
        <v>3383</v>
      </c>
      <c r="P4310" t="s">
        <v>654</v>
      </c>
      <c r="Q4310" t="s">
        <v>3337</v>
      </c>
      <c r="R4310" t="s">
        <v>3338</v>
      </c>
      <c r="S4310" t="s">
        <v>3382</v>
      </c>
      <c r="T4310" t="s">
        <v>2448</v>
      </c>
      <c r="U4310">
        <v>352000</v>
      </c>
      <c r="V4310" t="s">
        <v>23321</v>
      </c>
      <c r="W4310" t="s">
        <v>1652</v>
      </c>
      <c r="X4310" t="s">
        <v>11085</v>
      </c>
      <c r="Y4310" t="s">
        <v>3944</v>
      </c>
      <c r="Z4310" t="s">
        <v>3945</v>
      </c>
      <c r="AA4310" t="s">
        <v>3946</v>
      </c>
      <c r="AE4310">
        <v>-45.852247409999997</v>
      </c>
      <c r="AF4310">
        <v>170.52361794999999</v>
      </c>
      <c r="AG4310">
        <v>70</v>
      </c>
      <c r="AH4310">
        <v>16</v>
      </c>
      <c r="AI4310">
        <v>4</v>
      </c>
      <c r="AJ4310">
        <v>15</v>
      </c>
      <c r="AK4310">
        <v>13</v>
      </c>
      <c r="AL4310">
        <v>23</v>
      </c>
      <c r="AM4310">
        <v>20</v>
      </c>
      <c r="AN4310">
        <v>1</v>
      </c>
      <c r="AO4310">
        <v>76</v>
      </c>
      <c r="AP4310">
        <v>48</v>
      </c>
      <c r="AQ4310">
        <v>10</v>
      </c>
      <c r="AR4310">
        <v>4</v>
      </c>
      <c r="AS4310">
        <v>27</v>
      </c>
      <c r="AT4310">
        <v>4</v>
      </c>
    </row>
    <row r="4311" spans="1:46">
      <c r="A4311">
        <v>80024</v>
      </c>
      <c r="B4311" t="s">
        <v>23322</v>
      </c>
      <c r="C4311" t="s">
        <v>23323</v>
      </c>
      <c r="D4311" t="s">
        <v>23324</v>
      </c>
      <c r="E4311" t="s">
        <v>23325</v>
      </c>
      <c r="G4311" t="s">
        <v>23326</v>
      </c>
      <c r="H4311" t="s">
        <v>3942</v>
      </c>
      <c r="J4311" t="s">
        <v>3962</v>
      </c>
      <c r="K4311" t="s">
        <v>519</v>
      </c>
      <c r="M4311" t="s">
        <v>2287</v>
      </c>
      <c r="N4311" t="s">
        <v>571</v>
      </c>
      <c r="O4311" t="s">
        <v>3527</v>
      </c>
      <c r="P4311" t="s">
        <v>572</v>
      </c>
      <c r="Q4311" t="s">
        <v>3497</v>
      </c>
      <c r="R4311" t="s">
        <v>3338</v>
      </c>
      <c r="S4311" t="s">
        <v>3498</v>
      </c>
      <c r="T4311" t="s">
        <v>2448</v>
      </c>
      <c r="U4311">
        <v>358700</v>
      </c>
      <c r="V4311" t="s">
        <v>23326</v>
      </c>
      <c r="W4311" t="s">
        <v>3591</v>
      </c>
      <c r="X4311" t="s">
        <v>22089</v>
      </c>
      <c r="Y4311" t="s">
        <v>22088</v>
      </c>
      <c r="AA4311" t="s">
        <v>22091</v>
      </c>
      <c r="AB4311" t="s">
        <v>22092</v>
      </c>
      <c r="AE4311">
        <v>-46.294264390000002</v>
      </c>
      <c r="AF4311">
        <v>168.24521179000001</v>
      </c>
      <c r="AG4311">
        <v>19</v>
      </c>
      <c r="AH4311">
        <v>0</v>
      </c>
      <c r="AI4311">
        <v>0</v>
      </c>
      <c r="AJ4311">
        <v>0</v>
      </c>
      <c r="AK4311">
        <v>6</v>
      </c>
      <c r="AL4311">
        <v>11</v>
      </c>
      <c r="AM4311">
        <v>6</v>
      </c>
      <c r="AN4311">
        <v>1</v>
      </c>
      <c r="AO4311">
        <v>24</v>
      </c>
      <c r="AP4311">
        <v>22</v>
      </c>
      <c r="AQ4311">
        <v>3</v>
      </c>
      <c r="AR4311">
        <v>0</v>
      </c>
      <c r="AS4311">
        <v>2</v>
      </c>
      <c r="AT4311">
        <v>0</v>
      </c>
    </row>
    <row r="4312" spans="1:46">
      <c r="A4312">
        <v>80026</v>
      </c>
      <c r="B4312" t="s">
        <v>23327</v>
      </c>
      <c r="C4312" t="s">
        <v>23328</v>
      </c>
      <c r="D4312" t="s">
        <v>23329</v>
      </c>
      <c r="E4312" t="s">
        <v>23330</v>
      </c>
      <c r="F4312" t="s">
        <v>14304</v>
      </c>
      <c r="G4312" t="s">
        <v>3382</v>
      </c>
      <c r="H4312" t="s">
        <v>3942</v>
      </c>
      <c r="J4312" t="s">
        <v>3962</v>
      </c>
      <c r="K4312" t="s">
        <v>519</v>
      </c>
      <c r="M4312" t="s">
        <v>2287</v>
      </c>
      <c r="N4312" t="s">
        <v>571</v>
      </c>
      <c r="O4312" t="s">
        <v>3383</v>
      </c>
      <c r="P4312" t="s">
        <v>654</v>
      </c>
      <c r="Q4312" t="s">
        <v>3337</v>
      </c>
      <c r="R4312" t="s">
        <v>3338</v>
      </c>
      <c r="S4312" t="s">
        <v>3382</v>
      </c>
      <c r="T4312" t="s">
        <v>2448</v>
      </c>
      <c r="U4312">
        <v>352900</v>
      </c>
      <c r="V4312" t="s">
        <v>23331</v>
      </c>
      <c r="W4312" t="s">
        <v>1652</v>
      </c>
      <c r="X4312" t="s">
        <v>23332</v>
      </c>
      <c r="Y4312" t="s">
        <v>23333</v>
      </c>
      <c r="AA4312" t="s">
        <v>15793</v>
      </c>
      <c r="AE4312">
        <v>-45.874284809999999</v>
      </c>
      <c r="AF4312">
        <v>170.49385090999999</v>
      </c>
      <c r="AG4312">
        <v>60</v>
      </c>
      <c r="AH4312">
        <v>29</v>
      </c>
      <c r="AI4312">
        <v>5</v>
      </c>
      <c r="AJ4312">
        <v>12</v>
      </c>
      <c r="AK4312">
        <v>15</v>
      </c>
      <c r="AL4312">
        <v>9</v>
      </c>
      <c r="AM4312">
        <v>6</v>
      </c>
      <c r="AN4312">
        <v>0</v>
      </c>
      <c r="AO4312">
        <v>47</v>
      </c>
      <c r="AP4312">
        <v>41</v>
      </c>
      <c r="AQ4312">
        <v>3</v>
      </c>
      <c r="AR4312">
        <v>2</v>
      </c>
      <c r="AS4312">
        <v>10</v>
      </c>
      <c r="AT4312">
        <v>4</v>
      </c>
    </row>
    <row r="4313" spans="1:46">
      <c r="A4313">
        <v>80034</v>
      </c>
      <c r="B4313" t="s">
        <v>23334</v>
      </c>
      <c r="C4313" t="s">
        <v>23335</v>
      </c>
      <c r="D4313" t="s">
        <v>23336</v>
      </c>
      <c r="E4313" t="s">
        <v>23337</v>
      </c>
      <c r="G4313" t="s">
        <v>23338</v>
      </c>
      <c r="H4313" t="s">
        <v>3942</v>
      </c>
      <c r="J4313" t="s">
        <v>518</v>
      </c>
      <c r="K4313" t="s">
        <v>519</v>
      </c>
      <c r="M4313" t="s">
        <v>2287</v>
      </c>
      <c r="N4313" t="s">
        <v>571</v>
      </c>
      <c r="O4313" t="s">
        <v>3360</v>
      </c>
      <c r="P4313" t="s">
        <v>540</v>
      </c>
      <c r="Q4313" t="s">
        <v>3337</v>
      </c>
      <c r="R4313" t="s">
        <v>3338</v>
      </c>
      <c r="S4313" t="s">
        <v>3361</v>
      </c>
      <c r="T4313" t="s">
        <v>2448</v>
      </c>
      <c r="U4313">
        <v>345800</v>
      </c>
      <c r="V4313" t="s">
        <v>23339</v>
      </c>
      <c r="W4313" t="s">
        <v>23340</v>
      </c>
      <c r="X4313" t="s">
        <v>23341</v>
      </c>
      <c r="Y4313" t="s">
        <v>23337</v>
      </c>
      <c r="AA4313" t="s">
        <v>23342</v>
      </c>
      <c r="AB4313" t="s">
        <v>23343</v>
      </c>
      <c r="AC4313">
        <v>99049</v>
      </c>
      <c r="AD4313" t="s">
        <v>3364</v>
      </c>
      <c r="AE4313">
        <v>-45.540529759999998</v>
      </c>
      <c r="AF4313">
        <v>169.31600219000001</v>
      </c>
      <c r="AG4313">
        <v>30</v>
      </c>
      <c r="AH4313">
        <v>6</v>
      </c>
      <c r="AI4313">
        <v>1</v>
      </c>
      <c r="AJ4313">
        <v>5</v>
      </c>
      <c r="AK4313">
        <v>5</v>
      </c>
      <c r="AL4313">
        <v>13</v>
      </c>
      <c r="AM4313">
        <v>8</v>
      </c>
      <c r="AN4313">
        <v>0</v>
      </c>
      <c r="AO4313">
        <v>32</v>
      </c>
      <c r="AP4313">
        <v>24</v>
      </c>
      <c r="AQ4313">
        <v>9</v>
      </c>
      <c r="AR4313">
        <v>0</v>
      </c>
      <c r="AS4313">
        <v>1</v>
      </c>
      <c r="AT4313">
        <v>4</v>
      </c>
    </row>
    <row r="4314" spans="1:46">
      <c r="A4314">
        <v>80037</v>
      </c>
      <c r="B4314" t="s">
        <v>23344</v>
      </c>
      <c r="C4314" t="s">
        <v>23345</v>
      </c>
      <c r="D4314" t="s">
        <v>23346</v>
      </c>
      <c r="E4314" t="s">
        <v>23347</v>
      </c>
      <c r="G4314" t="s">
        <v>3369</v>
      </c>
      <c r="H4314" t="s">
        <v>3942</v>
      </c>
      <c r="J4314" t="s">
        <v>518</v>
      </c>
      <c r="K4314" t="s">
        <v>519</v>
      </c>
      <c r="M4314" t="s">
        <v>2287</v>
      </c>
      <c r="N4314" t="s">
        <v>571</v>
      </c>
      <c r="O4314" t="s">
        <v>3360</v>
      </c>
      <c r="P4314" t="s">
        <v>523</v>
      </c>
      <c r="Q4314" t="s">
        <v>3337</v>
      </c>
      <c r="R4314" t="s">
        <v>3338</v>
      </c>
      <c r="S4314" t="s">
        <v>3250</v>
      </c>
      <c r="T4314" t="s">
        <v>2448</v>
      </c>
      <c r="U4314">
        <v>345000</v>
      </c>
      <c r="V4314" t="s">
        <v>18778</v>
      </c>
      <c r="W4314" t="s">
        <v>3371</v>
      </c>
      <c r="X4314" t="s">
        <v>23348</v>
      </c>
      <c r="Y4314" t="s">
        <v>23347</v>
      </c>
      <c r="AA4314" t="s">
        <v>15104</v>
      </c>
      <c r="AB4314" t="s">
        <v>23349</v>
      </c>
      <c r="AC4314">
        <v>99046</v>
      </c>
      <c r="AD4314" t="s">
        <v>3372</v>
      </c>
      <c r="AE4314">
        <v>-45.047115750000003</v>
      </c>
      <c r="AF4314">
        <v>169.20361749</v>
      </c>
      <c r="AG4314">
        <v>41</v>
      </c>
      <c r="AH4314">
        <v>0</v>
      </c>
      <c r="AI4314">
        <v>0</v>
      </c>
      <c r="AJ4314">
        <v>0</v>
      </c>
      <c r="AK4314">
        <v>12</v>
      </c>
      <c r="AL4314">
        <v>14</v>
      </c>
      <c r="AM4314">
        <v>24</v>
      </c>
      <c r="AN4314">
        <v>0</v>
      </c>
      <c r="AO4314">
        <v>50</v>
      </c>
      <c r="AP4314">
        <v>46</v>
      </c>
      <c r="AQ4314">
        <v>7</v>
      </c>
      <c r="AR4314">
        <v>3</v>
      </c>
      <c r="AS4314">
        <v>2</v>
      </c>
      <c r="AT4314">
        <v>3</v>
      </c>
    </row>
    <row r="4315" spans="1:46">
      <c r="A4315">
        <v>80044</v>
      </c>
      <c r="B4315" t="s">
        <v>23350</v>
      </c>
      <c r="C4315" t="s">
        <v>23351</v>
      </c>
      <c r="D4315" t="s">
        <v>23352</v>
      </c>
      <c r="E4315" t="s">
        <v>23353</v>
      </c>
      <c r="G4315" t="s">
        <v>3480</v>
      </c>
      <c r="H4315" t="s">
        <v>3942</v>
      </c>
      <c r="J4315" t="s">
        <v>518</v>
      </c>
      <c r="K4315" t="s">
        <v>519</v>
      </c>
      <c r="M4315" t="s">
        <v>2287</v>
      </c>
      <c r="N4315" t="s">
        <v>571</v>
      </c>
      <c r="O4315" t="s">
        <v>3481</v>
      </c>
      <c r="P4315" t="s">
        <v>523</v>
      </c>
      <c r="Q4315" t="s">
        <v>3337</v>
      </c>
      <c r="R4315" t="s">
        <v>3338</v>
      </c>
      <c r="S4315" t="s">
        <v>3384</v>
      </c>
      <c r="T4315" t="s">
        <v>2448</v>
      </c>
      <c r="U4315">
        <v>356500</v>
      </c>
      <c r="V4315" t="s">
        <v>3482</v>
      </c>
      <c r="W4315" t="s">
        <v>3483</v>
      </c>
      <c r="X4315" t="s">
        <v>12764</v>
      </c>
      <c r="Y4315" t="s">
        <v>3944</v>
      </c>
      <c r="Z4315" t="s">
        <v>3945</v>
      </c>
      <c r="AA4315" t="s">
        <v>3946</v>
      </c>
      <c r="AB4315" t="s">
        <v>12765</v>
      </c>
      <c r="AC4315">
        <v>99080</v>
      </c>
      <c r="AD4315" t="s">
        <v>3486</v>
      </c>
      <c r="AE4315">
        <v>-46.240407019999999</v>
      </c>
      <c r="AF4315">
        <v>169.73080138</v>
      </c>
      <c r="AG4315">
        <v>50</v>
      </c>
      <c r="AH4315">
        <v>10</v>
      </c>
      <c r="AI4315">
        <v>3</v>
      </c>
      <c r="AJ4315">
        <v>6</v>
      </c>
      <c r="AK4315">
        <v>10</v>
      </c>
      <c r="AL4315">
        <v>10</v>
      </c>
      <c r="AM4315">
        <v>11</v>
      </c>
      <c r="AN4315">
        <v>0</v>
      </c>
      <c r="AO4315">
        <v>40</v>
      </c>
      <c r="AP4315">
        <v>23</v>
      </c>
      <c r="AQ4315">
        <v>14</v>
      </c>
      <c r="AR4315">
        <v>2</v>
      </c>
      <c r="AS4315">
        <v>3</v>
      </c>
      <c r="AT4315">
        <v>6</v>
      </c>
    </row>
    <row r="4316" spans="1:46">
      <c r="A4316">
        <v>80047</v>
      </c>
      <c r="B4316" t="s">
        <v>23354</v>
      </c>
      <c r="C4316" t="s">
        <v>23355</v>
      </c>
      <c r="D4316" t="s">
        <v>23356</v>
      </c>
      <c r="E4316" t="s">
        <v>23357</v>
      </c>
      <c r="G4316" t="s">
        <v>3498</v>
      </c>
      <c r="H4316" t="s">
        <v>4716</v>
      </c>
      <c r="J4316" t="s">
        <v>3962</v>
      </c>
      <c r="K4316" t="s">
        <v>519</v>
      </c>
      <c r="M4316" t="s">
        <v>2287</v>
      </c>
      <c r="N4316" t="s">
        <v>571</v>
      </c>
      <c r="O4316" t="s">
        <v>3496</v>
      </c>
      <c r="P4316" t="s">
        <v>584</v>
      </c>
      <c r="Q4316" t="s">
        <v>3497</v>
      </c>
      <c r="R4316" t="s">
        <v>3338</v>
      </c>
      <c r="S4316" t="s">
        <v>3498</v>
      </c>
      <c r="T4316" t="s">
        <v>2448</v>
      </c>
      <c r="U4316">
        <v>363001</v>
      </c>
      <c r="V4316" t="s">
        <v>21866</v>
      </c>
      <c r="W4316" t="s">
        <v>1652</v>
      </c>
      <c r="X4316" t="s">
        <v>23358</v>
      </c>
      <c r="Y4316" t="s">
        <v>23357</v>
      </c>
      <c r="Z4316" t="s">
        <v>23359</v>
      </c>
      <c r="AA4316" t="s">
        <v>15612</v>
      </c>
      <c r="AB4316" t="s">
        <v>23360</v>
      </c>
      <c r="AE4316">
        <v>-46.434294289999997</v>
      </c>
      <c r="AF4316">
        <v>168.35118265</v>
      </c>
      <c r="AG4316">
        <v>80</v>
      </c>
      <c r="AH4316">
        <v>80</v>
      </c>
      <c r="AI4316">
        <v>1</v>
      </c>
      <c r="AJ4316">
        <v>16</v>
      </c>
      <c r="AK4316">
        <v>15</v>
      </c>
      <c r="AL4316">
        <v>17</v>
      </c>
      <c r="AM4316">
        <v>14</v>
      </c>
      <c r="AN4316">
        <v>2</v>
      </c>
      <c r="AO4316">
        <v>65</v>
      </c>
      <c r="AP4316">
        <v>54</v>
      </c>
      <c r="AQ4316">
        <v>14</v>
      </c>
      <c r="AR4316">
        <v>1</v>
      </c>
      <c r="AS4316">
        <v>8</v>
      </c>
      <c r="AT4316">
        <v>1</v>
      </c>
    </row>
    <row r="4317" spans="1:46">
      <c r="A4317">
        <v>80049</v>
      </c>
      <c r="B4317" t="s">
        <v>23361</v>
      </c>
      <c r="C4317" t="s">
        <v>23362</v>
      </c>
      <c r="D4317" t="s">
        <v>23363</v>
      </c>
      <c r="E4317" t="s">
        <v>23364</v>
      </c>
      <c r="F4317" t="s">
        <v>11283</v>
      </c>
      <c r="G4317" t="s">
        <v>3498</v>
      </c>
      <c r="H4317" t="s">
        <v>3942</v>
      </c>
      <c r="J4317" t="s">
        <v>518</v>
      </c>
      <c r="K4317" t="s">
        <v>519</v>
      </c>
      <c r="M4317" t="s">
        <v>2287</v>
      </c>
      <c r="N4317" t="s">
        <v>571</v>
      </c>
      <c r="O4317" t="s">
        <v>3496</v>
      </c>
      <c r="P4317" t="s">
        <v>584</v>
      </c>
      <c r="Q4317" t="s">
        <v>3497</v>
      </c>
      <c r="R4317" t="s">
        <v>3338</v>
      </c>
      <c r="S4317" t="s">
        <v>3498</v>
      </c>
      <c r="T4317" t="s">
        <v>2448</v>
      </c>
      <c r="U4317">
        <v>361300</v>
      </c>
      <c r="V4317" t="s">
        <v>13925</v>
      </c>
      <c r="W4317" t="s">
        <v>1652</v>
      </c>
      <c r="X4317" t="s">
        <v>12764</v>
      </c>
      <c r="Y4317" t="s">
        <v>3944</v>
      </c>
      <c r="Z4317" t="s">
        <v>3945</v>
      </c>
      <c r="AA4317" t="s">
        <v>3946</v>
      </c>
      <c r="AB4317" t="s">
        <v>12765</v>
      </c>
      <c r="AE4317">
        <v>-46.403291500000002</v>
      </c>
      <c r="AF4317">
        <v>168.3507233</v>
      </c>
      <c r="AG4317">
        <v>42</v>
      </c>
      <c r="AH4317">
        <v>0</v>
      </c>
      <c r="AI4317">
        <v>0</v>
      </c>
      <c r="AJ4317">
        <v>0</v>
      </c>
      <c r="AK4317">
        <v>4</v>
      </c>
      <c r="AL4317">
        <v>12</v>
      </c>
      <c r="AM4317">
        <v>19</v>
      </c>
      <c r="AN4317">
        <v>0</v>
      </c>
      <c r="AO4317">
        <v>35</v>
      </c>
      <c r="AP4317">
        <v>17</v>
      </c>
      <c r="AQ4317">
        <v>6</v>
      </c>
      <c r="AR4317">
        <v>3</v>
      </c>
      <c r="AS4317">
        <v>15</v>
      </c>
      <c r="AT4317">
        <v>6</v>
      </c>
    </row>
    <row r="4318" spans="1:46">
      <c r="A4318">
        <v>80050</v>
      </c>
      <c r="B4318" t="s">
        <v>23365</v>
      </c>
      <c r="C4318" t="s">
        <v>23366</v>
      </c>
      <c r="D4318" t="s">
        <v>23367</v>
      </c>
      <c r="E4318" t="s">
        <v>23368</v>
      </c>
      <c r="G4318" t="s">
        <v>3359</v>
      </c>
      <c r="H4318" t="s">
        <v>3942</v>
      </c>
      <c r="J4318" t="s">
        <v>3962</v>
      </c>
      <c r="K4318" t="s">
        <v>519</v>
      </c>
      <c r="M4318" t="s">
        <v>2287</v>
      </c>
      <c r="N4318" t="s">
        <v>571</v>
      </c>
      <c r="O4318" t="s">
        <v>3360</v>
      </c>
      <c r="P4318" t="s">
        <v>523</v>
      </c>
      <c r="Q4318" t="s">
        <v>3337</v>
      </c>
      <c r="R4318" t="s">
        <v>3338</v>
      </c>
      <c r="S4318" t="s">
        <v>3361</v>
      </c>
      <c r="T4318" t="s">
        <v>2448</v>
      </c>
      <c r="U4318">
        <v>345500</v>
      </c>
      <c r="V4318" t="s">
        <v>3377</v>
      </c>
      <c r="W4318" t="s">
        <v>3363</v>
      </c>
      <c r="X4318" t="s">
        <v>23369</v>
      </c>
      <c r="Y4318" t="s">
        <v>23368</v>
      </c>
      <c r="AA4318" t="s">
        <v>23370</v>
      </c>
      <c r="AC4318">
        <v>99049</v>
      </c>
      <c r="AD4318" t="s">
        <v>3364</v>
      </c>
      <c r="AE4318">
        <v>-45.24505276</v>
      </c>
      <c r="AF4318">
        <v>169.39680078000001</v>
      </c>
      <c r="AG4318">
        <v>40</v>
      </c>
      <c r="AH4318">
        <v>10</v>
      </c>
      <c r="AI4318">
        <v>2</v>
      </c>
      <c r="AJ4318">
        <v>9</v>
      </c>
      <c r="AK4318">
        <v>16</v>
      </c>
      <c r="AL4318">
        <v>13</v>
      </c>
      <c r="AM4318">
        <v>15</v>
      </c>
      <c r="AN4318">
        <v>0</v>
      </c>
      <c r="AO4318">
        <v>55</v>
      </c>
      <c r="AP4318">
        <v>45</v>
      </c>
      <c r="AQ4318">
        <v>12</v>
      </c>
      <c r="AR4318">
        <v>2</v>
      </c>
      <c r="AS4318">
        <v>2</v>
      </c>
      <c r="AT4318">
        <v>6</v>
      </c>
    </row>
    <row r="4319" spans="1:46">
      <c r="A4319">
        <v>80051</v>
      </c>
      <c r="B4319" t="s">
        <v>23371</v>
      </c>
      <c r="C4319" t="s">
        <v>23372</v>
      </c>
      <c r="D4319" t="s">
        <v>23373</v>
      </c>
      <c r="E4319" t="s">
        <v>23374</v>
      </c>
      <c r="G4319" t="s">
        <v>3369</v>
      </c>
      <c r="H4319" t="s">
        <v>3942</v>
      </c>
      <c r="J4319" t="s">
        <v>518</v>
      </c>
      <c r="K4319" t="s">
        <v>519</v>
      </c>
      <c r="M4319" t="s">
        <v>2287</v>
      </c>
      <c r="N4319" t="s">
        <v>571</v>
      </c>
      <c r="O4319" t="s">
        <v>3360</v>
      </c>
      <c r="P4319" t="s">
        <v>523</v>
      </c>
      <c r="Q4319" t="s">
        <v>3337</v>
      </c>
      <c r="R4319" t="s">
        <v>3338</v>
      </c>
      <c r="S4319" t="s">
        <v>3250</v>
      </c>
      <c r="T4319" t="s">
        <v>2448</v>
      </c>
      <c r="U4319">
        <v>344900</v>
      </c>
      <c r="V4319" t="s">
        <v>3370</v>
      </c>
      <c r="W4319" t="s">
        <v>3371</v>
      </c>
      <c r="X4319" t="s">
        <v>23375</v>
      </c>
      <c r="Y4319" t="s">
        <v>6369</v>
      </c>
      <c r="Z4319" t="s">
        <v>4555</v>
      </c>
      <c r="AA4319" t="s">
        <v>4556</v>
      </c>
      <c r="AC4319">
        <v>99046</v>
      </c>
      <c r="AD4319" t="s">
        <v>3372</v>
      </c>
      <c r="AE4319">
        <v>-45.042991100000002</v>
      </c>
      <c r="AF4319">
        <v>169.1869504</v>
      </c>
      <c r="AG4319">
        <v>44</v>
      </c>
      <c r="AH4319">
        <v>12</v>
      </c>
      <c r="AI4319">
        <v>5</v>
      </c>
      <c r="AJ4319">
        <v>9</v>
      </c>
      <c r="AK4319">
        <v>12</v>
      </c>
      <c r="AL4319">
        <v>14</v>
      </c>
      <c r="AM4319">
        <v>14</v>
      </c>
      <c r="AN4319">
        <v>0</v>
      </c>
      <c r="AO4319">
        <v>54</v>
      </c>
      <c r="AP4319">
        <v>49</v>
      </c>
      <c r="AQ4319">
        <v>10</v>
      </c>
      <c r="AR4319">
        <v>2</v>
      </c>
      <c r="AS4319">
        <v>3</v>
      </c>
      <c r="AT4319">
        <v>3</v>
      </c>
    </row>
    <row r="4320" spans="1:46">
      <c r="A4320">
        <v>80052</v>
      </c>
      <c r="B4320" t="s">
        <v>23376</v>
      </c>
      <c r="C4320" t="s">
        <v>23377</v>
      </c>
      <c r="E4320" t="s">
        <v>23378</v>
      </c>
      <c r="G4320" t="s">
        <v>3926</v>
      </c>
      <c r="H4320" t="s">
        <v>3942</v>
      </c>
      <c r="J4320" t="s">
        <v>518</v>
      </c>
      <c r="K4320" t="s">
        <v>519</v>
      </c>
      <c r="M4320" t="s">
        <v>2287</v>
      </c>
      <c r="N4320" t="s">
        <v>4519</v>
      </c>
      <c r="O4320" t="s">
        <v>3835</v>
      </c>
      <c r="P4320" t="s">
        <v>1262</v>
      </c>
      <c r="Q4320" t="s">
        <v>3337</v>
      </c>
      <c r="R4320" t="s">
        <v>3338</v>
      </c>
      <c r="S4320" t="s">
        <v>3361</v>
      </c>
      <c r="T4320" t="s">
        <v>2448</v>
      </c>
      <c r="U4320">
        <v>348000</v>
      </c>
      <c r="V4320" t="s">
        <v>23379</v>
      </c>
      <c r="W4320" t="s">
        <v>3837</v>
      </c>
      <c r="X4320" t="s">
        <v>23380</v>
      </c>
      <c r="Y4320" t="s">
        <v>23381</v>
      </c>
      <c r="AA4320" t="s">
        <v>23382</v>
      </c>
      <c r="AB4320" t="s">
        <v>23383</v>
      </c>
      <c r="AE4320">
        <v>-45.01301196</v>
      </c>
      <c r="AF4320">
        <v>168.73563113</v>
      </c>
      <c r="AG4320">
        <v>73</v>
      </c>
      <c r="AH4320">
        <v>15</v>
      </c>
      <c r="AI4320">
        <v>7</v>
      </c>
      <c r="AJ4320">
        <v>10</v>
      </c>
      <c r="AK4320">
        <v>19</v>
      </c>
      <c r="AL4320">
        <v>21</v>
      </c>
      <c r="AM4320">
        <v>16</v>
      </c>
      <c r="AN4320">
        <v>1</v>
      </c>
      <c r="AO4320">
        <v>74</v>
      </c>
      <c r="AP4320">
        <v>46</v>
      </c>
      <c r="AQ4320">
        <v>6</v>
      </c>
      <c r="AR4320">
        <v>3</v>
      </c>
      <c r="AS4320">
        <v>18</v>
      </c>
      <c r="AT4320">
        <v>20</v>
      </c>
    </row>
    <row r="4321" spans="1:46">
      <c r="A4321">
        <v>80053</v>
      </c>
      <c r="B4321" t="s">
        <v>23384</v>
      </c>
      <c r="C4321" t="s">
        <v>8857</v>
      </c>
      <c r="D4321" t="s">
        <v>23385</v>
      </c>
      <c r="E4321" t="s">
        <v>23386</v>
      </c>
      <c r="F4321" t="s">
        <v>14304</v>
      </c>
      <c r="G4321" t="s">
        <v>3382</v>
      </c>
      <c r="H4321" t="s">
        <v>4716</v>
      </c>
      <c r="J4321" t="s">
        <v>3962</v>
      </c>
      <c r="K4321" t="s">
        <v>519</v>
      </c>
      <c r="M4321" t="s">
        <v>2287</v>
      </c>
      <c r="N4321" t="s">
        <v>571</v>
      </c>
      <c r="O4321" t="s">
        <v>3383</v>
      </c>
      <c r="P4321" t="s">
        <v>654</v>
      </c>
      <c r="Q4321" t="s">
        <v>3337</v>
      </c>
      <c r="R4321" t="s">
        <v>3338</v>
      </c>
      <c r="S4321" t="s">
        <v>3382</v>
      </c>
      <c r="T4321" t="s">
        <v>2448</v>
      </c>
      <c r="U4321">
        <v>353400</v>
      </c>
      <c r="V4321" t="s">
        <v>14304</v>
      </c>
      <c r="W4321" t="s">
        <v>1652</v>
      </c>
      <c r="X4321" t="s">
        <v>23387</v>
      </c>
      <c r="Y4321" t="s">
        <v>8401</v>
      </c>
      <c r="AA4321" t="s">
        <v>8404</v>
      </c>
      <c r="AB4321" t="s">
        <v>23388</v>
      </c>
      <c r="AE4321">
        <v>-45.881583849999998</v>
      </c>
      <c r="AF4321">
        <v>170.50237770999999</v>
      </c>
      <c r="AG4321">
        <v>50</v>
      </c>
      <c r="AH4321">
        <v>50</v>
      </c>
      <c r="AI4321">
        <v>1</v>
      </c>
      <c r="AJ4321">
        <v>7</v>
      </c>
      <c r="AK4321">
        <v>16</v>
      </c>
      <c r="AL4321">
        <v>7</v>
      </c>
      <c r="AM4321">
        <v>3</v>
      </c>
      <c r="AN4321">
        <v>0</v>
      </c>
      <c r="AO4321">
        <v>34</v>
      </c>
      <c r="AP4321">
        <v>27</v>
      </c>
      <c r="AQ4321">
        <v>7</v>
      </c>
      <c r="AR4321">
        <v>0</v>
      </c>
      <c r="AS4321">
        <v>0</v>
      </c>
      <c r="AT4321">
        <v>4</v>
      </c>
    </row>
    <row r="4322" spans="1:46">
      <c r="A4322">
        <v>80056</v>
      </c>
      <c r="B4322" t="s">
        <v>23389</v>
      </c>
      <c r="C4322" t="s">
        <v>23328</v>
      </c>
      <c r="D4322" t="s">
        <v>23329</v>
      </c>
      <c r="E4322" t="s">
        <v>23330</v>
      </c>
      <c r="F4322" t="s">
        <v>14304</v>
      </c>
      <c r="G4322" t="s">
        <v>3382</v>
      </c>
      <c r="H4322" t="s">
        <v>3942</v>
      </c>
      <c r="J4322" t="s">
        <v>3962</v>
      </c>
      <c r="K4322" t="s">
        <v>519</v>
      </c>
      <c r="M4322" t="s">
        <v>2287</v>
      </c>
      <c r="N4322" t="s">
        <v>571</v>
      </c>
      <c r="O4322" t="s">
        <v>3383</v>
      </c>
      <c r="P4322" t="s">
        <v>654</v>
      </c>
      <c r="Q4322" t="s">
        <v>3337</v>
      </c>
      <c r="R4322" t="s">
        <v>3338</v>
      </c>
      <c r="S4322" t="s">
        <v>3382</v>
      </c>
      <c r="T4322" t="s">
        <v>2448</v>
      </c>
      <c r="U4322">
        <v>352900</v>
      </c>
      <c r="V4322" t="s">
        <v>23331</v>
      </c>
      <c r="W4322" t="s">
        <v>1652</v>
      </c>
      <c r="X4322" t="s">
        <v>23332</v>
      </c>
      <c r="Y4322" t="s">
        <v>23333</v>
      </c>
      <c r="AA4322" t="s">
        <v>15793</v>
      </c>
      <c r="AE4322">
        <v>-45.874318899999999</v>
      </c>
      <c r="AF4322">
        <v>170.49385011999999</v>
      </c>
      <c r="AG4322">
        <v>58</v>
      </c>
      <c r="AH4322">
        <v>0</v>
      </c>
      <c r="AI4322">
        <v>0</v>
      </c>
      <c r="AJ4322">
        <v>0</v>
      </c>
      <c r="AK4322">
        <v>5</v>
      </c>
      <c r="AL4322">
        <v>24</v>
      </c>
      <c r="AM4322">
        <v>14</v>
      </c>
      <c r="AN4322">
        <v>0</v>
      </c>
      <c r="AO4322">
        <v>43</v>
      </c>
      <c r="AP4322">
        <v>32</v>
      </c>
      <c r="AQ4322">
        <v>3</v>
      </c>
      <c r="AR4322">
        <v>2</v>
      </c>
      <c r="AS4322">
        <v>10</v>
      </c>
      <c r="AT4322">
        <v>5</v>
      </c>
    </row>
    <row r="4323" spans="1:46">
      <c r="A4323">
        <v>80057</v>
      </c>
      <c r="B4323" t="s">
        <v>23390</v>
      </c>
      <c r="C4323" t="s">
        <v>23391</v>
      </c>
      <c r="D4323" t="s">
        <v>23392</v>
      </c>
      <c r="E4323" t="s">
        <v>23393</v>
      </c>
      <c r="F4323" t="s">
        <v>3446</v>
      </c>
      <c r="G4323" t="s">
        <v>3382</v>
      </c>
      <c r="H4323" t="s">
        <v>3942</v>
      </c>
      <c r="J4323" t="s">
        <v>3962</v>
      </c>
      <c r="K4323" t="s">
        <v>519</v>
      </c>
      <c r="M4323" t="s">
        <v>2287</v>
      </c>
      <c r="N4323" t="s">
        <v>571</v>
      </c>
      <c r="O4323" t="s">
        <v>3383</v>
      </c>
      <c r="P4323" t="s">
        <v>654</v>
      </c>
      <c r="Q4323" t="s">
        <v>3337</v>
      </c>
      <c r="R4323" t="s">
        <v>3338</v>
      </c>
      <c r="S4323" t="s">
        <v>3384</v>
      </c>
      <c r="T4323" t="s">
        <v>2448</v>
      </c>
      <c r="U4323">
        <v>354600</v>
      </c>
      <c r="V4323" t="s">
        <v>3422</v>
      </c>
      <c r="W4323" t="s">
        <v>1652</v>
      </c>
      <c r="X4323" t="s">
        <v>23394</v>
      </c>
      <c r="Y4323" t="s">
        <v>23395</v>
      </c>
      <c r="Z4323" t="s">
        <v>3446</v>
      </c>
      <c r="AA4323" t="s">
        <v>23396</v>
      </c>
      <c r="AB4323" t="s">
        <v>23391</v>
      </c>
      <c r="AE4323">
        <v>-45.90223443</v>
      </c>
      <c r="AF4323">
        <v>170.48749330000001</v>
      </c>
      <c r="AG4323">
        <v>25</v>
      </c>
      <c r="AH4323">
        <v>25</v>
      </c>
      <c r="AI4323">
        <v>2</v>
      </c>
      <c r="AJ4323">
        <v>18</v>
      </c>
      <c r="AK4323">
        <v>2</v>
      </c>
      <c r="AL4323">
        <v>0</v>
      </c>
      <c r="AM4323">
        <v>0</v>
      </c>
      <c r="AN4323">
        <v>0</v>
      </c>
      <c r="AO4323">
        <v>22</v>
      </c>
      <c r="AP4323">
        <v>17</v>
      </c>
      <c r="AQ4323">
        <v>1</v>
      </c>
      <c r="AR4323">
        <v>1</v>
      </c>
      <c r="AS4323">
        <v>2</v>
      </c>
      <c r="AT4323">
        <v>3</v>
      </c>
    </row>
    <row r="4324" spans="1:46">
      <c r="A4324">
        <v>80058</v>
      </c>
      <c r="B4324" t="s">
        <v>23397</v>
      </c>
      <c r="C4324" t="s">
        <v>23398</v>
      </c>
      <c r="D4324" t="s">
        <v>23399</v>
      </c>
      <c r="E4324" t="s">
        <v>23400</v>
      </c>
      <c r="F4324" t="s">
        <v>3450</v>
      </c>
      <c r="G4324" t="s">
        <v>3382</v>
      </c>
      <c r="H4324" t="s">
        <v>3942</v>
      </c>
      <c r="J4324" t="s">
        <v>3962</v>
      </c>
      <c r="K4324" t="s">
        <v>519</v>
      </c>
      <c r="M4324" t="s">
        <v>2287</v>
      </c>
      <c r="N4324" t="s">
        <v>571</v>
      </c>
      <c r="O4324" t="s">
        <v>3383</v>
      </c>
      <c r="P4324" t="s">
        <v>654</v>
      </c>
      <c r="Q4324" t="s">
        <v>3337</v>
      </c>
      <c r="R4324" t="s">
        <v>3338</v>
      </c>
      <c r="S4324" t="s">
        <v>3384</v>
      </c>
      <c r="T4324" t="s">
        <v>2448</v>
      </c>
      <c r="U4324">
        <v>354200</v>
      </c>
      <c r="V4324" t="s">
        <v>3450</v>
      </c>
      <c r="W4324" t="s">
        <v>1652</v>
      </c>
      <c r="X4324" t="s">
        <v>23401</v>
      </c>
      <c r="Y4324" t="s">
        <v>23402</v>
      </c>
      <c r="Z4324" t="s">
        <v>3450</v>
      </c>
      <c r="AA4324" t="s">
        <v>3388</v>
      </c>
      <c r="AB4324" t="s">
        <v>23403</v>
      </c>
      <c r="AE4324">
        <v>-45.894703849999999</v>
      </c>
      <c r="AF4324">
        <v>170.48436651</v>
      </c>
      <c r="AG4324">
        <v>57</v>
      </c>
      <c r="AH4324">
        <v>20</v>
      </c>
      <c r="AI4324">
        <v>4</v>
      </c>
      <c r="AJ4324">
        <v>7</v>
      </c>
      <c r="AK4324">
        <v>4</v>
      </c>
      <c r="AL4324">
        <v>15</v>
      </c>
      <c r="AM4324">
        <v>9</v>
      </c>
      <c r="AN4324">
        <v>0</v>
      </c>
      <c r="AO4324">
        <v>39</v>
      </c>
      <c r="AP4324">
        <v>27</v>
      </c>
      <c r="AQ4324">
        <v>9</v>
      </c>
      <c r="AR4324">
        <v>7</v>
      </c>
      <c r="AS4324">
        <v>3</v>
      </c>
      <c r="AT4324">
        <v>4</v>
      </c>
    </row>
    <row r="4325" spans="1:46">
      <c r="A4325">
        <v>80060</v>
      </c>
      <c r="B4325" t="s">
        <v>23404</v>
      </c>
      <c r="C4325" t="s">
        <v>23405</v>
      </c>
      <c r="D4325" t="s">
        <v>23406</v>
      </c>
      <c r="E4325" t="s">
        <v>23407</v>
      </c>
      <c r="G4325" t="s">
        <v>23408</v>
      </c>
      <c r="H4325" t="s">
        <v>517</v>
      </c>
      <c r="J4325" t="s">
        <v>518</v>
      </c>
      <c r="K4325" t="s">
        <v>519</v>
      </c>
      <c r="M4325" t="s">
        <v>2287</v>
      </c>
      <c r="N4325" t="s">
        <v>571</v>
      </c>
      <c r="O4325" t="s">
        <v>3835</v>
      </c>
      <c r="P4325" t="s">
        <v>540</v>
      </c>
      <c r="Q4325" t="s">
        <v>3337</v>
      </c>
      <c r="R4325" t="s">
        <v>3338</v>
      </c>
      <c r="S4325" t="s">
        <v>3250</v>
      </c>
      <c r="T4325" t="s">
        <v>2448</v>
      </c>
      <c r="U4325">
        <v>347201</v>
      </c>
      <c r="V4325" t="s">
        <v>23409</v>
      </c>
      <c r="W4325" t="s">
        <v>11194</v>
      </c>
      <c r="X4325" t="s">
        <v>2948</v>
      </c>
      <c r="Y4325" t="s">
        <v>2949</v>
      </c>
      <c r="Z4325" t="s">
        <v>2950</v>
      </c>
      <c r="AA4325" t="s">
        <v>2951</v>
      </c>
      <c r="AB4325" t="s">
        <v>2952</v>
      </c>
      <c r="AE4325">
        <v>-44.653683489999999</v>
      </c>
      <c r="AF4325">
        <v>169.28893375000001</v>
      </c>
      <c r="AG4325">
        <v>40</v>
      </c>
      <c r="AH4325">
        <v>0</v>
      </c>
      <c r="AI4325">
        <v>0</v>
      </c>
      <c r="AJ4325">
        <v>0</v>
      </c>
      <c r="AK4325">
        <v>0</v>
      </c>
      <c r="AL4325">
        <v>13</v>
      </c>
      <c r="AM4325">
        <v>32</v>
      </c>
      <c r="AN4325">
        <v>4</v>
      </c>
      <c r="AO4325">
        <v>49</v>
      </c>
      <c r="AP4325">
        <v>45</v>
      </c>
      <c r="AQ4325">
        <v>3</v>
      </c>
      <c r="AR4325">
        <v>0</v>
      </c>
      <c r="AS4325">
        <v>1</v>
      </c>
      <c r="AT4325">
        <v>1</v>
      </c>
    </row>
    <row r="4326" spans="1:46">
      <c r="A4326">
        <v>80065</v>
      </c>
      <c r="B4326" t="s">
        <v>23410</v>
      </c>
      <c r="C4326" t="s">
        <v>23411</v>
      </c>
      <c r="D4326" t="s">
        <v>23412</v>
      </c>
      <c r="E4326" t="s">
        <v>23413</v>
      </c>
      <c r="G4326" t="s">
        <v>23414</v>
      </c>
      <c r="H4326" t="s">
        <v>3942</v>
      </c>
      <c r="J4326" t="s">
        <v>3962</v>
      </c>
      <c r="K4326" t="s">
        <v>519</v>
      </c>
      <c r="M4326" t="s">
        <v>2287</v>
      </c>
      <c r="N4326" t="s">
        <v>571</v>
      </c>
      <c r="O4326" t="s">
        <v>3336</v>
      </c>
      <c r="P4326" t="s">
        <v>540</v>
      </c>
      <c r="Q4326" t="s">
        <v>3337</v>
      </c>
      <c r="R4326" t="s">
        <v>3338</v>
      </c>
      <c r="S4326" t="s">
        <v>3250</v>
      </c>
      <c r="T4326" t="s">
        <v>2448</v>
      </c>
      <c r="U4326">
        <v>344700</v>
      </c>
      <c r="V4326" t="s">
        <v>23414</v>
      </c>
      <c r="W4326" t="s">
        <v>23415</v>
      </c>
      <c r="X4326" t="s">
        <v>23416</v>
      </c>
      <c r="Y4326" t="s">
        <v>23417</v>
      </c>
      <c r="AA4326" t="s">
        <v>8662</v>
      </c>
      <c r="AE4326">
        <v>-45.484904049999997</v>
      </c>
      <c r="AF4326">
        <v>170.7137702</v>
      </c>
      <c r="AG4326">
        <v>50</v>
      </c>
      <c r="AH4326">
        <v>11</v>
      </c>
      <c r="AI4326">
        <v>0</v>
      </c>
      <c r="AJ4326">
        <v>3</v>
      </c>
      <c r="AK4326">
        <v>5</v>
      </c>
      <c r="AL4326">
        <v>12</v>
      </c>
      <c r="AM4326">
        <v>9</v>
      </c>
      <c r="AN4326">
        <v>0</v>
      </c>
      <c r="AO4326">
        <v>29</v>
      </c>
      <c r="AP4326">
        <v>24</v>
      </c>
      <c r="AQ4326">
        <v>8</v>
      </c>
      <c r="AR4326">
        <v>1</v>
      </c>
      <c r="AS4326">
        <v>1</v>
      </c>
      <c r="AT4326">
        <v>2</v>
      </c>
    </row>
    <row r="4327" spans="1:46">
      <c r="A4327">
        <v>80066</v>
      </c>
      <c r="B4327" t="s">
        <v>23418</v>
      </c>
      <c r="C4327" t="s">
        <v>23419</v>
      </c>
      <c r="E4327" t="s">
        <v>23420</v>
      </c>
      <c r="G4327" t="s">
        <v>3335</v>
      </c>
      <c r="H4327" t="s">
        <v>298</v>
      </c>
      <c r="J4327" t="s">
        <v>518</v>
      </c>
      <c r="K4327" t="s">
        <v>519</v>
      </c>
      <c r="M4327" t="s">
        <v>2287</v>
      </c>
      <c r="N4327" t="s">
        <v>557</v>
      </c>
      <c r="O4327" t="s">
        <v>3336</v>
      </c>
      <c r="P4327" t="s">
        <v>1262</v>
      </c>
      <c r="Q4327" t="s">
        <v>3337</v>
      </c>
      <c r="R4327" t="s">
        <v>3338</v>
      </c>
      <c r="S4327" t="s">
        <v>3250</v>
      </c>
      <c r="T4327" t="s">
        <v>2448</v>
      </c>
      <c r="U4327">
        <v>344200</v>
      </c>
      <c r="V4327" t="s">
        <v>13498</v>
      </c>
      <c r="W4327" t="s">
        <v>3340</v>
      </c>
      <c r="X4327" t="s">
        <v>17688</v>
      </c>
      <c r="Y4327" t="s">
        <v>5187</v>
      </c>
      <c r="AA4327" t="s">
        <v>5188</v>
      </c>
      <c r="AB4327" t="s">
        <v>12755</v>
      </c>
      <c r="AE4327">
        <v>-45.089920190000001</v>
      </c>
      <c r="AF4327">
        <v>170.97821175999999</v>
      </c>
      <c r="AG4327">
        <v>25</v>
      </c>
      <c r="AH4327">
        <v>15</v>
      </c>
      <c r="AI4327">
        <v>5</v>
      </c>
      <c r="AJ4327">
        <v>2</v>
      </c>
      <c r="AK4327">
        <v>0</v>
      </c>
      <c r="AL4327">
        <v>0</v>
      </c>
      <c r="AM4327">
        <v>0</v>
      </c>
      <c r="AN4327">
        <v>0</v>
      </c>
      <c r="AO4327">
        <v>7</v>
      </c>
      <c r="AP4327">
        <v>6</v>
      </c>
      <c r="AQ4327">
        <v>0</v>
      </c>
      <c r="AR4327">
        <v>0</v>
      </c>
      <c r="AS4327">
        <v>1</v>
      </c>
      <c r="AT4327">
        <v>0</v>
      </c>
    </row>
    <row r="4328" spans="1:46">
      <c r="A4328">
        <v>80067</v>
      </c>
      <c r="B4328" t="s">
        <v>23421</v>
      </c>
      <c r="C4328" t="s">
        <v>23422</v>
      </c>
      <c r="D4328" t="s">
        <v>23423</v>
      </c>
      <c r="E4328" t="s">
        <v>23424</v>
      </c>
      <c r="G4328" t="s">
        <v>23425</v>
      </c>
      <c r="H4328" t="s">
        <v>3942</v>
      </c>
      <c r="J4328" t="s">
        <v>518</v>
      </c>
      <c r="K4328" t="s">
        <v>519</v>
      </c>
      <c r="M4328" t="s">
        <v>2287</v>
      </c>
      <c r="N4328" t="s">
        <v>571</v>
      </c>
      <c r="O4328" t="s">
        <v>3481</v>
      </c>
      <c r="P4328" t="s">
        <v>540</v>
      </c>
      <c r="Q4328" t="s">
        <v>3337</v>
      </c>
      <c r="R4328" t="s">
        <v>3338</v>
      </c>
      <c r="S4328" t="s">
        <v>3361</v>
      </c>
      <c r="T4328" t="s">
        <v>2448</v>
      </c>
      <c r="U4328">
        <v>355800</v>
      </c>
      <c r="V4328" t="s">
        <v>23426</v>
      </c>
      <c r="W4328" t="s">
        <v>23427</v>
      </c>
      <c r="X4328" t="s">
        <v>23428</v>
      </c>
      <c r="Y4328" t="s">
        <v>23424</v>
      </c>
      <c r="AA4328" t="s">
        <v>23429</v>
      </c>
      <c r="AB4328" t="s">
        <v>23422</v>
      </c>
      <c r="AC4328">
        <v>99144</v>
      </c>
      <c r="AD4328" t="s">
        <v>23430</v>
      </c>
      <c r="AE4328">
        <v>-45.942990539999997</v>
      </c>
      <c r="AF4328">
        <v>169.26016921999999</v>
      </c>
      <c r="AG4328">
        <v>30</v>
      </c>
      <c r="AH4328">
        <v>0</v>
      </c>
      <c r="AI4328">
        <v>0</v>
      </c>
      <c r="AJ4328">
        <v>0</v>
      </c>
      <c r="AK4328">
        <v>12</v>
      </c>
      <c r="AL4328">
        <v>16</v>
      </c>
      <c r="AM4328">
        <v>19</v>
      </c>
      <c r="AN4328">
        <v>0</v>
      </c>
      <c r="AO4328">
        <v>47</v>
      </c>
      <c r="AP4328">
        <v>40</v>
      </c>
      <c r="AQ4328">
        <v>9</v>
      </c>
      <c r="AR4328">
        <v>0</v>
      </c>
      <c r="AS4328">
        <v>4</v>
      </c>
      <c r="AT4328">
        <v>0</v>
      </c>
    </row>
    <row r="4329" spans="1:46">
      <c r="A4329">
        <v>80069</v>
      </c>
      <c r="B4329" t="s">
        <v>23431</v>
      </c>
      <c r="C4329" t="s">
        <v>23432</v>
      </c>
      <c r="D4329" t="s">
        <v>23433</v>
      </c>
      <c r="E4329" t="s">
        <v>23434</v>
      </c>
      <c r="G4329" t="s">
        <v>11192</v>
      </c>
      <c r="H4329" t="s">
        <v>8217</v>
      </c>
      <c r="J4329" t="s">
        <v>3962</v>
      </c>
      <c r="K4329" t="s">
        <v>519</v>
      </c>
      <c r="M4329" t="s">
        <v>2287</v>
      </c>
      <c r="N4329" t="s">
        <v>4519</v>
      </c>
      <c r="O4329" t="s">
        <v>3835</v>
      </c>
      <c r="P4329" t="s">
        <v>572</v>
      </c>
      <c r="Q4329" t="s">
        <v>3337</v>
      </c>
      <c r="R4329" t="s">
        <v>3338</v>
      </c>
      <c r="S4329" t="s">
        <v>3250</v>
      </c>
      <c r="T4329" t="s">
        <v>2448</v>
      </c>
      <c r="U4329">
        <v>346400</v>
      </c>
      <c r="V4329" t="s">
        <v>23435</v>
      </c>
      <c r="W4329" t="s">
        <v>11194</v>
      </c>
      <c r="X4329" t="s">
        <v>23436</v>
      </c>
      <c r="Y4329" t="s">
        <v>9489</v>
      </c>
      <c r="AA4329" t="s">
        <v>23437</v>
      </c>
      <c r="AB4329" t="s">
        <v>23438</v>
      </c>
      <c r="AE4329">
        <v>-44.867291799999997</v>
      </c>
      <c r="AF4329">
        <v>169.01605491999999</v>
      </c>
      <c r="AG4329">
        <v>0</v>
      </c>
      <c r="AH4329">
        <v>0</v>
      </c>
    </row>
    <row r="4330" spans="1:46">
      <c r="A4330">
        <v>80070</v>
      </c>
      <c r="B4330" t="s">
        <v>23439</v>
      </c>
      <c r="C4330" t="s">
        <v>13448</v>
      </c>
      <c r="D4330" t="s">
        <v>13449</v>
      </c>
      <c r="E4330" t="s">
        <v>23386</v>
      </c>
      <c r="F4330" t="s">
        <v>14304</v>
      </c>
      <c r="G4330" t="s">
        <v>3382</v>
      </c>
      <c r="H4330" t="s">
        <v>4716</v>
      </c>
      <c r="J4330" t="s">
        <v>3962</v>
      </c>
      <c r="K4330" t="s">
        <v>519</v>
      </c>
      <c r="M4330" t="s">
        <v>2287</v>
      </c>
      <c r="N4330" t="s">
        <v>571</v>
      </c>
      <c r="O4330" t="s">
        <v>3383</v>
      </c>
      <c r="P4330" t="s">
        <v>654</v>
      </c>
      <c r="Q4330" t="s">
        <v>3337</v>
      </c>
      <c r="R4330" t="s">
        <v>3338</v>
      </c>
      <c r="S4330" t="s">
        <v>3382</v>
      </c>
      <c r="T4330" t="s">
        <v>2448</v>
      </c>
      <c r="U4330">
        <v>353400</v>
      </c>
      <c r="V4330" t="s">
        <v>14304</v>
      </c>
      <c r="W4330" t="s">
        <v>1652</v>
      </c>
      <c r="X4330" t="s">
        <v>23387</v>
      </c>
      <c r="Y4330" t="s">
        <v>8401</v>
      </c>
      <c r="AA4330" t="s">
        <v>8404</v>
      </c>
      <c r="AB4330" t="s">
        <v>23388</v>
      </c>
      <c r="AE4330">
        <v>-45.881563370000002</v>
      </c>
      <c r="AF4330">
        <v>170.50238777000001</v>
      </c>
      <c r="AG4330">
        <v>50</v>
      </c>
      <c r="AH4330">
        <v>50</v>
      </c>
      <c r="AI4330">
        <v>4</v>
      </c>
      <c r="AJ4330">
        <v>2</v>
      </c>
      <c r="AK4330">
        <v>2</v>
      </c>
      <c r="AL4330">
        <v>4</v>
      </c>
      <c r="AM4330">
        <v>1</v>
      </c>
      <c r="AN4330">
        <v>0</v>
      </c>
      <c r="AO4330">
        <v>13</v>
      </c>
      <c r="AP4330">
        <v>11</v>
      </c>
      <c r="AQ4330">
        <v>3</v>
      </c>
      <c r="AR4330">
        <v>1</v>
      </c>
      <c r="AS4330">
        <v>2</v>
      </c>
      <c r="AT4330">
        <v>0</v>
      </c>
    </row>
    <row r="4331" spans="1:46">
      <c r="A4331">
        <v>80075</v>
      </c>
      <c r="B4331" t="s">
        <v>23440</v>
      </c>
      <c r="C4331" t="s">
        <v>23441</v>
      </c>
      <c r="D4331" t="s">
        <v>23442</v>
      </c>
      <c r="E4331" t="s">
        <v>23443</v>
      </c>
      <c r="G4331" t="s">
        <v>3369</v>
      </c>
      <c r="H4331" t="s">
        <v>3942</v>
      </c>
      <c r="J4331" t="s">
        <v>3962</v>
      </c>
      <c r="K4331" t="s">
        <v>519</v>
      </c>
      <c r="M4331" t="s">
        <v>2287</v>
      </c>
      <c r="N4331" t="s">
        <v>571</v>
      </c>
      <c r="O4331" t="s">
        <v>3360</v>
      </c>
      <c r="P4331" t="s">
        <v>523</v>
      </c>
      <c r="Q4331" t="s">
        <v>3337</v>
      </c>
      <c r="R4331" t="s">
        <v>3338</v>
      </c>
      <c r="S4331" t="s">
        <v>3250</v>
      </c>
      <c r="T4331" t="s">
        <v>2448</v>
      </c>
      <c r="U4331">
        <v>344900</v>
      </c>
      <c r="V4331" t="s">
        <v>3370</v>
      </c>
      <c r="W4331" t="s">
        <v>3371</v>
      </c>
      <c r="X4331" t="s">
        <v>23444</v>
      </c>
      <c r="Y4331" t="s">
        <v>4658</v>
      </c>
      <c r="Z4331" t="s">
        <v>958</v>
      </c>
      <c r="AA4331" t="s">
        <v>4659</v>
      </c>
      <c r="AB4331" t="s">
        <v>23445</v>
      </c>
      <c r="AC4331">
        <v>99046</v>
      </c>
      <c r="AD4331" t="s">
        <v>3372</v>
      </c>
      <c r="AE4331">
        <v>-45.048165050000001</v>
      </c>
      <c r="AF4331">
        <v>169.19531827</v>
      </c>
      <c r="AG4331">
        <v>56</v>
      </c>
      <c r="AH4331">
        <v>20</v>
      </c>
      <c r="AI4331">
        <v>1</v>
      </c>
      <c r="AJ4331">
        <v>12</v>
      </c>
      <c r="AK4331">
        <v>13</v>
      </c>
      <c r="AL4331">
        <v>15</v>
      </c>
      <c r="AM4331">
        <v>14</v>
      </c>
      <c r="AN4331">
        <v>1</v>
      </c>
      <c r="AO4331">
        <v>56</v>
      </c>
      <c r="AP4331">
        <v>42</v>
      </c>
      <c r="AQ4331">
        <v>11</v>
      </c>
      <c r="AR4331">
        <v>0</v>
      </c>
      <c r="AS4331">
        <v>7</v>
      </c>
      <c r="AT4331">
        <v>5</v>
      </c>
    </row>
    <row r="4332" spans="1:46">
      <c r="A4332">
        <v>80076</v>
      </c>
      <c r="B4332" t="s">
        <v>23446</v>
      </c>
      <c r="C4332" t="s">
        <v>23447</v>
      </c>
      <c r="E4332" t="s">
        <v>23448</v>
      </c>
      <c r="F4332" t="s">
        <v>3462</v>
      </c>
      <c r="G4332" t="s">
        <v>3382</v>
      </c>
      <c r="H4332" t="s">
        <v>3942</v>
      </c>
      <c r="J4332" t="s">
        <v>3962</v>
      </c>
      <c r="K4332" t="s">
        <v>519</v>
      </c>
      <c r="M4332" t="s">
        <v>2287</v>
      </c>
      <c r="N4332" t="s">
        <v>571</v>
      </c>
      <c r="O4332" t="s">
        <v>3383</v>
      </c>
      <c r="P4332" t="s">
        <v>654</v>
      </c>
      <c r="Q4332" t="s">
        <v>3337</v>
      </c>
      <c r="R4332" t="s">
        <v>3338</v>
      </c>
      <c r="S4332" t="s">
        <v>3384</v>
      </c>
      <c r="T4332" t="s">
        <v>2448</v>
      </c>
      <c r="U4332">
        <v>355200</v>
      </c>
      <c r="V4332" t="s">
        <v>23449</v>
      </c>
      <c r="W4332" t="s">
        <v>1652</v>
      </c>
      <c r="X4332" t="s">
        <v>23450</v>
      </c>
      <c r="Y4332" t="s">
        <v>4658</v>
      </c>
      <c r="Z4332" t="s">
        <v>958</v>
      </c>
      <c r="AA4332" t="s">
        <v>4659</v>
      </c>
      <c r="AE4332">
        <v>-45.909236800000002</v>
      </c>
      <c r="AF4332">
        <v>170.49526657000001</v>
      </c>
      <c r="AG4332">
        <v>100</v>
      </c>
      <c r="AH4332">
        <v>35</v>
      </c>
      <c r="AI4332">
        <v>5</v>
      </c>
      <c r="AJ4332">
        <v>19</v>
      </c>
      <c r="AK4332">
        <v>26</v>
      </c>
      <c r="AL4332">
        <v>27</v>
      </c>
      <c r="AM4332">
        <v>21</v>
      </c>
      <c r="AN4332">
        <v>0</v>
      </c>
      <c r="AO4332">
        <v>98</v>
      </c>
      <c r="AP4332">
        <v>80</v>
      </c>
      <c r="AQ4332">
        <v>17</v>
      </c>
      <c r="AR4332">
        <v>4</v>
      </c>
      <c r="AS4332">
        <v>17</v>
      </c>
      <c r="AT4332">
        <v>2</v>
      </c>
    </row>
    <row r="4333" spans="1:46">
      <c r="A4333">
        <v>80081</v>
      </c>
      <c r="B4333" t="s">
        <v>23451</v>
      </c>
      <c r="C4333" t="s">
        <v>23452</v>
      </c>
      <c r="D4333" t="s">
        <v>23453</v>
      </c>
      <c r="E4333" t="s">
        <v>23454</v>
      </c>
      <c r="G4333" t="s">
        <v>3470</v>
      </c>
      <c r="H4333" t="s">
        <v>3942</v>
      </c>
      <c r="I4333" t="s">
        <v>4065</v>
      </c>
      <c r="J4333" t="s">
        <v>518</v>
      </c>
      <c r="K4333" t="s">
        <v>519</v>
      </c>
      <c r="M4333" t="s">
        <v>2287</v>
      </c>
      <c r="N4333" t="s">
        <v>571</v>
      </c>
      <c r="O4333" t="s">
        <v>3383</v>
      </c>
      <c r="P4333" t="s">
        <v>1262</v>
      </c>
      <c r="Q4333" t="s">
        <v>3337</v>
      </c>
      <c r="R4333" t="s">
        <v>3338</v>
      </c>
      <c r="S4333" t="s">
        <v>3384</v>
      </c>
      <c r="T4333" t="s">
        <v>2448</v>
      </c>
      <c r="U4333">
        <v>350000</v>
      </c>
      <c r="V4333" t="s">
        <v>3475</v>
      </c>
      <c r="W4333" t="s">
        <v>1652</v>
      </c>
      <c r="X4333" t="s">
        <v>11085</v>
      </c>
      <c r="Y4333" t="s">
        <v>3944</v>
      </c>
      <c r="Z4333" t="s">
        <v>3945</v>
      </c>
      <c r="AA4333" t="s">
        <v>3946</v>
      </c>
      <c r="AE4333">
        <v>-45.867159299999997</v>
      </c>
      <c r="AF4333">
        <v>170.35578235</v>
      </c>
      <c r="AG4333">
        <v>70</v>
      </c>
      <c r="AH4333">
        <v>18</v>
      </c>
      <c r="AI4333">
        <v>8</v>
      </c>
      <c r="AJ4333">
        <v>16</v>
      </c>
      <c r="AK4333">
        <v>18</v>
      </c>
      <c r="AL4333">
        <v>22</v>
      </c>
      <c r="AM4333">
        <v>22</v>
      </c>
      <c r="AN4333">
        <v>0</v>
      </c>
      <c r="AO4333">
        <v>86</v>
      </c>
      <c r="AP4333">
        <v>66</v>
      </c>
      <c r="AQ4333">
        <v>11</v>
      </c>
      <c r="AR4333">
        <v>2</v>
      </c>
      <c r="AS4333">
        <v>9</v>
      </c>
      <c r="AT4333">
        <v>11</v>
      </c>
    </row>
    <row r="4334" spans="1:46">
      <c r="A4334">
        <v>80085</v>
      </c>
      <c r="B4334" t="s">
        <v>23455</v>
      </c>
      <c r="C4334" t="s">
        <v>12454</v>
      </c>
      <c r="E4334" t="s">
        <v>23456</v>
      </c>
      <c r="G4334" t="s">
        <v>3335</v>
      </c>
      <c r="H4334" t="s">
        <v>3942</v>
      </c>
      <c r="J4334" t="s">
        <v>3962</v>
      </c>
      <c r="K4334" t="s">
        <v>519</v>
      </c>
      <c r="M4334" t="s">
        <v>2287</v>
      </c>
      <c r="N4334" t="s">
        <v>557</v>
      </c>
      <c r="O4334" t="s">
        <v>3336</v>
      </c>
      <c r="P4334" t="s">
        <v>1262</v>
      </c>
      <c r="Q4334" t="s">
        <v>3337</v>
      </c>
      <c r="R4334" t="s">
        <v>3338</v>
      </c>
      <c r="S4334" t="s">
        <v>3250</v>
      </c>
      <c r="T4334" t="s">
        <v>2448</v>
      </c>
      <c r="U4334">
        <v>344200</v>
      </c>
      <c r="V4334" t="s">
        <v>13498</v>
      </c>
      <c r="W4334" t="s">
        <v>3340</v>
      </c>
      <c r="X4334" t="s">
        <v>23457</v>
      </c>
      <c r="Y4334" t="s">
        <v>4658</v>
      </c>
      <c r="Z4334" t="s">
        <v>958</v>
      </c>
      <c r="AA4334" t="s">
        <v>4659</v>
      </c>
      <c r="AC4334">
        <v>99116</v>
      </c>
      <c r="AD4334" t="s">
        <v>23458</v>
      </c>
      <c r="AE4334">
        <v>-45.090503470000002</v>
      </c>
      <c r="AF4334">
        <v>170.97557065000001</v>
      </c>
      <c r="AG4334">
        <v>60</v>
      </c>
      <c r="AH4334">
        <v>20</v>
      </c>
      <c r="AI4334">
        <v>8</v>
      </c>
      <c r="AJ4334">
        <v>9</v>
      </c>
      <c r="AK4334">
        <v>10</v>
      </c>
      <c r="AL4334">
        <v>14</v>
      </c>
      <c r="AM4334">
        <v>21</v>
      </c>
      <c r="AN4334">
        <v>0</v>
      </c>
      <c r="AO4334">
        <v>62</v>
      </c>
      <c r="AP4334">
        <v>47</v>
      </c>
      <c r="AQ4334">
        <v>7</v>
      </c>
      <c r="AR4334">
        <v>6</v>
      </c>
      <c r="AS4334">
        <v>11</v>
      </c>
      <c r="AT4334">
        <v>2</v>
      </c>
    </row>
    <row r="4335" spans="1:46">
      <c r="A4335">
        <v>81001</v>
      </c>
      <c r="B4335" t="s">
        <v>23459</v>
      </c>
      <c r="C4335" t="s">
        <v>23460</v>
      </c>
      <c r="D4335" t="s">
        <v>23461</v>
      </c>
      <c r="E4335" t="s">
        <v>23462</v>
      </c>
      <c r="G4335" t="s">
        <v>3480</v>
      </c>
      <c r="H4335" t="s">
        <v>298</v>
      </c>
      <c r="J4335" t="s">
        <v>518</v>
      </c>
      <c r="K4335" t="s">
        <v>519</v>
      </c>
      <c r="M4335" t="s">
        <v>2287</v>
      </c>
      <c r="N4335" t="s">
        <v>571</v>
      </c>
      <c r="O4335" t="s">
        <v>3481</v>
      </c>
      <c r="P4335" t="s">
        <v>523</v>
      </c>
      <c r="Q4335" t="s">
        <v>3337</v>
      </c>
      <c r="R4335" t="s">
        <v>3338</v>
      </c>
      <c r="S4335" t="s">
        <v>3384</v>
      </c>
      <c r="T4335" t="s">
        <v>2448</v>
      </c>
      <c r="U4335">
        <v>356600</v>
      </c>
      <c r="V4335" t="s">
        <v>23463</v>
      </c>
      <c r="W4335" t="s">
        <v>3483</v>
      </c>
      <c r="X4335" t="s">
        <v>17688</v>
      </c>
      <c r="Y4335" t="s">
        <v>5187</v>
      </c>
      <c r="AA4335" t="s">
        <v>5188</v>
      </c>
      <c r="AB4335" t="s">
        <v>12755</v>
      </c>
      <c r="AE4335">
        <v>-46.233420119999998</v>
      </c>
      <c r="AF4335">
        <v>169.75065383</v>
      </c>
      <c r="AG4335">
        <v>25</v>
      </c>
      <c r="AH4335">
        <v>15</v>
      </c>
      <c r="AI4335">
        <v>1</v>
      </c>
      <c r="AJ4335">
        <v>2</v>
      </c>
      <c r="AK4335">
        <v>4</v>
      </c>
      <c r="AL4335">
        <v>2</v>
      </c>
      <c r="AM4335">
        <v>2</v>
      </c>
      <c r="AN4335">
        <v>0</v>
      </c>
      <c r="AO4335">
        <v>11</v>
      </c>
      <c r="AP4335">
        <v>10</v>
      </c>
      <c r="AQ4335">
        <v>1</v>
      </c>
      <c r="AR4335">
        <v>0</v>
      </c>
      <c r="AS4335">
        <v>0</v>
      </c>
      <c r="AT4335">
        <v>0</v>
      </c>
    </row>
    <row r="4336" spans="1:46">
      <c r="A4336">
        <v>81002</v>
      </c>
      <c r="B4336" t="s">
        <v>23464</v>
      </c>
      <c r="C4336" t="s">
        <v>23419</v>
      </c>
      <c r="E4336" t="s">
        <v>23465</v>
      </c>
      <c r="G4336" t="s">
        <v>23466</v>
      </c>
      <c r="H4336" t="s">
        <v>298</v>
      </c>
      <c r="J4336" t="s">
        <v>518</v>
      </c>
      <c r="K4336" t="s">
        <v>519</v>
      </c>
      <c r="M4336" t="s">
        <v>2287</v>
      </c>
      <c r="N4336" t="s">
        <v>571</v>
      </c>
      <c r="O4336" t="s">
        <v>3383</v>
      </c>
      <c r="P4336" t="s">
        <v>572</v>
      </c>
      <c r="Q4336" t="s">
        <v>3337</v>
      </c>
      <c r="R4336" t="s">
        <v>3338</v>
      </c>
      <c r="S4336" t="s">
        <v>3382</v>
      </c>
      <c r="T4336" t="s">
        <v>2448</v>
      </c>
      <c r="U4336">
        <v>349601</v>
      </c>
      <c r="V4336" t="s">
        <v>23467</v>
      </c>
      <c r="W4336" t="s">
        <v>1652</v>
      </c>
      <c r="X4336" t="s">
        <v>17688</v>
      </c>
      <c r="Y4336" t="s">
        <v>5187</v>
      </c>
      <c r="AA4336" t="s">
        <v>5188</v>
      </c>
      <c r="AB4336" t="s">
        <v>12755</v>
      </c>
      <c r="AE4336">
        <v>-45.755092930000004</v>
      </c>
      <c r="AF4336">
        <v>170.57271978</v>
      </c>
      <c r="AG4336">
        <v>25</v>
      </c>
      <c r="AH4336">
        <v>10</v>
      </c>
      <c r="AI4336">
        <v>0</v>
      </c>
      <c r="AJ4336">
        <v>1</v>
      </c>
      <c r="AK4336">
        <v>4</v>
      </c>
      <c r="AL4336">
        <v>1</v>
      </c>
      <c r="AM4336">
        <v>1</v>
      </c>
      <c r="AN4336">
        <v>0</v>
      </c>
      <c r="AO4336">
        <v>7</v>
      </c>
      <c r="AP4336">
        <v>6</v>
      </c>
      <c r="AQ4336">
        <v>3</v>
      </c>
      <c r="AR4336">
        <v>0</v>
      </c>
      <c r="AS4336">
        <v>1</v>
      </c>
      <c r="AT4336">
        <v>0</v>
      </c>
    </row>
    <row r="4337" spans="1:46">
      <c r="A4337">
        <v>81005</v>
      </c>
      <c r="B4337" t="s">
        <v>23468</v>
      </c>
      <c r="C4337" t="s">
        <v>23419</v>
      </c>
      <c r="E4337" t="s">
        <v>23469</v>
      </c>
      <c r="G4337" t="s">
        <v>17499</v>
      </c>
      <c r="H4337" t="s">
        <v>298</v>
      </c>
      <c r="J4337" t="s">
        <v>518</v>
      </c>
      <c r="K4337" t="s">
        <v>519</v>
      </c>
      <c r="M4337" t="s">
        <v>2287</v>
      </c>
      <c r="N4337" t="s">
        <v>571</v>
      </c>
      <c r="O4337" t="s">
        <v>3481</v>
      </c>
      <c r="P4337" t="s">
        <v>540</v>
      </c>
      <c r="Q4337" t="s">
        <v>3337</v>
      </c>
      <c r="R4337" t="s">
        <v>3338</v>
      </c>
      <c r="S4337" t="s">
        <v>3361</v>
      </c>
      <c r="T4337" t="s">
        <v>2448</v>
      </c>
      <c r="U4337">
        <v>356000</v>
      </c>
      <c r="V4337" t="s">
        <v>17499</v>
      </c>
      <c r="W4337" t="s">
        <v>17500</v>
      </c>
      <c r="X4337" t="s">
        <v>11077</v>
      </c>
      <c r="Y4337" t="s">
        <v>5187</v>
      </c>
      <c r="AA4337" t="s">
        <v>5188</v>
      </c>
      <c r="AB4337" t="s">
        <v>11078</v>
      </c>
      <c r="AE4337">
        <v>-46.200605979999999</v>
      </c>
      <c r="AF4337">
        <v>169.37635929999999</v>
      </c>
      <c r="AG4337">
        <v>25</v>
      </c>
      <c r="AH4337">
        <v>10</v>
      </c>
      <c r="AI4337">
        <v>2</v>
      </c>
      <c r="AJ4337">
        <v>0</v>
      </c>
      <c r="AK4337">
        <v>1</v>
      </c>
      <c r="AL4337">
        <v>1</v>
      </c>
      <c r="AM4337">
        <v>2</v>
      </c>
      <c r="AN4337">
        <v>0</v>
      </c>
      <c r="AO4337">
        <v>6</v>
      </c>
      <c r="AP4337">
        <v>6</v>
      </c>
      <c r="AQ4337">
        <v>0</v>
      </c>
      <c r="AR4337">
        <v>0</v>
      </c>
      <c r="AS4337">
        <v>1</v>
      </c>
      <c r="AT4337">
        <v>0</v>
      </c>
    </row>
    <row r="4338" spans="1:46">
      <c r="A4338">
        <v>81007</v>
      </c>
      <c r="B4338" t="s">
        <v>23470</v>
      </c>
      <c r="C4338" t="s">
        <v>23471</v>
      </c>
      <c r="E4338" t="s">
        <v>23472</v>
      </c>
      <c r="G4338" t="s">
        <v>23473</v>
      </c>
      <c r="H4338" t="s">
        <v>298</v>
      </c>
      <c r="J4338" t="s">
        <v>518</v>
      </c>
      <c r="K4338" t="s">
        <v>519</v>
      </c>
      <c r="M4338" t="s">
        <v>2287</v>
      </c>
      <c r="N4338" t="s">
        <v>571</v>
      </c>
      <c r="O4338" t="s">
        <v>3360</v>
      </c>
      <c r="P4338" t="s">
        <v>523</v>
      </c>
      <c r="Q4338" t="s">
        <v>3337</v>
      </c>
      <c r="R4338" t="s">
        <v>3338</v>
      </c>
      <c r="S4338" t="s">
        <v>3361</v>
      </c>
      <c r="T4338" t="s">
        <v>2448</v>
      </c>
      <c r="U4338">
        <v>345400</v>
      </c>
      <c r="V4338" t="s">
        <v>23473</v>
      </c>
      <c r="W4338" t="s">
        <v>3363</v>
      </c>
      <c r="X4338" t="s">
        <v>23474</v>
      </c>
      <c r="Y4338" t="s">
        <v>5187</v>
      </c>
      <c r="AA4338" t="s">
        <v>5188</v>
      </c>
      <c r="AB4338" t="s">
        <v>23475</v>
      </c>
      <c r="AC4338">
        <v>99049</v>
      </c>
      <c r="AD4338" t="s">
        <v>3364</v>
      </c>
      <c r="AE4338">
        <v>-45.1889982</v>
      </c>
      <c r="AF4338">
        <v>169.3227555</v>
      </c>
      <c r="AG4338">
        <v>30</v>
      </c>
      <c r="AH4338">
        <v>15</v>
      </c>
      <c r="AI4338">
        <v>4</v>
      </c>
      <c r="AJ4338">
        <v>8</v>
      </c>
      <c r="AK4338">
        <v>5</v>
      </c>
      <c r="AL4338">
        <v>1</v>
      </c>
      <c r="AM4338">
        <v>6</v>
      </c>
      <c r="AN4338">
        <v>0</v>
      </c>
      <c r="AO4338">
        <v>24</v>
      </c>
      <c r="AP4338">
        <v>21</v>
      </c>
      <c r="AQ4338">
        <v>6</v>
      </c>
      <c r="AR4338">
        <v>0</v>
      </c>
      <c r="AS4338">
        <v>1</v>
      </c>
      <c r="AT4338">
        <v>0</v>
      </c>
    </row>
    <row r="4339" spans="1:46">
      <c r="A4339">
        <v>81017</v>
      </c>
      <c r="B4339" t="s">
        <v>23476</v>
      </c>
      <c r="C4339" t="s">
        <v>23419</v>
      </c>
      <c r="E4339" t="s">
        <v>23477</v>
      </c>
      <c r="G4339" t="s">
        <v>3335</v>
      </c>
      <c r="H4339" t="s">
        <v>298</v>
      </c>
      <c r="J4339" t="s">
        <v>518</v>
      </c>
      <c r="K4339" t="s">
        <v>519</v>
      </c>
      <c r="M4339" t="s">
        <v>2287</v>
      </c>
      <c r="N4339" t="s">
        <v>571</v>
      </c>
      <c r="O4339" t="s">
        <v>3336</v>
      </c>
      <c r="P4339" t="s">
        <v>572</v>
      </c>
      <c r="Q4339" t="s">
        <v>3337</v>
      </c>
      <c r="R4339" t="s">
        <v>3338</v>
      </c>
      <c r="S4339" t="s">
        <v>3250</v>
      </c>
      <c r="T4339" t="s">
        <v>2448</v>
      </c>
      <c r="U4339">
        <v>343400</v>
      </c>
      <c r="V4339" t="s">
        <v>23478</v>
      </c>
      <c r="W4339" t="s">
        <v>15110</v>
      </c>
      <c r="X4339" t="s">
        <v>17688</v>
      </c>
      <c r="Y4339" t="s">
        <v>5187</v>
      </c>
      <c r="AA4339" t="s">
        <v>5188</v>
      </c>
      <c r="AB4339" t="s">
        <v>12755</v>
      </c>
      <c r="AE4339">
        <v>-44.978329240000001</v>
      </c>
      <c r="AF4339">
        <v>170.95342249999999</v>
      </c>
      <c r="AG4339">
        <v>25</v>
      </c>
      <c r="AH4339">
        <v>10</v>
      </c>
      <c r="AI4339">
        <v>1</v>
      </c>
      <c r="AJ4339">
        <v>3</v>
      </c>
      <c r="AK4339">
        <v>2</v>
      </c>
      <c r="AL4339">
        <v>5</v>
      </c>
      <c r="AM4339">
        <v>2</v>
      </c>
      <c r="AN4339">
        <v>1</v>
      </c>
      <c r="AO4339">
        <v>14</v>
      </c>
      <c r="AP4339">
        <v>13</v>
      </c>
      <c r="AQ4339">
        <v>6</v>
      </c>
      <c r="AR4339">
        <v>0</v>
      </c>
      <c r="AS4339">
        <v>0</v>
      </c>
      <c r="AT4339">
        <v>0</v>
      </c>
    </row>
    <row r="4340" spans="1:46">
      <c r="A4340">
        <v>81018</v>
      </c>
      <c r="B4340" t="s">
        <v>23479</v>
      </c>
      <c r="C4340" t="s">
        <v>23419</v>
      </c>
      <c r="E4340" t="s">
        <v>23480</v>
      </c>
      <c r="F4340" t="s">
        <v>23481</v>
      </c>
      <c r="G4340" t="s">
        <v>3382</v>
      </c>
      <c r="H4340" t="s">
        <v>298</v>
      </c>
      <c r="J4340" t="s">
        <v>518</v>
      </c>
      <c r="K4340" t="s">
        <v>519</v>
      </c>
      <c r="M4340" t="s">
        <v>2287</v>
      </c>
      <c r="N4340" t="s">
        <v>571</v>
      </c>
      <c r="O4340" t="s">
        <v>3383</v>
      </c>
      <c r="P4340" t="s">
        <v>654</v>
      </c>
      <c r="Q4340" t="s">
        <v>3337</v>
      </c>
      <c r="R4340" t="s">
        <v>3338</v>
      </c>
      <c r="S4340" t="s">
        <v>3382</v>
      </c>
      <c r="T4340" t="s">
        <v>2448</v>
      </c>
      <c r="U4340">
        <v>355000</v>
      </c>
      <c r="V4340" t="s">
        <v>23482</v>
      </c>
      <c r="W4340" t="s">
        <v>1652</v>
      </c>
      <c r="X4340" t="s">
        <v>17688</v>
      </c>
      <c r="Y4340" t="s">
        <v>5187</v>
      </c>
      <c r="AA4340" t="s">
        <v>5188</v>
      </c>
      <c r="AB4340" t="s">
        <v>12755</v>
      </c>
      <c r="AE4340">
        <v>-45.870394589999997</v>
      </c>
      <c r="AF4340">
        <v>170.59797879999999</v>
      </c>
      <c r="AG4340">
        <v>19</v>
      </c>
      <c r="AH4340">
        <v>15</v>
      </c>
      <c r="AI4340">
        <v>1</v>
      </c>
      <c r="AJ4340">
        <v>3</v>
      </c>
      <c r="AK4340">
        <v>5</v>
      </c>
      <c r="AL4340">
        <v>4</v>
      </c>
      <c r="AM4340">
        <v>8</v>
      </c>
      <c r="AN4340">
        <v>0</v>
      </c>
      <c r="AO4340">
        <v>21</v>
      </c>
      <c r="AP4340">
        <v>20</v>
      </c>
      <c r="AQ4340">
        <v>4</v>
      </c>
      <c r="AR4340">
        <v>2</v>
      </c>
      <c r="AS4340">
        <v>1</v>
      </c>
      <c r="AT4340">
        <v>1</v>
      </c>
    </row>
    <row r="4341" spans="1:46">
      <c r="A4341">
        <v>81023</v>
      </c>
      <c r="B4341" t="s">
        <v>23483</v>
      </c>
      <c r="C4341" t="s">
        <v>23419</v>
      </c>
      <c r="E4341" t="s">
        <v>23484</v>
      </c>
      <c r="G4341" t="s">
        <v>3382</v>
      </c>
      <c r="H4341" t="s">
        <v>298</v>
      </c>
      <c r="J4341" t="s">
        <v>518</v>
      </c>
      <c r="K4341" t="s">
        <v>519</v>
      </c>
      <c r="M4341" t="s">
        <v>2287</v>
      </c>
      <c r="N4341" t="s">
        <v>571</v>
      </c>
      <c r="O4341" t="s">
        <v>3383</v>
      </c>
      <c r="P4341" t="s">
        <v>654</v>
      </c>
      <c r="Q4341" t="s">
        <v>3337</v>
      </c>
      <c r="R4341" t="s">
        <v>3338</v>
      </c>
      <c r="S4341" t="s">
        <v>3382</v>
      </c>
      <c r="T4341" t="s">
        <v>2448</v>
      </c>
      <c r="U4341">
        <v>352300</v>
      </c>
      <c r="V4341" t="s">
        <v>12012</v>
      </c>
      <c r="W4341" t="s">
        <v>1652</v>
      </c>
      <c r="X4341" t="s">
        <v>17688</v>
      </c>
      <c r="Y4341" t="s">
        <v>5187</v>
      </c>
      <c r="AA4341" t="s">
        <v>5188</v>
      </c>
      <c r="AB4341" t="s">
        <v>12755</v>
      </c>
      <c r="AE4341">
        <v>-45.882035479999999</v>
      </c>
      <c r="AF4341">
        <v>170.4753092</v>
      </c>
      <c r="AG4341">
        <v>25</v>
      </c>
      <c r="AH4341">
        <v>20</v>
      </c>
      <c r="AI4341">
        <v>11</v>
      </c>
      <c r="AJ4341">
        <v>19</v>
      </c>
      <c r="AK4341">
        <v>6</v>
      </c>
      <c r="AL4341">
        <v>11</v>
      </c>
      <c r="AM4341">
        <v>1</v>
      </c>
      <c r="AN4341">
        <v>0</v>
      </c>
      <c r="AO4341">
        <v>48</v>
      </c>
      <c r="AP4341">
        <v>39</v>
      </c>
      <c r="AQ4341">
        <v>9</v>
      </c>
      <c r="AR4341">
        <v>5</v>
      </c>
      <c r="AS4341">
        <v>3</v>
      </c>
      <c r="AT4341">
        <v>2</v>
      </c>
    </row>
    <row r="4342" spans="1:46">
      <c r="A4342">
        <v>81024</v>
      </c>
      <c r="B4342" t="s">
        <v>23485</v>
      </c>
      <c r="C4342" t="s">
        <v>23419</v>
      </c>
      <c r="D4342" t="s">
        <v>23486</v>
      </c>
      <c r="E4342" t="s">
        <v>23487</v>
      </c>
      <c r="G4342" t="s">
        <v>3470</v>
      </c>
      <c r="H4342" t="s">
        <v>298</v>
      </c>
      <c r="J4342" t="s">
        <v>518</v>
      </c>
      <c r="K4342" t="s">
        <v>519</v>
      </c>
      <c r="M4342" t="s">
        <v>2287</v>
      </c>
      <c r="N4342" t="s">
        <v>571</v>
      </c>
      <c r="O4342" t="s">
        <v>3383</v>
      </c>
      <c r="P4342" t="s">
        <v>1262</v>
      </c>
      <c r="Q4342" t="s">
        <v>3337</v>
      </c>
      <c r="R4342" t="s">
        <v>3338</v>
      </c>
      <c r="S4342" t="s">
        <v>3384</v>
      </c>
      <c r="T4342" t="s">
        <v>2448</v>
      </c>
      <c r="U4342">
        <v>349900</v>
      </c>
      <c r="V4342" t="s">
        <v>3471</v>
      </c>
      <c r="W4342" t="s">
        <v>1652</v>
      </c>
      <c r="X4342" t="s">
        <v>17688</v>
      </c>
      <c r="Y4342" t="s">
        <v>5187</v>
      </c>
      <c r="AA4342" t="s">
        <v>5188</v>
      </c>
      <c r="AB4342" t="s">
        <v>12755</v>
      </c>
      <c r="AE4342">
        <v>-45.879143689999999</v>
      </c>
      <c r="AF4342">
        <v>170.34679642</v>
      </c>
      <c r="AG4342">
        <v>25</v>
      </c>
      <c r="AH4342">
        <v>15</v>
      </c>
      <c r="AI4342">
        <v>1</v>
      </c>
      <c r="AJ4342">
        <v>8</v>
      </c>
      <c r="AK4342">
        <v>7</v>
      </c>
      <c r="AL4342">
        <v>5</v>
      </c>
      <c r="AM4342">
        <v>0</v>
      </c>
      <c r="AN4342">
        <v>0</v>
      </c>
      <c r="AO4342">
        <v>21</v>
      </c>
      <c r="AP4342">
        <v>21</v>
      </c>
      <c r="AQ4342">
        <v>1</v>
      </c>
      <c r="AR4342">
        <v>0</v>
      </c>
      <c r="AS4342">
        <v>0</v>
      </c>
      <c r="AT4342">
        <v>0</v>
      </c>
    </row>
    <row r="4343" spans="1:46">
      <c r="A4343">
        <v>81026</v>
      </c>
      <c r="B4343" t="s">
        <v>23488</v>
      </c>
      <c r="C4343" t="s">
        <v>23489</v>
      </c>
      <c r="E4343" t="s">
        <v>23490</v>
      </c>
      <c r="G4343" t="s">
        <v>23491</v>
      </c>
      <c r="H4343" t="s">
        <v>298</v>
      </c>
      <c r="J4343" t="s">
        <v>518</v>
      </c>
      <c r="K4343" t="s">
        <v>519</v>
      </c>
      <c r="M4343" t="s">
        <v>2287</v>
      </c>
      <c r="N4343" t="s">
        <v>571</v>
      </c>
      <c r="O4343" t="s">
        <v>3360</v>
      </c>
      <c r="P4343" t="s">
        <v>540</v>
      </c>
      <c r="Q4343" t="s">
        <v>3337</v>
      </c>
      <c r="R4343" t="s">
        <v>3338</v>
      </c>
      <c r="S4343" t="s">
        <v>3250</v>
      </c>
      <c r="T4343" t="s">
        <v>2448</v>
      </c>
      <c r="U4343">
        <v>345100</v>
      </c>
      <c r="V4343" t="s">
        <v>23492</v>
      </c>
      <c r="W4343" t="s">
        <v>3363</v>
      </c>
      <c r="X4343" t="s">
        <v>23474</v>
      </c>
      <c r="Y4343" t="s">
        <v>5187</v>
      </c>
      <c r="AA4343" t="s">
        <v>5188</v>
      </c>
      <c r="AB4343" t="s">
        <v>23475</v>
      </c>
      <c r="AC4343">
        <v>99049</v>
      </c>
      <c r="AD4343" t="s">
        <v>3364</v>
      </c>
      <c r="AE4343">
        <v>-45.109892279999997</v>
      </c>
      <c r="AF4343">
        <v>169.60583928</v>
      </c>
      <c r="AG4343">
        <v>23</v>
      </c>
      <c r="AH4343">
        <v>10</v>
      </c>
      <c r="AI4343">
        <v>0</v>
      </c>
      <c r="AJ4343">
        <v>0</v>
      </c>
      <c r="AK4343">
        <v>3</v>
      </c>
      <c r="AL4343">
        <v>1</v>
      </c>
      <c r="AM4343">
        <v>5</v>
      </c>
      <c r="AN4343">
        <v>0</v>
      </c>
      <c r="AO4343">
        <v>9</v>
      </c>
      <c r="AP4343">
        <v>9</v>
      </c>
      <c r="AQ4343">
        <v>2</v>
      </c>
      <c r="AR4343">
        <v>0</v>
      </c>
      <c r="AS4343">
        <v>0</v>
      </c>
      <c r="AT4343">
        <v>1</v>
      </c>
    </row>
    <row r="4344" spans="1:46">
      <c r="A4344">
        <v>81027</v>
      </c>
      <c r="B4344" t="s">
        <v>23493</v>
      </c>
      <c r="C4344" t="s">
        <v>23419</v>
      </c>
      <c r="E4344" t="s">
        <v>23494</v>
      </c>
      <c r="F4344" t="s">
        <v>23495</v>
      </c>
      <c r="G4344" t="s">
        <v>3382</v>
      </c>
      <c r="H4344" t="s">
        <v>298</v>
      </c>
      <c r="J4344" t="s">
        <v>518</v>
      </c>
      <c r="K4344" t="s">
        <v>519</v>
      </c>
      <c r="M4344" t="s">
        <v>2287</v>
      </c>
      <c r="N4344" t="s">
        <v>571</v>
      </c>
      <c r="O4344" t="s">
        <v>3383</v>
      </c>
      <c r="P4344" t="s">
        <v>654</v>
      </c>
      <c r="Q4344" t="s">
        <v>3337</v>
      </c>
      <c r="R4344" t="s">
        <v>3338</v>
      </c>
      <c r="S4344" t="s">
        <v>3382</v>
      </c>
      <c r="T4344" t="s">
        <v>2448</v>
      </c>
      <c r="U4344">
        <v>353000</v>
      </c>
      <c r="V4344" t="s">
        <v>23495</v>
      </c>
      <c r="W4344" t="s">
        <v>1652</v>
      </c>
      <c r="X4344" t="s">
        <v>17688</v>
      </c>
      <c r="Y4344" t="s">
        <v>5187</v>
      </c>
      <c r="AA4344" t="s">
        <v>5188</v>
      </c>
      <c r="AB4344" t="s">
        <v>12755</v>
      </c>
      <c r="AE4344">
        <v>-45.85634057</v>
      </c>
      <c r="AF4344">
        <v>170.52880969</v>
      </c>
      <c r="AG4344">
        <v>25</v>
      </c>
      <c r="AH4344">
        <v>15</v>
      </c>
      <c r="AI4344">
        <v>1</v>
      </c>
      <c r="AJ4344">
        <v>6</v>
      </c>
      <c r="AK4344">
        <v>8</v>
      </c>
      <c r="AL4344">
        <v>1</v>
      </c>
      <c r="AM4344">
        <v>5</v>
      </c>
      <c r="AN4344">
        <v>0</v>
      </c>
      <c r="AO4344">
        <v>21</v>
      </c>
      <c r="AP4344">
        <v>15</v>
      </c>
      <c r="AQ4344">
        <v>1</v>
      </c>
      <c r="AR4344">
        <v>0</v>
      </c>
      <c r="AS4344">
        <v>4</v>
      </c>
      <c r="AT4344">
        <v>2</v>
      </c>
    </row>
    <row r="4345" spans="1:46">
      <c r="A4345">
        <v>81028</v>
      </c>
      <c r="B4345" t="s">
        <v>23496</v>
      </c>
      <c r="C4345" t="s">
        <v>23419</v>
      </c>
      <c r="D4345" t="s">
        <v>23486</v>
      </c>
      <c r="E4345" t="s">
        <v>23497</v>
      </c>
      <c r="G4345" t="s">
        <v>23498</v>
      </c>
      <c r="H4345" t="s">
        <v>298</v>
      </c>
      <c r="J4345" t="s">
        <v>518</v>
      </c>
      <c r="K4345" t="s">
        <v>519</v>
      </c>
      <c r="M4345" t="s">
        <v>2287</v>
      </c>
      <c r="N4345" t="s">
        <v>571</v>
      </c>
      <c r="O4345" t="s">
        <v>3383</v>
      </c>
      <c r="P4345" t="s">
        <v>540</v>
      </c>
      <c r="Q4345" t="s">
        <v>3337</v>
      </c>
      <c r="R4345" t="s">
        <v>3338</v>
      </c>
      <c r="S4345" t="s">
        <v>3384</v>
      </c>
      <c r="T4345" t="s">
        <v>2448</v>
      </c>
      <c r="U4345">
        <v>349300</v>
      </c>
      <c r="V4345" t="s">
        <v>23499</v>
      </c>
      <c r="W4345" t="s">
        <v>1652</v>
      </c>
      <c r="X4345" t="s">
        <v>17688</v>
      </c>
      <c r="Y4345" t="s">
        <v>5187</v>
      </c>
      <c r="AA4345" t="s">
        <v>5188</v>
      </c>
      <c r="AB4345" t="s">
        <v>12755</v>
      </c>
      <c r="AE4345">
        <v>-45.860806310000001</v>
      </c>
      <c r="AF4345">
        <v>170.22907026999999</v>
      </c>
      <c r="AG4345">
        <v>25</v>
      </c>
      <c r="AH4345">
        <v>15</v>
      </c>
      <c r="AI4345">
        <v>2</v>
      </c>
      <c r="AJ4345">
        <v>6</v>
      </c>
      <c r="AK4345">
        <v>2</v>
      </c>
      <c r="AL4345">
        <v>8</v>
      </c>
      <c r="AM4345">
        <v>3</v>
      </c>
      <c r="AN4345">
        <v>0</v>
      </c>
      <c r="AO4345">
        <v>21</v>
      </c>
      <c r="AP4345">
        <v>20</v>
      </c>
      <c r="AQ4345">
        <v>3</v>
      </c>
      <c r="AR4345">
        <v>0</v>
      </c>
      <c r="AS4345">
        <v>2</v>
      </c>
      <c r="AT4345">
        <v>0</v>
      </c>
    </row>
    <row r="4346" spans="1:46">
      <c r="A4346">
        <v>81030</v>
      </c>
      <c r="B4346" t="s">
        <v>23500</v>
      </c>
      <c r="C4346" t="s">
        <v>23419</v>
      </c>
      <c r="E4346" t="s">
        <v>23501</v>
      </c>
      <c r="G4346" t="s">
        <v>23414</v>
      </c>
      <c r="H4346" t="s">
        <v>298</v>
      </c>
      <c r="J4346" t="s">
        <v>518</v>
      </c>
      <c r="K4346" t="s">
        <v>519</v>
      </c>
      <c r="M4346" t="s">
        <v>2287</v>
      </c>
      <c r="N4346" t="s">
        <v>571</v>
      </c>
      <c r="O4346" t="s">
        <v>3336</v>
      </c>
      <c r="P4346" t="s">
        <v>540</v>
      </c>
      <c r="Q4346" t="s">
        <v>3337</v>
      </c>
      <c r="R4346" t="s">
        <v>3338</v>
      </c>
      <c r="S4346" t="s">
        <v>3250</v>
      </c>
      <c r="T4346" t="s">
        <v>2448</v>
      </c>
      <c r="U4346">
        <v>344700</v>
      </c>
      <c r="V4346" t="s">
        <v>23414</v>
      </c>
      <c r="W4346" t="s">
        <v>23415</v>
      </c>
      <c r="X4346" t="s">
        <v>17688</v>
      </c>
      <c r="Y4346" t="s">
        <v>5187</v>
      </c>
      <c r="AA4346" t="s">
        <v>5188</v>
      </c>
      <c r="AB4346" t="s">
        <v>12755</v>
      </c>
      <c r="AE4346">
        <v>-45.481199969999999</v>
      </c>
      <c r="AF4346">
        <v>170.72013805</v>
      </c>
      <c r="AG4346">
        <v>25</v>
      </c>
      <c r="AH4346">
        <v>10</v>
      </c>
      <c r="AI4346">
        <v>1</v>
      </c>
      <c r="AJ4346">
        <v>1</v>
      </c>
      <c r="AK4346">
        <v>2</v>
      </c>
      <c r="AL4346">
        <v>4</v>
      </c>
      <c r="AM4346">
        <v>4</v>
      </c>
      <c r="AN4346">
        <v>0</v>
      </c>
      <c r="AO4346">
        <v>12</v>
      </c>
      <c r="AP4346">
        <v>11</v>
      </c>
      <c r="AQ4346">
        <v>4</v>
      </c>
      <c r="AR4346">
        <v>0</v>
      </c>
      <c r="AS4346">
        <v>0</v>
      </c>
      <c r="AT4346">
        <v>0</v>
      </c>
    </row>
    <row r="4347" spans="1:46">
      <c r="A4347">
        <v>81036</v>
      </c>
      <c r="B4347" t="s">
        <v>23502</v>
      </c>
      <c r="C4347" t="s">
        <v>23419</v>
      </c>
      <c r="D4347" t="s">
        <v>23486</v>
      </c>
      <c r="E4347" t="s">
        <v>23503</v>
      </c>
      <c r="G4347" t="s">
        <v>3382</v>
      </c>
      <c r="H4347" t="s">
        <v>298</v>
      </c>
      <c r="J4347" t="s">
        <v>518</v>
      </c>
      <c r="K4347" t="s">
        <v>519</v>
      </c>
      <c r="M4347" t="s">
        <v>2287</v>
      </c>
      <c r="N4347" t="s">
        <v>571</v>
      </c>
      <c r="O4347" t="s">
        <v>3383</v>
      </c>
      <c r="P4347" t="s">
        <v>654</v>
      </c>
      <c r="Q4347" t="s">
        <v>3337</v>
      </c>
      <c r="R4347" t="s">
        <v>3338</v>
      </c>
      <c r="S4347" t="s">
        <v>3382</v>
      </c>
      <c r="T4347" t="s">
        <v>2448</v>
      </c>
      <c r="U4347">
        <v>351600</v>
      </c>
      <c r="V4347" t="s">
        <v>23504</v>
      </c>
      <c r="W4347" t="s">
        <v>1652</v>
      </c>
      <c r="X4347" t="s">
        <v>17688</v>
      </c>
      <c r="Y4347" t="s">
        <v>5187</v>
      </c>
      <c r="AA4347" t="s">
        <v>5188</v>
      </c>
      <c r="AB4347" t="s">
        <v>12755</v>
      </c>
      <c r="AE4347">
        <v>-45.864455560000003</v>
      </c>
      <c r="AF4347">
        <v>170.49214420000001</v>
      </c>
      <c r="AG4347">
        <v>25</v>
      </c>
      <c r="AH4347">
        <v>15</v>
      </c>
      <c r="AI4347">
        <v>1</v>
      </c>
      <c r="AJ4347">
        <v>7</v>
      </c>
      <c r="AK4347">
        <v>3</v>
      </c>
      <c r="AL4347">
        <v>5</v>
      </c>
      <c r="AM4347">
        <v>2</v>
      </c>
      <c r="AN4347">
        <v>0</v>
      </c>
      <c r="AO4347">
        <v>18</v>
      </c>
      <c r="AP4347">
        <v>13</v>
      </c>
      <c r="AQ4347">
        <v>2</v>
      </c>
      <c r="AR4347">
        <v>0</v>
      </c>
      <c r="AS4347">
        <v>5</v>
      </c>
      <c r="AT4347">
        <v>5</v>
      </c>
    </row>
    <row r="4348" spans="1:46">
      <c r="A4348">
        <v>81038</v>
      </c>
      <c r="B4348" t="s">
        <v>23505</v>
      </c>
      <c r="C4348" t="s">
        <v>23419</v>
      </c>
      <c r="E4348" t="s">
        <v>23506</v>
      </c>
      <c r="G4348" t="s">
        <v>23507</v>
      </c>
      <c r="H4348" t="s">
        <v>298</v>
      </c>
      <c r="J4348" t="s">
        <v>518</v>
      </c>
      <c r="K4348" t="s">
        <v>519</v>
      </c>
      <c r="M4348" t="s">
        <v>2287</v>
      </c>
      <c r="N4348" t="s">
        <v>571</v>
      </c>
      <c r="O4348" t="s">
        <v>3383</v>
      </c>
      <c r="P4348" t="s">
        <v>654</v>
      </c>
      <c r="Q4348" t="s">
        <v>3337</v>
      </c>
      <c r="R4348" t="s">
        <v>3338</v>
      </c>
      <c r="S4348" t="s">
        <v>3382</v>
      </c>
      <c r="T4348" t="s">
        <v>2448</v>
      </c>
      <c r="U4348">
        <v>353600</v>
      </c>
      <c r="V4348" t="s">
        <v>23508</v>
      </c>
      <c r="W4348" t="s">
        <v>1652</v>
      </c>
      <c r="X4348" t="s">
        <v>17688</v>
      </c>
      <c r="Y4348" t="s">
        <v>5187</v>
      </c>
      <c r="AA4348" t="s">
        <v>5188</v>
      </c>
      <c r="AB4348" t="s">
        <v>12755</v>
      </c>
      <c r="AE4348">
        <v>-45.847513399999997</v>
      </c>
      <c r="AF4348">
        <v>170.5785104</v>
      </c>
      <c r="AG4348">
        <v>25</v>
      </c>
      <c r="AH4348">
        <v>15</v>
      </c>
      <c r="AI4348">
        <v>0</v>
      </c>
      <c r="AJ4348">
        <v>2</v>
      </c>
      <c r="AK4348">
        <v>1</v>
      </c>
      <c r="AL4348">
        <v>2</v>
      </c>
      <c r="AM4348">
        <v>0</v>
      </c>
      <c r="AN4348">
        <v>0</v>
      </c>
      <c r="AO4348">
        <v>5</v>
      </c>
      <c r="AP4348">
        <v>5</v>
      </c>
      <c r="AQ4348">
        <v>0</v>
      </c>
      <c r="AR4348">
        <v>0</v>
      </c>
      <c r="AS4348">
        <v>0</v>
      </c>
      <c r="AT4348">
        <v>0</v>
      </c>
    </row>
    <row r="4349" spans="1:46">
      <c r="A4349">
        <v>81039</v>
      </c>
      <c r="B4349" t="s">
        <v>23509</v>
      </c>
      <c r="C4349" t="s">
        <v>23419</v>
      </c>
      <c r="E4349" t="s">
        <v>23510</v>
      </c>
      <c r="G4349" t="s">
        <v>23511</v>
      </c>
      <c r="H4349" t="s">
        <v>298</v>
      </c>
      <c r="J4349" t="s">
        <v>518</v>
      </c>
      <c r="K4349" t="s">
        <v>519</v>
      </c>
      <c r="M4349" t="s">
        <v>2287</v>
      </c>
      <c r="N4349" t="s">
        <v>571</v>
      </c>
      <c r="O4349" t="s">
        <v>3383</v>
      </c>
      <c r="P4349" t="s">
        <v>654</v>
      </c>
      <c r="Q4349" t="s">
        <v>3337</v>
      </c>
      <c r="R4349" t="s">
        <v>3338</v>
      </c>
      <c r="S4349" t="s">
        <v>3382</v>
      </c>
      <c r="T4349" t="s">
        <v>2448</v>
      </c>
      <c r="U4349">
        <v>351801</v>
      </c>
      <c r="V4349" t="s">
        <v>23512</v>
      </c>
      <c r="W4349" t="s">
        <v>1652</v>
      </c>
      <c r="X4349" t="s">
        <v>17688</v>
      </c>
      <c r="Y4349" t="s">
        <v>5187</v>
      </c>
      <c r="AA4349" t="s">
        <v>5188</v>
      </c>
      <c r="AB4349" t="s">
        <v>12755</v>
      </c>
      <c r="AE4349">
        <v>-45.819194959999997</v>
      </c>
      <c r="AF4349">
        <v>170.60183193</v>
      </c>
      <c r="AG4349">
        <v>25</v>
      </c>
      <c r="AH4349">
        <v>15</v>
      </c>
      <c r="AI4349">
        <v>1</v>
      </c>
      <c r="AJ4349">
        <v>4</v>
      </c>
      <c r="AK4349">
        <v>2</v>
      </c>
      <c r="AL4349">
        <v>2</v>
      </c>
      <c r="AM4349">
        <v>0</v>
      </c>
      <c r="AN4349">
        <v>0</v>
      </c>
      <c r="AO4349">
        <v>9</v>
      </c>
      <c r="AP4349">
        <v>9</v>
      </c>
      <c r="AQ4349">
        <v>1</v>
      </c>
      <c r="AR4349">
        <v>0</v>
      </c>
      <c r="AS4349">
        <v>0</v>
      </c>
      <c r="AT4349">
        <v>0</v>
      </c>
    </row>
    <row r="4350" spans="1:46">
      <c r="A4350">
        <v>81042</v>
      </c>
      <c r="B4350" t="s">
        <v>23513</v>
      </c>
      <c r="C4350" t="s">
        <v>23419</v>
      </c>
      <c r="E4350" t="s">
        <v>23514</v>
      </c>
      <c r="G4350" t="s">
        <v>23515</v>
      </c>
      <c r="H4350" t="s">
        <v>298</v>
      </c>
      <c r="J4350" t="s">
        <v>518</v>
      </c>
      <c r="K4350" t="s">
        <v>519</v>
      </c>
      <c r="M4350" t="s">
        <v>2287</v>
      </c>
      <c r="N4350" t="s">
        <v>571</v>
      </c>
      <c r="O4350" t="s">
        <v>3383</v>
      </c>
      <c r="P4350" t="s">
        <v>523</v>
      </c>
      <c r="Q4350" t="s">
        <v>3337</v>
      </c>
      <c r="R4350" t="s">
        <v>3338</v>
      </c>
      <c r="S4350" t="s">
        <v>3382</v>
      </c>
      <c r="T4350" t="s">
        <v>2448</v>
      </c>
      <c r="U4350">
        <v>349200</v>
      </c>
      <c r="V4350" t="s">
        <v>23515</v>
      </c>
      <c r="W4350" t="s">
        <v>1652</v>
      </c>
      <c r="X4350" t="s">
        <v>17688</v>
      </c>
      <c r="Y4350" t="s">
        <v>5187</v>
      </c>
      <c r="AA4350" t="s">
        <v>5188</v>
      </c>
      <c r="AB4350" t="s">
        <v>12755</v>
      </c>
      <c r="AE4350">
        <v>-45.595485410000002</v>
      </c>
      <c r="AF4350">
        <v>170.67461034999999</v>
      </c>
      <c r="AG4350">
        <v>30</v>
      </c>
      <c r="AH4350">
        <v>10</v>
      </c>
      <c r="AI4350">
        <v>1</v>
      </c>
      <c r="AJ4350">
        <v>1</v>
      </c>
      <c r="AK4350">
        <v>5</v>
      </c>
      <c r="AL4350">
        <v>3</v>
      </c>
      <c r="AM4350">
        <v>4</v>
      </c>
      <c r="AN4350">
        <v>0</v>
      </c>
      <c r="AO4350">
        <v>14</v>
      </c>
      <c r="AP4350">
        <v>12</v>
      </c>
      <c r="AQ4350">
        <v>3</v>
      </c>
      <c r="AR4350">
        <v>0</v>
      </c>
      <c r="AS4350">
        <v>0</v>
      </c>
      <c r="AT4350">
        <v>0</v>
      </c>
    </row>
    <row r="4351" spans="1:46">
      <c r="A4351">
        <v>81046</v>
      </c>
      <c r="B4351" t="s">
        <v>23516</v>
      </c>
      <c r="C4351" t="s">
        <v>23517</v>
      </c>
      <c r="E4351" t="s">
        <v>23518</v>
      </c>
      <c r="G4351" t="s">
        <v>3335</v>
      </c>
      <c r="H4351" t="s">
        <v>298</v>
      </c>
      <c r="J4351" t="s">
        <v>518</v>
      </c>
      <c r="K4351" t="s">
        <v>519</v>
      </c>
      <c r="M4351" t="s">
        <v>2287</v>
      </c>
      <c r="N4351" t="s">
        <v>571</v>
      </c>
      <c r="O4351" t="s">
        <v>3336</v>
      </c>
      <c r="P4351" t="s">
        <v>1262</v>
      </c>
      <c r="Q4351" t="s">
        <v>3337</v>
      </c>
      <c r="R4351" t="s">
        <v>3338</v>
      </c>
      <c r="S4351" t="s">
        <v>3250</v>
      </c>
      <c r="T4351" t="s">
        <v>2448</v>
      </c>
      <c r="U4351">
        <v>343801</v>
      </c>
      <c r="V4351" t="s">
        <v>23519</v>
      </c>
      <c r="W4351" t="s">
        <v>3340</v>
      </c>
      <c r="X4351" t="s">
        <v>17688</v>
      </c>
      <c r="Y4351" t="s">
        <v>5187</v>
      </c>
      <c r="AA4351" t="s">
        <v>5188</v>
      </c>
      <c r="AB4351" t="s">
        <v>12755</v>
      </c>
      <c r="AE4351">
        <v>-45.076755319999997</v>
      </c>
      <c r="AF4351">
        <v>170.91853422</v>
      </c>
      <c r="AG4351">
        <v>25</v>
      </c>
      <c r="AH4351">
        <v>15</v>
      </c>
      <c r="AI4351">
        <v>2</v>
      </c>
      <c r="AJ4351">
        <v>10</v>
      </c>
      <c r="AK4351">
        <v>9</v>
      </c>
      <c r="AL4351">
        <v>4</v>
      </c>
      <c r="AM4351">
        <v>3</v>
      </c>
      <c r="AN4351">
        <v>1</v>
      </c>
      <c r="AO4351">
        <v>29</v>
      </c>
      <c r="AP4351">
        <v>27</v>
      </c>
      <c r="AQ4351">
        <v>1</v>
      </c>
      <c r="AR4351">
        <v>0</v>
      </c>
      <c r="AS4351">
        <v>4</v>
      </c>
      <c r="AT4351">
        <v>2</v>
      </c>
    </row>
    <row r="4352" spans="1:46">
      <c r="A4352">
        <v>83000</v>
      </c>
      <c r="B4352" t="s">
        <v>23520</v>
      </c>
      <c r="C4352" t="s">
        <v>23521</v>
      </c>
      <c r="D4352" t="s">
        <v>23522</v>
      </c>
      <c r="E4352" t="s">
        <v>23523</v>
      </c>
      <c r="G4352" t="s">
        <v>3359</v>
      </c>
      <c r="H4352" t="s">
        <v>3942</v>
      </c>
      <c r="J4352" t="s">
        <v>518</v>
      </c>
      <c r="K4352" t="s">
        <v>519</v>
      </c>
      <c r="M4352" t="s">
        <v>2287</v>
      </c>
      <c r="N4352" t="s">
        <v>571</v>
      </c>
      <c r="O4352" t="s">
        <v>3360</v>
      </c>
      <c r="P4352" t="s">
        <v>523</v>
      </c>
      <c r="Q4352" t="s">
        <v>3337</v>
      </c>
      <c r="R4352" t="s">
        <v>3338</v>
      </c>
      <c r="S4352" t="s">
        <v>3361</v>
      </c>
      <c r="T4352" t="s">
        <v>2448</v>
      </c>
      <c r="U4352">
        <v>345500</v>
      </c>
      <c r="V4352" t="s">
        <v>3377</v>
      </c>
      <c r="W4352" t="s">
        <v>3363</v>
      </c>
      <c r="X4352" t="s">
        <v>23524</v>
      </c>
      <c r="Y4352" t="s">
        <v>23525</v>
      </c>
      <c r="AA4352" t="s">
        <v>23526</v>
      </c>
      <c r="AB4352" t="s">
        <v>23521</v>
      </c>
      <c r="AC4352">
        <v>99049</v>
      </c>
      <c r="AD4352" t="s">
        <v>3364</v>
      </c>
      <c r="AE4352">
        <v>-45.244366999999997</v>
      </c>
      <c r="AF4352">
        <v>169.38925130000001</v>
      </c>
      <c r="AG4352">
        <v>31</v>
      </c>
      <c r="AH4352">
        <v>8</v>
      </c>
      <c r="AI4352">
        <v>2</v>
      </c>
      <c r="AJ4352">
        <v>4</v>
      </c>
      <c r="AK4352">
        <v>9</v>
      </c>
      <c r="AL4352">
        <v>11</v>
      </c>
      <c r="AM4352">
        <v>9</v>
      </c>
      <c r="AN4352">
        <v>0</v>
      </c>
      <c r="AO4352">
        <v>35</v>
      </c>
      <c r="AP4352">
        <v>33</v>
      </c>
      <c r="AQ4352">
        <v>5</v>
      </c>
      <c r="AR4352">
        <v>1</v>
      </c>
      <c r="AS4352">
        <v>1</v>
      </c>
      <c r="AT4352">
        <v>0</v>
      </c>
    </row>
    <row r="4353" spans="1:46">
      <c r="A4353">
        <v>83001</v>
      </c>
      <c r="B4353" t="s">
        <v>23527</v>
      </c>
      <c r="C4353" t="s">
        <v>23528</v>
      </c>
      <c r="D4353" t="s">
        <v>23529</v>
      </c>
      <c r="E4353" t="s">
        <v>23530</v>
      </c>
      <c r="F4353" t="s">
        <v>3393</v>
      </c>
      <c r="G4353" t="s">
        <v>3382</v>
      </c>
      <c r="H4353" t="s">
        <v>3942</v>
      </c>
      <c r="J4353" t="s">
        <v>518</v>
      </c>
      <c r="K4353" t="s">
        <v>519</v>
      </c>
      <c r="M4353" t="s">
        <v>2287</v>
      </c>
      <c r="N4353" t="s">
        <v>571</v>
      </c>
      <c r="O4353" t="s">
        <v>3383</v>
      </c>
      <c r="P4353" t="s">
        <v>654</v>
      </c>
      <c r="Q4353" t="s">
        <v>3337</v>
      </c>
      <c r="R4353" t="s">
        <v>3338</v>
      </c>
      <c r="S4353" t="s">
        <v>3384</v>
      </c>
      <c r="T4353" t="s">
        <v>2448</v>
      </c>
      <c r="U4353">
        <v>355600</v>
      </c>
      <c r="V4353" t="s">
        <v>3393</v>
      </c>
      <c r="W4353" t="s">
        <v>1652</v>
      </c>
      <c r="X4353" t="s">
        <v>21277</v>
      </c>
      <c r="Y4353" t="s">
        <v>23530</v>
      </c>
      <c r="Z4353" t="s">
        <v>3393</v>
      </c>
      <c r="AA4353" t="s">
        <v>15793</v>
      </c>
      <c r="AB4353" t="s">
        <v>23531</v>
      </c>
      <c r="AE4353">
        <v>-45.895395809999997</v>
      </c>
      <c r="AF4353">
        <v>170.53349883999999</v>
      </c>
      <c r="AG4353">
        <v>32</v>
      </c>
      <c r="AH4353">
        <v>0</v>
      </c>
      <c r="AI4353">
        <v>0</v>
      </c>
      <c r="AJ4353">
        <v>0</v>
      </c>
      <c r="AK4353">
        <v>12</v>
      </c>
      <c r="AL4353">
        <v>11</v>
      </c>
      <c r="AM4353">
        <v>12</v>
      </c>
      <c r="AN4353">
        <v>1</v>
      </c>
      <c r="AO4353">
        <v>36</v>
      </c>
      <c r="AP4353">
        <v>32</v>
      </c>
      <c r="AQ4353">
        <v>2</v>
      </c>
      <c r="AR4353">
        <v>1</v>
      </c>
      <c r="AS4353">
        <v>5</v>
      </c>
      <c r="AT4353">
        <v>1</v>
      </c>
    </row>
    <row r="4354" spans="1:46">
      <c r="A4354">
        <v>83002</v>
      </c>
      <c r="B4354" t="s">
        <v>23532</v>
      </c>
      <c r="C4354" t="s">
        <v>23533</v>
      </c>
      <c r="D4354" t="s">
        <v>23534</v>
      </c>
      <c r="E4354" t="s">
        <v>23535</v>
      </c>
      <c r="F4354" t="s">
        <v>3446</v>
      </c>
      <c r="G4354" t="s">
        <v>3382</v>
      </c>
      <c r="H4354" t="s">
        <v>3942</v>
      </c>
      <c r="I4354" t="s">
        <v>6183</v>
      </c>
      <c r="J4354" t="s">
        <v>518</v>
      </c>
      <c r="K4354" t="s">
        <v>519</v>
      </c>
      <c r="M4354" t="s">
        <v>2287</v>
      </c>
      <c r="N4354" t="s">
        <v>557</v>
      </c>
      <c r="O4354" t="s">
        <v>3383</v>
      </c>
      <c r="P4354" t="s">
        <v>654</v>
      </c>
      <c r="Q4354" t="s">
        <v>3337</v>
      </c>
      <c r="R4354" t="s">
        <v>3338</v>
      </c>
      <c r="S4354" t="s">
        <v>3384</v>
      </c>
      <c r="T4354" t="s">
        <v>2448</v>
      </c>
      <c r="U4354">
        <v>354701</v>
      </c>
      <c r="V4354" t="s">
        <v>3446</v>
      </c>
      <c r="W4354" t="s">
        <v>1652</v>
      </c>
      <c r="X4354" t="s">
        <v>23536</v>
      </c>
      <c r="Y4354" t="s">
        <v>23537</v>
      </c>
      <c r="Z4354" t="s">
        <v>3382</v>
      </c>
      <c r="AA4354" t="s">
        <v>23396</v>
      </c>
      <c r="AB4354" t="s">
        <v>23533</v>
      </c>
      <c r="AE4354">
        <v>-45.89898402</v>
      </c>
      <c r="AF4354">
        <v>170.50113924999999</v>
      </c>
      <c r="AG4354">
        <v>75</v>
      </c>
      <c r="AH4354">
        <v>20</v>
      </c>
      <c r="AI4354">
        <v>3</v>
      </c>
      <c r="AJ4354">
        <v>11</v>
      </c>
      <c r="AK4354">
        <v>24</v>
      </c>
      <c r="AL4354">
        <v>20</v>
      </c>
      <c r="AM4354">
        <v>30</v>
      </c>
      <c r="AN4354">
        <v>0</v>
      </c>
      <c r="AO4354">
        <v>88</v>
      </c>
      <c r="AP4354">
        <v>39</v>
      </c>
      <c r="AQ4354">
        <v>26</v>
      </c>
      <c r="AR4354">
        <v>14</v>
      </c>
      <c r="AS4354">
        <v>30</v>
      </c>
      <c r="AT4354">
        <v>1</v>
      </c>
    </row>
    <row r="4355" spans="1:46">
      <c r="A4355">
        <v>83004</v>
      </c>
      <c r="B4355" t="s">
        <v>23538</v>
      </c>
      <c r="C4355" t="s">
        <v>23539</v>
      </c>
      <c r="D4355" t="s">
        <v>23540</v>
      </c>
      <c r="E4355" t="s">
        <v>23541</v>
      </c>
      <c r="G4355" t="s">
        <v>3369</v>
      </c>
      <c r="H4355" t="s">
        <v>3942</v>
      </c>
      <c r="J4355" t="s">
        <v>518</v>
      </c>
      <c r="K4355" t="s">
        <v>519</v>
      </c>
      <c r="M4355" t="s">
        <v>2287</v>
      </c>
      <c r="N4355" t="s">
        <v>571</v>
      </c>
      <c r="O4355" t="s">
        <v>3360</v>
      </c>
      <c r="P4355" t="s">
        <v>523</v>
      </c>
      <c r="Q4355" t="s">
        <v>3337</v>
      </c>
      <c r="R4355" t="s">
        <v>3338</v>
      </c>
      <c r="S4355" t="s">
        <v>3250</v>
      </c>
      <c r="T4355" t="s">
        <v>2448</v>
      </c>
      <c r="U4355">
        <v>345000</v>
      </c>
      <c r="V4355" t="s">
        <v>18778</v>
      </c>
      <c r="W4355" t="s">
        <v>3371</v>
      </c>
      <c r="X4355" t="s">
        <v>23542</v>
      </c>
      <c r="Y4355" t="s">
        <v>23541</v>
      </c>
      <c r="Z4355" t="s">
        <v>3369</v>
      </c>
      <c r="AA4355" t="s">
        <v>23543</v>
      </c>
      <c r="AB4355" t="s">
        <v>23544</v>
      </c>
      <c r="AC4355">
        <v>99046</v>
      </c>
      <c r="AD4355" t="s">
        <v>3372</v>
      </c>
      <c r="AE4355">
        <v>-45.04634282</v>
      </c>
      <c r="AF4355">
        <v>169.20971867</v>
      </c>
      <c r="AG4355">
        <v>50</v>
      </c>
      <c r="AH4355">
        <v>15</v>
      </c>
      <c r="AI4355">
        <v>2</v>
      </c>
      <c r="AJ4355">
        <v>9</v>
      </c>
      <c r="AK4355">
        <v>8</v>
      </c>
      <c r="AL4355">
        <v>12</v>
      </c>
      <c r="AM4355">
        <v>15</v>
      </c>
      <c r="AN4355">
        <v>0</v>
      </c>
      <c r="AO4355">
        <v>46</v>
      </c>
      <c r="AP4355">
        <v>42</v>
      </c>
      <c r="AQ4355">
        <v>4</v>
      </c>
      <c r="AR4355">
        <v>0</v>
      </c>
      <c r="AS4355">
        <v>2</v>
      </c>
      <c r="AT4355">
        <v>3</v>
      </c>
    </row>
    <row r="4356" spans="1:46">
      <c r="A4356">
        <v>83006</v>
      </c>
      <c r="B4356" t="s">
        <v>23545</v>
      </c>
      <c r="C4356" t="s">
        <v>23546</v>
      </c>
      <c r="D4356" t="s">
        <v>23547</v>
      </c>
      <c r="E4356" t="s">
        <v>23548</v>
      </c>
      <c r="F4356" t="s">
        <v>3426</v>
      </c>
      <c r="G4356" t="s">
        <v>3382</v>
      </c>
      <c r="H4356" t="s">
        <v>3942</v>
      </c>
      <c r="J4356" t="s">
        <v>518</v>
      </c>
      <c r="K4356" t="s">
        <v>519</v>
      </c>
      <c r="M4356" t="s">
        <v>2287</v>
      </c>
      <c r="N4356" t="s">
        <v>571</v>
      </c>
      <c r="O4356" t="s">
        <v>3383</v>
      </c>
      <c r="P4356" t="s">
        <v>654</v>
      </c>
      <c r="Q4356" t="s">
        <v>3337</v>
      </c>
      <c r="R4356" t="s">
        <v>3338</v>
      </c>
      <c r="S4356" t="s">
        <v>3382</v>
      </c>
      <c r="T4356" t="s">
        <v>2448</v>
      </c>
      <c r="U4356">
        <v>352000</v>
      </c>
      <c r="V4356" t="s">
        <v>23321</v>
      </c>
      <c r="W4356" t="s">
        <v>1652</v>
      </c>
      <c r="X4356" t="s">
        <v>23549</v>
      </c>
      <c r="Y4356" t="s">
        <v>23548</v>
      </c>
      <c r="Z4356" t="s">
        <v>3382</v>
      </c>
      <c r="AA4356" t="s">
        <v>11560</v>
      </c>
      <c r="AC4356">
        <v>99208</v>
      </c>
      <c r="AD4356" t="s">
        <v>3428</v>
      </c>
      <c r="AE4356">
        <v>-45.851686669999999</v>
      </c>
      <c r="AF4356">
        <v>170.52601751</v>
      </c>
      <c r="AG4356">
        <v>22</v>
      </c>
      <c r="AH4356">
        <v>0</v>
      </c>
      <c r="AI4356">
        <v>0</v>
      </c>
      <c r="AJ4356">
        <v>0</v>
      </c>
      <c r="AK4356">
        <v>4</v>
      </c>
      <c r="AL4356">
        <v>11</v>
      </c>
      <c r="AM4356">
        <v>5</v>
      </c>
      <c r="AN4356">
        <v>1</v>
      </c>
      <c r="AO4356">
        <v>21</v>
      </c>
      <c r="AP4356">
        <v>19</v>
      </c>
      <c r="AQ4356">
        <v>2</v>
      </c>
      <c r="AR4356">
        <v>0</v>
      </c>
      <c r="AS4356">
        <v>2</v>
      </c>
      <c r="AT4356">
        <v>1</v>
      </c>
    </row>
    <row r="4357" spans="1:46">
      <c r="A4357">
        <v>83007</v>
      </c>
      <c r="B4357" t="s">
        <v>23550</v>
      </c>
      <c r="C4357" t="s">
        <v>15539</v>
      </c>
      <c r="D4357" t="s">
        <v>23551</v>
      </c>
      <c r="E4357" t="s">
        <v>23552</v>
      </c>
      <c r="F4357" t="s">
        <v>14304</v>
      </c>
      <c r="G4357" t="s">
        <v>3382</v>
      </c>
      <c r="H4357" t="s">
        <v>3942</v>
      </c>
      <c r="J4357" t="s">
        <v>518</v>
      </c>
      <c r="K4357" t="s">
        <v>519</v>
      </c>
      <c r="M4357" t="s">
        <v>2287</v>
      </c>
      <c r="N4357" t="s">
        <v>571</v>
      </c>
      <c r="O4357" t="s">
        <v>3383</v>
      </c>
      <c r="P4357" t="s">
        <v>654</v>
      </c>
      <c r="Q4357" t="s">
        <v>3337</v>
      </c>
      <c r="R4357" t="s">
        <v>3338</v>
      </c>
      <c r="S4357" t="s">
        <v>3382</v>
      </c>
      <c r="T4357" t="s">
        <v>2448</v>
      </c>
      <c r="U4357">
        <v>353200</v>
      </c>
      <c r="V4357" t="s">
        <v>3438</v>
      </c>
      <c r="W4357" t="s">
        <v>1652</v>
      </c>
      <c r="X4357" t="s">
        <v>15541</v>
      </c>
      <c r="Y4357" t="s">
        <v>15542</v>
      </c>
      <c r="Z4357" t="s">
        <v>14304</v>
      </c>
      <c r="AA4357" t="s">
        <v>14305</v>
      </c>
      <c r="AB4357" t="s">
        <v>15543</v>
      </c>
      <c r="AE4357">
        <v>-45.8698014</v>
      </c>
      <c r="AF4357">
        <v>170.50807784</v>
      </c>
      <c r="AG4357">
        <v>93</v>
      </c>
      <c r="AH4357">
        <v>35</v>
      </c>
      <c r="AI4357">
        <v>4</v>
      </c>
      <c r="AJ4357">
        <v>26</v>
      </c>
      <c r="AK4357">
        <v>23</v>
      </c>
      <c r="AL4357">
        <v>31</v>
      </c>
      <c r="AM4357">
        <v>27</v>
      </c>
      <c r="AN4357">
        <v>2</v>
      </c>
      <c r="AO4357">
        <v>113</v>
      </c>
      <c r="AP4357">
        <v>100</v>
      </c>
      <c r="AQ4357">
        <v>14</v>
      </c>
      <c r="AR4357">
        <v>1</v>
      </c>
      <c r="AS4357">
        <v>18</v>
      </c>
      <c r="AT4357">
        <v>3</v>
      </c>
    </row>
    <row r="4358" spans="1:46">
      <c r="A4358">
        <v>83008</v>
      </c>
      <c r="B4358" t="s">
        <v>23553</v>
      </c>
      <c r="C4358" t="s">
        <v>23554</v>
      </c>
      <c r="D4358" t="s">
        <v>23300</v>
      </c>
      <c r="E4358" t="s">
        <v>23555</v>
      </c>
      <c r="F4358" t="s">
        <v>14304</v>
      </c>
      <c r="G4358" t="s">
        <v>3382</v>
      </c>
      <c r="H4358" t="s">
        <v>3942</v>
      </c>
      <c r="J4358" t="s">
        <v>518</v>
      </c>
      <c r="K4358" t="s">
        <v>519</v>
      </c>
      <c r="M4358" t="s">
        <v>2287</v>
      </c>
      <c r="N4358" t="s">
        <v>571</v>
      </c>
      <c r="O4358" t="s">
        <v>3383</v>
      </c>
      <c r="P4358" t="s">
        <v>654</v>
      </c>
      <c r="Q4358" t="s">
        <v>3337</v>
      </c>
      <c r="R4358" t="s">
        <v>3338</v>
      </c>
      <c r="S4358" t="s">
        <v>3382</v>
      </c>
      <c r="T4358" t="s">
        <v>2448</v>
      </c>
      <c r="U4358">
        <v>352900</v>
      </c>
      <c r="V4358" t="s">
        <v>23331</v>
      </c>
      <c r="W4358" t="s">
        <v>1652</v>
      </c>
      <c r="X4358" t="s">
        <v>23266</v>
      </c>
      <c r="Y4358" t="s">
        <v>23265</v>
      </c>
      <c r="Z4358" t="s">
        <v>3394</v>
      </c>
      <c r="AA4358" t="s">
        <v>15793</v>
      </c>
      <c r="AB4358" t="s">
        <v>23263</v>
      </c>
      <c r="AC4358">
        <v>99208</v>
      </c>
      <c r="AD4358" t="s">
        <v>3428</v>
      </c>
      <c r="AE4358">
        <v>-45.87618982</v>
      </c>
      <c r="AF4358">
        <v>170.49184324000001</v>
      </c>
      <c r="AG4358">
        <v>65</v>
      </c>
      <c r="AH4358">
        <v>28</v>
      </c>
      <c r="AI4358">
        <v>1</v>
      </c>
      <c r="AJ4358">
        <v>20</v>
      </c>
      <c r="AK4358">
        <v>15</v>
      </c>
      <c r="AL4358">
        <v>18</v>
      </c>
      <c r="AM4358">
        <v>12</v>
      </c>
      <c r="AN4358">
        <v>0</v>
      </c>
      <c r="AO4358">
        <v>66</v>
      </c>
      <c r="AP4358">
        <v>60</v>
      </c>
      <c r="AQ4358">
        <v>12</v>
      </c>
      <c r="AR4358">
        <v>2</v>
      </c>
      <c r="AS4358">
        <v>3</v>
      </c>
      <c r="AT4358">
        <v>1</v>
      </c>
    </row>
    <row r="4359" spans="1:46">
      <c r="A4359">
        <v>83013</v>
      </c>
      <c r="B4359" t="s">
        <v>23556</v>
      </c>
      <c r="C4359" t="s">
        <v>23557</v>
      </c>
      <c r="D4359" t="s">
        <v>23558</v>
      </c>
      <c r="E4359" t="s">
        <v>23559</v>
      </c>
      <c r="G4359" t="s">
        <v>3470</v>
      </c>
      <c r="H4359" t="s">
        <v>3942</v>
      </c>
      <c r="J4359" t="s">
        <v>518</v>
      </c>
      <c r="K4359" t="s">
        <v>519</v>
      </c>
      <c r="M4359" t="s">
        <v>2287</v>
      </c>
      <c r="N4359" t="s">
        <v>571</v>
      </c>
      <c r="O4359" t="s">
        <v>3383</v>
      </c>
      <c r="P4359" t="s">
        <v>1262</v>
      </c>
      <c r="Q4359" t="s">
        <v>3337</v>
      </c>
      <c r="R4359" t="s">
        <v>3338</v>
      </c>
      <c r="S4359" t="s">
        <v>3384</v>
      </c>
      <c r="T4359" t="s">
        <v>2448</v>
      </c>
      <c r="U4359">
        <v>350300</v>
      </c>
      <c r="V4359" t="s">
        <v>14595</v>
      </c>
      <c r="W4359" t="s">
        <v>1652</v>
      </c>
      <c r="X4359" t="s">
        <v>23560</v>
      </c>
      <c r="Y4359" t="s">
        <v>23561</v>
      </c>
      <c r="AA4359" t="s">
        <v>14596</v>
      </c>
      <c r="AB4359" t="s">
        <v>23562</v>
      </c>
      <c r="AE4359">
        <v>-45.889957770000002</v>
      </c>
      <c r="AF4359">
        <v>170.34676533000001</v>
      </c>
      <c r="AG4359">
        <v>35</v>
      </c>
      <c r="AH4359">
        <v>0</v>
      </c>
      <c r="AI4359">
        <v>0</v>
      </c>
      <c r="AJ4359">
        <v>0</v>
      </c>
      <c r="AK4359">
        <v>4</v>
      </c>
      <c r="AL4359">
        <v>31</v>
      </c>
      <c r="AM4359">
        <v>21</v>
      </c>
      <c r="AN4359">
        <v>0</v>
      </c>
      <c r="AO4359">
        <v>56</v>
      </c>
      <c r="AP4359">
        <v>53</v>
      </c>
      <c r="AQ4359">
        <v>7</v>
      </c>
      <c r="AR4359">
        <v>2</v>
      </c>
      <c r="AS4359">
        <v>2</v>
      </c>
      <c r="AT4359">
        <v>1</v>
      </c>
    </row>
    <row r="4360" spans="1:46">
      <c r="A4360">
        <v>83014</v>
      </c>
      <c r="B4360" t="s">
        <v>23563</v>
      </c>
      <c r="C4360" t="s">
        <v>23564</v>
      </c>
      <c r="D4360" t="s">
        <v>23300</v>
      </c>
      <c r="E4360" t="s">
        <v>23565</v>
      </c>
      <c r="G4360" t="s">
        <v>3382</v>
      </c>
      <c r="H4360" t="s">
        <v>3942</v>
      </c>
      <c r="J4360" t="s">
        <v>518</v>
      </c>
      <c r="K4360" t="s">
        <v>519</v>
      </c>
      <c r="M4360" t="s">
        <v>2287</v>
      </c>
      <c r="N4360" t="s">
        <v>571</v>
      </c>
      <c r="O4360" t="s">
        <v>3383</v>
      </c>
      <c r="P4360" t="s">
        <v>654</v>
      </c>
      <c r="Q4360" t="s">
        <v>3337</v>
      </c>
      <c r="R4360" t="s">
        <v>3338</v>
      </c>
      <c r="S4360" t="s">
        <v>3382</v>
      </c>
      <c r="T4360" t="s">
        <v>2448</v>
      </c>
      <c r="U4360">
        <v>352900</v>
      </c>
      <c r="V4360" t="s">
        <v>23331</v>
      </c>
      <c r="W4360" t="s">
        <v>1652</v>
      </c>
      <c r="X4360" t="s">
        <v>23266</v>
      </c>
      <c r="Y4360" t="s">
        <v>23265</v>
      </c>
      <c r="Z4360" t="s">
        <v>3394</v>
      </c>
      <c r="AA4360" t="s">
        <v>15793</v>
      </c>
      <c r="AB4360" t="s">
        <v>23263</v>
      </c>
      <c r="AE4360">
        <v>-45.874744210000003</v>
      </c>
      <c r="AF4360">
        <v>170.4953075</v>
      </c>
      <c r="AG4360">
        <v>45</v>
      </c>
      <c r="AH4360">
        <v>12</v>
      </c>
      <c r="AI4360">
        <v>1</v>
      </c>
      <c r="AJ4360">
        <v>5</v>
      </c>
      <c r="AK4360">
        <v>10</v>
      </c>
      <c r="AL4360">
        <v>8</v>
      </c>
      <c r="AM4360">
        <v>19</v>
      </c>
      <c r="AN4360">
        <v>3</v>
      </c>
      <c r="AO4360">
        <v>46</v>
      </c>
      <c r="AP4360">
        <v>34</v>
      </c>
      <c r="AQ4360">
        <v>8</v>
      </c>
      <c r="AR4360">
        <v>4</v>
      </c>
      <c r="AS4360">
        <v>4</v>
      </c>
      <c r="AT4360">
        <v>10</v>
      </c>
    </row>
    <row r="4361" spans="1:46">
      <c r="A4361">
        <v>83015</v>
      </c>
      <c r="B4361" t="s">
        <v>23566</v>
      </c>
      <c r="C4361" t="s">
        <v>23567</v>
      </c>
      <c r="D4361" t="s">
        <v>23568</v>
      </c>
      <c r="E4361" t="s">
        <v>23569</v>
      </c>
      <c r="G4361" t="s">
        <v>23570</v>
      </c>
      <c r="H4361" t="s">
        <v>3942</v>
      </c>
      <c r="I4361" t="s">
        <v>4231</v>
      </c>
      <c r="J4361" t="s">
        <v>518</v>
      </c>
      <c r="K4361" t="s">
        <v>519</v>
      </c>
      <c r="M4361" t="s">
        <v>2287</v>
      </c>
      <c r="N4361" t="s">
        <v>571</v>
      </c>
      <c r="O4361" t="s">
        <v>3383</v>
      </c>
      <c r="P4361" t="s">
        <v>654</v>
      </c>
      <c r="Q4361" t="s">
        <v>3337</v>
      </c>
      <c r="R4361" t="s">
        <v>3338</v>
      </c>
      <c r="S4361" t="s">
        <v>3382</v>
      </c>
      <c r="T4361" t="s">
        <v>2448</v>
      </c>
      <c r="U4361">
        <v>353600</v>
      </c>
      <c r="V4361" t="s">
        <v>23508</v>
      </c>
      <c r="W4361" t="s">
        <v>1652</v>
      </c>
      <c r="X4361" t="s">
        <v>23571</v>
      </c>
      <c r="Y4361" t="s">
        <v>23569</v>
      </c>
      <c r="Z4361" t="s">
        <v>23570</v>
      </c>
      <c r="AA4361" t="s">
        <v>23572</v>
      </c>
      <c r="AB4361" t="s">
        <v>23573</v>
      </c>
      <c r="AE4361">
        <v>-45.859310919999999</v>
      </c>
      <c r="AF4361">
        <v>170.56614365999999</v>
      </c>
      <c r="AG4361">
        <v>45</v>
      </c>
      <c r="AH4361">
        <v>0</v>
      </c>
      <c r="AI4361">
        <v>0</v>
      </c>
      <c r="AJ4361">
        <v>0</v>
      </c>
      <c r="AK4361">
        <v>1</v>
      </c>
      <c r="AL4361">
        <v>2</v>
      </c>
      <c r="AM4361">
        <v>3</v>
      </c>
      <c r="AN4361">
        <v>17</v>
      </c>
      <c r="AO4361">
        <v>23</v>
      </c>
      <c r="AP4361">
        <v>23</v>
      </c>
      <c r="AQ4361">
        <v>4</v>
      </c>
      <c r="AR4361">
        <v>3</v>
      </c>
      <c r="AS4361">
        <v>1</v>
      </c>
      <c r="AT4361">
        <v>4</v>
      </c>
    </row>
    <row r="4362" spans="1:46">
      <c r="A4362">
        <v>83016</v>
      </c>
      <c r="B4362" t="s">
        <v>23574</v>
      </c>
      <c r="C4362" t="s">
        <v>23575</v>
      </c>
      <c r="D4362" t="s">
        <v>23576</v>
      </c>
      <c r="E4362" t="s">
        <v>23577</v>
      </c>
      <c r="G4362" t="s">
        <v>23515</v>
      </c>
      <c r="H4362" t="s">
        <v>3942</v>
      </c>
      <c r="J4362" t="s">
        <v>518</v>
      </c>
      <c r="K4362" t="s">
        <v>519</v>
      </c>
      <c r="M4362" t="s">
        <v>2287</v>
      </c>
      <c r="N4362" t="s">
        <v>571</v>
      </c>
      <c r="O4362" t="s">
        <v>3383</v>
      </c>
      <c r="P4362" t="s">
        <v>523</v>
      </c>
      <c r="Q4362" t="s">
        <v>3337</v>
      </c>
      <c r="R4362" t="s">
        <v>3338</v>
      </c>
      <c r="S4362" t="s">
        <v>3382</v>
      </c>
      <c r="T4362" t="s">
        <v>2448</v>
      </c>
      <c r="U4362">
        <v>349200</v>
      </c>
      <c r="V4362" t="s">
        <v>23515</v>
      </c>
      <c r="W4362" t="s">
        <v>1652</v>
      </c>
      <c r="X4362" t="s">
        <v>23578</v>
      </c>
      <c r="Y4362" t="s">
        <v>23579</v>
      </c>
      <c r="Z4362" t="s">
        <v>23515</v>
      </c>
      <c r="AA4362" t="s">
        <v>23580</v>
      </c>
      <c r="AB4362" t="s">
        <v>23581</v>
      </c>
      <c r="AE4362">
        <v>-45.595326489999998</v>
      </c>
      <c r="AF4362">
        <v>170.67397855999999</v>
      </c>
      <c r="AG4362">
        <v>35</v>
      </c>
      <c r="AH4362">
        <v>10</v>
      </c>
      <c r="AI4362">
        <v>1</v>
      </c>
      <c r="AJ4362">
        <v>7</v>
      </c>
      <c r="AK4362">
        <v>9</v>
      </c>
      <c r="AL4362">
        <v>17</v>
      </c>
      <c r="AM4362">
        <v>16</v>
      </c>
      <c r="AN4362">
        <v>0</v>
      </c>
      <c r="AO4362">
        <v>50</v>
      </c>
      <c r="AP4362">
        <v>40</v>
      </c>
      <c r="AQ4362">
        <v>16</v>
      </c>
      <c r="AR4362">
        <v>0</v>
      </c>
      <c r="AS4362">
        <v>2</v>
      </c>
      <c r="AT4362">
        <v>5</v>
      </c>
    </row>
    <row r="4363" spans="1:46">
      <c r="A4363">
        <v>83018</v>
      </c>
      <c r="B4363" t="s">
        <v>23582</v>
      </c>
      <c r="C4363" t="s">
        <v>23583</v>
      </c>
      <c r="D4363" t="s">
        <v>23584</v>
      </c>
      <c r="E4363" t="s">
        <v>23585</v>
      </c>
      <c r="F4363" t="s">
        <v>3462</v>
      </c>
      <c r="G4363" t="s">
        <v>3382</v>
      </c>
      <c r="H4363" t="s">
        <v>3942</v>
      </c>
      <c r="I4363" t="s">
        <v>4065</v>
      </c>
      <c r="J4363" t="s">
        <v>3962</v>
      </c>
      <c r="K4363" t="s">
        <v>519</v>
      </c>
      <c r="M4363" t="s">
        <v>2287</v>
      </c>
      <c r="N4363" t="s">
        <v>571</v>
      </c>
      <c r="O4363" t="s">
        <v>3383</v>
      </c>
      <c r="P4363" t="s">
        <v>654</v>
      </c>
      <c r="Q4363" t="s">
        <v>3337</v>
      </c>
      <c r="R4363" t="s">
        <v>3338</v>
      </c>
      <c r="S4363" t="s">
        <v>3384</v>
      </c>
      <c r="T4363" t="s">
        <v>2448</v>
      </c>
      <c r="U4363">
        <v>355500</v>
      </c>
      <c r="V4363" t="s">
        <v>3463</v>
      </c>
      <c r="W4363" t="s">
        <v>1652</v>
      </c>
      <c r="X4363" t="s">
        <v>23586</v>
      </c>
      <c r="Y4363" t="s">
        <v>23587</v>
      </c>
      <c r="Z4363" t="s">
        <v>3450</v>
      </c>
      <c r="AA4363" t="s">
        <v>3388</v>
      </c>
      <c r="AB4363" t="s">
        <v>23588</v>
      </c>
      <c r="AE4363">
        <v>-45.900683090000001</v>
      </c>
      <c r="AF4363">
        <v>170.51020258</v>
      </c>
      <c r="AG4363">
        <v>68</v>
      </c>
      <c r="AH4363">
        <v>18</v>
      </c>
      <c r="AI4363">
        <v>1</v>
      </c>
      <c r="AJ4363">
        <v>6</v>
      </c>
      <c r="AK4363">
        <v>18</v>
      </c>
      <c r="AL4363">
        <v>11</v>
      </c>
      <c r="AM4363">
        <v>13</v>
      </c>
      <c r="AN4363">
        <v>0</v>
      </c>
      <c r="AO4363">
        <v>49</v>
      </c>
      <c r="AP4363">
        <v>36</v>
      </c>
      <c r="AQ4363">
        <v>7</v>
      </c>
      <c r="AR4363">
        <v>3</v>
      </c>
      <c r="AS4363">
        <v>6</v>
      </c>
      <c r="AT4363">
        <v>8</v>
      </c>
    </row>
    <row r="4364" spans="1:46">
      <c r="A4364">
        <v>83021</v>
      </c>
      <c r="B4364" t="s">
        <v>23589</v>
      </c>
      <c r="C4364" t="s">
        <v>23590</v>
      </c>
      <c r="D4364" t="s">
        <v>23591</v>
      </c>
      <c r="E4364" t="s">
        <v>23592</v>
      </c>
      <c r="G4364" t="s">
        <v>3382</v>
      </c>
      <c r="H4364" t="s">
        <v>3942</v>
      </c>
      <c r="J4364" t="s">
        <v>518</v>
      </c>
      <c r="K4364" t="s">
        <v>519</v>
      </c>
      <c r="M4364" t="s">
        <v>2287</v>
      </c>
      <c r="N4364" t="s">
        <v>571</v>
      </c>
      <c r="O4364" t="s">
        <v>3383</v>
      </c>
      <c r="P4364" t="s">
        <v>654</v>
      </c>
      <c r="Q4364" t="s">
        <v>3337</v>
      </c>
      <c r="R4364" t="s">
        <v>3338</v>
      </c>
      <c r="S4364" t="s">
        <v>3382</v>
      </c>
      <c r="T4364" t="s">
        <v>2448</v>
      </c>
      <c r="U4364">
        <v>351600</v>
      </c>
      <c r="V4364" t="s">
        <v>23504</v>
      </c>
      <c r="W4364" t="s">
        <v>1652</v>
      </c>
      <c r="X4364" t="s">
        <v>23593</v>
      </c>
      <c r="Y4364" t="s">
        <v>23592</v>
      </c>
      <c r="Z4364" t="s">
        <v>3382</v>
      </c>
      <c r="AA4364" t="s">
        <v>11560</v>
      </c>
      <c r="AE4364">
        <v>-45.871414989999998</v>
      </c>
      <c r="AF4364">
        <v>170.48551784</v>
      </c>
      <c r="AG4364">
        <v>40</v>
      </c>
      <c r="AH4364">
        <v>16</v>
      </c>
      <c r="AI4364">
        <v>2</v>
      </c>
      <c r="AJ4364">
        <v>5</v>
      </c>
      <c r="AK4364">
        <v>13</v>
      </c>
      <c r="AL4364">
        <v>5</v>
      </c>
      <c r="AM4364">
        <v>1</v>
      </c>
      <c r="AN4364">
        <v>0</v>
      </c>
      <c r="AO4364">
        <v>26</v>
      </c>
      <c r="AP4364">
        <v>23</v>
      </c>
      <c r="AQ4364">
        <v>7</v>
      </c>
      <c r="AR4364">
        <v>0</v>
      </c>
      <c r="AS4364">
        <v>3</v>
      </c>
      <c r="AT4364">
        <v>0</v>
      </c>
    </row>
    <row r="4365" spans="1:46">
      <c r="A4365">
        <v>83022</v>
      </c>
      <c r="B4365" t="s">
        <v>23594</v>
      </c>
      <c r="C4365" t="s">
        <v>23595</v>
      </c>
      <c r="D4365" t="s">
        <v>23596</v>
      </c>
      <c r="E4365" t="s">
        <v>23597</v>
      </c>
      <c r="F4365" t="s">
        <v>3437</v>
      </c>
      <c r="G4365" t="s">
        <v>3382</v>
      </c>
      <c r="H4365" t="s">
        <v>3942</v>
      </c>
      <c r="J4365" t="s">
        <v>518</v>
      </c>
      <c r="K4365" t="s">
        <v>519</v>
      </c>
      <c r="M4365" t="s">
        <v>2287</v>
      </c>
      <c r="N4365" t="s">
        <v>571</v>
      </c>
      <c r="O4365" t="s">
        <v>3383</v>
      </c>
      <c r="P4365" t="s">
        <v>654</v>
      </c>
      <c r="Q4365" t="s">
        <v>3337</v>
      </c>
      <c r="R4365" t="s">
        <v>3338</v>
      </c>
      <c r="S4365" t="s">
        <v>3382</v>
      </c>
      <c r="T4365" t="s">
        <v>2448</v>
      </c>
      <c r="U4365">
        <v>353100</v>
      </c>
      <c r="V4365" t="s">
        <v>23598</v>
      </c>
      <c r="W4365" t="s">
        <v>1652</v>
      </c>
      <c r="X4365" t="s">
        <v>23599</v>
      </c>
      <c r="Y4365" t="s">
        <v>23600</v>
      </c>
      <c r="Z4365" t="s">
        <v>3437</v>
      </c>
      <c r="AA4365" t="s">
        <v>23601</v>
      </c>
      <c r="AC4365">
        <v>99208</v>
      </c>
      <c r="AD4365" t="s">
        <v>3428</v>
      </c>
      <c r="AE4365">
        <v>-45.86256796</v>
      </c>
      <c r="AF4365">
        <v>170.51542226000001</v>
      </c>
      <c r="AG4365">
        <v>150</v>
      </c>
      <c r="AH4365">
        <v>50</v>
      </c>
      <c r="AI4365">
        <v>10</v>
      </c>
      <c r="AJ4365">
        <v>26</v>
      </c>
      <c r="AK4365">
        <v>39</v>
      </c>
      <c r="AL4365">
        <v>30</v>
      </c>
      <c r="AM4365">
        <v>31</v>
      </c>
      <c r="AN4365">
        <v>2</v>
      </c>
      <c r="AO4365">
        <v>138</v>
      </c>
      <c r="AP4365">
        <v>103</v>
      </c>
      <c r="AQ4365">
        <v>27</v>
      </c>
      <c r="AR4365">
        <v>11</v>
      </c>
      <c r="AS4365">
        <v>39</v>
      </c>
      <c r="AT4365">
        <v>14</v>
      </c>
    </row>
    <row r="4366" spans="1:46">
      <c r="A4366">
        <v>83026</v>
      </c>
      <c r="B4366" t="s">
        <v>23602</v>
      </c>
      <c r="C4366" t="s">
        <v>23603</v>
      </c>
      <c r="D4366" t="s">
        <v>23604</v>
      </c>
      <c r="E4366" t="s">
        <v>23605</v>
      </c>
      <c r="F4366" t="s">
        <v>3421</v>
      </c>
      <c r="G4366" t="s">
        <v>3382</v>
      </c>
      <c r="H4366" t="s">
        <v>3942</v>
      </c>
      <c r="J4366" t="s">
        <v>518</v>
      </c>
      <c r="K4366" t="s">
        <v>519</v>
      </c>
      <c r="M4366" t="s">
        <v>2287</v>
      </c>
      <c r="N4366" t="s">
        <v>571</v>
      </c>
      <c r="O4366" t="s">
        <v>3383</v>
      </c>
      <c r="P4366" t="s">
        <v>654</v>
      </c>
      <c r="Q4366" t="s">
        <v>3337</v>
      </c>
      <c r="R4366" t="s">
        <v>3338</v>
      </c>
      <c r="S4366" t="s">
        <v>3384</v>
      </c>
      <c r="T4366" t="s">
        <v>2448</v>
      </c>
      <c r="U4366">
        <v>354600</v>
      </c>
      <c r="V4366" t="s">
        <v>3422</v>
      </c>
      <c r="W4366" t="s">
        <v>1652</v>
      </c>
      <c r="X4366" t="s">
        <v>23606</v>
      </c>
      <c r="Y4366" t="s">
        <v>23607</v>
      </c>
      <c r="Z4366" t="s">
        <v>3446</v>
      </c>
      <c r="AA4366" t="s">
        <v>3388</v>
      </c>
      <c r="AB4366" t="s">
        <v>23603</v>
      </c>
      <c r="AE4366">
        <v>-45.903958109999998</v>
      </c>
      <c r="AF4366">
        <v>170.49096148000001</v>
      </c>
      <c r="AG4366">
        <v>29</v>
      </c>
      <c r="AH4366">
        <v>10</v>
      </c>
      <c r="AI4366">
        <v>0</v>
      </c>
      <c r="AJ4366">
        <v>9</v>
      </c>
      <c r="AK4366">
        <v>6</v>
      </c>
      <c r="AL4366">
        <v>8</v>
      </c>
      <c r="AM4366">
        <v>9</v>
      </c>
      <c r="AN4366">
        <v>0</v>
      </c>
      <c r="AO4366">
        <v>32</v>
      </c>
      <c r="AP4366">
        <v>24</v>
      </c>
      <c r="AQ4366">
        <v>5</v>
      </c>
      <c r="AR4366">
        <v>0</v>
      </c>
      <c r="AS4366">
        <v>3</v>
      </c>
      <c r="AT4366">
        <v>3</v>
      </c>
    </row>
    <row r="4367" spans="1:46">
      <c r="A4367">
        <v>83027</v>
      </c>
      <c r="B4367" t="s">
        <v>23608</v>
      </c>
      <c r="C4367" t="s">
        <v>23609</v>
      </c>
      <c r="D4367" t="s">
        <v>23610</v>
      </c>
      <c r="E4367" t="s">
        <v>23611</v>
      </c>
      <c r="F4367" t="s">
        <v>3446</v>
      </c>
      <c r="G4367" t="s">
        <v>3382</v>
      </c>
      <c r="H4367" t="s">
        <v>3942</v>
      </c>
      <c r="I4367" t="s">
        <v>5772</v>
      </c>
      <c r="J4367" t="s">
        <v>518</v>
      </c>
      <c r="K4367" t="s">
        <v>519</v>
      </c>
      <c r="M4367" t="s">
        <v>2287</v>
      </c>
      <c r="N4367" t="s">
        <v>539</v>
      </c>
      <c r="O4367" t="s">
        <v>3383</v>
      </c>
      <c r="P4367" t="s">
        <v>654</v>
      </c>
      <c r="Q4367" t="s">
        <v>3337</v>
      </c>
      <c r="R4367" t="s">
        <v>3338</v>
      </c>
      <c r="S4367" t="s">
        <v>3384</v>
      </c>
      <c r="T4367" t="s">
        <v>2448</v>
      </c>
      <c r="U4367">
        <v>354701</v>
      </c>
      <c r="V4367" t="s">
        <v>3446</v>
      </c>
      <c r="W4367" t="s">
        <v>1652</v>
      </c>
      <c r="X4367" t="s">
        <v>23612</v>
      </c>
      <c r="Y4367" t="s">
        <v>23613</v>
      </c>
      <c r="Z4367" t="s">
        <v>23614</v>
      </c>
      <c r="AA4367" t="s">
        <v>3388</v>
      </c>
      <c r="AB4367" t="s">
        <v>23615</v>
      </c>
      <c r="AE4367">
        <v>-45.899023679999999</v>
      </c>
      <c r="AF4367">
        <v>170.50342591</v>
      </c>
      <c r="AG4367">
        <v>75</v>
      </c>
      <c r="AH4367">
        <v>40</v>
      </c>
      <c r="AI4367">
        <v>60</v>
      </c>
      <c r="AJ4367">
        <v>27</v>
      </c>
      <c r="AK4367">
        <v>17</v>
      </c>
      <c r="AL4367">
        <v>23</v>
      </c>
      <c r="AM4367">
        <v>9</v>
      </c>
      <c r="AN4367">
        <v>1</v>
      </c>
      <c r="AO4367">
        <v>137</v>
      </c>
      <c r="AP4367">
        <v>114</v>
      </c>
      <c r="AQ4367">
        <v>22</v>
      </c>
      <c r="AR4367">
        <v>5</v>
      </c>
      <c r="AS4367">
        <v>20</v>
      </c>
      <c r="AT4367">
        <v>11</v>
      </c>
    </row>
    <row r="4368" spans="1:46">
      <c r="A4368">
        <v>83029</v>
      </c>
      <c r="B4368" t="s">
        <v>23616</v>
      </c>
      <c r="C4368" t="s">
        <v>23617</v>
      </c>
      <c r="E4368" t="s">
        <v>23618</v>
      </c>
      <c r="F4368" t="s">
        <v>3421</v>
      </c>
      <c r="G4368" t="s">
        <v>3382</v>
      </c>
      <c r="H4368" t="s">
        <v>517</v>
      </c>
      <c r="J4368" t="s">
        <v>518</v>
      </c>
      <c r="K4368" t="s">
        <v>519</v>
      </c>
      <c r="M4368" t="s">
        <v>2287</v>
      </c>
      <c r="N4368" t="s">
        <v>571</v>
      </c>
      <c r="O4368" t="s">
        <v>3383</v>
      </c>
      <c r="P4368" t="s">
        <v>654</v>
      </c>
      <c r="Q4368" t="s">
        <v>3337</v>
      </c>
      <c r="R4368" t="s">
        <v>3338</v>
      </c>
      <c r="S4368" t="s">
        <v>3384</v>
      </c>
      <c r="T4368" t="s">
        <v>2448</v>
      </c>
      <c r="U4368">
        <v>354800</v>
      </c>
      <c r="V4368" t="s">
        <v>3421</v>
      </c>
      <c r="W4368" t="s">
        <v>1652</v>
      </c>
      <c r="X4368" t="s">
        <v>3385</v>
      </c>
      <c r="Y4368" t="s">
        <v>3386</v>
      </c>
      <c r="Z4368" t="s">
        <v>3387</v>
      </c>
      <c r="AA4368" t="s">
        <v>3388</v>
      </c>
      <c r="AB4368" t="s">
        <v>3389</v>
      </c>
      <c r="AE4368">
        <v>-45.909772250000003</v>
      </c>
      <c r="AF4368">
        <v>170.49004123</v>
      </c>
      <c r="AG4368">
        <v>42</v>
      </c>
      <c r="AH4368">
        <v>0</v>
      </c>
      <c r="AI4368">
        <v>0</v>
      </c>
      <c r="AJ4368">
        <v>0</v>
      </c>
      <c r="AK4368">
        <v>6</v>
      </c>
      <c r="AL4368">
        <v>14</v>
      </c>
      <c r="AM4368">
        <v>10</v>
      </c>
      <c r="AN4368">
        <v>0</v>
      </c>
      <c r="AO4368">
        <v>30</v>
      </c>
      <c r="AP4368">
        <v>26</v>
      </c>
      <c r="AQ4368">
        <v>3</v>
      </c>
      <c r="AR4368">
        <v>4</v>
      </c>
      <c r="AS4368">
        <v>1</v>
      </c>
      <c r="AT4368">
        <v>3</v>
      </c>
    </row>
    <row r="4369" spans="1:46">
      <c r="A4369">
        <v>83030</v>
      </c>
      <c r="B4369" t="s">
        <v>23619</v>
      </c>
      <c r="C4369" t="s">
        <v>23620</v>
      </c>
      <c r="D4369" t="s">
        <v>23621</v>
      </c>
      <c r="E4369" t="s">
        <v>12031</v>
      </c>
      <c r="G4369" t="s">
        <v>3470</v>
      </c>
      <c r="H4369" t="s">
        <v>3942</v>
      </c>
      <c r="J4369" t="s">
        <v>518</v>
      </c>
      <c r="K4369" t="s">
        <v>519</v>
      </c>
      <c r="M4369" t="s">
        <v>2287</v>
      </c>
      <c r="N4369" t="s">
        <v>571</v>
      </c>
      <c r="O4369" t="s">
        <v>3383</v>
      </c>
      <c r="P4369" t="s">
        <v>1262</v>
      </c>
      <c r="Q4369" t="s">
        <v>3337</v>
      </c>
      <c r="R4369" t="s">
        <v>3338</v>
      </c>
      <c r="S4369" t="s">
        <v>3384</v>
      </c>
      <c r="T4369" t="s">
        <v>2448</v>
      </c>
      <c r="U4369">
        <v>350000</v>
      </c>
      <c r="V4369" t="s">
        <v>3475</v>
      </c>
      <c r="W4369" t="s">
        <v>1652</v>
      </c>
      <c r="X4369" t="s">
        <v>23622</v>
      </c>
      <c r="Y4369" t="s">
        <v>12031</v>
      </c>
      <c r="AA4369" t="s">
        <v>14596</v>
      </c>
      <c r="AB4369" t="s">
        <v>23623</v>
      </c>
      <c r="AE4369">
        <v>-45.875732399999997</v>
      </c>
      <c r="AF4369">
        <v>170.3532319</v>
      </c>
      <c r="AG4369">
        <v>59</v>
      </c>
      <c r="AH4369">
        <v>24</v>
      </c>
      <c r="AI4369">
        <v>4</v>
      </c>
      <c r="AJ4369">
        <v>12</v>
      </c>
      <c r="AK4369">
        <v>25</v>
      </c>
      <c r="AL4369">
        <v>11</v>
      </c>
      <c r="AM4369">
        <v>17</v>
      </c>
      <c r="AN4369">
        <v>0</v>
      </c>
      <c r="AO4369">
        <v>69</v>
      </c>
      <c r="AP4369">
        <v>61</v>
      </c>
      <c r="AQ4369">
        <v>13</v>
      </c>
      <c r="AR4369">
        <v>1</v>
      </c>
      <c r="AS4369">
        <v>5</v>
      </c>
      <c r="AT4369">
        <v>1</v>
      </c>
    </row>
    <row r="4370" spans="1:46">
      <c r="A4370">
        <v>83032</v>
      </c>
      <c r="B4370" t="s">
        <v>23624</v>
      </c>
      <c r="C4370" t="s">
        <v>23625</v>
      </c>
      <c r="D4370" t="s">
        <v>23626</v>
      </c>
      <c r="E4370" t="s">
        <v>23627</v>
      </c>
      <c r="G4370" t="s">
        <v>3382</v>
      </c>
      <c r="H4370" t="s">
        <v>3942</v>
      </c>
      <c r="J4370" t="s">
        <v>3962</v>
      </c>
      <c r="K4370" t="s">
        <v>519</v>
      </c>
      <c r="M4370" t="s">
        <v>2287</v>
      </c>
      <c r="N4370" t="s">
        <v>571</v>
      </c>
      <c r="O4370" t="s">
        <v>3383</v>
      </c>
      <c r="P4370" t="s">
        <v>654</v>
      </c>
      <c r="Q4370" t="s">
        <v>3337</v>
      </c>
      <c r="R4370" t="s">
        <v>3338</v>
      </c>
      <c r="S4370" t="s">
        <v>3382</v>
      </c>
      <c r="T4370" t="s">
        <v>2448</v>
      </c>
      <c r="U4370">
        <v>352800</v>
      </c>
      <c r="V4370" t="s">
        <v>23628</v>
      </c>
      <c r="W4370" t="s">
        <v>1652</v>
      </c>
      <c r="X4370" t="s">
        <v>23629</v>
      </c>
      <c r="Y4370" t="s">
        <v>23630</v>
      </c>
      <c r="Z4370" t="s">
        <v>18506</v>
      </c>
      <c r="AA4370" t="s">
        <v>23631</v>
      </c>
      <c r="AB4370" t="s">
        <v>23632</v>
      </c>
      <c r="AE4370">
        <v>-45.872056800000003</v>
      </c>
      <c r="AF4370">
        <v>170.50022546</v>
      </c>
      <c r="AG4370">
        <v>43</v>
      </c>
      <c r="AH4370">
        <v>23</v>
      </c>
      <c r="AI4370">
        <v>4</v>
      </c>
      <c r="AJ4370">
        <v>10</v>
      </c>
      <c r="AK4370">
        <v>5</v>
      </c>
      <c r="AL4370">
        <v>6</v>
      </c>
      <c r="AM4370">
        <v>10</v>
      </c>
      <c r="AN4370">
        <v>0</v>
      </c>
      <c r="AO4370">
        <v>35</v>
      </c>
      <c r="AP4370">
        <v>26</v>
      </c>
      <c r="AQ4370">
        <v>4</v>
      </c>
      <c r="AR4370">
        <v>3</v>
      </c>
      <c r="AS4370">
        <v>3</v>
      </c>
      <c r="AT4370">
        <v>1</v>
      </c>
    </row>
    <row r="4371" spans="1:46">
      <c r="A4371">
        <v>83036</v>
      </c>
      <c r="B4371" t="s">
        <v>23633</v>
      </c>
      <c r="C4371" t="s">
        <v>23634</v>
      </c>
      <c r="D4371" t="s">
        <v>23635</v>
      </c>
      <c r="E4371" t="s">
        <v>23636</v>
      </c>
      <c r="G4371" t="s">
        <v>11192</v>
      </c>
      <c r="H4371" t="s">
        <v>3942</v>
      </c>
      <c r="J4371" t="s">
        <v>518</v>
      </c>
      <c r="K4371" t="s">
        <v>519</v>
      </c>
      <c r="M4371" t="s">
        <v>2287</v>
      </c>
      <c r="N4371" t="s">
        <v>571</v>
      </c>
      <c r="O4371" t="s">
        <v>3835</v>
      </c>
      <c r="P4371" t="s">
        <v>1262</v>
      </c>
      <c r="Q4371" t="s">
        <v>3337</v>
      </c>
      <c r="R4371" t="s">
        <v>3338</v>
      </c>
      <c r="S4371" t="s">
        <v>3250</v>
      </c>
      <c r="T4371" t="s">
        <v>2448</v>
      </c>
      <c r="U4371">
        <v>347000</v>
      </c>
      <c r="V4371" t="s">
        <v>18704</v>
      </c>
      <c r="W4371" t="s">
        <v>11194</v>
      </c>
      <c r="X4371" t="s">
        <v>23637</v>
      </c>
      <c r="Y4371" t="s">
        <v>23636</v>
      </c>
      <c r="AA4371" t="s">
        <v>11196</v>
      </c>
      <c r="AB4371" t="s">
        <v>23634</v>
      </c>
      <c r="AE4371">
        <v>-44.702474500000001</v>
      </c>
      <c r="AF4371">
        <v>169.13384210000001</v>
      </c>
      <c r="AG4371">
        <v>65</v>
      </c>
      <c r="AH4371">
        <v>12</v>
      </c>
      <c r="AI4371">
        <v>0</v>
      </c>
      <c r="AJ4371">
        <v>7</v>
      </c>
      <c r="AK4371">
        <v>11</v>
      </c>
      <c r="AL4371">
        <v>17</v>
      </c>
      <c r="AM4371">
        <v>15</v>
      </c>
      <c r="AN4371">
        <v>0</v>
      </c>
      <c r="AO4371">
        <v>50</v>
      </c>
      <c r="AP4371">
        <v>43</v>
      </c>
      <c r="AQ4371">
        <v>5</v>
      </c>
      <c r="AR4371">
        <v>0</v>
      </c>
      <c r="AS4371">
        <v>3</v>
      </c>
      <c r="AT4371">
        <v>2</v>
      </c>
    </row>
    <row r="4372" spans="1:46">
      <c r="A4372">
        <v>83041</v>
      </c>
      <c r="B4372" t="s">
        <v>23638</v>
      </c>
      <c r="C4372" t="s">
        <v>23391</v>
      </c>
      <c r="D4372" t="s">
        <v>23392</v>
      </c>
      <c r="E4372" t="s">
        <v>23639</v>
      </c>
      <c r="F4372" t="s">
        <v>3421</v>
      </c>
      <c r="G4372" t="s">
        <v>3382</v>
      </c>
      <c r="H4372" t="s">
        <v>3942</v>
      </c>
      <c r="J4372" t="s">
        <v>3962</v>
      </c>
      <c r="K4372" t="s">
        <v>519</v>
      </c>
      <c r="M4372" t="s">
        <v>2287</v>
      </c>
      <c r="N4372" t="s">
        <v>571</v>
      </c>
      <c r="O4372" t="s">
        <v>3383</v>
      </c>
      <c r="P4372" t="s">
        <v>654</v>
      </c>
      <c r="Q4372" t="s">
        <v>3337</v>
      </c>
      <c r="R4372" t="s">
        <v>3338</v>
      </c>
      <c r="S4372" t="s">
        <v>3384</v>
      </c>
      <c r="T4372" t="s">
        <v>2448</v>
      </c>
      <c r="U4372">
        <v>354600</v>
      </c>
      <c r="V4372" t="s">
        <v>3422</v>
      </c>
      <c r="W4372" t="s">
        <v>1652</v>
      </c>
      <c r="X4372" t="s">
        <v>23394</v>
      </c>
      <c r="Y4372" t="s">
        <v>23395</v>
      </c>
      <c r="Z4372" t="s">
        <v>3446</v>
      </c>
      <c r="AA4372" t="s">
        <v>23396</v>
      </c>
      <c r="AB4372" t="s">
        <v>23391</v>
      </c>
      <c r="AE4372">
        <v>-45.902359269999998</v>
      </c>
      <c r="AF4372">
        <v>170.48695495999999</v>
      </c>
      <c r="AG4372">
        <v>54</v>
      </c>
      <c r="AH4372">
        <v>1</v>
      </c>
      <c r="AI4372">
        <v>0</v>
      </c>
      <c r="AJ4372">
        <v>0</v>
      </c>
      <c r="AK4372">
        <v>6</v>
      </c>
      <c r="AL4372">
        <v>15</v>
      </c>
      <c r="AM4372">
        <v>23</v>
      </c>
      <c r="AN4372">
        <v>2</v>
      </c>
      <c r="AO4372">
        <v>46</v>
      </c>
      <c r="AP4372">
        <v>28</v>
      </c>
      <c r="AQ4372">
        <v>15</v>
      </c>
      <c r="AR4372">
        <v>3</v>
      </c>
      <c r="AS4372">
        <v>12</v>
      </c>
      <c r="AT4372">
        <v>2</v>
      </c>
    </row>
    <row r="4373" spans="1:46">
      <c r="A4373">
        <v>83042</v>
      </c>
      <c r="B4373" t="s">
        <v>23640</v>
      </c>
      <c r="C4373" t="s">
        <v>16679</v>
      </c>
      <c r="D4373" t="s">
        <v>23641</v>
      </c>
      <c r="E4373" t="s">
        <v>23642</v>
      </c>
      <c r="F4373" t="s">
        <v>3433</v>
      </c>
      <c r="G4373" t="s">
        <v>3382</v>
      </c>
      <c r="H4373" t="s">
        <v>3942</v>
      </c>
      <c r="J4373" t="s">
        <v>3962</v>
      </c>
      <c r="K4373" t="s">
        <v>519</v>
      </c>
      <c r="M4373" t="s">
        <v>2287</v>
      </c>
      <c r="N4373" t="s">
        <v>571</v>
      </c>
      <c r="O4373" t="s">
        <v>3383</v>
      </c>
      <c r="P4373" t="s">
        <v>654</v>
      </c>
      <c r="Q4373" t="s">
        <v>3337</v>
      </c>
      <c r="R4373" t="s">
        <v>3338</v>
      </c>
      <c r="S4373" t="s">
        <v>3382</v>
      </c>
      <c r="T4373" t="s">
        <v>2448</v>
      </c>
      <c r="U4373">
        <v>351000</v>
      </c>
      <c r="V4373" t="s">
        <v>3433</v>
      </c>
      <c r="W4373" t="s">
        <v>1652</v>
      </c>
      <c r="X4373" t="s">
        <v>16681</v>
      </c>
      <c r="Y4373" t="s">
        <v>16682</v>
      </c>
      <c r="Z4373" t="s">
        <v>3432</v>
      </c>
      <c r="AA4373" t="s">
        <v>11560</v>
      </c>
      <c r="AB4373" t="s">
        <v>16683</v>
      </c>
      <c r="AE4373">
        <v>-45.864698410000003</v>
      </c>
      <c r="AF4373">
        <v>170.48534577999999</v>
      </c>
      <c r="AG4373">
        <v>45</v>
      </c>
      <c r="AH4373">
        <v>16</v>
      </c>
      <c r="AI4373">
        <v>6</v>
      </c>
      <c r="AJ4373">
        <v>13</v>
      </c>
      <c r="AK4373">
        <v>2</v>
      </c>
      <c r="AL4373">
        <v>12</v>
      </c>
      <c r="AM4373">
        <v>16</v>
      </c>
      <c r="AN4373">
        <v>0</v>
      </c>
      <c r="AO4373">
        <v>49</v>
      </c>
      <c r="AP4373">
        <v>37</v>
      </c>
      <c r="AQ4373">
        <v>2</v>
      </c>
      <c r="AR4373">
        <v>0</v>
      </c>
      <c r="AS4373">
        <v>16</v>
      </c>
      <c r="AT4373">
        <v>0</v>
      </c>
    </row>
    <row r="4374" spans="1:46">
      <c r="A4374">
        <v>83044</v>
      </c>
      <c r="B4374" t="s">
        <v>23643</v>
      </c>
      <c r="C4374" t="s">
        <v>23644</v>
      </c>
      <c r="D4374" t="s">
        <v>11963</v>
      </c>
      <c r="E4374" t="s">
        <v>11966</v>
      </c>
      <c r="G4374" t="s">
        <v>3879</v>
      </c>
      <c r="H4374" t="s">
        <v>3942</v>
      </c>
      <c r="J4374" t="s">
        <v>518</v>
      </c>
      <c r="K4374" t="s">
        <v>519</v>
      </c>
      <c r="M4374" t="s">
        <v>2287</v>
      </c>
      <c r="N4374" t="s">
        <v>571</v>
      </c>
      <c r="O4374" t="s">
        <v>3481</v>
      </c>
      <c r="P4374" t="s">
        <v>523</v>
      </c>
      <c r="Q4374" t="s">
        <v>3337</v>
      </c>
      <c r="R4374" t="s">
        <v>3338</v>
      </c>
      <c r="S4374" t="s">
        <v>3384</v>
      </c>
      <c r="T4374" t="s">
        <v>2448</v>
      </c>
      <c r="U4374">
        <v>356400</v>
      </c>
      <c r="V4374" t="s">
        <v>3879</v>
      </c>
      <c r="W4374" t="s">
        <v>3880</v>
      </c>
      <c r="X4374" t="s">
        <v>11965</v>
      </c>
      <c r="Y4374" t="s">
        <v>11966</v>
      </c>
      <c r="AA4374" t="s">
        <v>11967</v>
      </c>
      <c r="AC4374">
        <v>99179</v>
      </c>
      <c r="AD4374" t="s">
        <v>3881</v>
      </c>
      <c r="AE4374">
        <v>-46.118626159999998</v>
      </c>
      <c r="AF4374">
        <v>169.96581405000001</v>
      </c>
      <c r="AG4374">
        <v>37</v>
      </c>
      <c r="AH4374">
        <v>13</v>
      </c>
      <c r="AI4374">
        <v>1</v>
      </c>
      <c r="AJ4374">
        <v>9</v>
      </c>
      <c r="AK4374">
        <v>12</v>
      </c>
      <c r="AL4374">
        <v>14</v>
      </c>
      <c r="AM4374">
        <v>14</v>
      </c>
      <c r="AN4374">
        <v>0</v>
      </c>
      <c r="AO4374">
        <v>50</v>
      </c>
      <c r="AP4374">
        <v>36</v>
      </c>
      <c r="AQ4374">
        <v>14</v>
      </c>
      <c r="AR4374">
        <v>1</v>
      </c>
      <c r="AS4374">
        <v>2</v>
      </c>
      <c r="AT4374">
        <v>5</v>
      </c>
    </row>
    <row r="4375" spans="1:46">
      <c r="A4375">
        <v>83051</v>
      </c>
      <c r="B4375" t="s">
        <v>23645</v>
      </c>
      <c r="C4375" t="s">
        <v>23646</v>
      </c>
      <c r="E4375" t="s">
        <v>23647</v>
      </c>
      <c r="F4375" t="s">
        <v>3398</v>
      </c>
      <c r="G4375" t="s">
        <v>3382</v>
      </c>
      <c r="H4375" t="s">
        <v>343</v>
      </c>
      <c r="J4375" t="s">
        <v>518</v>
      </c>
      <c r="K4375" t="s">
        <v>519</v>
      </c>
      <c r="L4375" t="s">
        <v>4205</v>
      </c>
      <c r="M4375" t="s">
        <v>2287</v>
      </c>
      <c r="N4375" t="s">
        <v>539</v>
      </c>
      <c r="O4375" t="s">
        <v>3383</v>
      </c>
      <c r="P4375" t="s">
        <v>654</v>
      </c>
      <c r="Q4375" t="s">
        <v>3337</v>
      </c>
      <c r="R4375" t="s">
        <v>3338</v>
      </c>
      <c r="S4375" t="s">
        <v>3382</v>
      </c>
      <c r="T4375" t="s">
        <v>2448</v>
      </c>
      <c r="U4375">
        <v>350900</v>
      </c>
      <c r="V4375" t="s">
        <v>3398</v>
      </c>
      <c r="W4375" t="s">
        <v>1652</v>
      </c>
      <c r="X4375" t="s">
        <v>12058</v>
      </c>
      <c r="Y4375" t="s">
        <v>4208</v>
      </c>
      <c r="Z4375" t="s">
        <v>4209</v>
      </c>
      <c r="AA4375" t="s">
        <v>4210</v>
      </c>
      <c r="AB4375" t="s">
        <v>12059</v>
      </c>
      <c r="AE4375">
        <v>-45.867429620000003</v>
      </c>
      <c r="AF4375">
        <v>170.45832775</v>
      </c>
      <c r="AG4375">
        <v>28</v>
      </c>
      <c r="AH4375">
        <v>8</v>
      </c>
      <c r="AI4375">
        <v>1</v>
      </c>
      <c r="AJ4375">
        <v>3</v>
      </c>
      <c r="AK4375">
        <v>9</v>
      </c>
      <c r="AL4375">
        <v>7</v>
      </c>
      <c r="AM4375">
        <v>5</v>
      </c>
      <c r="AN4375">
        <v>0</v>
      </c>
      <c r="AO4375">
        <v>25</v>
      </c>
      <c r="AP4375">
        <v>0</v>
      </c>
      <c r="AQ4375">
        <v>17</v>
      </c>
      <c r="AR4375">
        <v>3</v>
      </c>
      <c r="AS4375">
        <v>0</v>
      </c>
      <c r="AT4375">
        <v>5</v>
      </c>
    </row>
    <row r="4376" spans="1:46">
      <c r="A4376">
        <v>83054</v>
      </c>
      <c r="B4376" t="s">
        <v>23648</v>
      </c>
      <c r="C4376" t="s">
        <v>23649</v>
      </c>
      <c r="E4376" t="s">
        <v>23650</v>
      </c>
      <c r="G4376" t="s">
        <v>3382</v>
      </c>
      <c r="H4376" t="s">
        <v>3942</v>
      </c>
      <c r="J4376" t="s">
        <v>518</v>
      </c>
      <c r="K4376" t="s">
        <v>519</v>
      </c>
      <c r="M4376" t="s">
        <v>2287</v>
      </c>
      <c r="N4376" t="s">
        <v>571</v>
      </c>
      <c r="O4376" t="s">
        <v>3383</v>
      </c>
      <c r="P4376" t="s">
        <v>654</v>
      </c>
      <c r="Q4376" t="s">
        <v>3337</v>
      </c>
      <c r="R4376" t="s">
        <v>3338</v>
      </c>
      <c r="S4376" t="s">
        <v>3382</v>
      </c>
      <c r="T4376" t="s">
        <v>2448</v>
      </c>
      <c r="U4376">
        <v>353100</v>
      </c>
      <c r="V4376" t="s">
        <v>23598</v>
      </c>
      <c r="W4376" t="s">
        <v>1652</v>
      </c>
      <c r="X4376" t="s">
        <v>23651</v>
      </c>
      <c r="Y4376" t="s">
        <v>7353</v>
      </c>
      <c r="AA4376" t="s">
        <v>7354</v>
      </c>
      <c r="AB4376" t="s">
        <v>23652</v>
      </c>
      <c r="AE4376">
        <v>-45.865703009999997</v>
      </c>
      <c r="AF4376">
        <v>170.51859615999999</v>
      </c>
      <c r="AG4376">
        <v>60</v>
      </c>
      <c r="AH4376">
        <v>20</v>
      </c>
      <c r="AI4376">
        <v>2</v>
      </c>
      <c r="AJ4376">
        <v>5</v>
      </c>
      <c r="AK4376">
        <v>14</v>
      </c>
      <c r="AL4376">
        <v>13</v>
      </c>
      <c r="AM4376">
        <v>9</v>
      </c>
      <c r="AN4376">
        <v>0</v>
      </c>
      <c r="AO4376">
        <v>43</v>
      </c>
      <c r="AP4376">
        <v>32</v>
      </c>
      <c r="AQ4376">
        <v>5</v>
      </c>
      <c r="AR4376">
        <v>2</v>
      </c>
      <c r="AS4376">
        <v>4</v>
      </c>
      <c r="AT4376">
        <v>12</v>
      </c>
    </row>
    <row r="4377" spans="1:46">
      <c r="A4377">
        <v>83055</v>
      </c>
      <c r="B4377" t="s">
        <v>23653</v>
      </c>
      <c r="C4377" t="s">
        <v>23654</v>
      </c>
      <c r="D4377" t="s">
        <v>23655</v>
      </c>
      <c r="E4377" t="s">
        <v>23656</v>
      </c>
      <c r="G4377" t="s">
        <v>3369</v>
      </c>
      <c r="H4377" t="s">
        <v>4716</v>
      </c>
      <c r="J4377" t="s">
        <v>518</v>
      </c>
      <c r="K4377" t="s">
        <v>519</v>
      </c>
      <c r="M4377" t="s">
        <v>2287</v>
      </c>
      <c r="N4377" t="s">
        <v>571</v>
      </c>
      <c r="O4377" t="s">
        <v>3360</v>
      </c>
      <c r="P4377" t="s">
        <v>523</v>
      </c>
      <c r="Q4377" t="s">
        <v>3337</v>
      </c>
      <c r="R4377" t="s">
        <v>3338</v>
      </c>
      <c r="S4377" t="s">
        <v>3250</v>
      </c>
      <c r="T4377" t="s">
        <v>2448</v>
      </c>
      <c r="U4377">
        <v>344900</v>
      </c>
      <c r="V4377" t="s">
        <v>3370</v>
      </c>
      <c r="W4377" t="s">
        <v>3371</v>
      </c>
      <c r="X4377" t="s">
        <v>23657</v>
      </c>
      <c r="Y4377" t="s">
        <v>6369</v>
      </c>
      <c r="Z4377" t="s">
        <v>4555</v>
      </c>
      <c r="AA4377" t="s">
        <v>4556</v>
      </c>
      <c r="AB4377" t="s">
        <v>23658</v>
      </c>
      <c r="AE4377">
        <v>-45.042857009999999</v>
      </c>
      <c r="AF4377">
        <v>169.18666562999999</v>
      </c>
      <c r="AG4377">
        <v>50</v>
      </c>
      <c r="AH4377">
        <v>50</v>
      </c>
      <c r="AI4377">
        <v>0</v>
      </c>
      <c r="AJ4377">
        <v>4</v>
      </c>
      <c r="AK4377">
        <v>7</v>
      </c>
      <c r="AL4377">
        <v>1</v>
      </c>
      <c r="AM4377">
        <v>1</v>
      </c>
      <c r="AN4377">
        <v>0</v>
      </c>
      <c r="AO4377">
        <v>13</v>
      </c>
      <c r="AP4377">
        <v>11</v>
      </c>
      <c r="AQ4377">
        <v>1</v>
      </c>
      <c r="AR4377">
        <v>0</v>
      </c>
      <c r="AS4377">
        <v>2</v>
      </c>
      <c r="AT4377">
        <v>0</v>
      </c>
    </row>
    <row r="4378" spans="1:46">
      <c r="A4378">
        <v>83062</v>
      </c>
      <c r="B4378" t="s">
        <v>23659</v>
      </c>
      <c r="C4378" t="s">
        <v>23660</v>
      </c>
      <c r="D4378" t="s">
        <v>23661</v>
      </c>
      <c r="E4378" t="s">
        <v>23662</v>
      </c>
      <c r="F4378" t="s">
        <v>1340</v>
      </c>
      <c r="G4378" t="s">
        <v>3382</v>
      </c>
      <c r="H4378" t="s">
        <v>3942</v>
      </c>
      <c r="J4378" t="s">
        <v>3962</v>
      </c>
      <c r="K4378" t="s">
        <v>519</v>
      </c>
      <c r="M4378" t="s">
        <v>2287</v>
      </c>
      <c r="N4378" t="s">
        <v>571</v>
      </c>
      <c r="O4378" t="s">
        <v>3383</v>
      </c>
      <c r="P4378" t="s">
        <v>654</v>
      </c>
      <c r="Q4378" t="s">
        <v>3337</v>
      </c>
      <c r="R4378" t="s">
        <v>3338</v>
      </c>
      <c r="S4378" t="s">
        <v>3384</v>
      </c>
      <c r="T4378" t="s">
        <v>2448</v>
      </c>
      <c r="U4378">
        <v>350700</v>
      </c>
      <c r="V4378" t="s">
        <v>23663</v>
      </c>
      <c r="W4378" t="s">
        <v>1652</v>
      </c>
      <c r="X4378" t="s">
        <v>23664</v>
      </c>
      <c r="Y4378" t="s">
        <v>4026</v>
      </c>
      <c r="Z4378" t="s">
        <v>3915</v>
      </c>
      <c r="AA4378" t="s">
        <v>4027</v>
      </c>
      <c r="AB4378" t="s">
        <v>23665</v>
      </c>
      <c r="AE4378">
        <v>-45.900704740000002</v>
      </c>
      <c r="AF4378">
        <v>170.39340687999999</v>
      </c>
      <c r="AG4378">
        <v>25</v>
      </c>
      <c r="AH4378">
        <v>5</v>
      </c>
      <c r="AI4378">
        <v>1</v>
      </c>
      <c r="AJ4378">
        <v>5</v>
      </c>
      <c r="AK4378">
        <v>10</v>
      </c>
      <c r="AL4378">
        <v>6</v>
      </c>
      <c r="AM4378">
        <v>8</v>
      </c>
      <c r="AN4378">
        <v>0</v>
      </c>
      <c r="AO4378">
        <v>30</v>
      </c>
      <c r="AP4378">
        <v>27</v>
      </c>
      <c r="AQ4378">
        <v>7</v>
      </c>
      <c r="AR4378">
        <v>2</v>
      </c>
      <c r="AS4378">
        <v>5</v>
      </c>
      <c r="AT4378">
        <v>1</v>
      </c>
    </row>
    <row r="4379" spans="1:46">
      <c r="A4379">
        <v>83063</v>
      </c>
      <c r="B4379" t="s">
        <v>23666</v>
      </c>
      <c r="C4379" t="s">
        <v>23667</v>
      </c>
      <c r="D4379" t="s">
        <v>23668</v>
      </c>
      <c r="E4379" t="s">
        <v>23669</v>
      </c>
      <c r="G4379" t="s">
        <v>3335</v>
      </c>
      <c r="H4379" t="s">
        <v>3942</v>
      </c>
      <c r="J4379" t="s">
        <v>518</v>
      </c>
      <c r="K4379" t="s">
        <v>519</v>
      </c>
      <c r="M4379" t="s">
        <v>2287</v>
      </c>
      <c r="N4379" t="s">
        <v>571</v>
      </c>
      <c r="O4379" t="s">
        <v>3336</v>
      </c>
      <c r="P4379" t="s">
        <v>1262</v>
      </c>
      <c r="Q4379" t="s">
        <v>3337</v>
      </c>
      <c r="R4379" t="s">
        <v>3338</v>
      </c>
      <c r="S4379" t="s">
        <v>3250</v>
      </c>
      <c r="T4379" t="s">
        <v>2448</v>
      </c>
      <c r="U4379">
        <v>344200</v>
      </c>
      <c r="V4379" t="s">
        <v>13498</v>
      </c>
      <c r="W4379" t="s">
        <v>3340</v>
      </c>
      <c r="X4379" t="s">
        <v>23670</v>
      </c>
      <c r="Y4379" t="s">
        <v>6369</v>
      </c>
      <c r="Z4379" t="s">
        <v>4555</v>
      </c>
      <c r="AA4379" t="s">
        <v>4556</v>
      </c>
      <c r="AC4379">
        <v>99116</v>
      </c>
      <c r="AD4379" t="s">
        <v>23458</v>
      </c>
      <c r="AE4379">
        <v>-45.090026260000002</v>
      </c>
      <c r="AF4379">
        <v>170.97672623</v>
      </c>
      <c r="AG4379">
        <v>44</v>
      </c>
      <c r="AH4379">
        <v>12</v>
      </c>
      <c r="AI4379">
        <v>2</v>
      </c>
      <c r="AJ4379">
        <v>11</v>
      </c>
      <c r="AK4379">
        <v>14</v>
      </c>
      <c r="AL4379">
        <v>13</v>
      </c>
      <c r="AM4379">
        <v>23</v>
      </c>
      <c r="AN4379">
        <v>0</v>
      </c>
      <c r="AO4379">
        <v>63</v>
      </c>
      <c r="AP4379">
        <v>50</v>
      </c>
      <c r="AQ4379">
        <v>22</v>
      </c>
      <c r="AR4379">
        <v>5</v>
      </c>
      <c r="AS4379">
        <v>5</v>
      </c>
      <c r="AT4379">
        <v>1</v>
      </c>
    </row>
    <row r="4380" spans="1:46">
      <c r="A4380">
        <v>83064</v>
      </c>
      <c r="B4380" t="s">
        <v>23671</v>
      </c>
      <c r="C4380" t="s">
        <v>23263</v>
      </c>
      <c r="D4380" t="s">
        <v>23264</v>
      </c>
      <c r="E4380" t="s">
        <v>23265</v>
      </c>
      <c r="F4380" t="s">
        <v>3394</v>
      </c>
      <c r="G4380" t="s">
        <v>3382</v>
      </c>
      <c r="H4380" t="s">
        <v>4716</v>
      </c>
      <c r="J4380" t="s">
        <v>518</v>
      </c>
      <c r="K4380" t="s">
        <v>519</v>
      </c>
      <c r="M4380" t="s">
        <v>2287</v>
      </c>
      <c r="N4380" t="s">
        <v>571</v>
      </c>
      <c r="O4380" t="s">
        <v>3383</v>
      </c>
      <c r="P4380" t="s">
        <v>654</v>
      </c>
      <c r="Q4380" t="s">
        <v>3337</v>
      </c>
      <c r="R4380" t="s">
        <v>3338</v>
      </c>
      <c r="S4380" t="s">
        <v>3384</v>
      </c>
      <c r="T4380" t="s">
        <v>2448</v>
      </c>
      <c r="U4380">
        <v>355300</v>
      </c>
      <c r="V4380" t="s">
        <v>3394</v>
      </c>
      <c r="W4380" t="s">
        <v>1652</v>
      </c>
      <c r="X4380" t="s">
        <v>23266</v>
      </c>
      <c r="Y4380" t="s">
        <v>23265</v>
      </c>
      <c r="Z4380" t="s">
        <v>3394</v>
      </c>
      <c r="AA4380" t="s">
        <v>15793</v>
      </c>
      <c r="AB4380" t="s">
        <v>23263</v>
      </c>
      <c r="AE4380">
        <v>-45.898087140000001</v>
      </c>
      <c r="AF4380">
        <v>170.51626386999999</v>
      </c>
      <c r="AG4380">
        <v>80</v>
      </c>
      <c r="AH4380">
        <v>80</v>
      </c>
      <c r="AI4380">
        <v>1</v>
      </c>
      <c r="AJ4380">
        <v>15</v>
      </c>
      <c r="AK4380">
        <v>22</v>
      </c>
      <c r="AL4380">
        <v>18</v>
      </c>
      <c r="AM4380">
        <v>14</v>
      </c>
      <c r="AN4380">
        <v>1</v>
      </c>
      <c r="AO4380">
        <v>71</v>
      </c>
      <c r="AP4380">
        <v>58</v>
      </c>
      <c r="AQ4380">
        <v>21</v>
      </c>
      <c r="AR4380">
        <v>2</v>
      </c>
      <c r="AS4380">
        <v>8</v>
      </c>
      <c r="AT4380">
        <v>1</v>
      </c>
    </row>
    <row r="4381" spans="1:46">
      <c r="A4381">
        <v>83065</v>
      </c>
      <c r="B4381" t="s">
        <v>23672</v>
      </c>
      <c r="C4381" t="s">
        <v>23673</v>
      </c>
      <c r="D4381" t="s">
        <v>23674</v>
      </c>
      <c r="E4381" t="s">
        <v>23675</v>
      </c>
      <c r="F4381" t="s">
        <v>14304</v>
      </c>
      <c r="G4381" t="s">
        <v>3382</v>
      </c>
      <c r="H4381" t="s">
        <v>3942</v>
      </c>
      <c r="J4381" t="s">
        <v>518</v>
      </c>
      <c r="K4381" t="s">
        <v>519</v>
      </c>
      <c r="M4381" t="s">
        <v>2287</v>
      </c>
      <c r="N4381" t="s">
        <v>571</v>
      </c>
      <c r="O4381" t="s">
        <v>3383</v>
      </c>
      <c r="P4381" t="s">
        <v>654</v>
      </c>
      <c r="Q4381" t="s">
        <v>3337</v>
      </c>
      <c r="R4381" t="s">
        <v>3338</v>
      </c>
      <c r="S4381" t="s">
        <v>3382</v>
      </c>
      <c r="T4381" t="s">
        <v>2448</v>
      </c>
      <c r="U4381">
        <v>353701</v>
      </c>
      <c r="V4381" t="s">
        <v>23676</v>
      </c>
      <c r="W4381" t="s">
        <v>1652</v>
      </c>
      <c r="X4381" t="s">
        <v>23599</v>
      </c>
      <c r="Y4381" t="s">
        <v>23600</v>
      </c>
      <c r="Z4381" t="s">
        <v>3437</v>
      </c>
      <c r="AA4381" t="s">
        <v>23601</v>
      </c>
      <c r="AC4381">
        <v>99208</v>
      </c>
      <c r="AD4381" t="s">
        <v>3428</v>
      </c>
      <c r="AE4381">
        <v>-45.867574820000002</v>
      </c>
      <c r="AF4381">
        <v>170.52079327999999</v>
      </c>
      <c r="AG4381">
        <v>32</v>
      </c>
      <c r="AH4381">
        <v>10</v>
      </c>
      <c r="AI4381">
        <v>2</v>
      </c>
      <c r="AJ4381">
        <v>7</v>
      </c>
      <c r="AK4381">
        <v>4</v>
      </c>
      <c r="AL4381">
        <v>7</v>
      </c>
      <c r="AM4381">
        <v>6</v>
      </c>
      <c r="AN4381">
        <v>2</v>
      </c>
      <c r="AO4381">
        <v>28</v>
      </c>
      <c r="AP4381">
        <v>21</v>
      </c>
      <c r="AQ4381">
        <v>2</v>
      </c>
      <c r="AR4381">
        <v>2</v>
      </c>
      <c r="AS4381">
        <v>6</v>
      </c>
      <c r="AT4381">
        <v>0</v>
      </c>
    </row>
    <row r="4382" spans="1:46">
      <c r="A4382">
        <v>83066</v>
      </c>
      <c r="B4382" t="s">
        <v>23677</v>
      </c>
      <c r="C4382" t="s">
        <v>23678</v>
      </c>
      <c r="E4382" t="s">
        <v>23679</v>
      </c>
      <c r="F4382" t="s">
        <v>3450</v>
      </c>
      <c r="G4382" t="s">
        <v>3382</v>
      </c>
      <c r="H4382" t="s">
        <v>343</v>
      </c>
      <c r="J4382" t="s">
        <v>518</v>
      </c>
      <c r="K4382" t="s">
        <v>519</v>
      </c>
      <c r="L4382" t="s">
        <v>4205</v>
      </c>
      <c r="M4382" t="s">
        <v>2287</v>
      </c>
      <c r="N4382" t="s">
        <v>539</v>
      </c>
      <c r="O4382" t="s">
        <v>3383</v>
      </c>
      <c r="P4382" t="s">
        <v>654</v>
      </c>
      <c r="Q4382" t="s">
        <v>3337</v>
      </c>
      <c r="R4382" t="s">
        <v>3338</v>
      </c>
      <c r="S4382" t="s">
        <v>3384</v>
      </c>
      <c r="T4382" t="s">
        <v>2448</v>
      </c>
      <c r="U4382">
        <v>354200</v>
      </c>
      <c r="V4382" t="s">
        <v>3450</v>
      </c>
      <c r="W4382" t="s">
        <v>1652</v>
      </c>
      <c r="X4382" t="s">
        <v>12058</v>
      </c>
      <c r="Y4382" t="s">
        <v>4208</v>
      </c>
      <c r="Z4382" t="s">
        <v>4209</v>
      </c>
      <c r="AA4382" t="s">
        <v>4210</v>
      </c>
      <c r="AB4382" t="s">
        <v>12059</v>
      </c>
      <c r="AE4382">
        <v>-45.895078439999999</v>
      </c>
      <c r="AF4382">
        <v>170.48439338</v>
      </c>
      <c r="AG4382">
        <v>30</v>
      </c>
      <c r="AH4382">
        <v>10</v>
      </c>
      <c r="AI4382">
        <v>0</v>
      </c>
      <c r="AJ4382">
        <v>3</v>
      </c>
      <c r="AK4382">
        <v>7</v>
      </c>
      <c r="AL4382">
        <v>10</v>
      </c>
      <c r="AM4382">
        <v>9</v>
      </c>
      <c r="AN4382">
        <v>0</v>
      </c>
      <c r="AO4382">
        <v>29</v>
      </c>
      <c r="AP4382">
        <v>0</v>
      </c>
      <c r="AQ4382">
        <v>26</v>
      </c>
      <c r="AR4382">
        <v>2</v>
      </c>
      <c r="AS4382">
        <v>0</v>
      </c>
      <c r="AT4382">
        <v>1</v>
      </c>
    </row>
    <row r="4383" spans="1:46">
      <c r="A4383">
        <v>83068</v>
      </c>
      <c r="B4383" t="s">
        <v>23680</v>
      </c>
      <c r="C4383" t="s">
        <v>23681</v>
      </c>
      <c r="E4383" t="s">
        <v>23682</v>
      </c>
      <c r="G4383" t="s">
        <v>3382</v>
      </c>
      <c r="H4383" t="s">
        <v>4032</v>
      </c>
      <c r="I4383" t="s">
        <v>4033</v>
      </c>
      <c r="J4383" t="s">
        <v>518</v>
      </c>
      <c r="K4383" t="s">
        <v>519</v>
      </c>
      <c r="M4383" t="s">
        <v>2287</v>
      </c>
      <c r="N4383" t="s">
        <v>727</v>
      </c>
      <c r="O4383" t="s">
        <v>3383</v>
      </c>
      <c r="P4383" t="s">
        <v>654</v>
      </c>
      <c r="Q4383" t="s">
        <v>3337</v>
      </c>
      <c r="R4383" t="s">
        <v>3338</v>
      </c>
      <c r="S4383" t="s">
        <v>3382</v>
      </c>
      <c r="T4383" t="s">
        <v>2448</v>
      </c>
      <c r="U4383">
        <v>353200</v>
      </c>
      <c r="V4383" t="s">
        <v>3438</v>
      </c>
      <c r="W4383" t="s">
        <v>1652</v>
      </c>
      <c r="X4383" t="s">
        <v>23683</v>
      </c>
      <c r="Y4383" t="s">
        <v>23684</v>
      </c>
      <c r="AA4383" t="s">
        <v>23685</v>
      </c>
      <c r="AB4383" t="s">
        <v>23686</v>
      </c>
      <c r="AE4383">
        <v>-45.869029159999997</v>
      </c>
      <c r="AF4383">
        <v>170.50846361000001</v>
      </c>
      <c r="AG4383">
        <v>10</v>
      </c>
      <c r="AH4383">
        <v>6</v>
      </c>
    </row>
    <row r="4384" spans="1:46">
      <c r="A4384">
        <v>83069</v>
      </c>
      <c r="B4384" t="s">
        <v>23687</v>
      </c>
      <c r="C4384" t="s">
        <v>23688</v>
      </c>
      <c r="D4384" t="s">
        <v>23689</v>
      </c>
      <c r="E4384" t="s">
        <v>23690</v>
      </c>
      <c r="F4384" t="s">
        <v>3446</v>
      </c>
      <c r="G4384" t="s">
        <v>3382</v>
      </c>
      <c r="H4384" t="s">
        <v>3942</v>
      </c>
      <c r="I4384" t="s">
        <v>4165</v>
      </c>
      <c r="J4384" t="s">
        <v>518</v>
      </c>
      <c r="K4384" t="s">
        <v>519</v>
      </c>
      <c r="M4384" t="s">
        <v>2287</v>
      </c>
      <c r="N4384" t="s">
        <v>727</v>
      </c>
      <c r="O4384" t="s">
        <v>3383</v>
      </c>
      <c r="P4384" t="s">
        <v>654</v>
      </c>
      <c r="Q4384" t="s">
        <v>3337</v>
      </c>
      <c r="R4384" t="s">
        <v>3338</v>
      </c>
      <c r="S4384" t="s">
        <v>3384</v>
      </c>
      <c r="T4384" t="s">
        <v>2448</v>
      </c>
      <c r="U4384">
        <v>354701</v>
      </c>
      <c r="V4384" t="s">
        <v>3446</v>
      </c>
      <c r="W4384" t="s">
        <v>1652</v>
      </c>
      <c r="X4384" t="s">
        <v>23691</v>
      </c>
      <c r="Y4384" t="s">
        <v>23692</v>
      </c>
      <c r="Z4384" t="s">
        <v>3414</v>
      </c>
      <c r="AA4384" t="s">
        <v>23693</v>
      </c>
      <c r="AE4384">
        <v>-45.895820430000001</v>
      </c>
      <c r="AF4384">
        <v>170.50260716</v>
      </c>
      <c r="AG4384">
        <v>55</v>
      </c>
      <c r="AH4384">
        <v>15</v>
      </c>
      <c r="AI4384">
        <v>3</v>
      </c>
      <c r="AJ4384">
        <v>10</v>
      </c>
      <c r="AK4384">
        <v>15</v>
      </c>
      <c r="AL4384">
        <v>11</v>
      </c>
      <c r="AM4384">
        <v>10</v>
      </c>
      <c r="AN4384">
        <v>0</v>
      </c>
      <c r="AO4384">
        <v>49</v>
      </c>
      <c r="AP4384">
        <v>16</v>
      </c>
      <c r="AQ4384">
        <v>12</v>
      </c>
      <c r="AR4384">
        <v>45</v>
      </c>
      <c r="AS4384">
        <v>0</v>
      </c>
      <c r="AT4384">
        <v>0</v>
      </c>
    </row>
    <row r="4385" spans="1:46">
      <c r="A4385">
        <v>83073</v>
      </c>
      <c r="B4385" t="s">
        <v>23694</v>
      </c>
      <c r="C4385" t="s">
        <v>23695</v>
      </c>
      <c r="D4385" t="s">
        <v>23696</v>
      </c>
      <c r="E4385" t="s">
        <v>23697</v>
      </c>
      <c r="F4385" t="s">
        <v>23698</v>
      </c>
      <c r="G4385" t="s">
        <v>3498</v>
      </c>
      <c r="H4385" t="s">
        <v>3942</v>
      </c>
      <c r="J4385" t="s">
        <v>3962</v>
      </c>
      <c r="K4385" t="s">
        <v>519</v>
      </c>
      <c r="M4385" t="s">
        <v>2287</v>
      </c>
      <c r="N4385" t="s">
        <v>571</v>
      </c>
      <c r="O4385" t="s">
        <v>3496</v>
      </c>
      <c r="P4385" t="s">
        <v>584</v>
      </c>
      <c r="Q4385" t="s">
        <v>3497</v>
      </c>
      <c r="R4385" t="s">
        <v>3338</v>
      </c>
      <c r="S4385" t="s">
        <v>3498</v>
      </c>
      <c r="T4385" t="s">
        <v>2448</v>
      </c>
      <c r="U4385">
        <v>361100</v>
      </c>
      <c r="V4385" t="s">
        <v>3614</v>
      </c>
      <c r="W4385" t="s">
        <v>1652</v>
      </c>
      <c r="X4385" t="s">
        <v>23699</v>
      </c>
      <c r="Y4385" t="s">
        <v>23697</v>
      </c>
      <c r="Z4385" t="s">
        <v>3498</v>
      </c>
      <c r="AA4385" t="s">
        <v>11903</v>
      </c>
      <c r="AB4385" t="s">
        <v>23695</v>
      </c>
      <c r="AE4385">
        <v>-46.392725220000003</v>
      </c>
      <c r="AF4385">
        <v>168.34861622</v>
      </c>
      <c r="AG4385">
        <v>66</v>
      </c>
      <c r="AH4385">
        <v>24</v>
      </c>
      <c r="AI4385">
        <v>3</v>
      </c>
      <c r="AJ4385">
        <v>29</v>
      </c>
      <c r="AK4385">
        <v>24</v>
      </c>
      <c r="AL4385">
        <v>17</v>
      </c>
      <c r="AM4385">
        <v>17</v>
      </c>
      <c r="AN4385">
        <v>0</v>
      </c>
      <c r="AO4385">
        <v>90</v>
      </c>
      <c r="AP4385">
        <v>89</v>
      </c>
      <c r="AQ4385">
        <v>10</v>
      </c>
      <c r="AR4385">
        <v>0</v>
      </c>
      <c r="AS4385">
        <v>3</v>
      </c>
      <c r="AT4385">
        <v>0</v>
      </c>
    </row>
    <row r="4386" spans="1:46">
      <c r="A4386">
        <v>83074</v>
      </c>
      <c r="B4386" t="s">
        <v>23700</v>
      </c>
      <c r="C4386" t="s">
        <v>23701</v>
      </c>
      <c r="D4386" t="s">
        <v>23702</v>
      </c>
      <c r="E4386" t="s">
        <v>23703</v>
      </c>
      <c r="G4386" t="s">
        <v>3480</v>
      </c>
      <c r="H4386" t="s">
        <v>3942</v>
      </c>
      <c r="J4386" t="s">
        <v>3962</v>
      </c>
      <c r="K4386" t="s">
        <v>519</v>
      </c>
      <c r="M4386" t="s">
        <v>2287</v>
      </c>
      <c r="N4386" t="s">
        <v>571</v>
      </c>
      <c r="O4386" t="s">
        <v>3481</v>
      </c>
      <c r="P4386" t="s">
        <v>523</v>
      </c>
      <c r="Q4386" t="s">
        <v>3337</v>
      </c>
      <c r="R4386" t="s">
        <v>3338</v>
      </c>
      <c r="S4386" t="s">
        <v>3384</v>
      </c>
      <c r="T4386" t="s">
        <v>2448</v>
      </c>
      <c r="U4386">
        <v>356500</v>
      </c>
      <c r="V4386" t="s">
        <v>3482</v>
      </c>
      <c r="W4386" t="s">
        <v>3483</v>
      </c>
      <c r="X4386" t="s">
        <v>23704</v>
      </c>
      <c r="Y4386" t="s">
        <v>23703</v>
      </c>
      <c r="Z4386" t="s">
        <v>23705</v>
      </c>
      <c r="AA4386" t="s">
        <v>23706</v>
      </c>
      <c r="AB4386" t="s">
        <v>23707</v>
      </c>
      <c r="AC4386">
        <v>99080</v>
      </c>
      <c r="AD4386" t="s">
        <v>3486</v>
      </c>
      <c r="AE4386">
        <v>-46.246239189999997</v>
      </c>
      <c r="AF4386">
        <v>169.71582758</v>
      </c>
      <c r="AG4386">
        <v>62</v>
      </c>
      <c r="AH4386">
        <v>16</v>
      </c>
      <c r="AI4386">
        <v>4</v>
      </c>
      <c r="AJ4386">
        <v>13</v>
      </c>
      <c r="AK4386">
        <v>23</v>
      </c>
      <c r="AL4386">
        <v>27</v>
      </c>
      <c r="AM4386">
        <v>23</v>
      </c>
      <c r="AN4386">
        <v>0</v>
      </c>
      <c r="AO4386">
        <v>90</v>
      </c>
      <c r="AP4386">
        <v>87</v>
      </c>
      <c r="AQ4386">
        <v>14</v>
      </c>
      <c r="AR4386">
        <v>1</v>
      </c>
      <c r="AS4386">
        <v>1</v>
      </c>
      <c r="AT4386">
        <v>0</v>
      </c>
    </row>
    <row r="4387" spans="1:46">
      <c r="A4387">
        <v>83076</v>
      </c>
      <c r="B4387" t="s">
        <v>23708</v>
      </c>
      <c r="C4387" t="s">
        <v>23709</v>
      </c>
      <c r="D4387" t="s">
        <v>23710</v>
      </c>
      <c r="E4387" t="s">
        <v>23711</v>
      </c>
      <c r="G4387" t="s">
        <v>23712</v>
      </c>
      <c r="H4387" t="s">
        <v>3942</v>
      </c>
      <c r="J4387" t="s">
        <v>518</v>
      </c>
      <c r="K4387" t="s">
        <v>519</v>
      </c>
      <c r="M4387" t="s">
        <v>2287</v>
      </c>
      <c r="N4387" t="s">
        <v>571</v>
      </c>
      <c r="O4387" t="s">
        <v>3336</v>
      </c>
      <c r="P4387" t="s">
        <v>540</v>
      </c>
      <c r="Q4387" t="s">
        <v>2943</v>
      </c>
      <c r="R4387" t="s">
        <v>3338</v>
      </c>
      <c r="S4387" t="s">
        <v>3250</v>
      </c>
      <c r="T4387" t="s">
        <v>2448</v>
      </c>
      <c r="U4387">
        <v>343300</v>
      </c>
      <c r="V4387" t="s">
        <v>23713</v>
      </c>
      <c r="W4387" t="s">
        <v>3736</v>
      </c>
      <c r="X4387" t="s">
        <v>23714</v>
      </c>
      <c r="Y4387" t="s">
        <v>23711</v>
      </c>
      <c r="AA4387" t="s">
        <v>23715</v>
      </c>
      <c r="AB4387" t="s">
        <v>23716</v>
      </c>
      <c r="AE4387">
        <v>-44.743230879999999</v>
      </c>
      <c r="AF4387">
        <v>170.46361644000001</v>
      </c>
      <c r="AG4387">
        <v>40</v>
      </c>
      <c r="AH4387">
        <v>12</v>
      </c>
      <c r="AI4387">
        <v>1</v>
      </c>
      <c r="AJ4387">
        <v>2</v>
      </c>
      <c r="AK4387">
        <v>8</v>
      </c>
      <c r="AL4387">
        <v>14</v>
      </c>
      <c r="AM4387">
        <v>15</v>
      </c>
      <c r="AN4387">
        <v>0</v>
      </c>
      <c r="AO4387">
        <v>40</v>
      </c>
      <c r="AP4387">
        <v>38</v>
      </c>
      <c r="AQ4387">
        <v>4</v>
      </c>
      <c r="AR4387">
        <v>0</v>
      </c>
      <c r="AS4387">
        <v>1</v>
      </c>
      <c r="AT4387">
        <v>1</v>
      </c>
    </row>
    <row r="4388" spans="1:46">
      <c r="A4388">
        <v>83077</v>
      </c>
      <c r="B4388" t="s">
        <v>23717</v>
      </c>
      <c r="C4388" t="s">
        <v>23718</v>
      </c>
      <c r="E4388" t="s">
        <v>23719</v>
      </c>
      <c r="F4388" t="s">
        <v>23720</v>
      </c>
      <c r="G4388" t="s">
        <v>3335</v>
      </c>
      <c r="H4388" t="s">
        <v>3942</v>
      </c>
      <c r="J4388" t="s">
        <v>518</v>
      </c>
      <c r="K4388" t="s">
        <v>519</v>
      </c>
      <c r="M4388" t="s">
        <v>2287</v>
      </c>
      <c r="N4388" t="s">
        <v>557</v>
      </c>
      <c r="O4388" t="s">
        <v>3336</v>
      </c>
      <c r="P4388" t="s">
        <v>1262</v>
      </c>
      <c r="Q4388" t="s">
        <v>3337</v>
      </c>
      <c r="R4388" t="s">
        <v>3338</v>
      </c>
      <c r="S4388" t="s">
        <v>3250</v>
      </c>
      <c r="T4388" t="s">
        <v>2448</v>
      </c>
      <c r="U4388">
        <v>344200</v>
      </c>
      <c r="V4388" t="s">
        <v>13498</v>
      </c>
      <c r="W4388" t="s">
        <v>3340</v>
      </c>
      <c r="X4388" t="s">
        <v>11085</v>
      </c>
      <c r="Y4388" t="s">
        <v>3944</v>
      </c>
      <c r="Z4388" t="s">
        <v>3945</v>
      </c>
      <c r="AA4388" t="s">
        <v>3946</v>
      </c>
      <c r="AC4388">
        <v>99116</v>
      </c>
      <c r="AD4388" t="s">
        <v>23458</v>
      </c>
      <c r="AE4388">
        <v>-45.092529550000002</v>
      </c>
      <c r="AF4388">
        <v>170.97465756</v>
      </c>
      <c r="AG4388">
        <v>35</v>
      </c>
      <c r="AH4388">
        <v>0</v>
      </c>
      <c r="AI4388">
        <v>0</v>
      </c>
      <c r="AJ4388">
        <v>0</v>
      </c>
      <c r="AK4388">
        <v>8</v>
      </c>
      <c r="AL4388">
        <v>23</v>
      </c>
      <c r="AM4388">
        <v>18</v>
      </c>
      <c r="AN4388">
        <v>0</v>
      </c>
      <c r="AO4388">
        <v>49</v>
      </c>
      <c r="AP4388">
        <v>40</v>
      </c>
      <c r="AQ4388">
        <v>6</v>
      </c>
      <c r="AR4388">
        <v>3</v>
      </c>
      <c r="AS4388">
        <v>5</v>
      </c>
      <c r="AT4388">
        <v>2</v>
      </c>
    </row>
    <row r="4389" spans="1:46">
      <c r="A4389">
        <v>83078</v>
      </c>
      <c r="B4389" t="s">
        <v>23721</v>
      </c>
      <c r="C4389" t="s">
        <v>23722</v>
      </c>
      <c r="D4389" t="s">
        <v>23641</v>
      </c>
      <c r="E4389" t="s">
        <v>23723</v>
      </c>
      <c r="F4389" t="s">
        <v>3432</v>
      </c>
      <c r="G4389" t="s">
        <v>3382</v>
      </c>
      <c r="H4389" t="s">
        <v>3942</v>
      </c>
      <c r="J4389" t="s">
        <v>3962</v>
      </c>
      <c r="K4389" t="s">
        <v>519</v>
      </c>
      <c r="M4389" t="s">
        <v>2287</v>
      </c>
      <c r="N4389" t="s">
        <v>571</v>
      </c>
      <c r="O4389" t="s">
        <v>3383</v>
      </c>
      <c r="P4389" t="s">
        <v>654</v>
      </c>
      <c r="Q4389" t="s">
        <v>3337</v>
      </c>
      <c r="R4389" t="s">
        <v>3338</v>
      </c>
      <c r="S4389" t="s">
        <v>3382</v>
      </c>
      <c r="T4389" t="s">
        <v>2448</v>
      </c>
      <c r="U4389">
        <v>351000</v>
      </c>
      <c r="V4389" t="s">
        <v>3433</v>
      </c>
      <c r="W4389" t="s">
        <v>1652</v>
      </c>
      <c r="X4389" t="s">
        <v>16681</v>
      </c>
      <c r="Y4389" t="s">
        <v>16682</v>
      </c>
      <c r="Z4389" t="s">
        <v>3432</v>
      </c>
      <c r="AA4389" t="s">
        <v>11560</v>
      </c>
      <c r="AB4389" t="s">
        <v>16683</v>
      </c>
      <c r="AE4389">
        <v>-45.863016459999997</v>
      </c>
      <c r="AF4389">
        <v>170.48709375000001</v>
      </c>
      <c r="AG4389">
        <v>20</v>
      </c>
      <c r="AH4389">
        <v>5</v>
      </c>
      <c r="AI4389">
        <v>0</v>
      </c>
      <c r="AJ4389">
        <v>1</v>
      </c>
      <c r="AK4389">
        <v>21</v>
      </c>
      <c r="AL4389">
        <v>1</v>
      </c>
      <c r="AM4389">
        <v>0</v>
      </c>
      <c r="AN4389">
        <v>0</v>
      </c>
      <c r="AO4389">
        <v>23</v>
      </c>
      <c r="AP4389">
        <v>17</v>
      </c>
      <c r="AQ4389">
        <v>0</v>
      </c>
      <c r="AR4389">
        <v>0</v>
      </c>
      <c r="AS4389">
        <v>7</v>
      </c>
      <c r="AT4389">
        <v>0</v>
      </c>
    </row>
    <row r="4390" spans="1:46">
      <c r="A4390">
        <v>90000</v>
      </c>
      <c r="B4390" t="s">
        <v>23724</v>
      </c>
      <c r="C4390" t="s">
        <v>23725</v>
      </c>
      <c r="D4390" t="s">
        <v>23726</v>
      </c>
      <c r="E4390" t="s">
        <v>23727</v>
      </c>
      <c r="G4390" t="s">
        <v>23728</v>
      </c>
      <c r="H4390" t="s">
        <v>298</v>
      </c>
      <c r="J4390" t="s">
        <v>518</v>
      </c>
      <c r="K4390" t="s">
        <v>519</v>
      </c>
      <c r="M4390" t="s">
        <v>2287</v>
      </c>
      <c r="N4390" t="s">
        <v>571</v>
      </c>
      <c r="O4390" t="s">
        <v>3527</v>
      </c>
      <c r="P4390" t="s">
        <v>540</v>
      </c>
      <c r="Q4390" t="s">
        <v>3497</v>
      </c>
      <c r="R4390" t="s">
        <v>3338</v>
      </c>
      <c r="S4390" t="s">
        <v>3361</v>
      </c>
      <c r="T4390" t="s">
        <v>2448</v>
      </c>
      <c r="U4390">
        <v>358200</v>
      </c>
      <c r="V4390" t="s">
        <v>17966</v>
      </c>
      <c r="W4390" t="s">
        <v>3529</v>
      </c>
      <c r="X4390" t="s">
        <v>11077</v>
      </c>
      <c r="Y4390" t="s">
        <v>5187</v>
      </c>
      <c r="AA4390" t="s">
        <v>5188</v>
      </c>
      <c r="AB4390" t="s">
        <v>11078</v>
      </c>
      <c r="AC4390">
        <v>99041</v>
      </c>
      <c r="AD4390" t="s">
        <v>3530</v>
      </c>
      <c r="AE4390">
        <v>-45.842365700000002</v>
      </c>
      <c r="AF4390">
        <v>168.58596255</v>
      </c>
      <c r="AG4390">
        <v>30</v>
      </c>
      <c r="AH4390">
        <v>15</v>
      </c>
      <c r="AI4390">
        <v>0</v>
      </c>
      <c r="AJ4390">
        <v>1</v>
      </c>
      <c r="AK4390">
        <v>2</v>
      </c>
      <c r="AL4390">
        <v>8</v>
      </c>
      <c r="AM4390">
        <v>0</v>
      </c>
      <c r="AN4390">
        <v>0</v>
      </c>
      <c r="AO4390">
        <v>11</v>
      </c>
      <c r="AP4390">
        <v>11</v>
      </c>
      <c r="AQ4390">
        <v>1</v>
      </c>
      <c r="AR4390">
        <v>0</v>
      </c>
      <c r="AS4390">
        <v>0</v>
      </c>
      <c r="AT4390">
        <v>0</v>
      </c>
    </row>
    <row r="4391" spans="1:46">
      <c r="A4391">
        <v>90007</v>
      </c>
      <c r="B4391" t="s">
        <v>23729</v>
      </c>
      <c r="C4391" t="s">
        <v>23730</v>
      </c>
      <c r="D4391" t="s">
        <v>23731</v>
      </c>
      <c r="E4391" t="s">
        <v>23732</v>
      </c>
      <c r="G4391" t="s">
        <v>23733</v>
      </c>
      <c r="H4391" t="s">
        <v>298</v>
      </c>
      <c r="J4391" t="s">
        <v>518</v>
      </c>
      <c r="K4391" t="s">
        <v>519</v>
      </c>
      <c r="M4391" t="s">
        <v>2287</v>
      </c>
      <c r="N4391" t="s">
        <v>571</v>
      </c>
      <c r="O4391" t="s">
        <v>3496</v>
      </c>
      <c r="P4391" t="s">
        <v>572</v>
      </c>
      <c r="Q4391" t="s">
        <v>3497</v>
      </c>
      <c r="R4391" t="s">
        <v>3338</v>
      </c>
      <c r="S4391" t="s">
        <v>3498</v>
      </c>
      <c r="T4391" t="s">
        <v>2448</v>
      </c>
      <c r="U4391">
        <v>360500</v>
      </c>
      <c r="V4391" t="s">
        <v>23734</v>
      </c>
      <c r="W4391" t="s">
        <v>1652</v>
      </c>
      <c r="X4391" t="s">
        <v>11077</v>
      </c>
      <c r="Y4391" t="s">
        <v>5187</v>
      </c>
      <c r="AA4391" t="s">
        <v>5188</v>
      </c>
      <c r="AB4391" t="s">
        <v>11078</v>
      </c>
      <c r="AE4391">
        <v>-46.329175149999998</v>
      </c>
      <c r="AF4391">
        <v>168.34890218999999</v>
      </c>
      <c r="AG4391">
        <v>30</v>
      </c>
      <c r="AH4391">
        <v>10</v>
      </c>
      <c r="AI4391">
        <v>0</v>
      </c>
      <c r="AJ4391">
        <v>3</v>
      </c>
      <c r="AK4391">
        <v>2</v>
      </c>
      <c r="AL4391">
        <v>2</v>
      </c>
      <c r="AM4391">
        <v>3</v>
      </c>
      <c r="AN4391">
        <v>0</v>
      </c>
      <c r="AO4391">
        <v>10</v>
      </c>
      <c r="AP4391">
        <v>8</v>
      </c>
      <c r="AQ4391">
        <v>2</v>
      </c>
      <c r="AR4391">
        <v>0</v>
      </c>
      <c r="AS4391">
        <v>1</v>
      </c>
      <c r="AT4391">
        <v>0</v>
      </c>
    </row>
    <row r="4392" spans="1:46">
      <c r="A4392">
        <v>90010</v>
      </c>
      <c r="B4392" t="s">
        <v>21906</v>
      </c>
      <c r="C4392" t="s">
        <v>11078</v>
      </c>
      <c r="E4392" t="s">
        <v>23735</v>
      </c>
      <c r="G4392" t="s">
        <v>3498</v>
      </c>
      <c r="H4392" t="s">
        <v>298</v>
      </c>
      <c r="J4392" t="s">
        <v>518</v>
      </c>
      <c r="K4392" t="s">
        <v>519</v>
      </c>
      <c r="M4392" t="s">
        <v>2287</v>
      </c>
      <c r="N4392" t="s">
        <v>571</v>
      </c>
      <c r="O4392" t="s">
        <v>3496</v>
      </c>
      <c r="P4392" t="s">
        <v>584</v>
      </c>
      <c r="Q4392" t="s">
        <v>3497</v>
      </c>
      <c r="R4392" t="s">
        <v>3338</v>
      </c>
      <c r="S4392" t="s">
        <v>3498</v>
      </c>
      <c r="T4392" t="s">
        <v>2448</v>
      </c>
      <c r="U4392">
        <v>361601</v>
      </c>
      <c r="V4392" t="s">
        <v>3550</v>
      </c>
      <c r="W4392" t="s">
        <v>1652</v>
      </c>
      <c r="X4392" t="s">
        <v>11077</v>
      </c>
      <c r="Y4392" t="s">
        <v>5187</v>
      </c>
      <c r="AA4392" t="s">
        <v>5188</v>
      </c>
      <c r="AB4392" t="s">
        <v>11078</v>
      </c>
      <c r="AE4392">
        <v>-46.4070167</v>
      </c>
      <c r="AF4392">
        <v>168.36262289999999</v>
      </c>
      <c r="AG4392">
        <v>30</v>
      </c>
      <c r="AH4392">
        <v>15</v>
      </c>
      <c r="AI4392">
        <v>1</v>
      </c>
      <c r="AJ4392">
        <v>1</v>
      </c>
      <c r="AK4392">
        <v>6</v>
      </c>
      <c r="AL4392">
        <v>2</v>
      </c>
      <c r="AM4392">
        <v>6</v>
      </c>
      <c r="AN4392">
        <v>0</v>
      </c>
      <c r="AO4392">
        <v>16</v>
      </c>
      <c r="AP4392">
        <v>16</v>
      </c>
      <c r="AQ4392">
        <v>1</v>
      </c>
      <c r="AR4392">
        <v>0</v>
      </c>
      <c r="AS4392">
        <v>1</v>
      </c>
      <c r="AT4392">
        <v>0</v>
      </c>
    </row>
    <row r="4393" spans="1:46">
      <c r="A4393">
        <v>90014</v>
      </c>
      <c r="B4393" t="s">
        <v>23736</v>
      </c>
      <c r="C4393" t="s">
        <v>23725</v>
      </c>
      <c r="D4393" t="s">
        <v>23737</v>
      </c>
      <c r="E4393" t="s">
        <v>23738</v>
      </c>
      <c r="G4393" t="s">
        <v>23739</v>
      </c>
      <c r="H4393" t="s">
        <v>298</v>
      </c>
      <c r="J4393" t="s">
        <v>518</v>
      </c>
      <c r="K4393" t="s">
        <v>519</v>
      </c>
      <c r="M4393" t="s">
        <v>2287</v>
      </c>
      <c r="N4393" t="s">
        <v>521</v>
      </c>
      <c r="O4393" t="s">
        <v>3527</v>
      </c>
      <c r="P4393" t="s">
        <v>540</v>
      </c>
      <c r="Q4393" t="s">
        <v>3497</v>
      </c>
      <c r="R4393" t="s">
        <v>3338</v>
      </c>
      <c r="S4393" t="s">
        <v>3498</v>
      </c>
      <c r="T4393" t="s">
        <v>2448</v>
      </c>
      <c r="U4393">
        <v>358000</v>
      </c>
      <c r="V4393" t="s">
        <v>23740</v>
      </c>
      <c r="W4393" t="s">
        <v>3575</v>
      </c>
      <c r="X4393" t="s">
        <v>11077</v>
      </c>
      <c r="Y4393" t="s">
        <v>5187</v>
      </c>
      <c r="AA4393" t="s">
        <v>5188</v>
      </c>
      <c r="AB4393" t="s">
        <v>11078</v>
      </c>
      <c r="AE4393">
        <v>-45.934334339999999</v>
      </c>
      <c r="AF4393">
        <v>167.95326360999999</v>
      </c>
      <c r="AG4393">
        <v>25</v>
      </c>
      <c r="AH4393">
        <v>15</v>
      </c>
      <c r="AI4393">
        <v>0</v>
      </c>
      <c r="AJ4393">
        <v>1</v>
      </c>
      <c r="AK4393">
        <v>0</v>
      </c>
      <c r="AL4393">
        <v>2</v>
      </c>
      <c r="AM4393">
        <v>1</v>
      </c>
      <c r="AN4393">
        <v>0</v>
      </c>
      <c r="AO4393">
        <v>4</v>
      </c>
      <c r="AP4393">
        <v>2</v>
      </c>
      <c r="AQ4393">
        <v>3</v>
      </c>
      <c r="AR4393">
        <v>1</v>
      </c>
      <c r="AS4393">
        <v>0</v>
      </c>
      <c r="AT4393">
        <v>0</v>
      </c>
    </row>
    <row r="4394" spans="1:46">
      <c r="A4394">
        <v>90015</v>
      </c>
      <c r="B4394" t="s">
        <v>23741</v>
      </c>
      <c r="C4394" t="s">
        <v>11078</v>
      </c>
      <c r="D4394" t="s">
        <v>23742</v>
      </c>
      <c r="E4394" t="s">
        <v>23743</v>
      </c>
      <c r="G4394" t="s">
        <v>23744</v>
      </c>
      <c r="H4394" t="s">
        <v>298</v>
      </c>
      <c r="J4394" t="s">
        <v>518</v>
      </c>
      <c r="K4394" t="s">
        <v>519</v>
      </c>
      <c r="M4394" t="s">
        <v>2287</v>
      </c>
      <c r="N4394" t="s">
        <v>571</v>
      </c>
      <c r="O4394" t="s">
        <v>3527</v>
      </c>
      <c r="P4394" t="s">
        <v>540</v>
      </c>
      <c r="Q4394" t="s">
        <v>3497</v>
      </c>
      <c r="R4394" t="s">
        <v>3338</v>
      </c>
      <c r="S4394" t="s">
        <v>3498</v>
      </c>
      <c r="T4394" t="s">
        <v>2448</v>
      </c>
      <c r="U4394">
        <v>358400</v>
      </c>
      <c r="V4394" t="s">
        <v>23306</v>
      </c>
      <c r="W4394" t="s">
        <v>3575</v>
      </c>
      <c r="X4394" t="s">
        <v>11077</v>
      </c>
      <c r="Y4394" t="s">
        <v>5187</v>
      </c>
      <c r="AA4394" t="s">
        <v>5188</v>
      </c>
      <c r="AE4394">
        <v>-46.145810259999998</v>
      </c>
      <c r="AF4394">
        <v>167.99948254</v>
      </c>
      <c r="AG4394">
        <v>0</v>
      </c>
      <c r="AH4394">
        <v>0</v>
      </c>
      <c r="AI4394">
        <v>3</v>
      </c>
      <c r="AJ4394">
        <v>7</v>
      </c>
      <c r="AK4394">
        <v>4</v>
      </c>
      <c r="AL4394">
        <v>7</v>
      </c>
      <c r="AM4394">
        <v>5</v>
      </c>
      <c r="AN4394">
        <v>0</v>
      </c>
      <c r="AO4394">
        <v>26</v>
      </c>
      <c r="AP4394">
        <v>24</v>
      </c>
      <c r="AQ4394">
        <v>2</v>
      </c>
      <c r="AR4394">
        <v>0</v>
      </c>
      <c r="AS4394">
        <v>2</v>
      </c>
      <c r="AT4394">
        <v>0</v>
      </c>
    </row>
    <row r="4395" spans="1:46">
      <c r="A4395">
        <v>90018</v>
      </c>
      <c r="B4395" t="s">
        <v>23745</v>
      </c>
      <c r="C4395" t="s">
        <v>23730</v>
      </c>
      <c r="D4395" t="s">
        <v>23746</v>
      </c>
      <c r="E4395" t="s">
        <v>23747</v>
      </c>
      <c r="G4395" t="s">
        <v>3498</v>
      </c>
      <c r="H4395" t="s">
        <v>298</v>
      </c>
      <c r="J4395" t="s">
        <v>518</v>
      </c>
      <c r="K4395" t="s">
        <v>519</v>
      </c>
      <c r="M4395" t="s">
        <v>2287</v>
      </c>
      <c r="N4395" t="s">
        <v>571</v>
      </c>
      <c r="O4395" t="s">
        <v>3527</v>
      </c>
      <c r="P4395" t="s">
        <v>572</v>
      </c>
      <c r="Q4395" t="s">
        <v>3497</v>
      </c>
      <c r="R4395" t="s">
        <v>3338</v>
      </c>
      <c r="S4395" t="s">
        <v>3498</v>
      </c>
      <c r="T4395" t="s">
        <v>2448</v>
      </c>
      <c r="U4395">
        <v>359000</v>
      </c>
      <c r="V4395" t="s">
        <v>23748</v>
      </c>
      <c r="W4395" t="s">
        <v>21968</v>
      </c>
      <c r="X4395" t="s">
        <v>23749</v>
      </c>
      <c r="Y4395" t="s">
        <v>5187</v>
      </c>
      <c r="AA4395" t="s">
        <v>5188</v>
      </c>
      <c r="AE4395">
        <v>-46.338832750000002</v>
      </c>
      <c r="AF4395">
        <v>168.45401164</v>
      </c>
      <c r="AG4395">
        <v>30</v>
      </c>
      <c r="AH4395">
        <v>15</v>
      </c>
      <c r="AI4395">
        <v>0</v>
      </c>
      <c r="AJ4395">
        <v>5</v>
      </c>
      <c r="AK4395">
        <v>2</v>
      </c>
      <c r="AL4395">
        <v>1</v>
      </c>
      <c r="AM4395">
        <v>2</v>
      </c>
      <c r="AN4395">
        <v>0</v>
      </c>
      <c r="AO4395">
        <v>10</v>
      </c>
      <c r="AP4395">
        <v>10</v>
      </c>
      <c r="AQ4395">
        <v>2</v>
      </c>
      <c r="AR4395">
        <v>0</v>
      </c>
      <c r="AS4395">
        <v>0</v>
      </c>
      <c r="AT4395">
        <v>0</v>
      </c>
    </row>
    <row r="4396" spans="1:46">
      <c r="A4396">
        <v>90024</v>
      </c>
      <c r="B4396" t="s">
        <v>23750</v>
      </c>
      <c r="C4396" t="s">
        <v>23730</v>
      </c>
      <c r="D4396" t="s">
        <v>23751</v>
      </c>
      <c r="E4396" t="s">
        <v>23752</v>
      </c>
      <c r="G4396" t="s">
        <v>3498</v>
      </c>
      <c r="H4396" t="s">
        <v>298</v>
      </c>
      <c r="J4396" t="s">
        <v>518</v>
      </c>
      <c r="K4396" t="s">
        <v>519</v>
      </c>
      <c r="M4396" t="s">
        <v>2287</v>
      </c>
      <c r="N4396" t="s">
        <v>571</v>
      </c>
      <c r="O4396" t="s">
        <v>3496</v>
      </c>
      <c r="P4396" t="s">
        <v>584</v>
      </c>
      <c r="Q4396" t="s">
        <v>3497</v>
      </c>
      <c r="R4396" t="s">
        <v>3338</v>
      </c>
      <c r="S4396" t="s">
        <v>3498</v>
      </c>
      <c r="T4396" t="s">
        <v>2448</v>
      </c>
      <c r="U4396">
        <v>361201</v>
      </c>
      <c r="V4396" t="s">
        <v>23753</v>
      </c>
      <c r="W4396" t="s">
        <v>1652</v>
      </c>
      <c r="X4396" t="s">
        <v>11077</v>
      </c>
      <c r="Y4396" t="s">
        <v>5187</v>
      </c>
      <c r="AA4396" t="s">
        <v>5188</v>
      </c>
      <c r="AB4396" t="s">
        <v>11078</v>
      </c>
      <c r="AE4396">
        <v>-46.390899099999999</v>
      </c>
      <c r="AF4396">
        <v>168.36810111</v>
      </c>
      <c r="AG4396">
        <v>25</v>
      </c>
      <c r="AH4396">
        <v>15</v>
      </c>
      <c r="AI4396">
        <v>3</v>
      </c>
      <c r="AJ4396">
        <v>3</v>
      </c>
      <c r="AK4396">
        <v>4</v>
      </c>
      <c r="AL4396">
        <v>4</v>
      </c>
      <c r="AM4396">
        <v>1</v>
      </c>
      <c r="AN4396">
        <v>0</v>
      </c>
      <c r="AO4396">
        <v>15</v>
      </c>
      <c r="AP4396">
        <v>15</v>
      </c>
      <c r="AQ4396">
        <v>2</v>
      </c>
      <c r="AR4396">
        <v>0</v>
      </c>
      <c r="AS4396">
        <v>3</v>
      </c>
      <c r="AT4396">
        <v>0</v>
      </c>
    </row>
    <row r="4397" spans="1:46">
      <c r="A4397">
        <v>90028</v>
      </c>
      <c r="B4397" t="s">
        <v>23754</v>
      </c>
      <c r="C4397" t="s">
        <v>23755</v>
      </c>
      <c r="E4397" t="s">
        <v>3334</v>
      </c>
      <c r="G4397" t="s">
        <v>23756</v>
      </c>
      <c r="H4397" t="s">
        <v>298</v>
      </c>
      <c r="J4397" t="s">
        <v>518</v>
      </c>
      <c r="K4397" t="s">
        <v>519</v>
      </c>
      <c r="M4397" t="s">
        <v>2287</v>
      </c>
      <c r="N4397" t="s">
        <v>571</v>
      </c>
      <c r="O4397" t="s">
        <v>3527</v>
      </c>
      <c r="P4397" t="s">
        <v>540</v>
      </c>
      <c r="Q4397" t="s">
        <v>3497</v>
      </c>
      <c r="R4397" t="s">
        <v>3338</v>
      </c>
      <c r="S4397" t="s">
        <v>3498</v>
      </c>
      <c r="T4397" t="s">
        <v>2448</v>
      </c>
      <c r="U4397">
        <v>359500</v>
      </c>
      <c r="V4397" t="s">
        <v>23757</v>
      </c>
      <c r="W4397" t="s">
        <v>21968</v>
      </c>
      <c r="X4397" t="s">
        <v>11077</v>
      </c>
      <c r="Y4397" t="s">
        <v>5187</v>
      </c>
      <c r="AA4397" t="s">
        <v>5188</v>
      </c>
      <c r="AB4397" t="s">
        <v>11078</v>
      </c>
      <c r="AE4397">
        <v>-46.324925219999997</v>
      </c>
      <c r="AF4397">
        <v>168.84839733000001</v>
      </c>
      <c r="AG4397">
        <v>20</v>
      </c>
      <c r="AH4397">
        <v>10</v>
      </c>
      <c r="AI4397">
        <v>0</v>
      </c>
      <c r="AJ4397">
        <v>1</v>
      </c>
      <c r="AK4397">
        <v>0</v>
      </c>
      <c r="AL4397">
        <v>2</v>
      </c>
      <c r="AM4397">
        <v>0</v>
      </c>
      <c r="AN4397">
        <v>0</v>
      </c>
      <c r="AO4397">
        <v>3</v>
      </c>
      <c r="AP4397">
        <v>3</v>
      </c>
      <c r="AQ4397">
        <v>0</v>
      </c>
      <c r="AR4397">
        <v>0</v>
      </c>
      <c r="AS4397">
        <v>0</v>
      </c>
      <c r="AT4397">
        <v>0</v>
      </c>
    </row>
    <row r="4398" spans="1:46">
      <c r="A4398">
        <v>90030</v>
      </c>
      <c r="B4398" t="s">
        <v>23758</v>
      </c>
      <c r="C4398" t="s">
        <v>23759</v>
      </c>
      <c r="E4398" t="s">
        <v>23760</v>
      </c>
      <c r="G4398" t="s">
        <v>3926</v>
      </c>
      <c r="H4398" t="s">
        <v>298</v>
      </c>
      <c r="J4398" t="s">
        <v>518</v>
      </c>
      <c r="K4398" t="s">
        <v>519</v>
      </c>
      <c r="M4398" t="s">
        <v>2287</v>
      </c>
      <c r="N4398" t="s">
        <v>4519</v>
      </c>
      <c r="O4398" t="s">
        <v>3835</v>
      </c>
      <c r="P4398" t="s">
        <v>1262</v>
      </c>
      <c r="Q4398" t="s">
        <v>3337</v>
      </c>
      <c r="R4398" t="s">
        <v>3338</v>
      </c>
      <c r="S4398" t="s">
        <v>3361</v>
      </c>
      <c r="T4398" t="s">
        <v>2448</v>
      </c>
      <c r="U4398">
        <v>348400</v>
      </c>
      <c r="V4398" t="s">
        <v>1345</v>
      </c>
      <c r="W4398" t="s">
        <v>3837</v>
      </c>
      <c r="X4398" t="s">
        <v>11077</v>
      </c>
      <c r="Y4398" t="s">
        <v>5187</v>
      </c>
      <c r="AA4398" t="s">
        <v>5188</v>
      </c>
      <c r="AB4398" t="s">
        <v>11078</v>
      </c>
      <c r="AE4398">
        <v>-45.025787299999998</v>
      </c>
      <c r="AF4398">
        <v>168.75100979999999</v>
      </c>
      <c r="AG4398">
        <v>30</v>
      </c>
      <c r="AH4398">
        <v>20</v>
      </c>
      <c r="AI4398">
        <v>2</v>
      </c>
      <c r="AJ4398">
        <v>6</v>
      </c>
      <c r="AK4398">
        <v>5</v>
      </c>
      <c r="AL4398">
        <v>5</v>
      </c>
      <c r="AM4398">
        <v>2</v>
      </c>
      <c r="AN4398">
        <v>0</v>
      </c>
      <c r="AO4398">
        <v>20</v>
      </c>
      <c r="AP4398">
        <v>19</v>
      </c>
      <c r="AQ4398">
        <v>0</v>
      </c>
      <c r="AR4398">
        <v>3</v>
      </c>
      <c r="AS4398">
        <v>2</v>
      </c>
      <c r="AT4398">
        <v>1</v>
      </c>
    </row>
    <row r="4399" spans="1:46">
      <c r="A4399">
        <v>90031</v>
      </c>
      <c r="B4399" t="s">
        <v>23761</v>
      </c>
      <c r="C4399" t="s">
        <v>23762</v>
      </c>
      <c r="E4399" t="s">
        <v>23763</v>
      </c>
      <c r="G4399" t="s">
        <v>3834</v>
      </c>
      <c r="H4399" t="s">
        <v>298</v>
      </c>
      <c r="J4399" t="s">
        <v>518</v>
      </c>
      <c r="K4399" t="s">
        <v>519</v>
      </c>
      <c r="M4399" t="s">
        <v>2287</v>
      </c>
      <c r="N4399" t="s">
        <v>571</v>
      </c>
      <c r="O4399" t="s">
        <v>3835</v>
      </c>
      <c r="P4399" t="s">
        <v>1262</v>
      </c>
      <c r="Q4399" t="s">
        <v>3337</v>
      </c>
      <c r="R4399" t="s">
        <v>3338</v>
      </c>
      <c r="S4399" t="s">
        <v>3361</v>
      </c>
      <c r="T4399" t="s">
        <v>2448</v>
      </c>
      <c r="U4399">
        <v>347700</v>
      </c>
      <c r="V4399" t="s">
        <v>3836</v>
      </c>
      <c r="W4399" t="s">
        <v>3837</v>
      </c>
      <c r="X4399" t="s">
        <v>23764</v>
      </c>
      <c r="Y4399" t="s">
        <v>5187</v>
      </c>
      <c r="AA4399" t="s">
        <v>5188</v>
      </c>
      <c r="AB4399" t="s">
        <v>23419</v>
      </c>
      <c r="AE4399">
        <v>-45.028254400000002</v>
      </c>
      <c r="AF4399">
        <v>168.65890644000001</v>
      </c>
      <c r="AG4399">
        <v>30</v>
      </c>
      <c r="AH4399">
        <v>15</v>
      </c>
      <c r="AI4399">
        <v>3</v>
      </c>
      <c r="AJ4399">
        <v>5</v>
      </c>
      <c r="AK4399">
        <v>6</v>
      </c>
      <c r="AL4399">
        <v>8</v>
      </c>
      <c r="AM4399">
        <v>3</v>
      </c>
      <c r="AN4399">
        <v>0</v>
      </c>
      <c r="AO4399">
        <v>25</v>
      </c>
      <c r="AP4399">
        <v>21</v>
      </c>
      <c r="AQ4399">
        <v>1</v>
      </c>
      <c r="AR4399">
        <v>0</v>
      </c>
      <c r="AS4399">
        <v>5</v>
      </c>
      <c r="AT4399">
        <v>1</v>
      </c>
    </row>
    <row r="4400" spans="1:46">
      <c r="A4400">
        <v>90032</v>
      </c>
      <c r="B4400" t="s">
        <v>23765</v>
      </c>
      <c r="C4400" t="s">
        <v>23766</v>
      </c>
      <c r="D4400" t="s">
        <v>23767</v>
      </c>
      <c r="E4400" t="s">
        <v>23768</v>
      </c>
      <c r="F4400" t="s">
        <v>23698</v>
      </c>
      <c r="G4400" t="s">
        <v>3498</v>
      </c>
      <c r="H4400" t="s">
        <v>3942</v>
      </c>
      <c r="J4400" t="s">
        <v>518</v>
      </c>
      <c r="K4400" t="s">
        <v>519</v>
      </c>
      <c r="M4400" t="s">
        <v>2287</v>
      </c>
      <c r="N4400" t="s">
        <v>571</v>
      </c>
      <c r="O4400" t="s">
        <v>3496</v>
      </c>
      <c r="P4400" t="s">
        <v>584</v>
      </c>
      <c r="Q4400" t="s">
        <v>3497</v>
      </c>
      <c r="R4400" t="s">
        <v>3338</v>
      </c>
      <c r="S4400" t="s">
        <v>3498</v>
      </c>
      <c r="T4400" t="s">
        <v>2448</v>
      </c>
      <c r="U4400">
        <v>361300</v>
      </c>
      <c r="V4400" t="s">
        <v>13925</v>
      </c>
      <c r="W4400" t="s">
        <v>1652</v>
      </c>
      <c r="X4400" t="s">
        <v>12764</v>
      </c>
      <c r="Y4400" t="s">
        <v>3944</v>
      </c>
      <c r="Z4400" t="s">
        <v>3945</v>
      </c>
      <c r="AA4400" t="s">
        <v>3946</v>
      </c>
      <c r="AB4400" t="s">
        <v>12765</v>
      </c>
      <c r="AE4400">
        <v>-46.402862800000001</v>
      </c>
      <c r="AF4400">
        <v>168.35079479999999</v>
      </c>
      <c r="AG4400">
        <v>75</v>
      </c>
      <c r="AH4400">
        <v>25</v>
      </c>
      <c r="AI4400">
        <v>8</v>
      </c>
      <c r="AJ4400">
        <v>22</v>
      </c>
      <c r="AK4400">
        <v>23</v>
      </c>
      <c r="AL4400">
        <v>25</v>
      </c>
      <c r="AM4400">
        <v>13</v>
      </c>
      <c r="AN4400">
        <v>1</v>
      </c>
      <c r="AO4400">
        <v>92</v>
      </c>
      <c r="AP4400">
        <v>79</v>
      </c>
      <c r="AQ4400">
        <v>18</v>
      </c>
      <c r="AR4400">
        <v>4</v>
      </c>
      <c r="AS4400">
        <v>11</v>
      </c>
      <c r="AT4400">
        <v>5</v>
      </c>
    </row>
    <row r="4401" spans="1:46">
      <c r="A4401">
        <v>90033</v>
      </c>
      <c r="B4401" t="s">
        <v>23769</v>
      </c>
      <c r="C4401" t="s">
        <v>23770</v>
      </c>
      <c r="D4401" t="s">
        <v>23771</v>
      </c>
      <c r="E4401" t="s">
        <v>23772</v>
      </c>
      <c r="G4401" t="s">
        <v>3495</v>
      </c>
      <c r="H4401" t="s">
        <v>3942</v>
      </c>
      <c r="I4401" t="s">
        <v>4951</v>
      </c>
      <c r="J4401" t="s">
        <v>518</v>
      </c>
      <c r="K4401" t="s">
        <v>519</v>
      </c>
      <c r="M4401" t="s">
        <v>2287</v>
      </c>
      <c r="N4401" t="s">
        <v>521</v>
      </c>
      <c r="O4401" t="s">
        <v>3496</v>
      </c>
      <c r="P4401" t="s">
        <v>523</v>
      </c>
      <c r="Q4401" t="s">
        <v>3497</v>
      </c>
      <c r="R4401" t="s">
        <v>3338</v>
      </c>
      <c r="S4401" t="s">
        <v>3498</v>
      </c>
      <c r="T4401" t="s">
        <v>2448</v>
      </c>
      <c r="U4401">
        <v>363301</v>
      </c>
      <c r="V4401" t="s">
        <v>3495</v>
      </c>
      <c r="W4401" t="s">
        <v>1652</v>
      </c>
      <c r="X4401" t="s">
        <v>23773</v>
      </c>
      <c r="Y4401" t="s">
        <v>23774</v>
      </c>
      <c r="Z4401" t="s">
        <v>3495</v>
      </c>
      <c r="AA4401" t="s">
        <v>23775</v>
      </c>
      <c r="AB4401" t="s">
        <v>23776</v>
      </c>
      <c r="AE4401">
        <v>-46.60417803</v>
      </c>
      <c r="AF4401">
        <v>168.34546850000001</v>
      </c>
      <c r="AG4401">
        <v>30</v>
      </c>
      <c r="AH4401">
        <v>10</v>
      </c>
      <c r="AI4401">
        <v>0</v>
      </c>
      <c r="AJ4401">
        <v>2</v>
      </c>
      <c r="AK4401">
        <v>9</v>
      </c>
      <c r="AL4401">
        <v>8</v>
      </c>
      <c r="AM4401">
        <v>12</v>
      </c>
      <c r="AN4401">
        <v>0</v>
      </c>
      <c r="AO4401">
        <v>31</v>
      </c>
      <c r="AP4401">
        <v>17</v>
      </c>
      <c r="AQ4401">
        <v>23</v>
      </c>
      <c r="AR4401">
        <v>5</v>
      </c>
      <c r="AS4401">
        <v>3</v>
      </c>
      <c r="AT4401">
        <v>1</v>
      </c>
    </row>
    <row r="4402" spans="1:46">
      <c r="A4402">
        <v>90036</v>
      </c>
      <c r="B4402" t="s">
        <v>23777</v>
      </c>
      <c r="C4402" t="s">
        <v>23778</v>
      </c>
      <c r="D4402" t="s">
        <v>23779</v>
      </c>
      <c r="E4402" t="s">
        <v>23780</v>
      </c>
      <c r="F4402" t="s">
        <v>11283</v>
      </c>
      <c r="G4402" t="s">
        <v>3498</v>
      </c>
      <c r="H4402" t="s">
        <v>517</v>
      </c>
      <c r="J4402" t="s">
        <v>518</v>
      </c>
      <c r="K4402" t="s">
        <v>519</v>
      </c>
      <c r="M4402" t="s">
        <v>2287</v>
      </c>
      <c r="N4402" t="s">
        <v>557</v>
      </c>
      <c r="O4402" t="s">
        <v>3496</v>
      </c>
      <c r="P4402" t="s">
        <v>584</v>
      </c>
      <c r="Q4402" t="s">
        <v>3497</v>
      </c>
      <c r="R4402" t="s">
        <v>3338</v>
      </c>
      <c r="S4402" t="s">
        <v>3498</v>
      </c>
      <c r="T4402" t="s">
        <v>2448</v>
      </c>
      <c r="U4402">
        <v>362001</v>
      </c>
      <c r="V4402" t="s">
        <v>12960</v>
      </c>
      <c r="W4402" t="s">
        <v>1652</v>
      </c>
      <c r="X4402" t="s">
        <v>3499</v>
      </c>
      <c r="Y4402" t="s">
        <v>3500</v>
      </c>
      <c r="Z4402" t="s">
        <v>3498</v>
      </c>
      <c r="AA4402" t="s">
        <v>3501</v>
      </c>
      <c r="AB4402" t="s">
        <v>3502</v>
      </c>
      <c r="AC4402">
        <v>99146</v>
      </c>
      <c r="AD4402" t="s">
        <v>3508</v>
      </c>
      <c r="AE4402">
        <v>-46.42105394</v>
      </c>
      <c r="AF4402">
        <v>168.35270684</v>
      </c>
      <c r="AG4402">
        <v>33</v>
      </c>
      <c r="AH4402">
        <v>0</v>
      </c>
      <c r="AI4402">
        <v>0</v>
      </c>
      <c r="AJ4402">
        <v>0</v>
      </c>
      <c r="AK4402">
        <v>5</v>
      </c>
      <c r="AL4402">
        <v>11</v>
      </c>
      <c r="AM4402">
        <v>13</v>
      </c>
      <c r="AN4402">
        <v>0</v>
      </c>
      <c r="AO4402">
        <v>29</v>
      </c>
      <c r="AP4402">
        <v>18</v>
      </c>
      <c r="AQ4402">
        <v>8</v>
      </c>
      <c r="AR4402">
        <v>2</v>
      </c>
      <c r="AS4402">
        <v>4</v>
      </c>
      <c r="AT4402">
        <v>4</v>
      </c>
    </row>
    <row r="4403" spans="1:46">
      <c r="A4403">
        <v>90037</v>
      </c>
      <c r="B4403" t="s">
        <v>23781</v>
      </c>
      <c r="C4403" t="s">
        <v>23782</v>
      </c>
      <c r="D4403" t="s">
        <v>23783</v>
      </c>
      <c r="E4403" t="s">
        <v>23784</v>
      </c>
      <c r="F4403" t="s">
        <v>23785</v>
      </c>
      <c r="G4403" t="s">
        <v>3834</v>
      </c>
      <c r="H4403" t="s">
        <v>8217</v>
      </c>
      <c r="J4403" t="s">
        <v>3962</v>
      </c>
      <c r="K4403" t="s">
        <v>519</v>
      </c>
      <c r="M4403" t="s">
        <v>2287</v>
      </c>
      <c r="N4403" t="s">
        <v>4519</v>
      </c>
      <c r="O4403" t="s">
        <v>3835</v>
      </c>
      <c r="P4403" t="s">
        <v>572</v>
      </c>
      <c r="Q4403" t="s">
        <v>3337</v>
      </c>
      <c r="R4403" t="s">
        <v>3338</v>
      </c>
      <c r="S4403" t="s">
        <v>3361</v>
      </c>
      <c r="T4403" t="s">
        <v>2448</v>
      </c>
      <c r="U4403">
        <v>346201</v>
      </c>
      <c r="V4403" t="s">
        <v>23786</v>
      </c>
      <c r="W4403" t="s">
        <v>11506</v>
      </c>
      <c r="X4403" t="s">
        <v>23787</v>
      </c>
      <c r="Y4403" t="s">
        <v>5358</v>
      </c>
      <c r="AA4403" t="s">
        <v>23788</v>
      </c>
      <c r="AB4403" t="s">
        <v>23789</v>
      </c>
      <c r="AE4403">
        <v>-44.926343260000003</v>
      </c>
      <c r="AF4403">
        <v>168.73832469999999</v>
      </c>
      <c r="AG4403">
        <v>0</v>
      </c>
      <c r="AH4403">
        <v>0</v>
      </c>
    </row>
    <row r="4404" spans="1:46">
      <c r="A4404">
        <v>90038</v>
      </c>
      <c r="B4404" t="s">
        <v>23790</v>
      </c>
      <c r="C4404" t="s">
        <v>23791</v>
      </c>
      <c r="D4404" t="s">
        <v>23792</v>
      </c>
      <c r="E4404" t="s">
        <v>23793</v>
      </c>
      <c r="F4404" t="s">
        <v>3580</v>
      </c>
      <c r="G4404" t="s">
        <v>3498</v>
      </c>
      <c r="H4404" t="s">
        <v>3942</v>
      </c>
      <c r="J4404" t="s">
        <v>3962</v>
      </c>
      <c r="K4404" t="s">
        <v>519</v>
      </c>
      <c r="M4404" t="s">
        <v>2287</v>
      </c>
      <c r="N4404" t="s">
        <v>571</v>
      </c>
      <c r="O4404" t="s">
        <v>3496</v>
      </c>
      <c r="P4404" t="s">
        <v>584</v>
      </c>
      <c r="Q4404" t="s">
        <v>3497</v>
      </c>
      <c r="R4404" t="s">
        <v>3338</v>
      </c>
      <c r="S4404" t="s">
        <v>3498</v>
      </c>
      <c r="T4404" t="s">
        <v>2448</v>
      </c>
      <c r="U4404">
        <v>360701</v>
      </c>
      <c r="V4404" t="s">
        <v>3580</v>
      </c>
      <c r="W4404" t="s">
        <v>1652</v>
      </c>
      <c r="X4404" t="s">
        <v>23794</v>
      </c>
      <c r="Y4404" t="s">
        <v>23793</v>
      </c>
      <c r="Z4404" t="s">
        <v>3580</v>
      </c>
      <c r="AA4404" t="s">
        <v>11903</v>
      </c>
      <c r="AB4404" t="s">
        <v>23795</v>
      </c>
      <c r="AE4404">
        <v>-46.377507950000002</v>
      </c>
      <c r="AF4404">
        <v>168.34641973000001</v>
      </c>
      <c r="AG4404">
        <v>24</v>
      </c>
      <c r="AH4404">
        <v>0</v>
      </c>
      <c r="AI4404">
        <v>0</v>
      </c>
      <c r="AJ4404">
        <v>0</v>
      </c>
      <c r="AK4404">
        <v>4</v>
      </c>
      <c r="AL4404">
        <v>10</v>
      </c>
      <c r="AM4404">
        <v>5</v>
      </c>
      <c r="AN4404">
        <v>0</v>
      </c>
      <c r="AO4404">
        <v>19</v>
      </c>
      <c r="AP4404">
        <v>16</v>
      </c>
      <c r="AQ4404">
        <v>7</v>
      </c>
      <c r="AR4404">
        <v>0</v>
      </c>
      <c r="AS4404">
        <v>1</v>
      </c>
      <c r="AT4404">
        <v>0</v>
      </c>
    </row>
    <row r="4405" spans="1:46">
      <c r="A4405">
        <v>90104</v>
      </c>
      <c r="B4405" t="s">
        <v>23796</v>
      </c>
      <c r="C4405" t="s">
        <v>23797</v>
      </c>
      <c r="D4405" t="s">
        <v>23798</v>
      </c>
      <c r="E4405" t="s">
        <v>23799</v>
      </c>
      <c r="G4405" t="s">
        <v>3498</v>
      </c>
      <c r="H4405" t="s">
        <v>3942</v>
      </c>
      <c r="J4405" t="s">
        <v>518</v>
      </c>
      <c r="K4405" t="s">
        <v>519</v>
      </c>
      <c r="M4405" t="s">
        <v>2287</v>
      </c>
      <c r="N4405" t="s">
        <v>571</v>
      </c>
      <c r="O4405" t="s">
        <v>3496</v>
      </c>
      <c r="P4405" t="s">
        <v>584</v>
      </c>
      <c r="Q4405" t="s">
        <v>3497</v>
      </c>
      <c r="R4405" t="s">
        <v>3338</v>
      </c>
      <c r="S4405" t="s">
        <v>3498</v>
      </c>
      <c r="T4405" t="s">
        <v>2448</v>
      </c>
      <c r="U4405">
        <v>362001</v>
      </c>
      <c r="V4405" t="s">
        <v>12960</v>
      </c>
      <c r="W4405" t="s">
        <v>1652</v>
      </c>
      <c r="X4405" t="s">
        <v>23800</v>
      </c>
      <c r="Y4405" t="s">
        <v>7353</v>
      </c>
      <c r="AA4405" t="s">
        <v>7354</v>
      </c>
      <c r="AB4405" t="s">
        <v>23801</v>
      </c>
      <c r="AE4405">
        <v>-46.416907399999999</v>
      </c>
      <c r="AF4405">
        <v>168.35924555</v>
      </c>
      <c r="AG4405">
        <v>74</v>
      </c>
      <c r="AH4405">
        <v>20</v>
      </c>
      <c r="AI4405">
        <v>4</v>
      </c>
      <c r="AJ4405">
        <v>13</v>
      </c>
      <c r="AK4405">
        <v>15</v>
      </c>
      <c r="AL4405">
        <v>17</v>
      </c>
      <c r="AM4405">
        <v>22</v>
      </c>
      <c r="AN4405">
        <v>1</v>
      </c>
      <c r="AO4405">
        <v>72</v>
      </c>
      <c r="AP4405">
        <v>42</v>
      </c>
      <c r="AQ4405">
        <v>9</v>
      </c>
      <c r="AR4405">
        <v>1</v>
      </c>
      <c r="AS4405">
        <v>28</v>
      </c>
      <c r="AT4405">
        <v>4</v>
      </c>
    </row>
    <row r="4406" spans="1:46">
      <c r="A4406">
        <v>90105</v>
      </c>
      <c r="B4406" t="s">
        <v>23802</v>
      </c>
      <c r="C4406" t="s">
        <v>23803</v>
      </c>
      <c r="D4406" t="s">
        <v>23804</v>
      </c>
      <c r="E4406" t="s">
        <v>23805</v>
      </c>
      <c r="G4406" t="s">
        <v>3834</v>
      </c>
      <c r="H4406" t="s">
        <v>3942</v>
      </c>
      <c r="J4406" t="s">
        <v>518</v>
      </c>
      <c r="K4406" t="s">
        <v>519</v>
      </c>
      <c r="M4406" t="s">
        <v>2287</v>
      </c>
      <c r="N4406" t="s">
        <v>571</v>
      </c>
      <c r="O4406" t="s">
        <v>3835</v>
      </c>
      <c r="P4406" t="s">
        <v>1262</v>
      </c>
      <c r="Q4406" t="s">
        <v>3337</v>
      </c>
      <c r="R4406" t="s">
        <v>3338</v>
      </c>
      <c r="S4406" t="s">
        <v>3361</v>
      </c>
      <c r="T4406" t="s">
        <v>2448</v>
      </c>
      <c r="U4406">
        <v>347700</v>
      </c>
      <c r="V4406" t="s">
        <v>3836</v>
      </c>
      <c r="W4406" t="s">
        <v>3837</v>
      </c>
      <c r="X4406" t="s">
        <v>23806</v>
      </c>
      <c r="Y4406" t="s">
        <v>23805</v>
      </c>
      <c r="Z4406" t="s">
        <v>3834</v>
      </c>
      <c r="AA4406" t="s">
        <v>23807</v>
      </c>
      <c r="AB4406" t="s">
        <v>23803</v>
      </c>
      <c r="AE4406">
        <v>-45.028897129999997</v>
      </c>
      <c r="AF4406">
        <v>168.65763910000001</v>
      </c>
      <c r="AG4406">
        <v>70</v>
      </c>
      <c r="AH4406">
        <v>24</v>
      </c>
      <c r="AI4406">
        <v>3</v>
      </c>
      <c r="AJ4406">
        <v>13</v>
      </c>
      <c r="AK4406">
        <v>21</v>
      </c>
      <c r="AL4406">
        <v>14</v>
      </c>
      <c r="AM4406">
        <v>13</v>
      </c>
      <c r="AN4406">
        <v>1</v>
      </c>
      <c r="AO4406">
        <v>65</v>
      </c>
      <c r="AP4406">
        <v>59</v>
      </c>
      <c r="AQ4406">
        <v>12</v>
      </c>
      <c r="AR4406">
        <v>0</v>
      </c>
      <c r="AS4406">
        <v>3</v>
      </c>
      <c r="AT4406">
        <v>7</v>
      </c>
    </row>
    <row r="4407" spans="1:46">
      <c r="A4407">
        <v>90107</v>
      </c>
      <c r="B4407" t="s">
        <v>23808</v>
      </c>
      <c r="C4407" t="s">
        <v>23809</v>
      </c>
      <c r="D4407" t="s">
        <v>23810</v>
      </c>
      <c r="E4407" t="s">
        <v>23811</v>
      </c>
      <c r="G4407" t="s">
        <v>3526</v>
      </c>
      <c r="H4407" t="s">
        <v>3942</v>
      </c>
      <c r="J4407" t="s">
        <v>518</v>
      </c>
      <c r="K4407" t="s">
        <v>519</v>
      </c>
      <c r="M4407" t="s">
        <v>2287</v>
      </c>
      <c r="N4407" t="s">
        <v>571</v>
      </c>
      <c r="O4407" t="s">
        <v>3527</v>
      </c>
      <c r="P4407" t="s">
        <v>523</v>
      </c>
      <c r="Q4407" t="s">
        <v>3497</v>
      </c>
      <c r="R4407" t="s">
        <v>3338</v>
      </c>
      <c r="S4407" t="s">
        <v>3361</v>
      </c>
      <c r="T4407" t="s">
        <v>2448</v>
      </c>
      <c r="U4407">
        <v>357501</v>
      </c>
      <c r="V4407" t="s">
        <v>3528</v>
      </c>
      <c r="W4407" t="s">
        <v>3529</v>
      </c>
      <c r="X4407" t="s">
        <v>23812</v>
      </c>
      <c r="Y4407" t="s">
        <v>23811</v>
      </c>
      <c r="Z4407" t="s">
        <v>3526</v>
      </c>
      <c r="AA4407" t="s">
        <v>23813</v>
      </c>
      <c r="AB4407" t="s">
        <v>23814</v>
      </c>
      <c r="AC4407">
        <v>99041</v>
      </c>
      <c r="AD4407" t="s">
        <v>3530</v>
      </c>
      <c r="AE4407">
        <v>-45.415943200000001</v>
      </c>
      <c r="AF4407">
        <v>167.71768650000001</v>
      </c>
      <c r="AG4407">
        <v>45</v>
      </c>
      <c r="AH4407">
        <v>15</v>
      </c>
      <c r="AI4407">
        <v>2</v>
      </c>
      <c r="AJ4407">
        <v>5</v>
      </c>
      <c r="AK4407">
        <v>19</v>
      </c>
      <c r="AL4407">
        <v>14</v>
      </c>
      <c r="AM4407">
        <v>6</v>
      </c>
      <c r="AN4407">
        <v>0</v>
      </c>
      <c r="AO4407">
        <v>46</v>
      </c>
      <c r="AP4407">
        <v>37</v>
      </c>
      <c r="AQ4407">
        <v>5</v>
      </c>
      <c r="AR4407">
        <v>4</v>
      </c>
      <c r="AS4407">
        <v>2</v>
      </c>
      <c r="AT4407">
        <v>3</v>
      </c>
    </row>
    <row r="4408" spans="1:46">
      <c r="A4408">
        <v>90110</v>
      </c>
      <c r="B4408" t="s">
        <v>23815</v>
      </c>
      <c r="C4408" t="s">
        <v>23816</v>
      </c>
      <c r="D4408" t="s">
        <v>23817</v>
      </c>
      <c r="E4408" t="s">
        <v>23818</v>
      </c>
      <c r="G4408" t="s">
        <v>3498</v>
      </c>
      <c r="H4408" t="s">
        <v>3942</v>
      </c>
      <c r="J4408" t="s">
        <v>3962</v>
      </c>
      <c r="K4408" t="s">
        <v>519</v>
      </c>
      <c r="M4408" t="s">
        <v>2287</v>
      </c>
      <c r="N4408" t="s">
        <v>571</v>
      </c>
      <c r="O4408" t="s">
        <v>3496</v>
      </c>
      <c r="P4408" t="s">
        <v>584</v>
      </c>
      <c r="Q4408" t="s">
        <v>3497</v>
      </c>
      <c r="R4408" t="s">
        <v>3338</v>
      </c>
      <c r="S4408" t="s">
        <v>3498</v>
      </c>
      <c r="T4408" t="s">
        <v>2448</v>
      </c>
      <c r="U4408">
        <v>360701</v>
      </c>
      <c r="V4408" t="s">
        <v>3580</v>
      </c>
      <c r="W4408" t="s">
        <v>1652</v>
      </c>
      <c r="X4408" t="s">
        <v>23819</v>
      </c>
      <c r="Y4408" t="s">
        <v>23818</v>
      </c>
      <c r="Z4408" t="s">
        <v>3580</v>
      </c>
      <c r="AA4408" t="s">
        <v>11903</v>
      </c>
      <c r="AB4408" t="s">
        <v>23820</v>
      </c>
      <c r="AE4408">
        <v>-46.37669923</v>
      </c>
      <c r="AF4408">
        <v>168.34635721000001</v>
      </c>
      <c r="AG4408">
        <v>30</v>
      </c>
      <c r="AH4408">
        <v>10</v>
      </c>
      <c r="AI4408">
        <v>2</v>
      </c>
      <c r="AJ4408">
        <v>7</v>
      </c>
      <c r="AK4408">
        <v>8</v>
      </c>
      <c r="AL4408">
        <v>11</v>
      </c>
      <c r="AM4408">
        <v>6</v>
      </c>
      <c r="AN4408">
        <v>0</v>
      </c>
      <c r="AO4408">
        <v>34</v>
      </c>
      <c r="AP4408">
        <v>24</v>
      </c>
      <c r="AQ4408">
        <v>10</v>
      </c>
      <c r="AR4408">
        <v>2</v>
      </c>
      <c r="AS4408">
        <v>3</v>
      </c>
      <c r="AT4408">
        <v>2</v>
      </c>
    </row>
    <row r="4409" spans="1:46">
      <c r="A4409">
        <v>90111</v>
      </c>
      <c r="B4409" t="s">
        <v>23821</v>
      </c>
      <c r="C4409" t="s">
        <v>23822</v>
      </c>
      <c r="E4409" t="s">
        <v>23823</v>
      </c>
      <c r="G4409" t="s">
        <v>11505</v>
      </c>
      <c r="H4409" t="s">
        <v>3942</v>
      </c>
      <c r="J4409" t="s">
        <v>518</v>
      </c>
      <c r="K4409" t="s">
        <v>519</v>
      </c>
      <c r="M4409" t="s">
        <v>2287</v>
      </c>
      <c r="N4409" t="s">
        <v>571</v>
      </c>
      <c r="O4409" t="s">
        <v>3835</v>
      </c>
      <c r="P4409" t="s">
        <v>523</v>
      </c>
      <c r="Q4409" t="s">
        <v>3337</v>
      </c>
      <c r="R4409" t="s">
        <v>3338</v>
      </c>
      <c r="S4409" t="s">
        <v>3361</v>
      </c>
      <c r="T4409" t="s">
        <v>2448</v>
      </c>
      <c r="U4409">
        <v>347901</v>
      </c>
      <c r="V4409" t="s">
        <v>11505</v>
      </c>
      <c r="W4409" t="s">
        <v>11506</v>
      </c>
      <c r="X4409" t="s">
        <v>11507</v>
      </c>
      <c r="Y4409" t="s">
        <v>11508</v>
      </c>
      <c r="AA4409" t="s">
        <v>11509</v>
      </c>
      <c r="AB4409" t="s">
        <v>11510</v>
      </c>
      <c r="AE4409">
        <v>-44.939375609999999</v>
      </c>
      <c r="AF4409">
        <v>168.82788790999999</v>
      </c>
      <c r="AG4409">
        <v>35</v>
      </c>
      <c r="AH4409">
        <v>0</v>
      </c>
      <c r="AI4409">
        <v>0</v>
      </c>
      <c r="AJ4409">
        <v>0</v>
      </c>
      <c r="AK4409">
        <v>0</v>
      </c>
      <c r="AL4409">
        <v>14</v>
      </c>
      <c r="AM4409">
        <v>26</v>
      </c>
      <c r="AN4409">
        <v>0</v>
      </c>
      <c r="AO4409">
        <v>40</v>
      </c>
      <c r="AP4409">
        <v>40</v>
      </c>
      <c r="AQ4409">
        <v>6</v>
      </c>
      <c r="AR4409">
        <v>0</v>
      </c>
      <c r="AS4409">
        <v>0</v>
      </c>
      <c r="AT4409">
        <v>0</v>
      </c>
    </row>
    <row r="4410" spans="1:46">
      <c r="A4410">
        <v>90115</v>
      </c>
      <c r="B4410" t="s">
        <v>23824</v>
      </c>
      <c r="C4410" t="s">
        <v>23825</v>
      </c>
      <c r="D4410" t="s">
        <v>23826</v>
      </c>
      <c r="E4410" t="s">
        <v>23827</v>
      </c>
      <c r="G4410" t="s">
        <v>11505</v>
      </c>
      <c r="H4410" t="s">
        <v>3942</v>
      </c>
      <c r="I4410" t="s">
        <v>4065</v>
      </c>
      <c r="J4410" t="s">
        <v>518</v>
      </c>
      <c r="K4410" t="s">
        <v>519</v>
      </c>
      <c r="M4410" t="s">
        <v>2287</v>
      </c>
      <c r="N4410" t="s">
        <v>571</v>
      </c>
      <c r="O4410" t="s">
        <v>3835</v>
      </c>
      <c r="P4410" t="s">
        <v>523</v>
      </c>
      <c r="Q4410" t="s">
        <v>3337</v>
      </c>
      <c r="R4410" t="s">
        <v>3338</v>
      </c>
      <c r="S4410" t="s">
        <v>3361</v>
      </c>
      <c r="T4410" t="s">
        <v>2448</v>
      </c>
      <c r="U4410">
        <v>347901</v>
      </c>
      <c r="V4410" t="s">
        <v>11505</v>
      </c>
      <c r="W4410" t="s">
        <v>11506</v>
      </c>
      <c r="X4410" t="s">
        <v>18311</v>
      </c>
      <c r="Y4410" t="s">
        <v>3944</v>
      </c>
      <c r="Z4410" t="s">
        <v>3945</v>
      </c>
      <c r="AA4410" t="s">
        <v>3946</v>
      </c>
      <c r="AE4410">
        <v>-44.939282439999999</v>
      </c>
      <c r="AF4410">
        <v>168.83233128000001</v>
      </c>
      <c r="AG4410">
        <v>50</v>
      </c>
      <c r="AH4410">
        <v>20</v>
      </c>
      <c r="AI4410">
        <v>1</v>
      </c>
      <c r="AJ4410">
        <v>10</v>
      </c>
      <c r="AK4410">
        <v>14</v>
      </c>
      <c r="AL4410">
        <v>17</v>
      </c>
      <c r="AM4410">
        <v>24</v>
      </c>
      <c r="AN4410">
        <v>0</v>
      </c>
      <c r="AO4410">
        <v>66</v>
      </c>
      <c r="AP4410">
        <v>59</v>
      </c>
      <c r="AQ4410">
        <v>5</v>
      </c>
      <c r="AR4410">
        <v>0</v>
      </c>
      <c r="AS4410">
        <v>5</v>
      </c>
      <c r="AT4410">
        <v>7</v>
      </c>
    </row>
    <row r="4411" spans="1:46">
      <c r="A4411">
        <v>90117</v>
      </c>
      <c r="B4411" t="s">
        <v>23828</v>
      </c>
      <c r="C4411" t="s">
        <v>23829</v>
      </c>
      <c r="E4411" t="s">
        <v>23830</v>
      </c>
      <c r="G4411" t="s">
        <v>3498</v>
      </c>
      <c r="H4411" t="s">
        <v>4032</v>
      </c>
      <c r="I4411" t="s">
        <v>4033</v>
      </c>
      <c r="J4411" t="s">
        <v>518</v>
      </c>
      <c r="K4411" t="s">
        <v>519</v>
      </c>
      <c r="M4411" t="s">
        <v>2287</v>
      </c>
      <c r="N4411" t="s">
        <v>727</v>
      </c>
      <c r="O4411" t="s">
        <v>3496</v>
      </c>
      <c r="P4411" t="s">
        <v>584</v>
      </c>
      <c r="Q4411" t="s">
        <v>3497</v>
      </c>
      <c r="R4411" t="s">
        <v>3338</v>
      </c>
      <c r="S4411" t="s">
        <v>3498</v>
      </c>
      <c r="T4411" t="s">
        <v>2448</v>
      </c>
      <c r="U4411">
        <v>363001</v>
      </c>
      <c r="V4411" t="s">
        <v>21866</v>
      </c>
      <c r="W4411" t="s">
        <v>1652</v>
      </c>
      <c r="X4411" t="s">
        <v>23831</v>
      </c>
      <c r="Y4411" t="s">
        <v>23832</v>
      </c>
      <c r="Z4411" t="s">
        <v>23833</v>
      </c>
      <c r="AA4411" t="s">
        <v>15612</v>
      </c>
      <c r="AB4411" t="s">
        <v>23834</v>
      </c>
      <c r="AE4411">
        <v>-46.437234119999999</v>
      </c>
      <c r="AF4411">
        <v>168.35389452000001</v>
      </c>
      <c r="AG4411">
        <v>18</v>
      </c>
      <c r="AH4411">
        <v>18</v>
      </c>
    </row>
    <row r="4412" spans="1:46">
      <c r="A4412">
        <v>90300</v>
      </c>
      <c r="B4412" t="s">
        <v>23835</v>
      </c>
      <c r="C4412" t="s">
        <v>23836</v>
      </c>
      <c r="E4412" t="s">
        <v>23837</v>
      </c>
      <c r="G4412" t="s">
        <v>3498</v>
      </c>
      <c r="H4412" t="s">
        <v>343</v>
      </c>
      <c r="J4412" t="s">
        <v>518</v>
      </c>
      <c r="K4412" t="s">
        <v>519</v>
      </c>
      <c r="L4412" t="s">
        <v>4205</v>
      </c>
      <c r="M4412" t="s">
        <v>2287</v>
      </c>
      <c r="N4412" t="s">
        <v>557</v>
      </c>
      <c r="O4412" t="s">
        <v>3496</v>
      </c>
      <c r="P4412" t="s">
        <v>584</v>
      </c>
      <c r="Q4412" t="s">
        <v>3497</v>
      </c>
      <c r="R4412" t="s">
        <v>3338</v>
      </c>
      <c r="S4412" t="s">
        <v>3498</v>
      </c>
      <c r="T4412" t="s">
        <v>2448</v>
      </c>
      <c r="U4412">
        <v>361601</v>
      </c>
      <c r="V4412" t="s">
        <v>3550</v>
      </c>
      <c r="W4412" t="s">
        <v>1652</v>
      </c>
      <c r="X4412" t="s">
        <v>12058</v>
      </c>
      <c r="Y4412" t="s">
        <v>4208</v>
      </c>
      <c r="Z4412" t="s">
        <v>4209</v>
      </c>
      <c r="AA4412" t="s">
        <v>4210</v>
      </c>
      <c r="AB4412" t="s">
        <v>12059</v>
      </c>
      <c r="AE4412">
        <v>-46.410086120000003</v>
      </c>
      <c r="AF4412">
        <v>168.36444922000001</v>
      </c>
      <c r="AG4412">
        <v>36</v>
      </c>
      <c r="AH4412">
        <v>8</v>
      </c>
      <c r="AI4412">
        <v>1</v>
      </c>
      <c r="AJ4412">
        <v>3</v>
      </c>
      <c r="AK4412">
        <v>9</v>
      </c>
      <c r="AL4412">
        <v>13</v>
      </c>
      <c r="AM4412">
        <v>8</v>
      </c>
      <c r="AN4412">
        <v>0</v>
      </c>
      <c r="AO4412">
        <v>34</v>
      </c>
      <c r="AP4412">
        <v>0</v>
      </c>
      <c r="AQ4412">
        <v>34</v>
      </c>
      <c r="AR4412">
        <v>0</v>
      </c>
      <c r="AS4412">
        <v>0</v>
      </c>
      <c r="AT4412">
        <v>0</v>
      </c>
    </row>
    <row r="4413" spans="1:46">
      <c r="A4413">
        <v>90302</v>
      </c>
      <c r="B4413" t="s">
        <v>23838</v>
      </c>
      <c r="C4413" t="s">
        <v>23839</v>
      </c>
      <c r="E4413" t="s">
        <v>23840</v>
      </c>
      <c r="G4413" t="s">
        <v>3513</v>
      </c>
      <c r="H4413" t="s">
        <v>343</v>
      </c>
      <c r="J4413" t="s">
        <v>518</v>
      </c>
      <c r="K4413" t="s">
        <v>519</v>
      </c>
      <c r="L4413" t="s">
        <v>4205</v>
      </c>
      <c r="M4413" t="s">
        <v>2287</v>
      </c>
      <c r="N4413" t="s">
        <v>521</v>
      </c>
      <c r="O4413" t="s">
        <v>3514</v>
      </c>
      <c r="P4413" t="s">
        <v>523</v>
      </c>
      <c r="Q4413" t="s">
        <v>3497</v>
      </c>
      <c r="R4413" t="s">
        <v>3338</v>
      </c>
      <c r="S4413" t="s">
        <v>3361</v>
      </c>
      <c r="T4413" t="s">
        <v>2448</v>
      </c>
      <c r="U4413">
        <v>360300</v>
      </c>
      <c r="V4413" t="s">
        <v>23841</v>
      </c>
      <c r="W4413" t="s">
        <v>3516</v>
      </c>
      <c r="X4413" t="s">
        <v>12058</v>
      </c>
      <c r="Y4413" t="s">
        <v>4208</v>
      </c>
      <c r="Z4413" t="s">
        <v>4209</v>
      </c>
      <c r="AA4413" t="s">
        <v>4210</v>
      </c>
      <c r="AB4413" t="s">
        <v>12059</v>
      </c>
      <c r="AE4413">
        <v>-46.114527729999999</v>
      </c>
      <c r="AF4413">
        <v>168.92660133000001</v>
      </c>
      <c r="AG4413">
        <v>19</v>
      </c>
      <c r="AH4413">
        <v>4</v>
      </c>
      <c r="AI4413">
        <v>2</v>
      </c>
      <c r="AJ4413">
        <v>1</v>
      </c>
      <c r="AK4413">
        <v>3</v>
      </c>
      <c r="AL4413">
        <v>5</v>
      </c>
      <c r="AM4413">
        <v>2</v>
      </c>
      <c r="AN4413">
        <v>0</v>
      </c>
      <c r="AO4413">
        <v>13</v>
      </c>
      <c r="AP4413">
        <v>0</v>
      </c>
      <c r="AQ4413">
        <v>13</v>
      </c>
      <c r="AR4413">
        <v>0</v>
      </c>
      <c r="AS4413">
        <v>0</v>
      </c>
      <c r="AT4413">
        <v>0</v>
      </c>
    </row>
    <row r="4414" spans="1:46">
      <c r="A4414">
        <v>90304</v>
      </c>
      <c r="B4414" t="s">
        <v>23842</v>
      </c>
      <c r="C4414" t="s">
        <v>23843</v>
      </c>
      <c r="D4414" t="s">
        <v>23844</v>
      </c>
      <c r="E4414" t="s">
        <v>23845</v>
      </c>
      <c r="G4414" t="s">
        <v>13868</v>
      </c>
      <c r="H4414" t="s">
        <v>343</v>
      </c>
      <c r="J4414" t="s">
        <v>518</v>
      </c>
      <c r="K4414" t="s">
        <v>519</v>
      </c>
      <c r="L4414" t="s">
        <v>4205</v>
      </c>
      <c r="M4414" t="s">
        <v>2287</v>
      </c>
      <c r="N4414" t="s">
        <v>521</v>
      </c>
      <c r="O4414" t="s">
        <v>3514</v>
      </c>
      <c r="P4414" t="s">
        <v>523</v>
      </c>
      <c r="Q4414" t="s">
        <v>3497</v>
      </c>
      <c r="R4414" t="s">
        <v>3338</v>
      </c>
      <c r="S4414" t="s">
        <v>3361</v>
      </c>
      <c r="T4414" t="s">
        <v>2448</v>
      </c>
      <c r="U4414">
        <v>360400</v>
      </c>
      <c r="V4414" t="s">
        <v>13868</v>
      </c>
      <c r="W4414" t="s">
        <v>13869</v>
      </c>
      <c r="X4414" t="s">
        <v>12058</v>
      </c>
      <c r="Y4414" t="s">
        <v>4208</v>
      </c>
      <c r="Z4414" t="s">
        <v>4209</v>
      </c>
      <c r="AA4414" t="s">
        <v>4210</v>
      </c>
      <c r="AB4414" t="s">
        <v>12059</v>
      </c>
      <c r="AE4414">
        <v>-46.193706159999998</v>
      </c>
      <c r="AF4414">
        <v>168.87011089999999</v>
      </c>
      <c r="AG4414">
        <v>27</v>
      </c>
      <c r="AH4414">
        <v>10</v>
      </c>
      <c r="AI4414">
        <v>0</v>
      </c>
      <c r="AJ4414">
        <v>2</v>
      </c>
      <c r="AK4414">
        <v>5</v>
      </c>
      <c r="AL4414">
        <v>6</v>
      </c>
      <c r="AM4414">
        <v>8</v>
      </c>
      <c r="AN4414">
        <v>0</v>
      </c>
      <c r="AO4414">
        <v>21</v>
      </c>
      <c r="AP4414">
        <v>0</v>
      </c>
      <c r="AQ4414">
        <v>20</v>
      </c>
      <c r="AR4414">
        <v>0</v>
      </c>
      <c r="AS4414">
        <v>0</v>
      </c>
      <c r="AT4414">
        <v>1</v>
      </c>
    </row>
    <row r="4415" spans="1:46">
      <c r="A4415">
        <v>90305</v>
      </c>
      <c r="B4415" t="s">
        <v>23846</v>
      </c>
      <c r="C4415" t="s">
        <v>23847</v>
      </c>
      <c r="E4415" t="s">
        <v>23848</v>
      </c>
      <c r="G4415" t="s">
        <v>3498</v>
      </c>
      <c r="H4415" t="s">
        <v>343</v>
      </c>
      <c r="J4415" t="s">
        <v>518</v>
      </c>
      <c r="K4415" t="s">
        <v>519</v>
      </c>
      <c r="L4415" t="s">
        <v>4205</v>
      </c>
      <c r="M4415" t="s">
        <v>2287</v>
      </c>
      <c r="N4415" t="s">
        <v>539</v>
      </c>
      <c r="O4415" t="s">
        <v>3496</v>
      </c>
      <c r="P4415" t="s">
        <v>584</v>
      </c>
      <c r="Q4415" t="s">
        <v>3497</v>
      </c>
      <c r="R4415" t="s">
        <v>3338</v>
      </c>
      <c r="S4415" t="s">
        <v>3498</v>
      </c>
      <c r="T4415" t="s">
        <v>2448</v>
      </c>
      <c r="U4415">
        <v>362001</v>
      </c>
      <c r="V4415" t="s">
        <v>12960</v>
      </c>
      <c r="W4415" t="s">
        <v>1652</v>
      </c>
      <c r="X4415" t="s">
        <v>12058</v>
      </c>
      <c r="Y4415" t="s">
        <v>4208</v>
      </c>
      <c r="Z4415" t="s">
        <v>4209</v>
      </c>
      <c r="AA4415" t="s">
        <v>4210</v>
      </c>
      <c r="AB4415" t="s">
        <v>12059</v>
      </c>
      <c r="AE4415">
        <v>-46.424123059999999</v>
      </c>
      <c r="AF4415">
        <v>168.35294533000001</v>
      </c>
      <c r="AG4415">
        <v>40</v>
      </c>
      <c r="AH4415">
        <v>15</v>
      </c>
      <c r="AI4415">
        <v>1</v>
      </c>
      <c r="AJ4415">
        <v>6</v>
      </c>
      <c r="AK4415">
        <v>5</v>
      </c>
      <c r="AL4415">
        <v>8</v>
      </c>
      <c r="AM4415">
        <v>14</v>
      </c>
      <c r="AN4415">
        <v>0</v>
      </c>
      <c r="AO4415">
        <v>34</v>
      </c>
      <c r="AP4415">
        <v>0</v>
      </c>
      <c r="AQ4415">
        <v>31</v>
      </c>
      <c r="AR4415">
        <v>2</v>
      </c>
      <c r="AS4415">
        <v>0</v>
      </c>
      <c r="AT4415">
        <v>1</v>
      </c>
    </row>
    <row r="4416" spans="1:46">
      <c r="A4416">
        <v>90306</v>
      </c>
      <c r="B4416" t="s">
        <v>23849</v>
      </c>
      <c r="C4416" t="s">
        <v>23850</v>
      </c>
      <c r="E4416" t="s">
        <v>23851</v>
      </c>
      <c r="G4416" t="s">
        <v>3498</v>
      </c>
      <c r="H4416" t="s">
        <v>343</v>
      </c>
      <c r="J4416" t="s">
        <v>518</v>
      </c>
      <c r="K4416" t="s">
        <v>519</v>
      </c>
      <c r="L4416" t="s">
        <v>4205</v>
      </c>
      <c r="M4416" t="s">
        <v>2287</v>
      </c>
      <c r="N4416" t="s">
        <v>571</v>
      </c>
      <c r="O4416" t="s">
        <v>3496</v>
      </c>
      <c r="P4416" t="s">
        <v>584</v>
      </c>
      <c r="Q4416" t="s">
        <v>3497</v>
      </c>
      <c r="R4416" t="s">
        <v>3338</v>
      </c>
      <c r="S4416" t="s">
        <v>3498</v>
      </c>
      <c r="T4416" t="s">
        <v>2448</v>
      </c>
      <c r="U4416">
        <v>362601</v>
      </c>
      <c r="V4416" t="s">
        <v>3842</v>
      </c>
      <c r="W4416" t="s">
        <v>1652</v>
      </c>
      <c r="X4416" t="s">
        <v>12058</v>
      </c>
      <c r="Y4416" t="s">
        <v>4208</v>
      </c>
      <c r="Z4416" t="s">
        <v>4209</v>
      </c>
      <c r="AA4416" t="s">
        <v>4210</v>
      </c>
      <c r="AB4416" t="s">
        <v>12059</v>
      </c>
      <c r="AE4416">
        <v>-46.430587789999997</v>
      </c>
      <c r="AF4416">
        <v>168.38782964999999</v>
      </c>
      <c r="AG4416">
        <v>16</v>
      </c>
      <c r="AH4416">
        <v>6</v>
      </c>
      <c r="AI4416">
        <v>0</v>
      </c>
      <c r="AJ4416">
        <v>3</v>
      </c>
      <c r="AK4416">
        <v>5</v>
      </c>
      <c r="AL4416">
        <v>3</v>
      </c>
      <c r="AM4416">
        <v>1</v>
      </c>
      <c r="AN4416">
        <v>0</v>
      </c>
      <c r="AO4416">
        <v>12</v>
      </c>
      <c r="AP4416">
        <v>0</v>
      </c>
      <c r="AQ4416">
        <v>12</v>
      </c>
      <c r="AR4416">
        <v>0</v>
      </c>
      <c r="AS4416">
        <v>0</v>
      </c>
      <c r="AT4416">
        <v>0</v>
      </c>
    </row>
    <row r="4417" spans="1:46">
      <c r="A4417">
        <v>90307</v>
      </c>
      <c r="B4417" t="s">
        <v>23852</v>
      </c>
      <c r="C4417" t="s">
        <v>23853</v>
      </c>
      <c r="E4417" t="s">
        <v>23854</v>
      </c>
      <c r="G4417" t="s">
        <v>3498</v>
      </c>
      <c r="H4417" t="s">
        <v>343</v>
      </c>
      <c r="J4417" t="s">
        <v>518</v>
      </c>
      <c r="K4417" t="s">
        <v>519</v>
      </c>
      <c r="L4417" t="s">
        <v>4205</v>
      </c>
      <c r="M4417" t="s">
        <v>2287</v>
      </c>
      <c r="N4417" t="s">
        <v>727</v>
      </c>
      <c r="O4417" t="s">
        <v>3496</v>
      </c>
      <c r="P4417" t="s">
        <v>584</v>
      </c>
      <c r="Q4417" t="s">
        <v>3497</v>
      </c>
      <c r="R4417" t="s">
        <v>3338</v>
      </c>
      <c r="S4417" t="s">
        <v>3498</v>
      </c>
      <c r="T4417" t="s">
        <v>2448</v>
      </c>
      <c r="U4417">
        <v>363001</v>
      </c>
      <c r="V4417" t="s">
        <v>21866</v>
      </c>
      <c r="W4417" t="s">
        <v>1652</v>
      </c>
      <c r="X4417" t="s">
        <v>12058</v>
      </c>
      <c r="Y4417" t="s">
        <v>4208</v>
      </c>
      <c r="Z4417" t="s">
        <v>4209</v>
      </c>
      <c r="AA4417" t="s">
        <v>4210</v>
      </c>
      <c r="AB4417" t="s">
        <v>12059</v>
      </c>
      <c r="AE4417">
        <v>-46.45529311</v>
      </c>
      <c r="AF4417">
        <v>168.3703764</v>
      </c>
      <c r="AG4417">
        <v>16</v>
      </c>
      <c r="AH4417">
        <v>6</v>
      </c>
      <c r="AI4417">
        <v>0</v>
      </c>
      <c r="AJ4417">
        <v>2</v>
      </c>
      <c r="AK4417">
        <v>3</v>
      </c>
      <c r="AL4417">
        <v>4</v>
      </c>
      <c r="AM4417">
        <v>3</v>
      </c>
      <c r="AN4417">
        <v>0</v>
      </c>
      <c r="AO4417">
        <v>12</v>
      </c>
      <c r="AP4417">
        <v>0</v>
      </c>
      <c r="AQ4417">
        <v>10</v>
      </c>
      <c r="AR4417">
        <v>1</v>
      </c>
      <c r="AS4417">
        <v>0</v>
      </c>
      <c r="AT4417">
        <v>1</v>
      </c>
    </row>
    <row r="4418" spans="1:46">
      <c r="A4418">
        <v>90311</v>
      </c>
      <c r="B4418" t="s">
        <v>23855</v>
      </c>
      <c r="C4418" t="s">
        <v>23856</v>
      </c>
      <c r="E4418" t="s">
        <v>23857</v>
      </c>
      <c r="G4418" t="s">
        <v>3498</v>
      </c>
      <c r="H4418" t="s">
        <v>343</v>
      </c>
      <c r="J4418" t="s">
        <v>518</v>
      </c>
      <c r="K4418" t="s">
        <v>519</v>
      </c>
      <c r="L4418" t="s">
        <v>4205</v>
      </c>
      <c r="M4418" t="s">
        <v>2287</v>
      </c>
      <c r="N4418" t="s">
        <v>521</v>
      </c>
      <c r="O4418" t="s">
        <v>3496</v>
      </c>
      <c r="P4418" t="s">
        <v>584</v>
      </c>
      <c r="Q4418" t="s">
        <v>3497</v>
      </c>
      <c r="R4418" t="s">
        <v>3338</v>
      </c>
      <c r="S4418" t="s">
        <v>3498</v>
      </c>
      <c r="T4418" t="s">
        <v>2448</v>
      </c>
      <c r="U4418">
        <v>360601</v>
      </c>
      <c r="V4418" t="s">
        <v>3540</v>
      </c>
      <c r="W4418" t="s">
        <v>1652</v>
      </c>
      <c r="X4418" t="s">
        <v>12058</v>
      </c>
      <c r="Y4418" t="s">
        <v>4208</v>
      </c>
      <c r="Z4418" t="s">
        <v>4209</v>
      </c>
      <c r="AA4418" t="s">
        <v>4210</v>
      </c>
      <c r="AB4418" t="s">
        <v>12059</v>
      </c>
      <c r="AE4418">
        <v>-46.385365149999998</v>
      </c>
      <c r="AF4418">
        <v>168.34613858</v>
      </c>
      <c r="AG4418">
        <v>30</v>
      </c>
      <c r="AH4418">
        <v>12</v>
      </c>
      <c r="AI4418">
        <v>1</v>
      </c>
      <c r="AJ4418">
        <v>7</v>
      </c>
      <c r="AK4418">
        <v>10</v>
      </c>
      <c r="AL4418">
        <v>0</v>
      </c>
      <c r="AM4418">
        <v>4</v>
      </c>
      <c r="AN4418">
        <v>0</v>
      </c>
      <c r="AO4418">
        <v>22</v>
      </c>
      <c r="AP4418">
        <v>0</v>
      </c>
      <c r="AQ4418">
        <v>17</v>
      </c>
      <c r="AR4418">
        <v>3</v>
      </c>
      <c r="AS4418">
        <v>0</v>
      </c>
      <c r="AT4418">
        <v>2</v>
      </c>
    </row>
    <row r="4419" spans="1:46">
      <c r="A4419">
        <v>90400</v>
      </c>
      <c r="B4419" t="s">
        <v>23858</v>
      </c>
      <c r="C4419" t="s">
        <v>23859</v>
      </c>
      <c r="D4419" t="s">
        <v>23860</v>
      </c>
      <c r="E4419" t="s">
        <v>23861</v>
      </c>
      <c r="F4419" t="s">
        <v>23862</v>
      </c>
      <c r="G4419" t="s">
        <v>3498</v>
      </c>
      <c r="H4419" t="s">
        <v>3942</v>
      </c>
      <c r="I4419" t="s">
        <v>4165</v>
      </c>
      <c r="J4419" t="s">
        <v>3962</v>
      </c>
      <c r="K4419" t="s">
        <v>519</v>
      </c>
      <c r="M4419" t="s">
        <v>2287</v>
      </c>
      <c r="N4419" t="s">
        <v>521</v>
      </c>
      <c r="O4419" t="s">
        <v>3496</v>
      </c>
      <c r="P4419" t="s">
        <v>584</v>
      </c>
      <c r="Q4419" t="s">
        <v>3497</v>
      </c>
      <c r="R4419" t="s">
        <v>3338</v>
      </c>
      <c r="S4419" t="s">
        <v>3498</v>
      </c>
      <c r="T4419" t="s">
        <v>2448</v>
      </c>
      <c r="U4419">
        <v>363001</v>
      </c>
      <c r="V4419" t="s">
        <v>21866</v>
      </c>
      <c r="W4419" t="s">
        <v>1652</v>
      </c>
      <c r="X4419" t="s">
        <v>23863</v>
      </c>
      <c r="AB4419" t="s">
        <v>23864</v>
      </c>
      <c r="AE4419">
        <v>-46.453943799999998</v>
      </c>
      <c r="AF4419">
        <v>168.37044879999999</v>
      </c>
      <c r="AG4419">
        <v>55</v>
      </c>
      <c r="AH4419">
        <v>15</v>
      </c>
      <c r="AI4419">
        <v>2</v>
      </c>
      <c r="AJ4419">
        <v>7</v>
      </c>
      <c r="AK4419">
        <v>7</v>
      </c>
      <c r="AL4419">
        <v>15</v>
      </c>
      <c r="AM4419">
        <v>10</v>
      </c>
      <c r="AN4419">
        <v>0</v>
      </c>
      <c r="AO4419">
        <v>41</v>
      </c>
      <c r="AP4419">
        <v>21</v>
      </c>
      <c r="AQ4419">
        <v>18</v>
      </c>
      <c r="AR4419">
        <v>23</v>
      </c>
      <c r="AS4419">
        <v>3</v>
      </c>
      <c r="AT4419">
        <v>1</v>
      </c>
    </row>
  </sheetData>
  <sheetProtection algorithmName="SHA-512" hashValue="e9oa7cX9rNjFbI+xT0vc7SJxGm6GyLNYIA9VlgqTRQwv6pWosEHg74dXU3LrTS+8kaQuLZS7GccQNaoVLjRQpA==" saltValue="OenzoNLqVdn2R01gi6oC9w==" spinCount="100000" sheet="1" objects="1" scenarios="1" sort="0" autoFilter="0" pivotTables="0"/>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0C849-5837-4C80-BFC5-CB416FBB626F}">
  <dimension ref="A1:H30"/>
  <sheetViews>
    <sheetView workbookViewId="0">
      <selection activeCell="Q13" sqref="Q13"/>
    </sheetView>
  </sheetViews>
  <sheetFormatPr defaultColWidth="8.85546875" defaultRowHeight="14.65"/>
  <sheetData>
    <row r="1" spans="1:8" ht="15.4">
      <c r="A1" s="129" t="s">
        <v>23865</v>
      </c>
      <c r="B1" s="134"/>
      <c r="C1" s="134"/>
      <c r="D1" s="134"/>
      <c r="E1" s="134"/>
      <c r="F1" s="134"/>
      <c r="G1" s="134"/>
      <c r="H1" s="134"/>
    </row>
    <row r="2" spans="1:8">
      <c r="A2" s="134"/>
      <c r="B2" s="134"/>
      <c r="C2" s="134"/>
      <c r="D2" s="134"/>
      <c r="E2" s="134"/>
      <c r="F2" s="134"/>
      <c r="G2" s="134"/>
      <c r="H2" s="134"/>
    </row>
    <row r="3" spans="1:8">
      <c r="A3" s="135" t="s">
        <v>23866</v>
      </c>
      <c r="B3" s="103" t="s">
        <v>23867</v>
      </c>
      <c r="C3" s="103" t="s">
        <v>293</v>
      </c>
      <c r="D3" s="103" t="s">
        <v>376</v>
      </c>
      <c r="E3" s="103" t="s">
        <v>305</v>
      </c>
      <c r="F3" s="103" t="s">
        <v>299</v>
      </c>
      <c r="G3" s="103" t="s">
        <v>298</v>
      </c>
      <c r="H3" s="103" t="s">
        <v>238</v>
      </c>
    </row>
    <row r="4" spans="1:8">
      <c r="A4" s="136">
        <v>2000</v>
      </c>
      <c r="B4" s="137">
        <v>984</v>
      </c>
      <c r="C4" s="137">
        <v>71231</v>
      </c>
      <c r="D4" s="137">
        <v>8937</v>
      </c>
      <c r="E4" s="137">
        <v>45869</v>
      </c>
      <c r="F4" s="137">
        <v>11138</v>
      </c>
      <c r="G4" s="137">
        <v>15808</v>
      </c>
      <c r="H4" s="138">
        <v>153967</v>
      </c>
    </row>
    <row r="5" spans="1:8">
      <c r="A5" s="136">
        <v>2001</v>
      </c>
      <c r="B5" s="137">
        <v>947</v>
      </c>
      <c r="C5" s="137">
        <v>73192</v>
      </c>
      <c r="D5" s="137">
        <v>8546</v>
      </c>
      <c r="E5" s="137">
        <v>45439</v>
      </c>
      <c r="F5" s="137">
        <v>9594</v>
      </c>
      <c r="G5" s="137">
        <v>14786</v>
      </c>
      <c r="H5" s="138">
        <v>152504</v>
      </c>
    </row>
    <row r="6" spans="1:8">
      <c r="A6" s="136">
        <v>2002</v>
      </c>
      <c r="B6" s="137">
        <v>913</v>
      </c>
      <c r="C6" s="137">
        <v>76246</v>
      </c>
      <c r="D6" s="137">
        <v>8591</v>
      </c>
      <c r="E6" s="137">
        <v>45169</v>
      </c>
      <c r="F6" s="137">
        <v>10389</v>
      </c>
      <c r="G6" s="137">
        <v>14879</v>
      </c>
      <c r="H6" s="138">
        <v>156187</v>
      </c>
    </row>
    <row r="7" spans="1:8">
      <c r="A7" s="136">
        <v>2003</v>
      </c>
      <c r="B7" s="137">
        <v>991</v>
      </c>
      <c r="C7" s="137">
        <v>78967</v>
      </c>
      <c r="D7" s="137">
        <v>9587</v>
      </c>
      <c r="E7" s="137">
        <v>45109</v>
      </c>
      <c r="F7" s="137">
        <v>10319</v>
      </c>
      <c r="G7" s="137">
        <v>15200</v>
      </c>
      <c r="H7" s="138">
        <v>160173</v>
      </c>
    </row>
    <row r="8" spans="1:8">
      <c r="A8" s="136">
        <v>2004</v>
      </c>
      <c r="B8" s="137">
        <v>922</v>
      </c>
      <c r="C8" s="137">
        <v>81096</v>
      </c>
      <c r="D8" s="137">
        <v>9922</v>
      </c>
      <c r="E8" s="137">
        <v>45287</v>
      </c>
      <c r="F8" s="137">
        <v>10418</v>
      </c>
      <c r="G8" s="137">
        <v>15440</v>
      </c>
      <c r="H8" s="138">
        <v>163085</v>
      </c>
    </row>
    <row r="9" spans="1:8">
      <c r="A9" s="136">
        <v>2005</v>
      </c>
      <c r="B9" s="137">
        <v>813</v>
      </c>
      <c r="C9" s="137">
        <v>83889</v>
      </c>
      <c r="D9" s="137">
        <v>9770</v>
      </c>
      <c r="E9" s="137">
        <v>44920</v>
      </c>
      <c r="F9" s="137">
        <v>10070</v>
      </c>
      <c r="G9" s="137">
        <v>15059</v>
      </c>
      <c r="H9" s="138">
        <v>164521</v>
      </c>
    </row>
    <row r="10" spans="1:8">
      <c r="A10" s="136">
        <v>2006</v>
      </c>
      <c r="B10" s="137">
        <v>577</v>
      </c>
      <c r="C10" s="137">
        <v>86059</v>
      </c>
      <c r="D10" s="137">
        <v>9802</v>
      </c>
      <c r="E10" s="137">
        <v>44435</v>
      </c>
      <c r="F10" s="137">
        <v>9493</v>
      </c>
      <c r="G10" s="137">
        <v>14888</v>
      </c>
      <c r="H10" s="138">
        <v>165254</v>
      </c>
    </row>
    <row r="11" spans="1:8">
      <c r="A11" s="136">
        <v>2007</v>
      </c>
      <c r="B11" s="137">
        <v>737</v>
      </c>
      <c r="C11" s="137">
        <v>91733</v>
      </c>
      <c r="D11" s="137">
        <v>11073</v>
      </c>
      <c r="E11" s="137">
        <v>43695</v>
      </c>
      <c r="F11" s="137">
        <v>9236</v>
      </c>
      <c r="G11" s="137">
        <v>14664</v>
      </c>
      <c r="H11" s="138">
        <v>171138</v>
      </c>
    </row>
    <row r="12" spans="1:8">
      <c r="A12" s="136">
        <v>2008</v>
      </c>
      <c r="B12" s="137">
        <v>591</v>
      </c>
      <c r="C12" s="137">
        <v>97756</v>
      </c>
      <c r="D12" s="137">
        <v>13065</v>
      </c>
      <c r="E12" s="137">
        <v>41487</v>
      </c>
      <c r="F12" s="137">
        <v>9165</v>
      </c>
      <c r="G12" s="137">
        <v>14929</v>
      </c>
      <c r="H12" s="138">
        <v>176993</v>
      </c>
    </row>
    <row r="13" spans="1:8">
      <c r="A13" s="136">
        <v>2009</v>
      </c>
      <c r="B13" s="137">
        <v>627</v>
      </c>
      <c r="C13" s="137">
        <v>101424</v>
      </c>
      <c r="D13" s="137">
        <v>15054</v>
      </c>
      <c r="E13" s="137">
        <v>39346</v>
      </c>
      <c r="F13" s="137">
        <v>9288</v>
      </c>
      <c r="G13" s="137">
        <v>15171</v>
      </c>
      <c r="H13" s="138">
        <v>180910</v>
      </c>
    </row>
    <row r="14" spans="1:8">
      <c r="A14" s="136">
        <v>2010</v>
      </c>
      <c r="B14" s="137">
        <v>617</v>
      </c>
      <c r="C14" s="137">
        <v>109233</v>
      </c>
      <c r="D14" s="137">
        <v>17084</v>
      </c>
      <c r="E14" s="137">
        <v>37600</v>
      </c>
      <c r="F14" s="137">
        <v>9370</v>
      </c>
      <c r="G14" s="137">
        <v>15049</v>
      </c>
      <c r="H14" s="138">
        <v>188953</v>
      </c>
    </row>
    <row r="15" spans="1:8">
      <c r="A15" s="136">
        <v>2011</v>
      </c>
      <c r="B15" s="137">
        <v>560</v>
      </c>
      <c r="C15" s="137">
        <v>113881</v>
      </c>
      <c r="D15" s="137">
        <v>17955</v>
      </c>
      <c r="E15" s="137">
        <v>36967</v>
      </c>
      <c r="F15" s="137">
        <v>9631</v>
      </c>
      <c r="G15" s="137">
        <v>15107</v>
      </c>
      <c r="H15" s="138">
        <v>194101</v>
      </c>
    </row>
    <row r="16" spans="1:8">
      <c r="A16" s="136">
        <v>2012</v>
      </c>
      <c r="B16" s="137">
        <v>519</v>
      </c>
      <c r="C16" s="137">
        <v>117724</v>
      </c>
      <c r="D16" s="137">
        <v>18412</v>
      </c>
      <c r="E16" s="137">
        <v>36208</v>
      </c>
      <c r="F16" s="137">
        <v>9366</v>
      </c>
      <c r="G16" s="137">
        <v>14297</v>
      </c>
      <c r="H16" s="138">
        <v>196526</v>
      </c>
    </row>
    <row r="17" spans="1:8">
      <c r="A17" s="136">
        <v>2013</v>
      </c>
      <c r="B17" s="137">
        <v>588</v>
      </c>
      <c r="C17" s="137">
        <v>123778</v>
      </c>
      <c r="D17" s="137">
        <v>18820</v>
      </c>
      <c r="E17" s="137">
        <v>35012</v>
      </c>
      <c r="F17" s="137">
        <v>9179</v>
      </c>
      <c r="G17" s="137">
        <v>13565</v>
      </c>
      <c r="H17" s="138">
        <v>200942</v>
      </c>
    </row>
    <row r="18" spans="1:8">
      <c r="A18" s="136">
        <v>2014</v>
      </c>
      <c r="B18" s="109">
        <v>500</v>
      </c>
      <c r="C18" s="109">
        <v>126804</v>
      </c>
      <c r="D18" s="109">
        <v>19162</v>
      </c>
      <c r="E18" s="109">
        <v>31877</v>
      </c>
      <c r="F18" s="109">
        <v>8936</v>
      </c>
      <c r="G18" s="109">
        <v>12723</v>
      </c>
      <c r="H18" s="114">
        <v>200002</v>
      </c>
    </row>
    <row r="19" spans="1:8">
      <c r="A19" s="136">
        <v>2015</v>
      </c>
      <c r="B19" s="109">
        <v>496</v>
      </c>
      <c r="C19" s="109">
        <v>125446</v>
      </c>
      <c r="D19" s="109">
        <v>20505</v>
      </c>
      <c r="E19" s="109">
        <v>30996</v>
      </c>
      <c r="F19" s="109">
        <v>8860</v>
      </c>
      <c r="G19" s="109">
        <v>12584</v>
      </c>
      <c r="H19" s="114">
        <v>198887</v>
      </c>
    </row>
    <row r="20" spans="1:8">
      <c r="A20" s="136">
        <v>2016</v>
      </c>
      <c r="B20" s="109">
        <v>414</v>
      </c>
      <c r="C20" s="109">
        <v>129488</v>
      </c>
      <c r="D20" s="109">
        <v>18818</v>
      </c>
      <c r="E20" s="109">
        <v>30832</v>
      </c>
      <c r="F20" s="109">
        <v>8621</v>
      </c>
      <c r="G20" s="109">
        <v>13502</v>
      </c>
      <c r="H20" s="114">
        <v>201675</v>
      </c>
    </row>
    <row r="21" spans="1:8">
      <c r="A21" s="136">
        <v>2017</v>
      </c>
      <c r="B21" s="109">
        <v>367</v>
      </c>
      <c r="C21" s="109">
        <v>132221</v>
      </c>
      <c r="D21" s="109">
        <v>18440</v>
      </c>
      <c r="E21" s="109">
        <v>29787</v>
      </c>
      <c r="F21" s="109">
        <v>8631</v>
      </c>
      <c r="G21" s="109">
        <v>13326</v>
      </c>
      <c r="H21" s="114">
        <v>202772</v>
      </c>
    </row>
    <row r="22" spans="1:8">
      <c r="A22" s="136">
        <v>2018</v>
      </c>
      <c r="B22" s="109">
        <v>324</v>
      </c>
      <c r="C22" s="109">
        <v>134701</v>
      </c>
      <c r="D22" s="109">
        <v>18267</v>
      </c>
      <c r="E22" s="109">
        <v>29048</v>
      </c>
      <c r="F22" s="109">
        <v>8514</v>
      </c>
      <c r="G22" s="109">
        <v>9734</v>
      </c>
      <c r="H22" s="114">
        <v>200588</v>
      </c>
    </row>
    <row r="23" spans="1:8">
      <c r="A23" s="136">
        <v>2019</v>
      </c>
      <c r="B23" s="109">
        <v>312</v>
      </c>
      <c r="C23" s="109">
        <v>135237</v>
      </c>
      <c r="D23" s="109">
        <v>17196</v>
      </c>
      <c r="E23" s="109">
        <v>28238</v>
      </c>
      <c r="F23" s="109">
        <v>8488</v>
      </c>
      <c r="G23" s="109">
        <v>9452</v>
      </c>
      <c r="H23" s="114">
        <v>198923</v>
      </c>
    </row>
    <row r="24" spans="1:8">
      <c r="A24" s="136">
        <v>2020</v>
      </c>
      <c r="B24" s="109">
        <v>333</v>
      </c>
      <c r="C24" s="109">
        <v>130908</v>
      </c>
      <c r="D24" s="109">
        <v>15022</v>
      </c>
      <c r="E24" s="109">
        <v>27483</v>
      </c>
      <c r="F24" s="109">
        <v>8334</v>
      </c>
      <c r="G24" s="109">
        <v>8268</v>
      </c>
      <c r="H24" s="114">
        <v>190348</v>
      </c>
    </row>
    <row r="25" spans="1:8">
      <c r="A25" s="136">
        <v>2021</v>
      </c>
      <c r="B25" s="109">
        <v>391</v>
      </c>
      <c r="C25" s="109">
        <v>135341</v>
      </c>
      <c r="D25" s="109">
        <v>13879</v>
      </c>
      <c r="E25" s="109">
        <v>27638</v>
      </c>
      <c r="F25" s="109">
        <v>8116</v>
      </c>
      <c r="G25" s="109">
        <v>9332</v>
      </c>
      <c r="H25" s="114">
        <v>194697</v>
      </c>
    </row>
    <row r="26" spans="1:8">
      <c r="A26" s="136">
        <v>2022</v>
      </c>
      <c r="B26" s="109">
        <v>428</v>
      </c>
      <c r="C26" s="109">
        <v>128436</v>
      </c>
      <c r="D26" s="109">
        <v>11326</v>
      </c>
      <c r="E26" s="109">
        <v>25099</v>
      </c>
      <c r="F26" s="109">
        <v>7832</v>
      </c>
      <c r="G26" s="109">
        <v>8352</v>
      </c>
      <c r="H26" s="114">
        <v>181473</v>
      </c>
    </row>
    <row r="27" spans="1:8">
      <c r="A27" s="136">
        <v>2023</v>
      </c>
      <c r="B27" s="109">
        <v>424</v>
      </c>
      <c r="C27" s="109">
        <v>136777</v>
      </c>
      <c r="D27" s="109">
        <v>10514</v>
      </c>
      <c r="E27" s="109">
        <v>26743</v>
      </c>
      <c r="F27" s="109">
        <v>8207</v>
      </c>
      <c r="G27" s="109">
        <v>9361</v>
      </c>
      <c r="H27" s="114">
        <v>192026</v>
      </c>
    </row>
    <row r="28" spans="1:8">
      <c r="A28" s="136">
        <v>2024</v>
      </c>
      <c r="B28" s="109">
        <v>381</v>
      </c>
      <c r="C28" s="109">
        <v>139041</v>
      </c>
      <c r="D28" s="109">
        <v>9887</v>
      </c>
      <c r="E28" s="109">
        <v>27565</v>
      </c>
      <c r="F28" s="109">
        <v>8512</v>
      </c>
      <c r="G28" s="109">
        <v>9592</v>
      </c>
      <c r="H28" s="114">
        <v>194978</v>
      </c>
    </row>
    <row r="30" spans="1:8">
      <c r="A30" s="5" t="s">
        <v>23868</v>
      </c>
    </row>
  </sheetData>
  <sheetProtection algorithmName="SHA-512" hashValue="5Hv4M1xeX0H9XOvrt4AiumesBMhrzATWv37t5xHCuOXJyXcgb3foNyIjvn3dNIrdmg55PJijUC1M0BxmbvagZA==" saltValue="QVCnyA9z94iOAwEvQQc5vQ==" spinCount="100000" sheet="1" objects="1" scenarios="1" insertRows="0"/>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971A7-FBCE-47F2-B17C-1E1BC4AFAB2F}">
  <dimension ref="A1:AA42"/>
  <sheetViews>
    <sheetView workbookViewId="0">
      <selection activeCell="Q13" sqref="Q13"/>
    </sheetView>
  </sheetViews>
  <sheetFormatPr defaultColWidth="8.85546875" defaultRowHeight="14.65"/>
  <cols>
    <col min="1" max="1" width="26.85546875" customWidth="1"/>
  </cols>
  <sheetData>
    <row r="1" spans="1:27" ht="15.4">
      <c r="A1" s="129" t="s">
        <v>23869</v>
      </c>
    </row>
    <row r="2" spans="1:27">
      <c r="A2" s="130" t="s">
        <v>23870</v>
      </c>
    </row>
    <row r="4" spans="1:27">
      <c r="A4" s="180" t="s">
        <v>280</v>
      </c>
      <c r="B4" s="178">
        <v>2011</v>
      </c>
      <c r="C4" s="179"/>
      <c r="D4" s="178">
        <v>2012</v>
      </c>
      <c r="E4" s="179"/>
      <c r="F4" s="178">
        <v>2013</v>
      </c>
      <c r="G4" s="182"/>
      <c r="H4" s="183">
        <v>2014</v>
      </c>
      <c r="I4" s="179"/>
      <c r="J4" s="178">
        <v>2016</v>
      </c>
      <c r="K4" s="179"/>
      <c r="L4" s="178">
        <v>2017</v>
      </c>
      <c r="M4" s="179"/>
      <c r="N4" s="178">
        <v>2018</v>
      </c>
      <c r="O4" s="179"/>
      <c r="P4" s="178">
        <v>2019</v>
      </c>
      <c r="Q4" s="179"/>
      <c r="R4" s="178">
        <v>2020</v>
      </c>
      <c r="S4" s="179"/>
      <c r="T4" s="178">
        <v>2021</v>
      </c>
      <c r="U4" s="179"/>
      <c r="V4" s="178">
        <v>2022</v>
      </c>
      <c r="W4" s="179"/>
      <c r="X4" s="178">
        <v>2023</v>
      </c>
      <c r="Y4" s="179"/>
      <c r="Z4" s="178">
        <v>2024</v>
      </c>
      <c r="AA4" s="179"/>
    </row>
    <row r="5" spans="1:27">
      <c r="A5" s="181"/>
      <c r="B5" s="103" t="s">
        <v>23871</v>
      </c>
      <c r="C5" s="103" t="s">
        <v>23872</v>
      </c>
      <c r="D5" s="103" t="s">
        <v>23871</v>
      </c>
      <c r="E5" s="103" t="s">
        <v>23872</v>
      </c>
      <c r="F5" s="103" t="s">
        <v>23871</v>
      </c>
      <c r="G5" s="103" t="s">
        <v>23872</v>
      </c>
      <c r="H5" s="103" t="s">
        <v>23871</v>
      </c>
      <c r="I5" s="103" t="s">
        <v>23872</v>
      </c>
      <c r="J5" s="103" t="s">
        <v>23871</v>
      </c>
      <c r="K5" s="103" t="s">
        <v>23872</v>
      </c>
      <c r="L5" s="103" t="s">
        <v>23871</v>
      </c>
      <c r="M5" s="103" t="s">
        <v>23872</v>
      </c>
      <c r="N5" s="103" t="s">
        <v>23871</v>
      </c>
      <c r="O5" s="103" t="s">
        <v>23872</v>
      </c>
      <c r="P5" s="103" t="s">
        <v>23871</v>
      </c>
      <c r="Q5" s="103" t="s">
        <v>23872</v>
      </c>
      <c r="R5" s="103" t="s">
        <v>23871</v>
      </c>
      <c r="S5" s="103" t="s">
        <v>23872</v>
      </c>
      <c r="T5" s="103" t="s">
        <v>23871</v>
      </c>
      <c r="U5" s="103" t="s">
        <v>23872</v>
      </c>
      <c r="V5" s="103" t="s">
        <v>23871</v>
      </c>
      <c r="W5" s="103" t="s">
        <v>23872</v>
      </c>
      <c r="X5" s="103" t="s">
        <v>23871</v>
      </c>
      <c r="Y5" s="103" t="s">
        <v>23872</v>
      </c>
      <c r="Z5" s="103" t="s">
        <v>23871</v>
      </c>
      <c r="AA5" s="103" t="s">
        <v>23872</v>
      </c>
    </row>
    <row r="6" spans="1:27">
      <c r="A6" s="104" t="s">
        <v>23873</v>
      </c>
      <c r="B6" s="105">
        <v>35</v>
      </c>
      <c r="C6" s="105">
        <v>75</v>
      </c>
      <c r="D6" s="105">
        <v>40</v>
      </c>
      <c r="E6" s="105">
        <v>93</v>
      </c>
      <c r="F6" s="105">
        <v>30</v>
      </c>
      <c r="G6" s="106">
        <v>46</v>
      </c>
      <c r="H6" s="107">
        <v>13</v>
      </c>
      <c r="I6" s="108">
        <v>41</v>
      </c>
      <c r="J6" s="108">
        <v>22</v>
      </c>
      <c r="K6" s="108">
        <v>37</v>
      </c>
      <c r="L6" s="108">
        <v>18</v>
      </c>
      <c r="M6" s="108">
        <v>34</v>
      </c>
      <c r="N6" s="108">
        <v>17</v>
      </c>
      <c r="O6" s="108">
        <v>31</v>
      </c>
      <c r="P6" s="108">
        <v>19</v>
      </c>
      <c r="Q6" s="108">
        <v>27</v>
      </c>
      <c r="R6" s="108">
        <v>4</v>
      </c>
      <c r="S6" s="108">
        <v>15</v>
      </c>
      <c r="T6" s="108">
        <v>9</v>
      </c>
      <c r="U6" s="108">
        <v>26</v>
      </c>
      <c r="V6" s="108">
        <v>9</v>
      </c>
      <c r="W6" s="108">
        <v>26</v>
      </c>
      <c r="X6" s="108">
        <v>15</v>
      </c>
      <c r="Y6" s="108">
        <v>22</v>
      </c>
      <c r="Z6" s="108">
        <v>16</v>
      </c>
      <c r="AA6" s="108">
        <v>17</v>
      </c>
    </row>
    <row r="7" spans="1:27">
      <c r="A7" s="104" t="s">
        <v>23874</v>
      </c>
      <c r="B7" s="105" t="s">
        <v>23875</v>
      </c>
      <c r="C7" s="105">
        <v>16</v>
      </c>
      <c r="D7" s="105" t="s">
        <v>23875</v>
      </c>
      <c r="E7" s="105">
        <v>16</v>
      </c>
      <c r="F7" s="105" t="s">
        <v>23875</v>
      </c>
      <c r="G7" s="106">
        <v>16</v>
      </c>
      <c r="H7" s="107" t="s">
        <v>23875</v>
      </c>
      <c r="I7" s="108">
        <v>16</v>
      </c>
      <c r="J7" s="108" t="s">
        <v>23875</v>
      </c>
      <c r="K7" s="108">
        <v>15</v>
      </c>
      <c r="L7" s="108" t="s">
        <v>23875</v>
      </c>
      <c r="M7" s="108">
        <v>9</v>
      </c>
      <c r="N7" s="108" t="s">
        <v>23875</v>
      </c>
      <c r="O7" s="108">
        <v>9</v>
      </c>
      <c r="P7" s="108" t="s">
        <v>23875</v>
      </c>
      <c r="Q7" s="108">
        <v>8</v>
      </c>
      <c r="R7" s="108" t="s">
        <v>23875</v>
      </c>
      <c r="S7" s="108">
        <v>8</v>
      </c>
      <c r="T7" s="108" t="s">
        <v>23875</v>
      </c>
      <c r="U7" s="108">
        <v>9</v>
      </c>
      <c r="V7" s="108" t="s">
        <v>23875</v>
      </c>
      <c r="W7" s="108">
        <v>10</v>
      </c>
      <c r="X7" s="108" t="s">
        <v>23875</v>
      </c>
      <c r="Y7" s="108">
        <v>12</v>
      </c>
      <c r="Z7" s="108" t="s">
        <v>23875</v>
      </c>
      <c r="AA7" s="108">
        <v>12</v>
      </c>
    </row>
    <row r="8" spans="1:27">
      <c r="A8" s="104" t="s">
        <v>23876</v>
      </c>
      <c r="B8" s="105">
        <v>5696</v>
      </c>
      <c r="C8" s="105">
        <v>11661</v>
      </c>
      <c r="D8" s="105">
        <v>5444</v>
      </c>
      <c r="E8" s="105">
        <v>12553</v>
      </c>
      <c r="F8" s="105">
        <v>5088</v>
      </c>
      <c r="G8" s="106">
        <v>13532</v>
      </c>
      <c r="H8" s="107">
        <v>6225</v>
      </c>
      <c r="I8" s="108">
        <v>14608</v>
      </c>
      <c r="J8" s="108">
        <v>8598</v>
      </c>
      <c r="K8" s="108">
        <v>16001</v>
      </c>
      <c r="L8" s="108">
        <v>9229</v>
      </c>
      <c r="M8" s="108">
        <v>16526</v>
      </c>
      <c r="N8" s="108">
        <v>9518</v>
      </c>
      <c r="O8" s="108">
        <v>16839</v>
      </c>
      <c r="P8" s="108">
        <v>10037</v>
      </c>
      <c r="Q8" s="108">
        <v>17162</v>
      </c>
      <c r="R8" s="108">
        <v>8354</v>
      </c>
      <c r="S8" s="108">
        <v>17146</v>
      </c>
      <c r="T8" s="109">
        <v>9575</v>
      </c>
      <c r="U8" s="109">
        <v>18228</v>
      </c>
      <c r="V8" s="108">
        <v>9685</v>
      </c>
      <c r="W8" s="108">
        <v>17908</v>
      </c>
      <c r="X8" s="108">
        <v>10117</v>
      </c>
      <c r="Y8" s="108">
        <v>18626</v>
      </c>
      <c r="Z8" s="108">
        <v>9221</v>
      </c>
      <c r="AA8" s="108">
        <v>18866</v>
      </c>
    </row>
    <row r="9" spans="1:27">
      <c r="A9" s="104" t="s">
        <v>376</v>
      </c>
      <c r="B9" s="105" t="s">
        <v>23875</v>
      </c>
      <c r="C9" s="105" t="s">
        <v>23875</v>
      </c>
      <c r="D9" s="105">
        <v>1</v>
      </c>
      <c r="E9" s="105">
        <v>608</v>
      </c>
      <c r="F9" s="105">
        <v>8</v>
      </c>
      <c r="G9" s="106">
        <v>620</v>
      </c>
      <c r="H9" s="107">
        <v>5</v>
      </c>
      <c r="I9" s="108">
        <v>709</v>
      </c>
      <c r="J9" s="108">
        <v>14</v>
      </c>
      <c r="K9" s="108">
        <v>748</v>
      </c>
      <c r="L9" s="108">
        <v>13</v>
      </c>
      <c r="M9" s="108">
        <v>723</v>
      </c>
      <c r="N9" s="108">
        <v>27</v>
      </c>
      <c r="O9" s="108">
        <v>776</v>
      </c>
      <c r="P9" s="108" t="s">
        <v>23875</v>
      </c>
      <c r="Q9" s="108">
        <v>793</v>
      </c>
      <c r="R9" s="108">
        <v>2</v>
      </c>
      <c r="S9" s="108">
        <v>755</v>
      </c>
      <c r="T9" s="109">
        <v>1</v>
      </c>
      <c r="U9" s="109">
        <v>804</v>
      </c>
      <c r="V9" s="108">
        <v>1</v>
      </c>
      <c r="W9" s="108">
        <v>795</v>
      </c>
      <c r="X9" s="108" t="s">
        <v>23875</v>
      </c>
      <c r="Y9" s="108">
        <v>563</v>
      </c>
      <c r="Z9" s="108" t="s">
        <v>23875</v>
      </c>
      <c r="AA9" s="108">
        <v>511</v>
      </c>
    </row>
    <row r="10" spans="1:27">
      <c r="A10" s="104" t="s">
        <v>416</v>
      </c>
      <c r="B10" s="105">
        <v>1</v>
      </c>
      <c r="C10" s="105">
        <v>21</v>
      </c>
      <c r="D10" s="105">
        <v>6</v>
      </c>
      <c r="E10" s="105">
        <v>20</v>
      </c>
      <c r="F10" s="105">
        <v>3</v>
      </c>
      <c r="G10" s="106">
        <v>46</v>
      </c>
      <c r="H10" s="107">
        <v>2</v>
      </c>
      <c r="I10" s="108">
        <v>50</v>
      </c>
      <c r="J10" s="108">
        <v>4</v>
      </c>
      <c r="K10" s="108">
        <v>52</v>
      </c>
      <c r="L10" s="108">
        <v>1</v>
      </c>
      <c r="M10" s="108">
        <v>59</v>
      </c>
      <c r="N10" s="108">
        <v>3</v>
      </c>
      <c r="O10" s="108">
        <v>61</v>
      </c>
      <c r="P10" s="108">
        <v>5</v>
      </c>
      <c r="Q10" s="108">
        <v>71</v>
      </c>
      <c r="R10" s="108">
        <v>2</v>
      </c>
      <c r="S10" s="108">
        <v>69</v>
      </c>
      <c r="T10" s="109">
        <v>7</v>
      </c>
      <c r="U10" s="109">
        <v>80</v>
      </c>
      <c r="V10" s="108">
        <v>6</v>
      </c>
      <c r="W10" s="108">
        <v>84</v>
      </c>
      <c r="X10" s="108">
        <v>3</v>
      </c>
      <c r="Y10" s="108">
        <v>91</v>
      </c>
      <c r="Z10" s="108">
        <v>4</v>
      </c>
      <c r="AA10" s="108">
        <v>89</v>
      </c>
    </row>
    <row r="11" spans="1:27">
      <c r="A11" s="104" t="s">
        <v>305</v>
      </c>
      <c r="B11" s="105">
        <v>109</v>
      </c>
      <c r="C11" s="105">
        <v>2503</v>
      </c>
      <c r="D11" s="105">
        <v>120</v>
      </c>
      <c r="E11" s="105">
        <v>2576</v>
      </c>
      <c r="F11" s="105">
        <v>149</v>
      </c>
      <c r="G11" s="106">
        <v>2657</v>
      </c>
      <c r="H11" s="107">
        <v>182</v>
      </c>
      <c r="I11" s="108">
        <v>3433</v>
      </c>
      <c r="J11" s="108">
        <v>356</v>
      </c>
      <c r="K11" s="108">
        <v>3662</v>
      </c>
      <c r="L11" s="108">
        <v>357</v>
      </c>
      <c r="M11" s="108">
        <v>3705</v>
      </c>
      <c r="N11" s="108">
        <v>386</v>
      </c>
      <c r="O11" s="108">
        <v>3751</v>
      </c>
      <c r="P11" s="108">
        <v>237</v>
      </c>
      <c r="Q11" s="108">
        <v>3706</v>
      </c>
      <c r="R11" s="108">
        <v>278</v>
      </c>
      <c r="S11" s="108">
        <v>3843</v>
      </c>
      <c r="T11" s="109">
        <v>260</v>
      </c>
      <c r="U11" s="109">
        <v>3986</v>
      </c>
      <c r="V11" s="108">
        <v>276</v>
      </c>
      <c r="W11" s="108">
        <v>3832</v>
      </c>
      <c r="X11" s="108">
        <v>261</v>
      </c>
      <c r="Y11" s="108">
        <v>4026</v>
      </c>
      <c r="Z11" s="108">
        <v>369</v>
      </c>
      <c r="AA11" s="108">
        <v>4204</v>
      </c>
    </row>
    <row r="12" spans="1:27">
      <c r="A12" s="104" t="s">
        <v>238</v>
      </c>
      <c r="B12" s="110">
        <v>5841</v>
      </c>
      <c r="C12" s="110">
        <v>14276</v>
      </c>
      <c r="D12" s="110">
        <v>5611</v>
      </c>
      <c r="E12" s="110">
        <v>15866</v>
      </c>
      <c r="F12" s="110">
        <v>5278</v>
      </c>
      <c r="G12" s="111">
        <v>16917</v>
      </c>
      <c r="H12" s="112">
        <v>6427</v>
      </c>
      <c r="I12" s="113">
        <v>18857</v>
      </c>
      <c r="J12" s="113">
        <v>8994</v>
      </c>
      <c r="K12" s="113">
        <v>20515</v>
      </c>
      <c r="L12" s="113">
        <v>9618</v>
      </c>
      <c r="M12" s="113">
        <v>21056</v>
      </c>
      <c r="N12" s="113">
        <v>9951</v>
      </c>
      <c r="O12" s="113">
        <v>21467</v>
      </c>
      <c r="P12" s="113">
        <v>10298</v>
      </c>
      <c r="Q12" s="113">
        <v>21767</v>
      </c>
      <c r="R12" s="113">
        <v>8640</v>
      </c>
      <c r="S12" s="113">
        <v>21836</v>
      </c>
      <c r="T12" s="114">
        <v>9852</v>
      </c>
      <c r="U12" s="114">
        <v>23133</v>
      </c>
      <c r="V12" s="114">
        <v>9977</v>
      </c>
      <c r="W12" s="114">
        <v>22655</v>
      </c>
      <c r="X12" s="114">
        <v>10396</v>
      </c>
      <c r="Y12" s="114">
        <v>23340</v>
      </c>
      <c r="Z12" s="114">
        <v>9610</v>
      </c>
      <c r="AA12" s="114">
        <v>23699</v>
      </c>
    </row>
    <row r="13" spans="1:27">
      <c r="A13" s="115" t="s">
        <v>23877</v>
      </c>
      <c r="C13">
        <f>C12/SUM(B12:C12)</f>
        <v>0.70964855594770593</v>
      </c>
      <c r="E13">
        <f>E12/SUM(D12:E12)</f>
        <v>0.73874377240769196</v>
      </c>
      <c r="G13">
        <f>G12/SUM(F12:G12)</f>
        <v>0.76219869339941426</v>
      </c>
      <c r="I13">
        <f>I12/SUM(H12:I12)</f>
        <v>0.74580762537573164</v>
      </c>
      <c r="K13">
        <f>K12/SUM(J12:K12)</f>
        <v>0.69521163035006273</v>
      </c>
      <c r="M13">
        <f>M12/SUM(L12:M12)</f>
        <v>0.68644454586946602</v>
      </c>
      <c r="O13">
        <f>O12/SUM(N12:O12)</f>
        <v>0.68327073652046599</v>
      </c>
      <c r="Q13">
        <f>Q12/SUM(P12:Q12)</f>
        <v>0.67883985654140033</v>
      </c>
      <c r="S13">
        <f>S12/SUM(R12:S12)</f>
        <v>0.71649822811392572</v>
      </c>
      <c r="U13">
        <f>U12/SUM(T12:U12)</f>
        <v>0.70131878126421099</v>
      </c>
      <c r="W13">
        <f>W12/SUM(V12:W12)</f>
        <v>0.69425717087521455</v>
      </c>
      <c r="Y13">
        <f>Y12/SUM(X12:Y12)</f>
        <v>0.69184254209153428</v>
      </c>
      <c r="AA13">
        <f>AA12/SUM(Z12:AA12)</f>
        <v>0.71148938725269451</v>
      </c>
    </row>
    <row r="14" spans="1:27">
      <c r="A14" s="115" t="s">
        <v>23878</v>
      </c>
      <c r="C14">
        <f>SUM(C6:C10)/SUM(B6:C10)</f>
        <v>0.67255069980005711</v>
      </c>
      <c r="E14">
        <f>SUM(E6:E10)/SUM(D6:E10)</f>
        <v>0.70763005164794202</v>
      </c>
      <c r="G14">
        <f>SUM(G6:G10)/SUM(F6:G10)</f>
        <v>0.73546856465005928</v>
      </c>
      <c r="I14">
        <f>SUM(I6:I10)/SUM(H6:I10)</f>
        <v>0.71180026766348237</v>
      </c>
      <c r="K14">
        <f>SUM(K6:K10)/SUM(J6:K10)</f>
        <v>0.66113530265583931</v>
      </c>
      <c r="M14">
        <f>SUM(M6:M10)/SUM(L6:M10)</f>
        <v>0.65199909815120993</v>
      </c>
      <c r="O14">
        <f>SUM(O6:O10)/SUM(N6:O10)</f>
        <v>0.64938968512884421</v>
      </c>
      <c r="Q14">
        <f>SUM(Q6:Q10)/SUM(P6:Q10)</f>
        <v>0.64223739421093806</v>
      </c>
      <c r="S14">
        <f>SUM(S6:S10)/SUM(R6:S10)</f>
        <v>0.68271675203946125</v>
      </c>
      <c r="U14">
        <f>SUM(U6:U10)/SUM(T6:U10)</f>
        <v>0.66623751696301192</v>
      </c>
      <c r="W14">
        <f>SUM(W6:W10)/SUM(V6:W10)</f>
        <v>0.65990043472163795</v>
      </c>
      <c r="Y14">
        <f>SUM(Y6:Y10)/SUM(X6:Y10)</f>
        <v>0.65584569934462966</v>
      </c>
      <c r="AA14">
        <f>SUM(AA6:AA10)/SUM(Z6:AA10)</f>
        <v>0.67841731625835189</v>
      </c>
    </row>
    <row r="15" spans="1:27">
      <c r="A15" s="116" t="s">
        <v>23879</v>
      </c>
      <c r="C15">
        <f>C8/SUM(B8:C8)</f>
        <v>0.67183268998098755</v>
      </c>
      <c r="E15">
        <f>E8/SUM(D8:E8)</f>
        <v>0.69750513974551309</v>
      </c>
      <c r="G15">
        <f>G8/SUM(F8:G8)</f>
        <v>0.72674543501611166</v>
      </c>
      <c r="I15">
        <f>I8/SUM(H8:I8)</f>
        <v>0.70119521912350602</v>
      </c>
      <c r="K15">
        <f>K8/SUM(J8:K8)</f>
        <v>0.65047359648766212</v>
      </c>
      <c r="M15">
        <f>M8/SUM(L8:M8)</f>
        <v>0.64166181324014759</v>
      </c>
      <c r="O15">
        <f>O8/SUM(N8:O8)</f>
        <v>0.63888151155290818</v>
      </c>
      <c r="Q15">
        <f>Q8/SUM(P8:Q8)</f>
        <v>0.63097908011323944</v>
      </c>
      <c r="S15">
        <f>S8/SUM(R8:S8)</f>
        <v>0.67239215686274512</v>
      </c>
      <c r="U15">
        <f>U8/SUM(T8:U8)</f>
        <v>0.65561270366507207</v>
      </c>
      <c r="W15">
        <f>W8/SUM(V8:W8)</f>
        <v>0.64900518247381578</v>
      </c>
      <c r="Y15">
        <f>Y8/SUM(X8:Y8)</f>
        <v>0.64801864801864806</v>
      </c>
      <c r="AA15">
        <f>AA8/SUM(Z8:AA8)</f>
        <v>0.67169865062128387</v>
      </c>
    </row>
    <row r="16" spans="1:27">
      <c r="A16" s="25"/>
    </row>
    <row r="17" spans="1:12">
      <c r="A17" s="117" t="s">
        <v>23880</v>
      </c>
      <c r="I17" s="117" t="s">
        <v>23881</v>
      </c>
    </row>
    <row r="18" spans="1:12">
      <c r="B18" s="118" t="s">
        <v>244</v>
      </c>
      <c r="C18" s="119">
        <f>MEDIAN(C13:AA13)</f>
        <v>0.70131878126421099</v>
      </c>
      <c r="I18" s="118"/>
      <c r="J18" s="119"/>
    </row>
    <row r="19" spans="1:12">
      <c r="B19" s="19" t="s">
        <v>243</v>
      </c>
      <c r="C19" s="120">
        <f>AVERAGE(C13:AA13)</f>
        <v>0.70889011738534768</v>
      </c>
      <c r="I19" s="19" t="s">
        <v>243</v>
      </c>
      <c r="J19" s="120">
        <f>AVERAGE(C14:AA14)</f>
        <v>0.67502529101811271</v>
      </c>
    </row>
    <row r="21" spans="1:12">
      <c r="I21" s="117" t="s">
        <v>23881</v>
      </c>
    </row>
    <row r="22" spans="1:12">
      <c r="I22" t="s">
        <v>23879</v>
      </c>
      <c r="J22" s="121">
        <f>AVERAGE(B15:AA15)</f>
        <v>0.66584629437704923</v>
      </c>
    </row>
    <row r="24" spans="1:12">
      <c r="A24" s="6" t="s">
        <v>23882</v>
      </c>
      <c r="I24" s="6" t="s">
        <v>23883</v>
      </c>
    </row>
    <row r="25" spans="1:12">
      <c r="B25" t="s">
        <v>270</v>
      </c>
      <c r="C25" s="122">
        <f>SUM(K6:K11,M6:M11,O6:O11,Q6:Q11,S6:S11,U6:U11,W6:W11,Y6:Y11,AA6:AA11)/SUM(J6:AA11)</f>
        <v>0.69548541861340851</v>
      </c>
      <c r="I25" s="118">
        <v>2018</v>
      </c>
      <c r="J25" s="123">
        <v>0.82499999999999996</v>
      </c>
      <c r="K25" s="118">
        <v>2019</v>
      </c>
      <c r="L25" s="124">
        <f>J25+J28</f>
        <v>0.82879999999999998</v>
      </c>
    </row>
    <row r="26" spans="1:12">
      <c r="B26" t="s">
        <v>23884</v>
      </c>
      <c r="C26" s="120">
        <f>SUM(C6:C10,E6:E10,G6:G10,I6:I10,K6:K10,M6:M10,O6:O10,Q6:Q10,S6:S10,U6:U10,W6:W10,Y6:Y10,AA6:AA10)/SUM(B6:AA10)</f>
        <v>0.67196688841063756</v>
      </c>
      <c r="I26" s="18">
        <v>2023</v>
      </c>
      <c r="J26" s="125">
        <v>0.84399999999999997</v>
      </c>
      <c r="K26" s="18">
        <v>2020</v>
      </c>
      <c r="L26" s="126">
        <f>L25+J$28</f>
        <v>0.83260000000000001</v>
      </c>
    </row>
    <row r="27" spans="1:12">
      <c r="B27" t="s">
        <v>23879</v>
      </c>
      <c r="C27">
        <f>SUM(C8,E8,G8,I8,K8,M8,O8,Q8,S8,U8,W8,Y8,AA8)/SUM(B8:AA8)</f>
        <v>0.66253954108638835</v>
      </c>
      <c r="I27" s="18" t="s">
        <v>23885</v>
      </c>
      <c r="J27" s="125">
        <f>J26-J25</f>
        <v>1.9000000000000017E-2</v>
      </c>
      <c r="K27" s="18">
        <v>2021</v>
      </c>
      <c r="L27" s="126">
        <f>L26+J$28</f>
        <v>0.83640000000000003</v>
      </c>
    </row>
    <row r="28" spans="1:12">
      <c r="I28" s="19" t="s">
        <v>23886</v>
      </c>
      <c r="J28" s="127">
        <f>J27/5</f>
        <v>3.8000000000000035E-3</v>
      </c>
      <c r="K28" s="19">
        <v>2022</v>
      </c>
      <c r="L28" s="128">
        <f>L27+J$28</f>
        <v>0.84020000000000006</v>
      </c>
    </row>
    <row r="30" spans="1:12">
      <c r="I30" s="6" t="s">
        <v>23887</v>
      </c>
    </row>
    <row r="31" spans="1:12">
      <c r="I31">
        <v>2024</v>
      </c>
      <c r="J31">
        <f>J26+J28</f>
        <v>0.8478</v>
      </c>
    </row>
    <row r="32" spans="1:12">
      <c r="I32">
        <v>2025</v>
      </c>
      <c r="J32">
        <f>J31+J$28</f>
        <v>0.85160000000000002</v>
      </c>
    </row>
    <row r="33" spans="9:10">
      <c r="I33">
        <v>2026</v>
      </c>
      <c r="J33">
        <f t="shared" ref="J33:J42" si="0">J32+J$28</f>
        <v>0.85540000000000005</v>
      </c>
    </row>
    <row r="34" spans="9:10">
      <c r="I34">
        <v>2027</v>
      </c>
      <c r="J34">
        <f t="shared" si="0"/>
        <v>0.85920000000000007</v>
      </c>
    </row>
    <row r="35" spans="9:10">
      <c r="I35">
        <v>2028</v>
      </c>
      <c r="J35">
        <f t="shared" si="0"/>
        <v>0.8630000000000001</v>
      </c>
    </row>
    <row r="36" spans="9:10">
      <c r="I36">
        <v>2029</v>
      </c>
      <c r="J36">
        <f t="shared" si="0"/>
        <v>0.86680000000000013</v>
      </c>
    </row>
    <row r="37" spans="9:10">
      <c r="I37">
        <v>2030</v>
      </c>
      <c r="J37">
        <f t="shared" si="0"/>
        <v>0.87060000000000015</v>
      </c>
    </row>
    <row r="38" spans="9:10">
      <c r="I38">
        <v>2031</v>
      </c>
      <c r="J38">
        <f>J37+J$28</f>
        <v>0.87440000000000018</v>
      </c>
    </row>
    <row r="39" spans="9:10">
      <c r="I39">
        <v>2032</v>
      </c>
      <c r="J39">
        <f t="shared" si="0"/>
        <v>0.8782000000000002</v>
      </c>
    </row>
    <row r="40" spans="9:10">
      <c r="I40">
        <v>2033</v>
      </c>
      <c r="J40">
        <f t="shared" si="0"/>
        <v>0.88200000000000023</v>
      </c>
    </row>
    <row r="41" spans="9:10">
      <c r="I41">
        <v>2034</v>
      </c>
      <c r="J41">
        <f t="shared" si="0"/>
        <v>0.88580000000000025</v>
      </c>
    </row>
    <row r="42" spans="9:10">
      <c r="I42">
        <v>2035</v>
      </c>
      <c r="J42">
        <f t="shared" si="0"/>
        <v>0.88960000000000028</v>
      </c>
    </row>
  </sheetData>
  <sheetProtection algorithmName="SHA-512" hashValue="W3xFIID7ui6gWYGhZher4UnWgGtmKfp9FuyJad4LAADv/NMqlkV/hclBDpmcpQX3eiri92wrzfZMuejtW7N1qg==" saltValue="96sYC3VQ/7hNhxHCYydBRg==" spinCount="100000" sheet="1" objects="1" scenarios="1" formatCells="0" formatColumns="0" formatRows="0"/>
  <mergeCells count="14">
    <mergeCell ref="X4:Y4"/>
    <mergeCell ref="Z4:AA4"/>
    <mergeCell ref="L4:M4"/>
    <mergeCell ref="N4:O4"/>
    <mergeCell ref="P4:Q4"/>
    <mergeCell ref="R4:S4"/>
    <mergeCell ref="T4:U4"/>
    <mergeCell ref="V4:W4"/>
    <mergeCell ref="J4:K4"/>
    <mergeCell ref="A4:A5"/>
    <mergeCell ref="B4:C4"/>
    <mergeCell ref="D4:E4"/>
    <mergeCell ref="F4:G4"/>
    <mergeCell ref="H4:I4"/>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0C730-3DAD-485B-A077-92E7D09F9665}">
  <dimension ref="A1:AP10"/>
  <sheetViews>
    <sheetView workbookViewId="0">
      <selection activeCell="Q13" sqref="Q13"/>
    </sheetView>
  </sheetViews>
  <sheetFormatPr defaultColWidth="8.85546875" defaultRowHeight="14.65"/>
  <cols>
    <col min="7" max="7" width="15.7109375" customWidth="1"/>
    <col min="14" max="14" width="11" customWidth="1"/>
    <col min="21" max="21" width="12.28515625" customWidth="1"/>
    <col min="28" max="28" width="12.7109375" customWidth="1"/>
    <col min="41" max="41" width="10" customWidth="1"/>
    <col min="42" max="42" width="11" bestFit="1" customWidth="1"/>
  </cols>
  <sheetData>
    <row r="1" spans="1:42" ht="20.65">
      <c r="A1" s="101" t="s">
        <v>23888</v>
      </c>
    </row>
    <row r="2" spans="1:42">
      <c r="A2" s="1" t="s">
        <v>23889</v>
      </c>
    </row>
    <row r="3" spans="1:42">
      <c r="A3" s="5" t="s">
        <v>23890</v>
      </c>
    </row>
    <row r="5" spans="1:42" s="1" customFormat="1" ht="29.1">
      <c r="B5" s="175" t="s">
        <v>23867</v>
      </c>
      <c r="C5" s="175"/>
      <c r="D5" s="175"/>
      <c r="E5" s="175"/>
      <c r="F5" s="175"/>
      <c r="G5" s="102" t="s">
        <v>23891</v>
      </c>
      <c r="H5" s="175" t="s">
        <v>293</v>
      </c>
      <c r="I5" s="175"/>
      <c r="J5" s="175"/>
      <c r="K5" s="175"/>
      <c r="L5" s="175"/>
      <c r="M5" s="175"/>
      <c r="N5" s="102" t="s">
        <v>23892</v>
      </c>
      <c r="O5" s="175" t="s">
        <v>376</v>
      </c>
      <c r="P5" s="175"/>
      <c r="Q5" s="175"/>
      <c r="R5" s="175"/>
      <c r="S5" s="175"/>
      <c r="T5" s="175"/>
      <c r="U5" s="102" t="s">
        <v>23893</v>
      </c>
      <c r="V5" s="175" t="s">
        <v>305</v>
      </c>
      <c r="W5" s="175"/>
      <c r="X5" s="175"/>
      <c r="Y5" s="175"/>
      <c r="Z5" s="175"/>
      <c r="AA5" s="175"/>
      <c r="AB5" s="102" t="s">
        <v>23894</v>
      </c>
      <c r="AC5" s="175" t="s">
        <v>299</v>
      </c>
      <c r="AD5" s="175"/>
      <c r="AE5" s="175"/>
      <c r="AF5" s="175"/>
      <c r="AG5" s="175"/>
      <c r="AH5" s="102" t="s">
        <v>23895</v>
      </c>
      <c r="AI5" s="175" t="s">
        <v>298</v>
      </c>
      <c r="AJ5" s="175"/>
      <c r="AK5" s="175"/>
      <c r="AL5" s="175"/>
      <c r="AM5" s="175"/>
      <c r="AN5" s="175"/>
      <c r="AO5" s="102" t="s">
        <v>23896</v>
      </c>
      <c r="AP5" s="1" t="s">
        <v>23897</v>
      </c>
    </row>
    <row r="6" spans="1:42">
      <c r="A6" s="1" t="s">
        <v>231</v>
      </c>
      <c r="B6" s="1" t="s">
        <v>23898</v>
      </c>
      <c r="C6" s="1" t="s">
        <v>23899</v>
      </c>
      <c r="D6" s="1" t="s">
        <v>23900</v>
      </c>
      <c r="E6" s="1" t="s">
        <v>23901</v>
      </c>
      <c r="F6" s="1" t="s">
        <v>23902</v>
      </c>
      <c r="G6" s="1"/>
      <c r="H6" s="1" t="s">
        <v>23903</v>
      </c>
      <c r="I6" s="1" t="s">
        <v>23898</v>
      </c>
      <c r="J6" s="1" t="s">
        <v>23899</v>
      </c>
      <c r="K6" s="1" t="s">
        <v>23900</v>
      </c>
      <c r="L6" s="1" t="s">
        <v>23901</v>
      </c>
      <c r="M6" s="1" t="s">
        <v>23902</v>
      </c>
      <c r="N6" s="1"/>
      <c r="O6" s="1" t="s">
        <v>23903</v>
      </c>
      <c r="P6" s="1" t="s">
        <v>23898</v>
      </c>
      <c r="Q6" s="1" t="s">
        <v>23899</v>
      </c>
      <c r="R6" s="1" t="s">
        <v>23900</v>
      </c>
      <c r="S6" s="1" t="s">
        <v>23901</v>
      </c>
      <c r="T6" s="1" t="s">
        <v>23902</v>
      </c>
      <c r="U6" s="1"/>
      <c r="V6" s="1" t="s">
        <v>23903</v>
      </c>
      <c r="W6" s="1" t="s">
        <v>23898</v>
      </c>
      <c r="X6" s="1" t="s">
        <v>23899</v>
      </c>
      <c r="Y6" s="1" t="s">
        <v>23900</v>
      </c>
      <c r="Z6" s="1" t="s">
        <v>23901</v>
      </c>
      <c r="AA6" s="1" t="s">
        <v>23902</v>
      </c>
      <c r="AB6" s="1"/>
      <c r="AC6" s="1" t="s">
        <v>23903</v>
      </c>
      <c r="AD6" s="1" t="s">
        <v>23898</v>
      </c>
      <c r="AE6" s="1" t="s">
        <v>23899</v>
      </c>
      <c r="AF6" s="1" t="s">
        <v>23900</v>
      </c>
      <c r="AG6" s="1" t="s">
        <v>23901</v>
      </c>
      <c r="AH6" s="1"/>
      <c r="AI6" s="1" t="s">
        <v>23903</v>
      </c>
      <c r="AJ6" s="1" t="s">
        <v>23898</v>
      </c>
      <c r="AK6" s="1" t="s">
        <v>23899</v>
      </c>
      <c r="AL6" s="1" t="s">
        <v>23900</v>
      </c>
      <c r="AM6" s="1" t="s">
        <v>23901</v>
      </c>
      <c r="AN6" s="1" t="s">
        <v>23902</v>
      </c>
    </row>
    <row r="7" spans="1:42">
      <c r="A7" s="1">
        <v>2021</v>
      </c>
      <c r="B7">
        <v>4</v>
      </c>
      <c r="C7">
        <v>94</v>
      </c>
      <c r="D7">
        <v>111</v>
      </c>
      <c r="E7">
        <v>142</v>
      </c>
      <c r="F7">
        <v>40</v>
      </c>
      <c r="G7">
        <v>391</v>
      </c>
      <c r="H7">
        <v>6601</v>
      </c>
      <c r="I7">
        <v>27337</v>
      </c>
      <c r="J7">
        <v>37215</v>
      </c>
      <c r="K7">
        <v>44998</v>
      </c>
      <c r="L7">
        <v>47315</v>
      </c>
      <c r="M7">
        <v>2663</v>
      </c>
      <c r="N7">
        <v>166129</v>
      </c>
      <c r="O7">
        <v>1680</v>
      </c>
      <c r="P7">
        <v>3827</v>
      </c>
      <c r="Q7">
        <v>3870</v>
      </c>
      <c r="R7">
        <v>3451</v>
      </c>
      <c r="S7">
        <v>2880</v>
      </c>
      <c r="T7">
        <v>195</v>
      </c>
      <c r="U7">
        <v>15903</v>
      </c>
      <c r="V7">
        <v>60</v>
      </c>
      <c r="W7">
        <v>301</v>
      </c>
      <c r="X7">
        <v>5043</v>
      </c>
      <c r="Y7">
        <v>12162</v>
      </c>
      <c r="Z7">
        <v>16282</v>
      </c>
      <c r="AA7">
        <v>753</v>
      </c>
      <c r="AB7">
        <v>34601</v>
      </c>
      <c r="AC7">
        <v>429</v>
      </c>
      <c r="AD7">
        <v>1721</v>
      </c>
      <c r="AE7">
        <v>2025</v>
      </c>
      <c r="AF7">
        <v>2148</v>
      </c>
      <c r="AG7">
        <v>1793</v>
      </c>
      <c r="AH7">
        <v>8116</v>
      </c>
      <c r="AI7">
        <v>2996</v>
      </c>
      <c r="AJ7">
        <v>2231</v>
      </c>
      <c r="AK7">
        <v>2357</v>
      </c>
      <c r="AL7">
        <v>1746</v>
      </c>
      <c r="AM7">
        <v>1601</v>
      </c>
      <c r="AN7">
        <v>166</v>
      </c>
      <c r="AO7">
        <v>11097</v>
      </c>
      <c r="AP7">
        <v>236237</v>
      </c>
    </row>
    <row r="8" spans="1:42">
      <c r="A8" s="1">
        <v>2022</v>
      </c>
      <c r="C8">
        <v>90</v>
      </c>
      <c r="D8">
        <v>158</v>
      </c>
      <c r="E8">
        <v>133</v>
      </c>
      <c r="F8">
        <v>47</v>
      </c>
      <c r="G8">
        <v>428</v>
      </c>
      <c r="H8">
        <v>6972</v>
      </c>
      <c r="I8">
        <v>27816</v>
      </c>
      <c r="J8">
        <v>36005</v>
      </c>
      <c r="K8">
        <v>41967</v>
      </c>
      <c r="L8">
        <v>43638</v>
      </c>
      <c r="M8">
        <v>2393</v>
      </c>
      <c r="N8">
        <v>158791</v>
      </c>
      <c r="O8">
        <v>1342</v>
      </c>
      <c r="P8">
        <v>3158</v>
      </c>
      <c r="Q8">
        <v>3174</v>
      </c>
      <c r="R8">
        <v>2847</v>
      </c>
      <c r="S8">
        <v>2293</v>
      </c>
      <c r="T8">
        <v>210</v>
      </c>
      <c r="U8">
        <v>13024</v>
      </c>
      <c r="V8">
        <v>53</v>
      </c>
      <c r="W8">
        <v>322</v>
      </c>
      <c r="X8">
        <v>4747</v>
      </c>
      <c r="Y8">
        <v>11237</v>
      </c>
      <c r="Z8">
        <v>14449</v>
      </c>
      <c r="AA8">
        <v>772</v>
      </c>
      <c r="AB8">
        <v>31580</v>
      </c>
      <c r="AC8">
        <v>389</v>
      </c>
      <c r="AD8">
        <v>1561</v>
      </c>
      <c r="AE8">
        <v>2056</v>
      </c>
      <c r="AF8">
        <v>2011</v>
      </c>
      <c r="AG8">
        <v>1815</v>
      </c>
      <c r="AH8">
        <v>7832</v>
      </c>
      <c r="AI8">
        <v>3192</v>
      </c>
      <c r="AJ8">
        <v>1971</v>
      </c>
      <c r="AK8">
        <v>1847</v>
      </c>
      <c r="AL8">
        <v>1552</v>
      </c>
      <c r="AM8">
        <v>1172</v>
      </c>
      <c r="AN8">
        <v>153</v>
      </c>
      <c r="AO8">
        <v>9887</v>
      </c>
      <c r="AP8">
        <v>221542</v>
      </c>
    </row>
    <row r="9" spans="1:42">
      <c r="A9" s="1">
        <v>2023</v>
      </c>
      <c r="B9">
        <v>1</v>
      </c>
      <c r="C9">
        <v>84</v>
      </c>
      <c r="D9">
        <v>139</v>
      </c>
      <c r="E9">
        <v>160</v>
      </c>
      <c r="F9">
        <v>40</v>
      </c>
      <c r="G9">
        <v>424</v>
      </c>
      <c r="H9">
        <v>6563</v>
      </c>
      <c r="I9">
        <v>30450</v>
      </c>
      <c r="J9">
        <v>39699</v>
      </c>
      <c r="K9">
        <v>44803</v>
      </c>
      <c r="L9">
        <v>45537</v>
      </c>
      <c r="M9">
        <v>3133</v>
      </c>
      <c r="N9">
        <v>170185</v>
      </c>
      <c r="O9">
        <v>1107</v>
      </c>
      <c r="P9">
        <v>3037</v>
      </c>
      <c r="Q9">
        <v>3038</v>
      </c>
      <c r="R9">
        <v>2606</v>
      </c>
      <c r="S9">
        <v>2213</v>
      </c>
      <c r="T9">
        <v>196</v>
      </c>
      <c r="U9">
        <v>12197</v>
      </c>
      <c r="V9">
        <v>74</v>
      </c>
      <c r="W9">
        <v>393</v>
      </c>
      <c r="X9">
        <v>5253</v>
      </c>
      <c r="Y9">
        <v>11824</v>
      </c>
      <c r="Z9">
        <v>15491</v>
      </c>
      <c r="AA9">
        <v>911</v>
      </c>
      <c r="AB9">
        <v>33946</v>
      </c>
      <c r="AC9">
        <v>402</v>
      </c>
      <c r="AD9">
        <v>1727</v>
      </c>
      <c r="AE9">
        <v>2142</v>
      </c>
      <c r="AF9">
        <v>2156</v>
      </c>
      <c r="AG9">
        <v>1780</v>
      </c>
      <c r="AH9">
        <v>8207</v>
      </c>
      <c r="AI9">
        <v>3476</v>
      </c>
      <c r="AJ9">
        <v>2345</v>
      </c>
      <c r="AK9">
        <v>2185</v>
      </c>
      <c r="AL9">
        <v>1641</v>
      </c>
      <c r="AM9">
        <v>1397</v>
      </c>
      <c r="AN9">
        <v>177</v>
      </c>
      <c r="AO9">
        <v>11221</v>
      </c>
      <c r="AP9">
        <v>236180</v>
      </c>
    </row>
    <row r="10" spans="1:42">
      <c r="A10" s="1">
        <v>2024</v>
      </c>
      <c r="B10">
        <v>1</v>
      </c>
      <c r="C10">
        <v>82</v>
      </c>
      <c r="D10">
        <v>124</v>
      </c>
      <c r="E10">
        <v>134</v>
      </c>
      <c r="F10">
        <v>40</v>
      </c>
      <c r="G10">
        <v>381</v>
      </c>
      <c r="H10">
        <v>6279</v>
      </c>
      <c r="I10">
        <v>28316</v>
      </c>
      <c r="J10">
        <v>41486</v>
      </c>
      <c r="K10">
        <v>47152</v>
      </c>
      <c r="L10">
        <v>47368</v>
      </c>
      <c r="M10">
        <v>3065</v>
      </c>
      <c r="N10">
        <v>173666</v>
      </c>
      <c r="O10">
        <v>1093</v>
      </c>
      <c r="P10">
        <v>2650</v>
      </c>
      <c r="Q10">
        <v>3038</v>
      </c>
      <c r="R10">
        <v>2570</v>
      </c>
      <c r="S10">
        <v>1951</v>
      </c>
      <c r="T10">
        <v>223</v>
      </c>
      <c r="U10">
        <v>11525</v>
      </c>
      <c r="V10">
        <v>56</v>
      </c>
      <c r="W10">
        <v>452</v>
      </c>
      <c r="X10">
        <v>5222</v>
      </c>
      <c r="Y10">
        <v>12503</v>
      </c>
      <c r="Z10">
        <v>15944</v>
      </c>
      <c r="AA10">
        <v>980</v>
      </c>
      <c r="AB10">
        <v>35157</v>
      </c>
      <c r="AC10">
        <v>360</v>
      </c>
      <c r="AD10">
        <v>1698</v>
      </c>
      <c r="AE10">
        <v>2310</v>
      </c>
      <c r="AF10">
        <v>2247</v>
      </c>
      <c r="AG10">
        <v>1897</v>
      </c>
      <c r="AH10">
        <v>8512</v>
      </c>
      <c r="AI10">
        <v>3647</v>
      </c>
      <c r="AJ10">
        <v>2289</v>
      </c>
      <c r="AK10">
        <v>2419</v>
      </c>
      <c r="AL10">
        <v>1819</v>
      </c>
      <c r="AM10">
        <v>1386</v>
      </c>
      <c r="AN10">
        <v>162</v>
      </c>
      <c r="AO10">
        <v>11722</v>
      </c>
      <c r="AP10">
        <v>240963</v>
      </c>
    </row>
  </sheetData>
  <sheetProtection algorithmName="SHA-512" hashValue="Z+5c5IZ7Vpt0Ygs5Rp/mm/YwR31ah2f67pMdsd51sDb9jXrkC5G2anpwcFlgq45Lwf6jvEKfVdKXIr5Kh24nVA==" saltValue="eiqC6A67d6SLz+ovZWIXbA==" spinCount="100000" sheet="1" objects="1" scenarios="1" insertRows="0"/>
  <mergeCells count="6">
    <mergeCell ref="AI5:AN5"/>
    <mergeCell ref="O5:T5"/>
    <mergeCell ref="H5:M5"/>
    <mergeCell ref="B5:F5"/>
    <mergeCell ref="AC5:AG5"/>
    <mergeCell ref="V5:AA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76597ACCBC99B4B950B427E96907763" ma:contentTypeVersion="28" ma:contentTypeDescription="Create a new document." ma:contentTypeScope="" ma:versionID="4b89e305246df5cd653863390777e48e">
  <xsd:schema xmlns:xsd="http://www.w3.org/2001/XMLSchema" xmlns:xs="http://www.w3.org/2001/XMLSchema" xmlns:p="http://schemas.microsoft.com/office/2006/metadata/properties" xmlns:ns2="88e72a02-a785-456f-a96b-89df0b066c8b" xmlns:ns3="c74ec394-8c63-4a7b-b349-56a796647fcf" targetNamespace="http://schemas.microsoft.com/office/2006/metadata/properties" ma:root="true" ma:fieldsID="5bff3786f5dc96c0993b83a21cf3388f" ns2:_="" ns3:_="">
    <xsd:import namespace="88e72a02-a785-456f-a96b-89df0b066c8b"/>
    <xsd:import namespace="c74ec394-8c63-4a7b-b349-56a796647fcf"/>
    <xsd:element name="properties">
      <xsd:complexType>
        <xsd:sequence>
          <xsd:element name="documentManagement">
            <xsd:complexType>
              <xsd:all>
                <xsd:element ref="ns2:FolderOwner" minOccurs="0"/>
                <xsd:element ref="ns2:Comments"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Owner" minOccurs="0"/>
                <xsd:element ref="ns2:MediaLengthInSeconds" minOccurs="0"/>
                <xsd:element ref="ns2:MediaServiceLocation" minOccurs="0"/>
                <xsd:element ref="ns2:GDAClass" minOccurs="0"/>
                <xsd:element ref="ns2:Retentionperiod" minOccurs="0"/>
                <xsd:element ref="ns2:PriorityTier" minOccurs="0"/>
                <xsd:element ref="ns2:GDA" minOccurs="0"/>
                <xsd:element ref="ns2:DisposalAction" minOccurs="0"/>
                <xsd:element ref="ns2:Transfer_x003f_" minOccurs="0"/>
                <xsd:element ref="ns2:WDCNZ" minOccurs="0"/>
                <xsd:element ref="ns2:Priority" minOccurs="0"/>
                <xsd:element ref="ns2:PriorityGroup" minOccurs="0"/>
                <xsd:element ref="ns2:Function" minOccurs="0"/>
                <xsd:element ref="ns2:ISB" minOccurs="0"/>
                <xsd:element ref="ns2:Maori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e72a02-a785-456f-a96b-89df0b066c8b" elementFormDefault="qualified">
    <xsd:import namespace="http://schemas.microsoft.com/office/2006/documentManagement/types"/>
    <xsd:import namespace="http://schemas.microsoft.com/office/infopath/2007/PartnerControls"/>
    <xsd:element name="FolderOwner" ma:index="8" nillable="true" ma:displayName="Folder Owner" ma:format="Dropdown" ma:list="UserInfo" ma:SharePointGroup="0" ma:internalName="Folder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ments" ma:index="9" nillable="true" ma:displayName="Comments" ma:format="Dropdown" ma:internalName="Comments">
      <xsd:simpleType>
        <xsd:restriction base="dms:Text">
          <xsd:maxLength value="255"/>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929d2d71-1bea-4987-bfd9-379d5b4db186"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Owner" ma:index="21" nillable="true" ma:displayName="Owner" ma:format="Dropdown" ma:list="UserInfo" ma:SharePointGroup="0"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dexed="true" ma:internalName="MediaServiceLocation" ma:readOnly="true">
      <xsd:simpleType>
        <xsd:restriction base="dms:Text"/>
      </xsd:simpleType>
    </xsd:element>
    <xsd:element name="GDAClass" ma:index="24" nillable="true" ma:displayName="Class (GDA 6)" ma:description="Class/sub-class under General Disposal Authority 6" ma:format="Dropdown" ma:internalName="GDAClass">
      <xsd:simpleType>
        <xsd:restriction base="dms:Text">
          <xsd:maxLength value="255"/>
        </xsd:restriction>
      </xsd:simpleType>
    </xsd:element>
    <xsd:element name="Retentionperiod" ma:index="25" nillable="true" ma:displayName="Retention date" ma:description="Date that this record should be retained until under GDA6" ma:format="Dropdown" ma:internalName="Retentionperiod">
      <xsd:simpleType>
        <xsd:restriction base="dms:Text">
          <xsd:maxLength value="255"/>
        </xsd:restriction>
      </xsd:simpleType>
    </xsd:element>
    <xsd:element name="PriorityTier" ma:index="26" nillable="true" ma:displayName="Priority Tier" ma:format="Dropdown" ma:internalName="PriorityTier">
      <xsd:simpleType>
        <xsd:restriction base="dms:Choice">
          <xsd:enumeration value="A"/>
          <xsd:enumeration value="B"/>
          <xsd:enumeration value="C"/>
        </xsd:restriction>
      </xsd:simpleType>
    </xsd:element>
    <xsd:element name="GDA" ma:index="27" nillable="true" ma:displayName="GDA" ma:format="Dropdown" ma:internalName="GDA">
      <xsd:simpleType>
        <xsd:restriction base="dms:Choice">
          <xsd:enumeration value="GDA 6"/>
          <xsd:enumeration value="GDA 7"/>
        </xsd:restriction>
      </xsd:simpleType>
    </xsd:element>
    <xsd:element name="DisposalAction" ma:index="28" nillable="true" ma:displayName="Disposal Action" ma:format="Dropdown" ma:internalName="DisposalAction">
      <xsd:simpleType>
        <xsd:restriction base="dms:Choice">
          <xsd:enumeration value="Destroy"/>
          <xsd:enumeration value="Transfer to Archives NZ"/>
        </xsd:restriction>
      </xsd:simpleType>
    </xsd:element>
    <xsd:element name="Transfer_x003f_" ma:index="29" nillable="true" ma:displayName="Transfer?" ma:format="Dropdown" ma:internalName="Transfer_x003f_">
      <xsd:simpleType>
        <xsd:restriction base="dms:Text">
          <xsd:maxLength value="255"/>
        </xsd:restriction>
      </xsd:simpleType>
    </xsd:element>
    <xsd:element name="WDCNZ" ma:index="30" nillable="true" ma:displayName="WDCNZ" ma:internalName="WDCNZ">
      <xsd:simpleType>
        <xsd:restriction base="dms:Text"/>
      </xsd:simpleType>
    </xsd:element>
    <xsd:element name="Priority" ma:index="31" nillable="true" ma:displayName="Priority" ma:internalName="Priority">
      <xsd:simpleType>
        <xsd:restriction base="dms:Choice">
          <xsd:enumeration value="Tier A"/>
          <xsd:enumeration value="Tier B"/>
          <xsd:enumeration value="Tier C"/>
        </xsd:restriction>
      </xsd:simpleType>
    </xsd:element>
    <xsd:element name="PriorityGroup" ma:index="32" nillable="true" ma:displayName="Priority Group" ma:internalName="PriorityGroup">
      <xsd:simpleType>
        <xsd:restriction base="dms:Choice">
          <xsd:enumeration value="Pacific"/>
          <xsd:enumeration value="Tangata Whaikaha"/>
        </xsd:restriction>
      </xsd:simpleType>
    </xsd:element>
    <xsd:element name="Function" ma:index="33" nillable="true" ma:displayName="Function" ma:internalName="Function">
      <xsd:complexType>
        <xsd:complexContent>
          <xsd:extension base="dms:MultiChoice">
            <xsd:sequence>
              <xsd:element name="Value" maxOccurs="unbounded" minOccurs="0" nillable="true">
                <xsd:simpleType>
                  <xsd:restriction base="dms:Choice">
                    <xsd:enumeration value="IAR"/>
                    <xsd:enumeration value="QA"/>
                    <xsd:enumeration value="AM"/>
                    <xsd:enumeration value="SS&amp;QD"/>
                    <xsd:enumeration value="WFA"/>
                    <xsd:enumeration value="GOV"/>
                    <xsd:enumeration value="CORP"/>
                  </xsd:restriction>
                </xsd:simpleType>
              </xsd:element>
            </xsd:sequence>
          </xsd:extension>
        </xsd:complexContent>
      </xsd:complexType>
    </xsd:element>
    <xsd:element name="ISB" ma:index="34" nillable="true" ma:displayName="ISB" ma:internalName="ISB">
      <xsd:complexType>
        <xsd:complexContent>
          <xsd:extension base="dms:MultiChoice">
            <xsd:sequence>
              <xsd:element name="Value" maxOccurs="unbounded" minOccurs="0" nillable="true">
                <xsd:simpleType>
                  <xsd:restriction base="dms:Choice">
                    <xsd:enumeration value="CST"/>
                    <xsd:enumeration value="INF"/>
                    <xsd:enumeration value="EHC"/>
                    <xsd:enumeration value="MER"/>
                    <xsd:enumeration value="SER"/>
                    <xsd:enumeration value="TRAN"/>
                    <xsd:enumeration value="F&amp;F"/>
                    <xsd:enumeration value="ETIT"/>
                  </xsd:restriction>
                </xsd:simpleType>
              </xsd:element>
            </xsd:sequence>
          </xsd:extension>
        </xsd:complexContent>
      </xsd:complexType>
    </xsd:element>
    <xsd:element name="MaoriMetadata" ma:index="35" nillable="true" ma:displayName="Māori Metadata" ma:internalName="MaoriMetadata">
      <xsd:complexType>
        <xsd:complexContent>
          <xsd:extension base="dms:MultiChoice">
            <xsd:sequence>
              <xsd:element name="Value" maxOccurs="unbounded" minOccurs="0" nillable="true">
                <xsd:simpleType>
                  <xsd:restriction base="dms:Choice">
                    <xsd:enumeration value="Kaupapa Māori"/>
                    <xsd:enumeration value="Iwi/hapū"/>
                    <xsd:enumeration value="Te Tiriti o Waitangi"/>
                    <xsd:enumeration value="Mātauranga Māori"/>
                    <xsd:enumeration value="Māori economy"/>
                    <xsd:enumeration value="Māori workforce"/>
                    <xsd:enumeration value="Maōri learners"/>
                    <xsd:enumeration value="Māori business"/>
                    <xsd:enumeration value="Māori collectives"/>
                    <xsd:enumeration value="Māori stakeholders"/>
                  </xsd:restriction>
                </xsd:simple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4ec394-8c63-4a7b-b349-56a796647fc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0d5b6d4a-bfa5-4bc5-8d37-9a72ee51641b}" ma:internalName="TaxCatchAll" ma:showField="CatchAllData" ma:web="c74ec394-8c63-4a7b-b349-56a796647f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74ec394-8c63-4a7b-b349-56a796647fcf" xsi:nil="true"/>
    <lcf76f155ced4ddcb4097134ff3c332f xmlns="88e72a02-a785-456f-a96b-89df0b066c8b">
      <Terms xmlns="http://schemas.microsoft.com/office/infopath/2007/PartnerControls"/>
    </lcf76f155ced4ddcb4097134ff3c332f>
    <Retentionperiod xmlns="88e72a02-a785-456f-a96b-89df0b066c8b" xsi:nil="true"/>
    <PriorityGroup xmlns="88e72a02-a785-456f-a96b-89df0b066c8b" xsi:nil="true"/>
    <WDCNZ xmlns="88e72a02-a785-456f-a96b-89df0b066c8b" xsi:nil="true"/>
    <Owner xmlns="88e72a02-a785-456f-a96b-89df0b066c8b">
      <UserInfo>
        <DisplayName/>
        <AccountId xsi:nil="true"/>
        <AccountType/>
      </UserInfo>
    </Owner>
    <Priority xmlns="88e72a02-a785-456f-a96b-89df0b066c8b" xsi:nil="true"/>
    <MaoriMetadata xmlns="88e72a02-a785-456f-a96b-89df0b066c8b" xsi:nil="true"/>
    <Transfer_x003f_ xmlns="88e72a02-a785-456f-a96b-89df0b066c8b" xsi:nil="true"/>
    <DisposalAction xmlns="88e72a02-a785-456f-a96b-89df0b066c8b" xsi:nil="true"/>
    <ISB xmlns="88e72a02-a785-456f-a96b-89df0b066c8b" xsi:nil="true"/>
    <Comments xmlns="88e72a02-a785-456f-a96b-89df0b066c8b" xsi:nil="true"/>
    <GDA xmlns="88e72a02-a785-456f-a96b-89df0b066c8b" xsi:nil="true"/>
    <GDAClass xmlns="88e72a02-a785-456f-a96b-89df0b066c8b" xsi:nil="true"/>
    <FolderOwner xmlns="88e72a02-a785-456f-a96b-89df0b066c8b">
      <UserInfo>
        <DisplayName/>
        <AccountId xsi:nil="true"/>
        <AccountType/>
      </UserInfo>
    </FolderOwner>
    <Function xmlns="88e72a02-a785-456f-a96b-89df0b066c8b" xsi:nil="true"/>
    <PriorityTier xmlns="88e72a02-a785-456f-a96b-89df0b066c8b"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52BDA2D-13DC-4BA5-8EA0-70A5F6FD47AC}"/>
</file>

<file path=customXml/itemProps2.xml><?xml version="1.0" encoding="utf-8"?>
<ds:datastoreItem xmlns:ds="http://schemas.openxmlformats.org/officeDocument/2006/customXml" ds:itemID="{534CCC04-4FEC-4A5D-AE3A-044EDE554AEF}"/>
</file>

<file path=customXml/itemProps3.xml><?xml version="1.0" encoding="utf-8"?>
<ds:datastoreItem xmlns:ds="http://schemas.openxmlformats.org/officeDocument/2006/customXml" ds:itemID="{2CD654FB-27DD-4053-9AB2-2ED0B3BD09CF}"/>
</file>

<file path=docMetadata/LabelInfo.xml><?xml version="1.0" encoding="utf-8"?>
<clbl:labelList xmlns:clbl="http://schemas.microsoft.com/office/2020/mipLabelMetadata">
  <clbl:label id="{469509a0-f47e-4245-8bf1-95deae62bd7f}" enabled="0" method="" siteId="{469509a0-f47e-4245-8bf1-95deae62bd7f}"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Cerelia Diprose</dc:creator>
  <cp:keywords/>
  <dc:description/>
  <cp:lastModifiedBy/>
  <cp:revision/>
  <dcterms:created xsi:type="dcterms:W3CDTF">2025-06-09T00:50:20Z</dcterms:created>
  <dcterms:modified xsi:type="dcterms:W3CDTF">2025-12-18T22:29:30Z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0x010100576597ACCBC99B4B950B427E96907763</vt:lpwstr>
  </property>
  <property fmtid="{D5CDD505-2E9C-101B-9397-08002B2CF9AE}" pid="3" name="MediaServiceImageTags">
    <vt:lpwstr/>
  </property>
</Properties>
</file>